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mesholmquist/GitHub/Coastal-Wetland-NGGI-Sensitivity-Analysis/data/Methane/"/>
    </mc:Choice>
  </mc:AlternateContent>
  <bookViews>
    <workbookView xWindow="200" yWindow="1120" windowWidth="24900" windowHeight="15540" tabRatio="500"/>
  </bookViews>
  <sheets>
    <sheet name="SOCCR-2 from revised" sheetId="6" r:id="rId1"/>
    <sheet name="Salinity vs. CH4 - SOCCR-2" sheetId="7" r:id="rId2"/>
    <sheet name="Flux summary revised" sheetId="5" r:id="rId3"/>
    <sheet name="Flux summary" sheetId="1" r:id="rId4"/>
    <sheet name="Exploratory figures v1" sheetId="3" r:id="rId5"/>
    <sheet name="Salinity classification" sheetId="2" r:id="rId6"/>
    <sheet name="Sheet4" sheetId="4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7" l="1"/>
  <c r="O4" i="7"/>
  <c r="O3" i="7"/>
  <c r="T17" i="7"/>
  <c r="T16" i="7"/>
  <c r="T15" i="7"/>
  <c r="T27" i="7"/>
  <c r="T30" i="7"/>
  <c r="T26" i="7"/>
  <c r="T34" i="7"/>
  <c r="H4" i="7"/>
  <c r="H3" i="7"/>
  <c r="H2" i="7"/>
  <c r="T8" i="7"/>
  <c r="T6" i="7"/>
  <c r="T5" i="7"/>
  <c r="T14" i="7"/>
  <c r="T13" i="7"/>
  <c r="T12" i="7"/>
  <c r="T11" i="7"/>
  <c r="T10" i="7"/>
  <c r="T9" i="7"/>
  <c r="T19" i="7"/>
  <c r="T18" i="7"/>
  <c r="H56" i="6"/>
  <c r="H55" i="6"/>
  <c r="H54" i="6"/>
  <c r="H53" i="6"/>
  <c r="H52" i="6"/>
  <c r="H51" i="6"/>
  <c r="H50" i="6"/>
  <c r="H46" i="6"/>
  <c r="H45" i="6"/>
  <c r="H44" i="6"/>
  <c r="H43" i="6"/>
  <c r="H26" i="6"/>
  <c r="H25" i="6"/>
  <c r="H22" i="6"/>
  <c r="H21" i="6"/>
  <c r="H20" i="6"/>
  <c r="H19" i="6"/>
  <c r="H18" i="6"/>
  <c r="H17" i="6"/>
  <c r="H7" i="6"/>
  <c r="H6" i="6"/>
  <c r="I44" i="5"/>
  <c r="I46" i="5"/>
  <c r="I45" i="5"/>
  <c r="I35" i="1"/>
  <c r="I50" i="5"/>
  <c r="I49" i="5"/>
  <c r="I48" i="5"/>
  <c r="I47" i="5"/>
  <c r="I40" i="5"/>
  <c r="I39" i="5"/>
  <c r="I38" i="5"/>
  <c r="I37" i="5"/>
  <c r="I36" i="5"/>
  <c r="I32" i="5"/>
  <c r="I31" i="5"/>
  <c r="I30" i="5"/>
  <c r="I29" i="5"/>
  <c r="I28" i="5"/>
  <c r="I27" i="5"/>
  <c r="I4" i="5"/>
  <c r="I3" i="5"/>
  <c r="I2" i="5"/>
  <c r="I67" i="4"/>
  <c r="C73" i="4"/>
  <c r="I66" i="4"/>
  <c r="B73" i="4"/>
  <c r="I54" i="4"/>
  <c r="I59" i="4"/>
  <c r="I60" i="4"/>
  <c r="I62" i="4"/>
  <c r="C72" i="4"/>
  <c r="I61" i="4"/>
  <c r="B72" i="4"/>
  <c r="I36" i="4"/>
  <c r="I37" i="4"/>
  <c r="I40" i="4"/>
  <c r="I41" i="4"/>
  <c r="I42" i="4"/>
  <c r="I44" i="4"/>
  <c r="I45" i="4"/>
  <c r="I53" i="4"/>
  <c r="C71" i="4"/>
  <c r="I52" i="4"/>
  <c r="B71" i="4"/>
  <c r="I19" i="4"/>
  <c r="I20" i="4"/>
  <c r="I21" i="4"/>
  <c r="I23" i="4"/>
  <c r="I24" i="4"/>
  <c r="I25" i="4"/>
  <c r="I26" i="4"/>
  <c r="I27" i="4"/>
  <c r="I28" i="4"/>
  <c r="I30" i="4"/>
  <c r="C70" i="4"/>
  <c r="I2" i="4"/>
  <c r="I10" i="4"/>
  <c r="I11" i="4"/>
  <c r="I12" i="4"/>
  <c r="I15" i="4"/>
  <c r="I16" i="4"/>
  <c r="I17" i="4"/>
  <c r="B69" i="4"/>
  <c r="I29" i="4"/>
  <c r="B70" i="4"/>
  <c r="I18" i="4"/>
  <c r="C69" i="4"/>
  <c r="H42" i="4"/>
  <c r="H41" i="4"/>
  <c r="I38" i="1"/>
  <c r="I39" i="1"/>
  <c r="I57" i="1"/>
  <c r="I56" i="1"/>
  <c r="H39" i="1"/>
  <c r="H38" i="1"/>
  <c r="I49" i="1"/>
  <c r="I48" i="1"/>
  <c r="I47" i="1"/>
  <c r="I4" i="1"/>
  <c r="I3" i="1"/>
  <c r="I2" i="1"/>
  <c r="I33" i="1"/>
  <c r="I25" i="1"/>
  <c r="I29" i="1"/>
  <c r="I28" i="1"/>
  <c r="I27" i="1"/>
  <c r="I26" i="1"/>
  <c r="I24" i="1"/>
  <c r="I34" i="1"/>
  <c r="I36" i="1"/>
  <c r="I37" i="1"/>
  <c r="I46" i="1"/>
  <c r="I45" i="1"/>
  <c r="I44" i="1"/>
  <c r="I43" i="1"/>
</calcChain>
</file>

<file path=xl/sharedStrings.xml><?xml version="1.0" encoding="utf-8"?>
<sst xmlns="http://schemas.openxmlformats.org/spreadsheetml/2006/main" count="2349" uniqueCount="249">
  <si>
    <t>Site Name</t>
  </si>
  <si>
    <t>Dominant plant species</t>
  </si>
  <si>
    <t>Reference</t>
  </si>
  <si>
    <t xml:space="preserve">Fresh </t>
  </si>
  <si>
    <t>Brackish</t>
  </si>
  <si>
    <t xml:space="preserve">Panisum hemitomon </t>
  </si>
  <si>
    <t>Louisianna</t>
  </si>
  <si>
    <t>EC</t>
  </si>
  <si>
    <t>Chamber</t>
  </si>
  <si>
    <t>Krauss et al. 2016 JGR</t>
  </si>
  <si>
    <t xml:space="preserve">New Jersey </t>
  </si>
  <si>
    <t xml:space="preserve">Spartina alterniflora </t>
  </si>
  <si>
    <t>Reid et al. 2013</t>
  </si>
  <si>
    <t>Note</t>
  </si>
  <si>
    <t>Salinity (ppt)</t>
  </si>
  <si>
    <t>Holm et al. 2016</t>
  </si>
  <si>
    <t xml:space="preserve">Dipper Harbour marsh </t>
  </si>
  <si>
    <t>2011-2012</t>
  </si>
  <si>
    <t xml:space="preserve">New Brunswick </t>
  </si>
  <si>
    <t>Country</t>
  </si>
  <si>
    <t>USA</t>
  </si>
  <si>
    <t>Canada</t>
  </si>
  <si>
    <t>State/Province</t>
  </si>
  <si>
    <t>Chmura et al. 2016</t>
  </si>
  <si>
    <t xml:space="preserve">Spartina patens </t>
  </si>
  <si>
    <t>2012-2013</t>
  </si>
  <si>
    <t>Tidal freshwater marsh</t>
  </si>
  <si>
    <t>Delaware</t>
  </si>
  <si>
    <t xml:space="preserve">Zizania aquatica </t>
  </si>
  <si>
    <t xml:space="preserve">S. alterniflora </t>
  </si>
  <si>
    <t>Source</t>
  </si>
  <si>
    <t>Table 2</t>
  </si>
  <si>
    <t>Table 3</t>
  </si>
  <si>
    <t>Table 4</t>
  </si>
  <si>
    <t>Figure 7</t>
  </si>
  <si>
    <t>Weston et al. 2014</t>
  </si>
  <si>
    <t>Fox Creek Marsh</t>
  </si>
  <si>
    <t>Kirkpatrick Marsh</t>
  </si>
  <si>
    <t>Maryland</t>
  </si>
  <si>
    <t>2013-2014</t>
  </si>
  <si>
    <t>Mueller et al. 2016</t>
  </si>
  <si>
    <t xml:space="preserve">Brookgreen Gardens </t>
  </si>
  <si>
    <t xml:space="preserve">South Carolina </t>
  </si>
  <si>
    <t>Brackish marsh</t>
  </si>
  <si>
    <t>Sagittario lancifolia, Leersia oryzoides, Typha somingensis</t>
  </si>
  <si>
    <t>Measurement year</t>
  </si>
  <si>
    <t>Method</t>
  </si>
  <si>
    <t>CH4 flux                      (g CH4 m-2 yr-1)</t>
  </si>
  <si>
    <t>Freshwater marsh</t>
  </si>
  <si>
    <t xml:space="preserve">Kouchibouguac marsh </t>
  </si>
  <si>
    <t>Control marsh only - didn't include fertilizer treatments</t>
  </si>
  <si>
    <t>Meadowlands Mitigation Bank - Vegetated low marsh</t>
  </si>
  <si>
    <t>Meadowlands Mitigation Bank - Mud flat</t>
  </si>
  <si>
    <t xml:space="preserve">Salinity ranges from 2-8 ppt therefore I reported the midpoint </t>
  </si>
  <si>
    <t>Salinity was close to zero</t>
  </si>
  <si>
    <t>Reflects peak salinity - no average was given</t>
  </si>
  <si>
    <t>Oligohaline marsh</t>
  </si>
  <si>
    <t>Mesohaline marsh</t>
  </si>
  <si>
    <t>Salinity is approximate - average of July and October values</t>
  </si>
  <si>
    <t>Spartina patens (native)</t>
  </si>
  <si>
    <t>Mixed (90% native &amp; 10% invasive)</t>
  </si>
  <si>
    <t>Salinity class</t>
  </si>
  <si>
    <r>
      <t>Coastal Modifiers</t>
    </r>
    <r>
      <rPr>
        <vertAlign val="superscript"/>
        <sz val="12"/>
        <color theme="1"/>
        <rFont val="Times"/>
      </rPr>
      <t>a</t>
    </r>
  </si>
  <si>
    <r>
      <t>Inland Modifiers</t>
    </r>
    <r>
      <rPr>
        <vertAlign val="superscript"/>
        <sz val="12"/>
        <color theme="1"/>
        <rFont val="Times"/>
      </rPr>
      <t>b</t>
    </r>
  </si>
  <si>
    <t>Salinity (parts per thousand)</t>
  </si>
  <si>
    <t>Approximate specific conductance (µMhos at 25°C)</t>
  </si>
  <si>
    <t>Hyperhaline</t>
  </si>
  <si>
    <t>Hypersaline</t>
  </si>
  <si>
    <t>&gt;40</t>
  </si>
  <si>
    <t>&gt;60,000</t>
  </si>
  <si>
    <t>Euhaline</t>
  </si>
  <si>
    <t>Eusaline</t>
  </si>
  <si>
    <t>30.0-40</t>
  </si>
  <si>
    <t>45,000-60,000</t>
  </si>
  <si>
    <t>Mixohaline (Brackish)</t>
  </si>
  <si>
    <r>
      <t>Mixosaline</t>
    </r>
    <r>
      <rPr>
        <vertAlign val="superscript"/>
        <sz val="12"/>
        <color theme="1"/>
        <rFont val="Times"/>
      </rPr>
      <t>c</t>
    </r>
  </si>
  <si>
    <t>0.5-30</t>
  </si>
  <si>
    <t>800-45,000</t>
  </si>
  <si>
    <t>Polyhaline</t>
  </si>
  <si>
    <t>Polysaline</t>
  </si>
  <si>
    <t>18.0-30</t>
  </si>
  <si>
    <t>30,000-45,000</t>
  </si>
  <si>
    <t>Mesohaline</t>
  </si>
  <si>
    <t>Mesosaline</t>
  </si>
  <si>
    <t>5.0-18</t>
  </si>
  <si>
    <t>8,000-30,000</t>
  </si>
  <si>
    <t>Oligohaline</t>
  </si>
  <si>
    <t>Oligosaline</t>
  </si>
  <si>
    <t>0.5-5</t>
  </si>
  <si>
    <t>800-8,000</t>
  </si>
  <si>
    <t>Fresh</t>
  </si>
  <si>
    <t>&lt;0.5</t>
  </si>
  <si>
    <t>&lt;800</t>
  </si>
  <si>
    <t>Source: https://www.fws.gov/wetlands/documents/classwet/tab2.htm</t>
  </si>
  <si>
    <t>Neubauer 2013</t>
  </si>
  <si>
    <t>Table 1</t>
  </si>
  <si>
    <t>Control plot only &amp; salinity is approximate (it ranges from 0-0.1)</t>
  </si>
  <si>
    <t>Oligohaline to Mesohaline</t>
  </si>
  <si>
    <t>1980-1981</t>
  </si>
  <si>
    <t>DeLaune et al. 1983</t>
  </si>
  <si>
    <t>Salt Marsh</t>
  </si>
  <si>
    <t>Spartina alterniflora</t>
  </si>
  <si>
    <t>Figure 4</t>
  </si>
  <si>
    <t>Figure 3</t>
  </si>
  <si>
    <t>Figure 2</t>
  </si>
  <si>
    <t>Virginia</t>
  </si>
  <si>
    <t>Creek Bank</t>
  </si>
  <si>
    <t xml:space="preserve">High marsh </t>
  </si>
  <si>
    <t xml:space="preserve">S. patens, Distichlis spicata </t>
  </si>
  <si>
    <t>1981-1983</t>
  </si>
  <si>
    <t>1982-1983</t>
  </si>
  <si>
    <t>Bartlett et al. 1985</t>
  </si>
  <si>
    <t>p. 1513</t>
  </si>
  <si>
    <t>p. 1809</t>
  </si>
  <si>
    <t>p. 5714</t>
  </si>
  <si>
    <t xml:space="preserve">Short Spartina </t>
  </si>
  <si>
    <t xml:space="preserve">Site 1 </t>
  </si>
  <si>
    <t>Site 2</t>
  </si>
  <si>
    <t>Site 3</t>
  </si>
  <si>
    <t xml:space="preserve">Spartina cynosuroides </t>
  </si>
  <si>
    <t xml:space="preserve">S.alterniflora, S. cynosuroides </t>
  </si>
  <si>
    <t xml:space="preserve">S.alterniflora </t>
  </si>
  <si>
    <t>1983-1984</t>
  </si>
  <si>
    <t>Bartlett et al. 1987</t>
  </si>
  <si>
    <t>p. 190</t>
  </si>
  <si>
    <t xml:space="preserve">GI Near Bank </t>
  </si>
  <si>
    <t>GI Far Bank</t>
  </si>
  <si>
    <t xml:space="preserve">UF Near Bank </t>
  </si>
  <si>
    <t xml:space="preserve">UF Far Bank </t>
  </si>
  <si>
    <t xml:space="preserve">A. rubrum, P. virginica </t>
  </si>
  <si>
    <t xml:space="preserve">Acer rubrum, Peltandra virginica </t>
  </si>
  <si>
    <t xml:space="preserve">North Carolina </t>
  </si>
  <si>
    <t>1990-1991</t>
  </si>
  <si>
    <t>Kelley et al. 1995</t>
  </si>
  <si>
    <t xml:space="preserve">Upland edge </t>
  </si>
  <si>
    <t xml:space="preserve">Middle marsh </t>
  </si>
  <si>
    <t xml:space="preserve">Low marsh </t>
  </si>
  <si>
    <t xml:space="preserve">Carex spp., Juncus gerardii </t>
  </si>
  <si>
    <t xml:space="preserve">S. patens </t>
  </si>
  <si>
    <t xml:space="preserve">Plantago maritima </t>
  </si>
  <si>
    <t>Magenheimer et al. 1996</t>
  </si>
  <si>
    <t xml:space="preserve">Sweet Hall </t>
  </si>
  <si>
    <t>Neubauer et al. 2000</t>
  </si>
  <si>
    <t>p.22</t>
  </si>
  <si>
    <t>1996-1997</t>
  </si>
  <si>
    <t xml:space="preserve">Lower site </t>
  </si>
  <si>
    <t xml:space="preserve">Upper site </t>
  </si>
  <si>
    <t xml:space="preserve">Nyssa sylvatica, P. virginica </t>
  </si>
  <si>
    <t xml:space="preserve">Fraxinus spp., P. virginica </t>
  </si>
  <si>
    <t>Megonigal and Schlesinger 2002</t>
  </si>
  <si>
    <t>1994-1995</t>
  </si>
  <si>
    <t>Figure 3 mean values</t>
  </si>
  <si>
    <t xml:space="preserve">Schenoplectus americanus </t>
  </si>
  <si>
    <t>1998-1999</t>
  </si>
  <si>
    <t>Marsh et al. 2005</t>
  </si>
  <si>
    <t xml:space="preserve">C3 Ambient CO2 </t>
  </si>
  <si>
    <t xml:space="preserve">C4 Ambient CO2 </t>
  </si>
  <si>
    <t xml:space="preserve">Wildlife </t>
  </si>
  <si>
    <t xml:space="preserve">Barbados </t>
  </si>
  <si>
    <t xml:space="preserve">Maryland </t>
  </si>
  <si>
    <t xml:space="preserve">S. patens, S. americanus </t>
  </si>
  <si>
    <t>Poffenbarger et al. 2011</t>
  </si>
  <si>
    <t>Same as below (Krauss et al. 2016), but they report two years at the freshwater site and appear to average over slightly different periods - I included both here, but we should pick just one.</t>
  </si>
  <si>
    <t>Soil Greenhouse Gas Fluxes during Wetland Forest Retreat along the Lower Savannah River, Georgia (USA)</t>
  </si>
  <si>
    <t>Greenhouse Gas Emissions from a Created Brackish Marsh in Eastern North Carolina</t>
  </si>
  <si>
    <t>Other potential studies</t>
  </si>
  <si>
    <t xml:space="preserve">Greenhouse gas fluxes in southeastern U.S. coastal plain wetlands under contrasting land uses </t>
  </si>
  <si>
    <t xml:space="preserve">Salinity ranges from 0-2 ppt therefore I reported the midpoint </t>
  </si>
  <si>
    <t>unvegetated intertidal creek bank sediment</t>
  </si>
  <si>
    <t>2008-2009</t>
  </si>
  <si>
    <t>p. 357</t>
  </si>
  <si>
    <t>Georgia</t>
  </si>
  <si>
    <t>Segerra et al. 2013</t>
  </si>
  <si>
    <r>
      <t xml:space="preserve">Georgia Coastal </t>
    </r>
    <r>
      <rPr>
        <sz val="12"/>
        <color theme="1"/>
        <rFont val="Calibri"/>
        <family val="2"/>
        <scheme val="minor"/>
      </rPr>
      <t xml:space="preserve">Ecosystems LTER </t>
    </r>
  </si>
  <si>
    <t>Alabama</t>
  </si>
  <si>
    <t xml:space="preserve">Week’s Bay </t>
  </si>
  <si>
    <t xml:space="preserve">Cladium jamaicense </t>
  </si>
  <si>
    <t xml:space="preserve">Dog River </t>
  </si>
  <si>
    <t xml:space="preserve">C. jamaicense </t>
  </si>
  <si>
    <t xml:space="preserve">Dauphin Island </t>
  </si>
  <si>
    <t>multiplied mean daily emissions calculated monthly for a full year by 365</t>
  </si>
  <si>
    <t>Wilson et al. 2015</t>
  </si>
  <si>
    <t>p. 335</t>
  </si>
  <si>
    <t xml:space="preserve">P. australis </t>
  </si>
  <si>
    <t>Figure 3 from vegetated plots</t>
  </si>
  <si>
    <t xml:space="preserve">Massachusetts </t>
  </si>
  <si>
    <t>Emery and Fulweiler 2014</t>
  </si>
  <si>
    <t>2014-2015</t>
  </si>
  <si>
    <t xml:space="preserve">Permanently flooded brackish marsh </t>
  </si>
  <si>
    <t xml:space="preserve">Florida </t>
  </si>
  <si>
    <t xml:space="preserve">Intermittently flooded brackish marsh </t>
  </si>
  <si>
    <t>Li and Mitsch 2016</t>
  </si>
  <si>
    <t>Also need access to:</t>
  </si>
  <si>
    <t>Salinity and annual CH4 fluxes estimated from Figures by averaging individual sampling points over the course of a full year (so quite approximate). Note that the high flux at the spartina site is diven by very large fluxes measured in May.</t>
  </si>
  <si>
    <t xml:space="preserve">Phragmites australis </t>
  </si>
  <si>
    <t>Not many details given about intermittent vs. permanently flooded at this restored site - not sure if it's tidal or not….</t>
  </si>
  <si>
    <t xml:space="preserve">Peltandra virginica </t>
  </si>
  <si>
    <t xml:space="preserve">P. virginica, and species of Bidens, Amaranthus and Polygonum. </t>
  </si>
  <si>
    <t>S. patens, D. spicata</t>
  </si>
  <si>
    <t>Zizaniopsis miliacea, Apios americana, Cicuta maculata, Hydrocotyle umbellata, Orontium aquaticum, P. virginica, Pontederia cordata, Polygonum arifolium,  P. sagittatum</t>
  </si>
  <si>
    <t>S. alterniflora, Phragmites australis</t>
  </si>
  <si>
    <t>S. patens</t>
  </si>
  <si>
    <t>S. lancifolia, L.oryzoides, T. somingensis</t>
  </si>
  <si>
    <t>S. alterniflora, J. roemerianus</t>
  </si>
  <si>
    <t>P. australis (invasive)</t>
  </si>
  <si>
    <t>S. patens (native)</t>
  </si>
  <si>
    <t>S. bakeri, Spartina patens, C. jamaicense, Acrostichum danaeifolium and Eleocharis cellulosa</t>
  </si>
  <si>
    <t>Note: coastal but not tidal?</t>
  </si>
  <si>
    <t>Average</t>
  </si>
  <si>
    <t>SE</t>
  </si>
  <si>
    <t>Salinity classification</t>
  </si>
  <si>
    <t>Location</t>
  </si>
  <si>
    <t>Region</t>
  </si>
  <si>
    <t>SC</t>
  </si>
  <si>
    <t>Salinity information</t>
  </si>
  <si>
    <t>Channel</t>
  </si>
  <si>
    <t>MAB</t>
  </si>
  <si>
    <t>Flux calculation</t>
  </si>
  <si>
    <t>Porewater</t>
  </si>
  <si>
    <t>Average of fresh range (0-0.5)</t>
  </si>
  <si>
    <t xml:space="preserve">Interpolated between year-round measurements </t>
  </si>
  <si>
    <t>SAB</t>
  </si>
  <si>
    <t>GOM</t>
  </si>
  <si>
    <t>Growing season mean converted to annual sum</t>
  </si>
  <si>
    <t>Annual reported</t>
  </si>
  <si>
    <t>Represents average of two years</t>
  </si>
  <si>
    <t>Salinity ranges from 0-2 ppt therefore I reported the midpoint - but labeled as Fresh based on tidal freshwater mudflat</t>
  </si>
  <si>
    <t>Brookgreen Gardens - Control treatment</t>
  </si>
  <si>
    <t>Gulf of St. Lawrence</t>
  </si>
  <si>
    <t>Dipper Harbour marsh - Control plots</t>
  </si>
  <si>
    <t>Kouchibouguac marsh  - Control plots</t>
  </si>
  <si>
    <t>Control plots only - didn't include fertilizer treatments</t>
  </si>
  <si>
    <t>Salinity and annual CH4 fluxes estimated from Figures by averaging individual sampling points over the course of a full year (so quite approximate). Note that the high flux at the spartina site is diven by very large fluxes measured in May. Actually removed from SOCCR-2 since it was so hard to estimate</t>
  </si>
  <si>
    <t>GMx</t>
  </si>
  <si>
    <t>Used average yearly values</t>
  </si>
  <si>
    <t>Upper</t>
  </si>
  <si>
    <t>Middle</t>
  </si>
  <si>
    <t>Lower</t>
  </si>
  <si>
    <t>Taxodium distichum, Nyssa aquatica</t>
  </si>
  <si>
    <t>2006-2007</t>
  </si>
  <si>
    <t>Taxodium distichum + herbacious community</t>
  </si>
  <si>
    <t>Might represent 2 years of measurements</t>
  </si>
  <si>
    <t>Krauss and Whitbeck 2012</t>
  </si>
  <si>
    <t>CH4 flux (g CH4 m-2 yr-1)</t>
  </si>
  <si>
    <t>Salinity roughly estimated from Fig. 2</t>
  </si>
  <si>
    <t>Control plots only - didn't include fertilizer treatments. Actually didn't interpolate here since fluxes are so close to zero, but could do if requested</t>
  </si>
  <si>
    <t>Arrange data to plot</t>
  </si>
  <si>
    <t>Since 2011 chamber</t>
  </si>
  <si>
    <t>Since 2011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</si>
</sst>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rgb="FF111111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Times"/>
    </font>
    <font>
      <b/>
      <sz val="12"/>
      <color theme="1"/>
      <name val="Times"/>
    </font>
    <font>
      <vertAlign val="superscript"/>
      <sz val="12"/>
      <color theme="1"/>
      <name val="Times"/>
    </font>
    <font>
      <i/>
      <sz val="12"/>
      <color rgb="FF111111"/>
      <name val="Calibri"/>
      <scheme val="minor"/>
    </font>
    <font>
      <sz val="12"/>
      <color rgb="FF333333"/>
      <name val="Calibri"/>
      <scheme val="minor"/>
    </font>
    <font>
      <sz val="12"/>
      <color rgb="FF22222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ont="1" applyFill="1" applyAlignment="1">
      <alignment horizontal="left" vertical="top" wrapText="1"/>
    </xf>
    <xf numFmtId="0" fontId="0" fillId="3" borderId="0" xfId="0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164" fontId="0" fillId="2" borderId="0" xfId="0" applyNumberFormat="1" applyFont="1" applyFill="1" applyAlignment="1">
      <alignment horizontal="left" vertical="top" wrapText="1"/>
    </xf>
    <xf numFmtId="164" fontId="0" fillId="3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0" fillId="2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7" fillId="0" borderId="0" xfId="0" applyFont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left" vertical="top" wrapText="1"/>
    </xf>
    <xf numFmtId="0" fontId="8" fillId="0" borderId="0" xfId="0" applyFont="1"/>
    <xf numFmtId="164" fontId="0" fillId="0" borderId="0" xfId="0" applyNumberFormat="1" applyFont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164" fontId="0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right" vertical="top" wrapText="1"/>
    </xf>
    <xf numFmtId="0" fontId="0" fillId="4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3" borderId="0" xfId="0" applyFont="1" applyFill="1"/>
    <xf numFmtId="0" fontId="2" fillId="2" borderId="0" xfId="0" applyFont="1" applyFill="1" applyAlignment="1">
      <alignment horizontal="left" vertical="top"/>
    </xf>
    <xf numFmtId="0" fontId="0" fillId="0" borderId="0" xfId="0" applyAlignment="1"/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164" fontId="0" fillId="0" borderId="0" xfId="0" applyNumberFormat="1" applyFont="1" applyFill="1" applyAlignment="1">
      <alignment horizontal="left" vertical="top"/>
    </xf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457565148817"/>
          <c:y val="0.0501618122977346"/>
          <c:w val="0.873215920088896"/>
          <c:h val="0.901294498381877"/>
        </c:manualLayout>
      </c:layout>
      <c:scatterChart>
        <c:scatterStyle val="lineMarker"/>
        <c:varyColors val="0"/>
        <c:ser>
          <c:idx val="0"/>
          <c:order val="0"/>
          <c:tx>
            <c:v>Poffenbarger et al. (2011)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'Salinity vs. CH4 - SOCCR-2'!$N$3:$N$26</c:f>
              <c:numCache>
                <c:formatCode>General</c:formatCode>
                <c:ptCount val="24"/>
                <c:pt idx="0">
                  <c:v>0.4</c:v>
                </c:pt>
                <c:pt idx="1">
                  <c:v>1.8</c:v>
                </c:pt>
                <c:pt idx="2">
                  <c:v>18.1</c:v>
                </c:pt>
                <c:pt idx="3">
                  <c:v>18.7</c:v>
                </c:pt>
                <c:pt idx="4">
                  <c:v>22.6</c:v>
                </c:pt>
                <c:pt idx="5">
                  <c:v>26.3</c:v>
                </c:pt>
                <c:pt idx="6">
                  <c:v>5.1</c:v>
                </c:pt>
                <c:pt idx="7">
                  <c:v>12.8</c:v>
                </c:pt>
                <c:pt idx="8">
                  <c:v>16.6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23.5</c:v>
                </c:pt>
                <c:pt idx="14">
                  <c:v>31.6</c:v>
                </c:pt>
                <c:pt idx="15">
                  <c:v>33.7</c:v>
                </c:pt>
                <c:pt idx="16">
                  <c:v>35.1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6.8</c:v>
                </c:pt>
                <c:pt idx="21">
                  <c:v>6.8</c:v>
                </c:pt>
                <c:pt idx="22">
                  <c:v>11.6</c:v>
                </c:pt>
                <c:pt idx="23">
                  <c:v>12.9</c:v>
                </c:pt>
              </c:numCache>
            </c:numRef>
          </c:xVal>
          <c:yVal>
            <c:numRef>
              <c:f>'Salinity vs. CH4 - SOCCR-2'!$O$3:$O$26</c:f>
              <c:numCache>
                <c:formatCode>0.0</c:formatCode>
                <c:ptCount val="24"/>
                <c:pt idx="0">
                  <c:v>213.3333333333333</c:v>
                </c:pt>
                <c:pt idx="1">
                  <c:v>97.33333333333333</c:v>
                </c:pt>
                <c:pt idx="2">
                  <c:v>5.733333333333332</c:v>
                </c:pt>
                <c:pt idx="3" formatCode="General">
                  <c:v>1.2</c:v>
                </c:pt>
                <c:pt idx="4" formatCode="General">
                  <c:v>0.4</c:v>
                </c:pt>
                <c:pt idx="5" formatCode="General">
                  <c:v>1.3</c:v>
                </c:pt>
                <c:pt idx="6" formatCode="General">
                  <c:v>18.2</c:v>
                </c:pt>
                <c:pt idx="7" formatCode="General">
                  <c:v>22.4</c:v>
                </c:pt>
                <c:pt idx="8" formatCode="General">
                  <c:v>5.6</c:v>
                </c:pt>
                <c:pt idx="9" formatCode="General">
                  <c:v>8.2</c:v>
                </c:pt>
                <c:pt idx="10" formatCode="General">
                  <c:v>5.7</c:v>
                </c:pt>
                <c:pt idx="11" formatCode="General">
                  <c:v>5.1</c:v>
                </c:pt>
                <c:pt idx="12" formatCode="General">
                  <c:v>3.5</c:v>
                </c:pt>
                <c:pt idx="13" formatCode="General">
                  <c:v>1.3</c:v>
                </c:pt>
                <c:pt idx="14" formatCode="General">
                  <c:v>0.2</c:v>
                </c:pt>
                <c:pt idx="15" formatCode="General">
                  <c:v>0.2</c:v>
                </c:pt>
                <c:pt idx="16" formatCode="General">
                  <c:v>0.2</c:v>
                </c:pt>
                <c:pt idx="17" formatCode="General">
                  <c:v>96.0</c:v>
                </c:pt>
                <c:pt idx="18" formatCode="General">
                  <c:v>1.3</c:v>
                </c:pt>
                <c:pt idx="19" formatCode="General">
                  <c:v>1.8</c:v>
                </c:pt>
                <c:pt idx="20" formatCode="General">
                  <c:v>4.7</c:v>
                </c:pt>
                <c:pt idx="21" formatCode="General">
                  <c:v>3.3</c:v>
                </c:pt>
                <c:pt idx="22" formatCode="General">
                  <c:v>30.6</c:v>
                </c:pt>
                <c:pt idx="23" formatCode="General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v>Since 2011 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'Salinity vs. CH4 - SOCCR-2'!$S$2:$S$27</c:f>
              <c:numCache>
                <c:formatCode>General</c:formatCode>
                <c:ptCount val="26"/>
                <c:pt idx="0">
                  <c:v>0.2</c:v>
                </c:pt>
                <c:pt idx="1">
                  <c:v>1.3</c:v>
                </c:pt>
                <c:pt idx="2">
                  <c:v>4.7</c:v>
                </c:pt>
                <c:pt idx="3">
                  <c:v>5.0</c:v>
                </c:pt>
                <c:pt idx="4">
                  <c:v>5.0</c:v>
                </c:pt>
                <c:pt idx="5">
                  <c:v>1.0</c:v>
                </c:pt>
                <c:pt idx="6">
                  <c:v>0.05</c:v>
                </c:pt>
                <c:pt idx="7">
                  <c:v>0.25</c:v>
                </c:pt>
                <c:pt idx="8">
                  <c:v>0.25</c:v>
                </c:pt>
                <c:pt idx="9">
                  <c:v>2.5</c:v>
                </c:pt>
                <c:pt idx="10">
                  <c:v>2.5</c:v>
                </c:pt>
                <c:pt idx="11">
                  <c:v>10.0</c:v>
                </c:pt>
                <c:pt idx="12">
                  <c:v>10.0</c:v>
                </c:pt>
                <c:pt idx="13">
                  <c:v>2.3</c:v>
                </c:pt>
                <c:pt idx="14">
                  <c:v>4.7</c:v>
                </c:pt>
                <c:pt idx="15">
                  <c:v>20.7</c:v>
                </c:pt>
                <c:pt idx="16">
                  <c:v>23.7</c:v>
                </c:pt>
                <c:pt idx="17">
                  <c:v>13.7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9.15</c:v>
                </c:pt>
                <c:pt idx="25">
                  <c:v>0.23</c:v>
                </c:pt>
              </c:numCache>
            </c:numRef>
          </c:xVal>
          <c:yVal>
            <c:numRef>
              <c:f>'Salinity vs. CH4 - SOCCR-2'!$T$2:$T$27</c:f>
              <c:numCache>
                <c:formatCode>General</c:formatCode>
                <c:ptCount val="26"/>
                <c:pt idx="0">
                  <c:v>1.1</c:v>
                </c:pt>
                <c:pt idx="1">
                  <c:v>1.32</c:v>
                </c:pt>
                <c:pt idx="2">
                  <c:v>1.36</c:v>
                </c:pt>
                <c:pt idx="3" formatCode="0.0">
                  <c:v>5.76</c:v>
                </c:pt>
                <c:pt idx="4" formatCode="0.0">
                  <c:v>5.12</c:v>
                </c:pt>
                <c:pt idx="5">
                  <c:v>93.0</c:v>
                </c:pt>
                <c:pt idx="6" formatCode="0.0">
                  <c:v>56.0</c:v>
                </c:pt>
                <c:pt idx="7" formatCode="0.0">
                  <c:v>26.66666666666666</c:v>
                </c:pt>
                <c:pt idx="8" formatCode="0.0">
                  <c:v>32.0</c:v>
                </c:pt>
                <c:pt idx="9" formatCode="0.0">
                  <c:v>164.0</c:v>
                </c:pt>
                <c:pt idx="10" formatCode="0.0">
                  <c:v>116.0</c:v>
                </c:pt>
                <c:pt idx="11" formatCode="0.0">
                  <c:v>-6.666666666666666</c:v>
                </c:pt>
                <c:pt idx="12" formatCode="0.0">
                  <c:v>-2.666666666666666</c:v>
                </c:pt>
                <c:pt idx="13" formatCode="0.0">
                  <c:v>10.512</c:v>
                </c:pt>
                <c:pt idx="14" formatCode="0.0">
                  <c:v>5.256</c:v>
                </c:pt>
                <c:pt idx="15" formatCode="0.0">
                  <c:v>5.694</c:v>
                </c:pt>
                <c:pt idx="16" formatCode="0.0">
                  <c:v>0.1808064</c:v>
                </c:pt>
                <c:pt idx="17" formatCode="0.0">
                  <c:v>0.0322368</c:v>
                </c:pt>
                <c:pt idx="18" formatCode="0.0">
                  <c:v>105.5</c:v>
                </c:pt>
                <c:pt idx="19" formatCode="0.0">
                  <c:v>5.2</c:v>
                </c:pt>
                <c:pt idx="20" formatCode="0.0">
                  <c:v>1.0</c:v>
                </c:pt>
                <c:pt idx="21" formatCode="0.0">
                  <c:v>13.5</c:v>
                </c:pt>
                <c:pt idx="22" formatCode="0.0">
                  <c:v>4.5</c:v>
                </c:pt>
                <c:pt idx="23" formatCode="0.0">
                  <c:v>3.1</c:v>
                </c:pt>
                <c:pt idx="24" formatCode="0.0">
                  <c:v>66.13333333333333</c:v>
                </c:pt>
                <c:pt idx="25" formatCode="0.0">
                  <c:v>122.5333333333333</c:v>
                </c:pt>
              </c:numCache>
            </c:numRef>
          </c:yVal>
          <c:smooth val="0"/>
        </c:ser>
        <c:ser>
          <c:idx val="2"/>
          <c:order val="2"/>
          <c:tx>
            <c:v>Since 2011 EC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'Salinity vs. CH4 - SOCCR-2'!$S$30:$S$34</c:f>
              <c:numCache>
                <c:formatCode>General</c:formatCode>
                <c:ptCount val="5"/>
                <c:pt idx="0">
                  <c:v>0.23</c:v>
                </c:pt>
                <c:pt idx="1">
                  <c:v>9.15</c:v>
                </c:pt>
                <c:pt idx="2">
                  <c:v>0.23</c:v>
                </c:pt>
                <c:pt idx="3">
                  <c:v>0.23</c:v>
                </c:pt>
                <c:pt idx="4">
                  <c:v>9.15</c:v>
                </c:pt>
              </c:numCache>
            </c:numRef>
          </c:xVal>
          <c:yVal>
            <c:numRef>
              <c:f>'Salinity vs. CH4 - SOCCR-2'!$T$30:$T$34</c:f>
              <c:numCache>
                <c:formatCode>0.0</c:formatCode>
                <c:ptCount val="5"/>
                <c:pt idx="0">
                  <c:v>62.8</c:v>
                </c:pt>
                <c:pt idx="1">
                  <c:v>13.8</c:v>
                </c:pt>
                <c:pt idx="2">
                  <c:v>63.0</c:v>
                </c:pt>
                <c:pt idx="3">
                  <c:v>61.6</c:v>
                </c:pt>
                <c:pt idx="4">
                  <c:v>14.8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64400"/>
        <c:axId val="-1841778208"/>
      </c:scatterChart>
      <c:valAx>
        <c:axId val="-18376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Salinity (ppt)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841778208"/>
        <c:crosses val="autoZero"/>
        <c:crossBetween val="midCat"/>
      </c:valAx>
      <c:valAx>
        <c:axId val="-1841778208"/>
        <c:scaling>
          <c:orientation val="minMax"/>
          <c:min val="-1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CH4</a:t>
                </a:r>
                <a:r>
                  <a:rPr lang="en-US" sz="1200" baseline="0">
                    <a:latin typeface="Arial" charset="0"/>
                    <a:ea typeface="Arial" charset="0"/>
                    <a:cs typeface="Arial" charset="0"/>
                  </a:rPr>
                  <a:t> Flux (g CH4 m-2 yr-1)</a:t>
                </a:r>
                <a:endParaRPr lang="en-US" sz="1200">
                  <a:latin typeface="Arial" charset="0"/>
                  <a:ea typeface="Arial" charset="0"/>
                  <a:cs typeface="Arial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83766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34636110547"/>
          <c:y val="0.0626008460107535"/>
          <c:w val="0.244864928440549"/>
          <c:h val="0.111782340692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Salinity vs. CH4 flux</a:t>
            </a:r>
          </a:p>
        </c:rich>
      </c:tx>
      <c:layout>
        <c:manualLayout>
          <c:xMode val="edge"/>
          <c:yMode val="edge"/>
          <c:x val="0.412164946797629"/>
          <c:y val="0.0425531994105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494355825883"/>
          <c:y val="0.141241440263852"/>
          <c:w val="0.806374142736085"/>
          <c:h val="0.754186399022058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'Flux summary'!$H$2:$H$57</c:f>
              <c:numCache>
                <c:formatCode>General</c:formatCode>
                <c:ptCount val="56"/>
                <c:pt idx="0">
                  <c:v>0.4</c:v>
                </c:pt>
                <c:pt idx="1">
                  <c:v>1.8</c:v>
                </c:pt>
                <c:pt idx="2">
                  <c:v>18.1</c:v>
                </c:pt>
                <c:pt idx="3">
                  <c:v>18.7</c:v>
                </c:pt>
                <c:pt idx="4">
                  <c:v>22.6</c:v>
                </c:pt>
                <c:pt idx="5">
                  <c:v>26.3</c:v>
                </c:pt>
                <c:pt idx="6">
                  <c:v>5.1</c:v>
                </c:pt>
                <c:pt idx="7">
                  <c:v>12.8</c:v>
                </c:pt>
                <c:pt idx="8">
                  <c:v>16.6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23.5</c:v>
                </c:pt>
                <c:pt idx="14">
                  <c:v>31.6</c:v>
                </c:pt>
                <c:pt idx="15">
                  <c:v>33.7</c:v>
                </c:pt>
                <c:pt idx="16">
                  <c:v>35.1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6.8</c:v>
                </c:pt>
                <c:pt idx="21">
                  <c:v>6.8</c:v>
                </c:pt>
                <c:pt idx="22">
                  <c:v>0.0</c:v>
                </c:pt>
                <c:pt idx="23">
                  <c:v>0.0</c:v>
                </c:pt>
                <c:pt idx="24">
                  <c:v>5.5</c:v>
                </c:pt>
                <c:pt idx="25">
                  <c:v>5.5</c:v>
                </c:pt>
                <c:pt idx="26">
                  <c:v>14.5</c:v>
                </c:pt>
                <c:pt idx="27">
                  <c:v>14.5</c:v>
                </c:pt>
                <c:pt idx="28">
                  <c:v>11.6</c:v>
                </c:pt>
                <c:pt idx="29">
                  <c:v>12.9</c:v>
                </c:pt>
                <c:pt idx="30">
                  <c:v>1.0</c:v>
                </c:pt>
                <c:pt idx="31">
                  <c:v>0.05</c:v>
                </c:pt>
                <c:pt idx="32">
                  <c:v>23.7</c:v>
                </c:pt>
                <c:pt idx="33">
                  <c:v>13.7</c:v>
                </c:pt>
                <c:pt idx="34">
                  <c:v>5.0</c:v>
                </c:pt>
                <c:pt idx="35">
                  <c:v>5.0</c:v>
                </c:pt>
                <c:pt idx="36" formatCode="0.0">
                  <c:v>13.625</c:v>
                </c:pt>
                <c:pt idx="37" formatCode="0.0">
                  <c:v>11.75</c:v>
                </c:pt>
                <c:pt idx="38">
                  <c:v>9.15</c:v>
                </c:pt>
                <c:pt idx="39">
                  <c:v>0.23</c:v>
                </c:pt>
                <c:pt idx="40">
                  <c:v>0.23</c:v>
                </c:pt>
                <c:pt idx="41">
                  <c:v>9.15</c:v>
                </c:pt>
                <c:pt idx="42">
                  <c:v>9.15</c:v>
                </c:pt>
                <c:pt idx="43">
                  <c:v>0.23</c:v>
                </c:pt>
                <c:pt idx="44">
                  <c:v>0.23</c:v>
                </c:pt>
                <c:pt idx="45">
                  <c:v>2.3</c:v>
                </c:pt>
                <c:pt idx="46">
                  <c:v>4.7</c:v>
                </c:pt>
                <c:pt idx="47">
                  <c:v>20.7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3.93</c:v>
                </c:pt>
                <c:pt idx="55">
                  <c:v>3.93</c:v>
                </c:pt>
              </c:numCache>
            </c:numRef>
          </c:xVal>
          <c:yVal>
            <c:numRef>
              <c:f>'Flux summary'!$I$2:$I$57</c:f>
              <c:numCache>
                <c:formatCode>0.0</c:formatCode>
                <c:ptCount val="56"/>
                <c:pt idx="0">
                  <c:v>213.3333333333333</c:v>
                </c:pt>
                <c:pt idx="1">
                  <c:v>97.33333333333333</c:v>
                </c:pt>
                <c:pt idx="2">
                  <c:v>5.733333333333332</c:v>
                </c:pt>
                <c:pt idx="3" formatCode="General">
                  <c:v>1.2</c:v>
                </c:pt>
                <c:pt idx="4" formatCode="General">
                  <c:v>0.4</c:v>
                </c:pt>
                <c:pt idx="5" formatCode="General">
                  <c:v>1.3</c:v>
                </c:pt>
                <c:pt idx="6" formatCode="General">
                  <c:v>18.2</c:v>
                </c:pt>
                <c:pt idx="7" formatCode="General">
                  <c:v>22.4</c:v>
                </c:pt>
                <c:pt idx="8" formatCode="General">
                  <c:v>5.6</c:v>
                </c:pt>
                <c:pt idx="9" formatCode="General">
                  <c:v>8.2</c:v>
                </c:pt>
                <c:pt idx="10" formatCode="General">
                  <c:v>5.7</c:v>
                </c:pt>
                <c:pt idx="11" formatCode="General">
                  <c:v>5.1</c:v>
                </c:pt>
                <c:pt idx="12" formatCode="General">
                  <c:v>3.5</c:v>
                </c:pt>
                <c:pt idx="13" formatCode="General">
                  <c:v>1.3</c:v>
                </c:pt>
                <c:pt idx="14" formatCode="General">
                  <c:v>0.2</c:v>
                </c:pt>
                <c:pt idx="15" formatCode="General">
                  <c:v>0.2</c:v>
                </c:pt>
                <c:pt idx="16" formatCode="General">
                  <c:v>0.2</c:v>
                </c:pt>
                <c:pt idx="17" formatCode="General">
                  <c:v>96.0</c:v>
                </c:pt>
                <c:pt idx="18" formatCode="General">
                  <c:v>1.3</c:v>
                </c:pt>
                <c:pt idx="19" formatCode="General">
                  <c:v>1.8</c:v>
                </c:pt>
                <c:pt idx="20" formatCode="General">
                  <c:v>4.7</c:v>
                </c:pt>
                <c:pt idx="21" formatCode="General">
                  <c:v>3.3</c:v>
                </c:pt>
                <c:pt idx="22">
                  <c:v>26.66666666666666</c:v>
                </c:pt>
                <c:pt idx="23">
                  <c:v>32.0</c:v>
                </c:pt>
                <c:pt idx="24">
                  <c:v>164.0</c:v>
                </c:pt>
                <c:pt idx="25">
                  <c:v>116.0</c:v>
                </c:pt>
                <c:pt idx="26">
                  <c:v>-6.666666666666666</c:v>
                </c:pt>
                <c:pt idx="27">
                  <c:v>-2.666666666666666</c:v>
                </c:pt>
                <c:pt idx="28" formatCode="General">
                  <c:v>30.6</c:v>
                </c:pt>
                <c:pt idx="29" formatCode="General">
                  <c:v>32.0</c:v>
                </c:pt>
                <c:pt idx="30" formatCode="General">
                  <c:v>93.0</c:v>
                </c:pt>
                <c:pt idx="31">
                  <c:v>56.0</c:v>
                </c:pt>
                <c:pt idx="32">
                  <c:v>0.1808064</c:v>
                </c:pt>
                <c:pt idx="33">
                  <c:v>0.0322368</c:v>
                </c:pt>
                <c:pt idx="34">
                  <c:v>5.76</c:v>
                </c:pt>
                <c:pt idx="35">
                  <c:v>5.12</c:v>
                </c:pt>
                <c:pt idx="36">
                  <c:v>93.5568</c:v>
                </c:pt>
                <c:pt idx="37">
                  <c:v>2.19</c:v>
                </c:pt>
                <c:pt idx="38">
                  <c:v>13.8</c:v>
                </c:pt>
                <c:pt idx="39">
                  <c:v>63.0</c:v>
                </c:pt>
                <c:pt idx="40">
                  <c:v>61.6</c:v>
                </c:pt>
                <c:pt idx="41">
                  <c:v>14.8</c:v>
                </c:pt>
                <c:pt idx="42">
                  <c:v>66.13333333333333</c:v>
                </c:pt>
                <c:pt idx="43">
                  <c:v>62.8</c:v>
                </c:pt>
                <c:pt idx="44">
                  <c:v>122.5333333333333</c:v>
                </c:pt>
                <c:pt idx="45">
                  <c:v>10.512</c:v>
                </c:pt>
                <c:pt idx="46">
                  <c:v>5.256</c:v>
                </c:pt>
                <c:pt idx="47">
                  <c:v>5.694</c:v>
                </c:pt>
                <c:pt idx="48">
                  <c:v>105.5</c:v>
                </c:pt>
                <c:pt idx="49">
                  <c:v>5.2</c:v>
                </c:pt>
                <c:pt idx="50">
                  <c:v>1.0</c:v>
                </c:pt>
                <c:pt idx="51">
                  <c:v>13.5</c:v>
                </c:pt>
                <c:pt idx="52">
                  <c:v>4.5</c:v>
                </c:pt>
                <c:pt idx="53">
                  <c:v>3.1</c:v>
                </c:pt>
                <c:pt idx="54">
                  <c:v>76.93333333333334</c:v>
                </c:pt>
                <c:pt idx="55">
                  <c:v>-0.133333333333333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348656"/>
        <c:axId val="-1837817568"/>
      </c:scatterChart>
      <c:valAx>
        <c:axId val="-18413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Salinity</a:t>
                </a:r>
                <a:r>
                  <a:rPr lang="en-US" sz="1600" baseline="0"/>
                  <a:t> (ppt)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6035975753697"/>
              <c:y val="0.939645378836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817568"/>
        <c:crosses val="autoZero"/>
        <c:crossBetween val="midCat"/>
      </c:valAx>
      <c:valAx>
        <c:axId val="-1837817568"/>
        <c:scaling>
          <c:orientation val="minMax"/>
          <c:min val="-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CH4 flux (mg CH4 m-2 yr-1)</a:t>
                </a:r>
              </a:p>
            </c:rich>
          </c:tx>
          <c:layout>
            <c:manualLayout>
              <c:xMode val="edge"/>
              <c:yMode val="edge"/>
              <c:x val="0.0170283491383227"/>
              <c:y val="0.304622457627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30105755609"/>
          <c:y val="0.0581110315755985"/>
          <c:w val="0.876438792431281"/>
          <c:h val="0.867774437286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Sheet4!$C$69:$C$73</c:f>
                <c:numCache>
                  <c:formatCode>General</c:formatCode>
                  <c:ptCount val="5"/>
                  <c:pt idx="0">
                    <c:v>15.11914077045003</c:v>
                  </c:pt>
                  <c:pt idx="1">
                    <c:v>18.75827259435022</c:v>
                  </c:pt>
                  <c:pt idx="2">
                    <c:v>6.723046907447833</c:v>
                  </c:pt>
                  <c:pt idx="3">
                    <c:v>0.907715950635403</c:v>
                  </c:pt>
                  <c:pt idx="4">
                    <c:v>1.96261557335472E-17</c:v>
                  </c:pt>
                </c:numCache>
              </c:numRef>
            </c:plus>
            <c:minus>
              <c:numRef>
                <c:f>Sheet4!$C$69:$C$73</c:f>
                <c:numCache>
                  <c:formatCode>General</c:formatCode>
                  <c:ptCount val="5"/>
                  <c:pt idx="0">
                    <c:v>15.11914077045003</c:v>
                  </c:pt>
                  <c:pt idx="1">
                    <c:v>18.75827259435022</c:v>
                  </c:pt>
                  <c:pt idx="2">
                    <c:v>6.723046907447833</c:v>
                  </c:pt>
                  <c:pt idx="3">
                    <c:v>0.907715950635403</c:v>
                  </c:pt>
                  <c:pt idx="4">
                    <c:v>1.96261557335472E-17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Sheet4!$A$69:$A$73</c:f>
              <c:strCache>
                <c:ptCount val="5"/>
                <c:pt idx="0">
                  <c:v>Fresh</c:v>
                </c:pt>
                <c:pt idx="1">
                  <c:v>Oligohaline</c:v>
                </c:pt>
                <c:pt idx="2">
                  <c:v>Mesohaline</c:v>
                </c:pt>
                <c:pt idx="3">
                  <c:v>Polyhaline</c:v>
                </c:pt>
                <c:pt idx="4">
                  <c:v>Euhaline</c:v>
                </c:pt>
              </c:strCache>
            </c:strRef>
          </c:cat>
          <c:val>
            <c:numRef>
              <c:f>Sheet4!$B$69:$B$73</c:f>
              <c:numCache>
                <c:formatCode>0.0</c:formatCode>
                <c:ptCount val="5"/>
                <c:pt idx="0">
                  <c:v>50.63555555555554</c:v>
                </c:pt>
                <c:pt idx="1">
                  <c:v>57.37813333333334</c:v>
                </c:pt>
                <c:pt idx="2">
                  <c:v>20.51328746666667</c:v>
                </c:pt>
                <c:pt idx="3">
                  <c:v>2.258305676190476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7866480"/>
        <c:axId val="-1841757840"/>
      </c:barChart>
      <c:catAx>
        <c:axId val="-18378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757840"/>
        <c:crosses val="autoZero"/>
        <c:auto val="1"/>
        <c:lblAlgn val="ctr"/>
        <c:lblOffset val="100"/>
        <c:noMultiLvlLbl val="0"/>
      </c:catAx>
      <c:valAx>
        <c:axId val="-18417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CH4</a:t>
                </a:r>
                <a:r>
                  <a:rPr lang="en-US" sz="1600" baseline="0"/>
                  <a:t> Flux (g CH4 m-2 yr-1)</a:t>
                </a:r>
              </a:p>
            </c:rich>
          </c:tx>
          <c:layout>
            <c:manualLayout>
              <c:xMode val="edge"/>
              <c:yMode val="edge"/>
              <c:x val="0.01171875"/>
              <c:y val="0.336870511378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8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0</xdr:row>
      <xdr:rowOff>0</xdr:rowOff>
    </xdr:from>
    <xdr:to>
      <xdr:col>9</xdr:col>
      <xdr:colOff>381000</xdr:colOff>
      <xdr:row>35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0</xdr:row>
      <xdr:rowOff>152401</xdr:rowOff>
    </xdr:from>
    <xdr:to>
      <xdr:col>9</xdr:col>
      <xdr:colOff>190500</xdr:colOff>
      <xdr:row>31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0</xdr:row>
      <xdr:rowOff>177800</xdr:rowOff>
    </xdr:from>
    <xdr:to>
      <xdr:col>21</xdr:col>
      <xdr:colOff>88900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G10" sqref="G10"/>
    </sheetView>
  </sheetViews>
  <sheetFormatPr baseColWidth="10" defaultRowHeight="16" x14ac:dyDescent="0.2"/>
  <cols>
    <col min="1" max="1" width="34.33203125" style="50" bestFit="1" customWidth="1"/>
    <col min="2" max="2" width="14" style="50" bestFit="1" customWidth="1"/>
    <col min="3" max="3" width="17.33203125" style="50" bestFit="1" customWidth="1"/>
    <col min="4" max="4" width="11.1640625" style="50" bestFit="1" customWidth="1"/>
    <col min="5" max="5" width="16.6640625" style="50" bestFit="1" customWidth="1"/>
    <col min="6" max="6" width="7.6640625" style="50" bestFit="1" customWidth="1"/>
    <col min="7" max="7" width="11.33203125" style="50" bestFit="1" customWidth="1"/>
    <col min="8" max="8" width="21.6640625" style="50" bestFit="1" customWidth="1"/>
    <col min="9" max="9" width="27.33203125" style="50" bestFit="1" customWidth="1"/>
    <col min="10" max="16384" width="10.83203125" style="50"/>
  </cols>
  <sheetData>
    <row r="1" spans="1:9" s="45" customFormat="1" x14ac:dyDescent="0.2">
      <c r="A1" s="45" t="s">
        <v>0</v>
      </c>
      <c r="B1" s="45" t="s">
        <v>211</v>
      </c>
      <c r="C1" s="45" t="s">
        <v>212</v>
      </c>
      <c r="D1" s="45" t="s">
        <v>61</v>
      </c>
      <c r="E1" s="45" t="s">
        <v>45</v>
      </c>
      <c r="F1" s="45" t="s">
        <v>46</v>
      </c>
      <c r="G1" s="45" t="s">
        <v>14</v>
      </c>
      <c r="H1" s="45" t="s">
        <v>243</v>
      </c>
      <c r="I1" s="45" t="s">
        <v>2</v>
      </c>
    </row>
    <row r="2" spans="1:9" s="19" customFormat="1" x14ac:dyDescent="0.2">
      <c r="A2" s="29" t="s">
        <v>134</v>
      </c>
      <c r="B2" s="19" t="s">
        <v>18</v>
      </c>
      <c r="C2" s="19" t="s">
        <v>222</v>
      </c>
      <c r="D2" s="19" t="s">
        <v>78</v>
      </c>
      <c r="E2" s="19">
        <v>1993</v>
      </c>
      <c r="F2" s="19" t="s">
        <v>213</v>
      </c>
      <c r="G2" s="30">
        <v>23.5</v>
      </c>
      <c r="H2" s="29">
        <v>1.3</v>
      </c>
      <c r="I2" s="29" t="s">
        <v>140</v>
      </c>
    </row>
    <row r="3" spans="1:9" s="19" customFormat="1" x14ac:dyDescent="0.2">
      <c r="A3" s="29" t="s">
        <v>107</v>
      </c>
      <c r="B3" s="19" t="s">
        <v>18</v>
      </c>
      <c r="C3" s="19" t="s">
        <v>222</v>
      </c>
      <c r="D3" s="19" t="s">
        <v>70</v>
      </c>
      <c r="E3" s="19">
        <v>1993</v>
      </c>
      <c r="F3" s="19" t="s">
        <v>213</v>
      </c>
      <c r="G3" s="30">
        <v>31.6</v>
      </c>
      <c r="H3" s="29">
        <v>0.2</v>
      </c>
      <c r="I3" s="29" t="s">
        <v>140</v>
      </c>
    </row>
    <row r="4" spans="1:9" s="19" customFormat="1" x14ac:dyDescent="0.2">
      <c r="A4" s="29" t="s">
        <v>135</v>
      </c>
      <c r="B4" s="19" t="s">
        <v>18</v>
      </c>
      <c r="C4" s="19" t="s">
        <v>222</v>
      </c>
      <c r="D4" s="19" t="s">
        <v>70</v>
      </c>
      <c r="E4" s="19">
        <v>1993</v>
      </c>
      <c r="F4" s="19" t="s">
        <v>213</v>
      </c>
      <c r="G4" s="30">
        <v>33.700000000000003</v>
      </c>
      <c r="H4" s="29">
        <v>0.2</v>
      </c>
      <c r="I4" s="29" t="s">
        <v>140</v>
      </c>
    </row>
    <row r="5" spans="1:9" s="19" customFormat="1" x14ac:dyDescent="0.2">
      <c r="A5" s="29" t="s">
        <v>136</v>
      </c>
      <c r="B5" s="19" t="s">
        <v>18</v>
      </c>
      <c r="C5" s="19" t="s">
        <v>222</v>
      </c>
      <c r="D5" s="19" t="s">
        <v>70</v>
      </c>
      <c r="E5" s="19">
        <v>1993</v>
      </c>
      <c r="F5" s="19" t="s">
        <v>213</v>
      </c>
      <c r="G5" s="30">
        <v>35.1</v>
      </c>
      <c r="H5" s="29">
        <v>0.2</v>
      </c>
      <c r="I5" s="29" t="s">
        <v>140</v>
      </c>
    </row>
    <row r="6" spans="1:9" s="21" customFormat="1" x14ac:dyDescent="0.2">
      <c r="A6" s="31" t="s">
        <v>229</v>
      </c>
      <c r="B6" s="31" t="s">
        <v>18</v>
      </c>
      <c r="C6" s="31" t="s">
        <v>222</v>
      </c>
      <c r="D6" s="31" t="s">
        <v>78</v>
      </c>
      <c r="E6" s="31" t="s">
        <v>17</v>
      </c>
      <c r="F6" s="31" t="s">
        <v>213</v>
      </c>
      <c r="G6" s="49">
        <v>23.7</v>
      </c>
      <c r="H6" s="38">
        <f>1.29*16/(10^6)*24*365</f>
        <v>0.18080640000000001</v>
      </c>
      <c r="I6" s="21" t="s">
        <v>23</v>
      </c>
    </row>
    <row r="7" spans="1:9" s="21" customFormat="1" x14ac:dyDescent="0.2">
      <c r="A7" s="31" t="s">
        <v>230</v>
      </c>
      <c r="B7" s="31" t="s">
        <v>18</v>
      </c>
      <c r="C7" s="31" t="s">
        <v>228</v>
      </c>
      <c r="D7" s="31" t="s">
        <v>82</v>
      </c>
      <c r="E7" s="31" t="s">
        <v>17</v>
      </c>
      <c r="F7" s="31" t="s">
        <v>213</v>
      </c>
      <c r="G7" s="49">
        <v>13.7</v>
      </c>
      <c r="H7" s="38">
        <f>0.23*16/(10^6)*24*365</f>
        <v>3.2236800000000003E-2</v>
      </c>
      <c r="I7" s="21" t="s">
        <v>23</v>
      </c>
    </row>
    <row r="8" spans="1:9" s="10" customFormat="1" x14ac:dyDescent="0.2">
      <c r="A8" s="19" t="s">
        <v>106</v>
      </c>
      <c r="B8" s="11" t="s">
        <v>105</v>
      </c>
      <c r="C8" s="11" t="s">
        <v>216</v>
      </c>
      <c r="D8" s="19" t="s">
        <v>78</v>
      </c>
      <c r="E8" s="11" t="s">
        <v>109</v>
      </c>
      <c r="F8" s="11" t="s">
        <v>213</v>
      </c>
      <c r="G8" s="29">
        <v>18.7</v>
      </c>
      <c r="H8" s="11">
        <v>1.2</v>
      </c>
      <c r="I8" s="10" t="s">
        <v>111</v>
      </c>
    </row>
    <row r="9" spans="1:9" s="10" customFormat="1" x14ac:dyDescent="0.2">
      <c r="A9" s="29" t="s">
        <v>107</v>
      </c>
      <c r="B9" s="11" t="s">
        <v>105</v>
      </c>
      <c r="C9" s="11" t="s">
        <v>216</v>
      </c>
      <c r="D9" s="19" t="s">
        <v>78</v>
      </c>
      <c r="E9" s="11" t="s">
        <v>109</v>
      </c>
      <c r="F9" s="11" t="s">
        <v>213</v>
      </c>
      <c r="G9" s="29">
        <v>22.6</v>
      </c>
      <c r="H9" s="11">
        <v>0.4</v>
      </c>
      <c r="I9" s="10" t="s">
        <v>111</v>
      </c>
    </row>
    <row r="10" spans="1:9" s="10" customFormat="1" x14ac:dyDescent="0.2">
      <c r="A10" s="29" t="s">
        <v>115</v>
      </c>
      <c r="B10" s="11" t="s">
        <v>105</v>
      </c>
      <c r="C10" s="11" t="s">
        <v>216</v>
      </c>
      <c r="D10" s="19" t="s">
        <v>78</v>
      </c>
      <c r="E10" s="11" t="s">
        <v>110</v>
      </c>
      <c r="F10" s="11" t="s">
        <v>213</v>
      </c>
      <c r="G10" s="29">
        <v>26.3</v>
      </c>
      <c r="H10" s="11">
        <v>1.3</v>
      </c>
      <c r="I10" s="10" t="s">
        <v>111</v>
      </c>
    </row>
    <row r="11" spans="1:9" s="7" customFormat="1" x14ac:dyDescent="0.2">
      <c r="A11" s="33" t="s">
        <v>116</v>
      </c>
      <c r="B11" s="9" t="s">
        <v>105</v>
      </c>
      <c r="C11" s="9" t="s">
        <v>216</v>
      </c>
      <c r="D11" s="31" t="s">
        <v>82</v>
      </c>
      <c r="E11" s="9" t="s">
        <v>122</v>
      </c>
      <c r="F11" s="9" t="s">
        <v>213</v>
      </c>
      <c r="G11" s="32">
        <v>5.0999999999999996</v>
      </c>
      <c r="H11" s="33">
        <v>18.2</v>
      </c>
      <c r="I11" s="7" t="s">
        <v>123</v>
      </c>
    </row>
    <row r="12" spans="1:9" s="7" customFormat="1" x14ac:dyDescent="0.2">
      <c r="A12" s="33" t="s">
        <v>117</v>
      </c>
      <c r="B12" s="9" t="s">
        <v>105</v>
      </c>
      <c r="C12" s="9" t="s">
        <v>216</v>
      </c>
      <c r="D12" s="31" t="s">
        <v>82</v>
      </c>
      <c r="E12" s="9" t="s">
        <v>122</v>
      </c>
      <c r="F12" s="9" t="s">
        <v>213</v>
      </c>
      <c r="G12" s="32">
        <v>12.8</v>
      </c>
      <c r="H12" s="33">
        <v>22.4</v>
      </c>
      <c r="I12" s="7" t="s">
        <v>123</v>
      </c>
    </row>
    <row r="13" spans="1:9" s="7" customFormat="1" x14ac:dyDescent="0.2">
      <c r="A13" s="33" t="s">
        <v>118</v>
      </c>
      <c r="B13" s="9" t="s">
        <v>105</v>
      </c>
      <c r="C13" s="9" t="s">
        <v>216</v>
      </c>
      <c r="D13" s="31" t="s">
        <v>82</v>
      </c>
      <c r="E13" s="9" t="s">
        <v>122</v>
      </c>
      <c r="F13" s="9" t="s">
        <v>213</v>
      </c>
      <c r="G13" s="32">
        <v>16.600000000000001</v>
      </c>
      <c r="H13" s="9">
        <v>5.6</v>
      </c>
      <c r="I13" s="7" t="s">
        <v>123</v>
      </c>
    </row>
    <row r="14" spans="1:9" s="10" customFormat="1" x14ac:dyDescent="0.2">
      <c r="A14" s="29" t="s">
        <v>141</v>
      </c>
      <c r="B14" s="11" t="s">
        <v>105</v>
      </c>
      <c r="C14" s="11" t="s">
        <v>216</v>
      </c>
      <c r="D14" s="19" t="s">
        <v>90</v>
      </c>
      <c r="E14" s="11" t="s">
        <v>144</v>
      </c>
      <c r="F14" s="11" t="s">
        <v>213</v>
      </c>
      <c r="G14" s="29">
        <v>0.25</v>
      </c>
      <c r="H14" s="11">
        <v>96</v>
      </c>
      <c r="I14" s="10" t="s">
        <v>142</v>
      </c>
    </row>
    <row r="15" spans="1:9" s="7" customFormat="1" x14ac:dyDescent="0.2">
      <c r="A15" s="33" t="s">
        <v>155</v>
      </c>
      <c r="B15" s="9" t="s">
        <v>38</v>
      </c>
      <c r="C15" s="9" t="s">
        <v>216</v>
      </c>
      <c r="D15" s="31" t="s">
        <v>82</v>
      </c>
      <c r="E15" s="9" t="s">
        <v>153</v>
      </c>
      <c r="F15" s="9" t="s">
        <v>213</v>
      </c>
      <c r="G15" s="33">
        <v>6.8</v>
      </c>
      <c r="H15" s="33">
        <v>4.7</v>
      </c>
      <c r="I15" s="7" t="s">
        <v>154</v>
      </c>
    </row>
    <row r="16" spans="1:9" s="7" customFormat="1" x14ac:dyDescent="0.2">
      <c r="A16" s="33" t="s">
        <v>156</v>
      </c>
      <c r="B16" s="9" t="s">
        <v>38</v>
      </c>
      <c r="C16" s="9" t="s">
        <v>216</v>
      </c>
      <c r="D16" s="31" t="s">
        <v>82</v>
      </c>
      <c r="E16" s="9" t="s">
        <v>153</v>
      </c>
      <c r="F16" s="9" t="s">
        <v>213</v>
      </c>
      <c r="G16" s="33">
        <v>6.8</v>
      </c>
      <c r="H16" s="33">
        <v>3.3</v>
      </c>
      <c r="I16" s="7" t="s">
        <v>154</v>
      </c>
    </row>
    <row r="17" spans="1:9" s="10" customFormat="1" x14ac:dyDescent="0.2">
      <c r="A17" s="11" t="s">
        <v>26</v>
      </c>
      <c r="B17" s="11" t="s">
        <v>27</v>
      </c>
      <c r="C17" s="11" t="s">
        <v>216</v>
      </c>
      <c r="D17" s="19" t="s">
        <v>90</v>
      </c>
      <c r="E17" s="11">
        <v>2007</v>
      </c>
      <c r="F17" s="11" t="s">
        <v>213</v>
      </c>
      <c r="G17" s="11">
        <v>0.25</v>
      </c>
      <c r="H17" s="15">
        <f>20*(16/12)</f>
        <v>26.666666666666664</v>
      </c>
      <c r="I17" s="10" t="s">
        <v>35</v>
      </c>
    </row>
    <row r="18" spans="1:9" s="10" customFormat="1" x14ac:dyDescent="0.2">
      <c r="A18" s="11"/>
      <c r="B18" s="11" t="s">
        <v>27</v>
      </c>
      <c r="C18" s="11" t="s">
        <v>216</v>
      </c>
      <c r="D18" s="19" t="s">
        <v>90</v>
      </c>
      <c r="E18" s="11">
        <v>2008</v>
      </c>
      <c r="F18" s="11" t="s">
        <v>213</v>
      </c>
      <c r="G18" s="11">
        <v>0.25</v>
      </c>
      <c r="H18" s="15">
        <f>24*(16/12)</f>
        <v>32</v>
      </c>
      <c r="I18" s="10" t="s">
        <v>35</v>
      </c>
    </row>
    <row r="19" spans="1:9" s="10" customFormat="1" x14ac:dyDescent="0.2">
      <c r="A19" s="11" t="s">
        <v>56</v>
      </c>
      <c r="B19" s="11" t="s">
        <v>27</v>
      </c>
      <c r="C19" s="11" t="s">
        <v>216</v>
      </c>
      <c r="D19" s="19" t="s">
        <v>86</v>
      </c>
      <c r="E19" s="11">
        <v>2007</v>
      </c>
      <c r="F19" s="11" t="s">
        <v>213</v>
      </c>
      <c r="G19" s="11">
        <v>2.5</v>
      </c>
      <c r="H19" s="15">
        <f>123*(16/12)</f>
        <v>164</v>
      </c>
      <c r="I19" s="10" t="s">
        <v>35</v>
      </c>
    </row>
    <row r="20" spans="1:9" s="10" customFormat="1" x14ac:dyDescent="0.2">
      <c r="A20" s="11"/>
      <c r="B20" s="11" t="s">
        <v>27</v>
      </c>
      <c r="C20" s="11" t="s">
        <v>216</v>
      </c>
      <c r="D20" s="19" t="s">
        <v>86</v>
      </c>
      <c r="E20" s="11">
        <v>2008</v>
      </c>
      <c r="F20" s="11" t="s">
        <v>213</v>
      </c>
      <c r="G20" s="11">
        <v>2.5</v>
      </c>
      <c r="H20" s="15">
        <f>87*(16/12)</f>
        <v>116</v>
      </c>
      <c r="I20" s="10" t="s">
        <v>35</v>
      </c>
    </row>
    <row r="21" spans="1:9" s="10" customFormat="1" x14ac:dyDescent="0.2">
      <c r="A21" s="11" t="s">
        <v>57</v>
      </c>
      <c r="B21" s="11" t="s">
        <v>27</v>
      </c>
      <c r="C21" s="11" t="s">
        <v>216</v>
      </c>
      <c r="D21" s="19" t="s">
        <v>82</v>
      </c>
      <c r="E21" s="11">
        <v>2007</v>
      </c>
      <c r="F21" s="11" t="s">
        <v>213</v>
      </c>
      <c r="G21" s="11">
        <v>10</v>
      </c>
      <c r="H21" s="15">
        <f>-5*(16/12)</f>
        <v>-6.6666666666666661</v>
      </c>
      <c r="I21" s="10" t="s">
        <v>35</v>
      </c>
    </row>
    <row r="22" spans="1:9" s="10" customFormat="1" x14ac:dyDescent="0.2">
      <c r="A22" s="11"/>
      <c r="B22" s="11" t="s">
        <v>27</v>
      </c>
      <c r="C22" s="11" t="s">
        <v>216</v>
      </c>
      <c r="D22" s="19" t="s">
        <v>82</v>
      </c>
      <c r="E22" s="11">
        <v>2008</v>
      </c>
      <c r="F22" s="11" t="s">
        <v>213</v>
      </c>
      <c r="G22" s="11">
        <v>10</v>
      </c>
      <c r="H22" s="15">
        <f>-2*(16/12)</f>
        <v>-2.6666666666666665</v>
      </c>
      <c r="I22" s="10" t="s">
        <v>35</v>
      </c>
    </row>
    <row r="23" spans="1:9" s="7" customFormat="1" x14ac:dyDescent="0.2">
      <c r="A23" s="33" t="s">
        <v>157</v>
      </c>
      <c r="B23" s="33" t="s">
        <v>159</v>
      </c>
      <c r="C23" s="33" t="s">
        <v>216</v>
      </c>
      <c r="D23" s="31" t="s">
        <v>82</v>
      </c>
      <c r="E23" s="9">
        <v>2008</v>
      </c>
      <c r="F23" s="9" t="s">
        <v>213</v>
      </c>
      <c r="G23" s="33">
        <v>11.6</v>
      </c>
      <c r="H23" s="33">
        <v>30.6</v>
      </c>
      <c r="I23" s="34" t="s">
        <v>161</v>
      </c>
    </row>
    <row r="24" spans="1:9" s="7" customFormat="1" x14ac:dyDescent="0.2">
      <c r="A24" s="33" t="s">
        <v>158</v>
      </c>
      <c r="B24" s="33" t="s">
        <v>159</v>
      </c>
      <c r="C24" s="33" t="s">
        <v>216</v>
      </c>
      <c r="D24" s="31" t="s">
        <v>82</v>
      </c>
      <c r="E24" s="9">
        <v>2008</v>
      </c>
      <c r="F24" s="9" t="s">
        <v>213</v>
      </c>
      <c r="G24" s="33">
        <v>12.9</v>
      </c>
      <c r="H24" s="33">
        <v>32</v>
      </c>
      <c r="I24" s="34" t="s">
        <v>161</v>
      </c>
    </row>
    <row r="25" spans="1:9" s="10" customFormat="1" ht="32" x14ac:dyDescent="0.2">
      <c r="A25" s="11" t="s">
        <v>51</v>
      </c>
      <c r="B25" s="11" t="s">
        <v>10</v>
      </c>
      <c r="C25" s="11" t="s">
        <v>216</v>
      </c>
      <c r="D25" s="19" t="s">
        <v>82</v>
      </c>
      <c r="E25" s="11">
        <v>2012</v>
      </c>
      <c r="F25" s="11" t="s">
        <v>213</v>
      </c>
      <c r="G25" s="18">
        <v>5</v>
      </c>
      <c r="H25" s="15">
        <f>0.36*16</f>
        <v>5.76</v>
      </c>
      <c r="I25" s="10" t="s">
        <v>12</v>
      </c>
    </row>
    <row r="26" spans="1:9" s="10" customFormat="1" x14ac:dyDescent="0.2">
      <c r="A26" s="11" t="s">
        <v>52</v>
      </c>
      <c r="B26" s="11" t="s">
        <v>10</v>
      </c>
      <c r="C26" s="11" t="s">
        <v>216</v>
      </c>
      <c r="D26" s="19" t="s">
        <v>82</v>
      </c>
      <c r="E26" s="11">
        <v>2012</v>
      </c>
      <c r="F26" s="11" t="s">
        <v>213</v>
      </c>
      <c r="G26" s="18">
        <v>5</v>
      </c>
      <c r="H26" s="15">
        <f>0.32*16</f>
        <v>5.12</v>
      </c>
      <c r="I26" s="10" t="s">
        <v>12</v>
      </c>
    </row>
    <row r="27" spans="1:9" s="7" customFormat="1" x14ac:dyDescent="0.2">
      <c r="A27" s="9" t="s">
        <v>36</v>
      </c>
      <c r="B27" s="9" t="s">
        <v>38</v>
      </c>
      <c r="C27" s="9" t="s">
        <v>216</v>
      </c>
      <c r="D27" s="31" t="s">
        <v>82</v>
      </c>
      <c r="E27" s="9" t="s">
        <v>39</v>
      </c>
      <c r="F27" s="9" t="s">
        <v>213</v>
      </c>
      <c r="G27" s="17">
        <v>10</v>
      </c>
      <c r="H27" s="14">
        <v>105.5</v>
      </c>
      <c r="I27" s="7" t="s">
        <v>40</v>
      </c>
    </row>
    <row r="28" spans="1:9" s="7" customFormat="1" x14ac:dyDescent="0.2">
      <c r="A28" s="9"/>
      <c r="B28" s="9" t="s">
        <v>38</v>
      </c>
      <c r="C28" s="9" t="s">
        <v>216</v>
      </c>
      <c r="D28" s="31" t="s">
        <v>82</v>
      </c>
      <c r="E28" s="9" t="s">
        <v>39</v>
      </c>
      <c r="F28" s="9" t="s">
        <v>213</v>
      </c>
      <c r="G28" s="17">
        <v>10</v>
      </c>
      <c r="H28" s="14">
        <v>5.2</v>
      </c>
      <c r="I28" s="7" t="s">
        <v>40</v>
      </c>
    </row>
    <row r="29" spans="1:9" s="7" customFormat="1" ht="16" customHeight="1" x14ac:dyDescent="0.2">
      <c r="A29" s="9"/>
      <c r="B29" s="9" t="s">
        <v>38</v>
      </c>
      <c r="C29" s="9" t="s">
        <v>216</v>
      </c>
      <c r="D29" s="31" t="s">
        <v>82</v>
      </c>
      <c r="E29" s="9" t="s">
        <v>39</v>
      </c>
      <c r="F29" s="9" t="s">
        <v>213</v>
      </c>
      <c r="G29" s="17">
        <v>10</v>
      </c>
      <c r="H29" s="14">
        <v>1</v>
      </c>
      <c r="I29" s="7" t="s">
        <v>40</v>
      </c>
    </row>
    <row r="30" spans="1:9" s="7" customFormat="1" x14ac:dyDescent="0.2">
      <c r="A30" s="9" t="s">
        <v>37</v>
      </c>
      <c r="B30" s="9" t="s">
        <v>38</v>
      </c>
      <c r="C30" s="9" t="s">
        <v>216</v>
      </c>
      <c r="D30" s="31" t="s">
        <v>82</v>
      </c>
      <c r="E30" s="9" t="s">
        <v>39</v>
      </c>
      <c r="F30" s="9" t="s">
        <v>213</v>
      </c>
      <c r="G30" s="17">
        <v>10</v>
      </c>
      <c r="H30" s="14">
        <v>13.5</v>
      </c>
      <c r="I30" s="7" t="s">
        <v>40</v>
      </c>
    </row>
    <row r="31" spans="1:9" s="7" customFormat="1" x14ac:dyDescent="0.2">
      <c r="A31" s="9"/>
      <c r="B31" s="9" t="s">
        <v>38</v>
      </c>
      <c r="C31" s="9" t="s">
        <v>216</v>
      </c>
      <c r="D31" s="31" t="s">
        <v>82</v>
      </c>
      <c r="E31" s="9" t="s">
        <v>39</v>
      </c>
      <c r="F31" s="9" t="s">
        <v>213</v>
      </c>
      <c r="G31" s="17">
        <v>10</v>
      </c>
      <c r="H31" s="14">
        <v>4.5</v>
      </c>
      <c r="I31" s="7" t="s">
        <v>40</v>
      </c>
    </row>
    <row r="32" spans="1:9" s="7" customFormat="1" x14ac:dyDescent="0.2">
      <c r="A32" s="9"/>
      <c r="B32" s="9" t="s">
        <v>38</v>
      </c>
      <c r="C32" s="9" t="s">
        <v>216</v>
      </c>
      <c r="D32" s="31" t="s">
        <v>82</v>
      </c>
      <c r="E32" s="9" t="s">
        <v>39</v>
      </c>
      <c r="F32" s="9" t="s">
        <v>213</v>
      </c>
      <c r="G32" s="17">
        <v>10</v>
      </c>
      <c r="H32" s="14">
        <v>3.1</v>
      </c>
      <c r="I32" s="7" t="s">
        <v>40</v>
      </c>
    </row>
    <row r="33" spans="1:9" s="10" customFormat="1" x14ac:dyDescent="0.2">
      <c r="A33" s="29" t="s">
        <v>125</v>
      </c>
      <c r="B33" s="19" t="s">
        <v>131</v>
      </c>
      <c r="C33" s="19" t="s">
        <v>221</v>
      </c>
      <c r="D33" s="19" t="s">
        <v>90</v>
      </c>
      <c r="E33" s="11" t="s">
        <v>132</v>
      </c>
      <c r="F33" s="11" t="s">
        <v>213</v>
      </c>
      <c r="G33" s="29">
        <v>0.25</v>
      </c>
      <c r="H33" s="29">
        <v>8.1999999999999993</v>
      </c>
      <c r="I33" s="36" t="s">
        <v>133</v>
      </c>
    </row>
    <row r="34" spans="1:9" s="10" customFormat="1" x14ac:dyDescent="0.2">
      <c r="A34" s="29" t="s">
        <v>126</v>
      </c>
      <c r="B34" s="19" t="s">
        <v>131</v>
      </c>
      <c r="C34" s="19" t="s">
        <v>221</v>
      </c>
      <c r="D34" s="19" t="s">
        <v>90</v>
      </c>
      <c r="E34" s="11" t="s">
        <v>132</v>
      </c>
      <c r="F34" s="11" t="s">
        <v>213</v>
      </c>
      <c r="G34" s="29">
        <v>0.25</v>
      </c>
      <c r="H34" s="29">
        <v>5.7</v>
      </c>
      <c r="I34" s="36" t="s">
        <v>133</v>
      </c>
    </row>
    <row r="35" spans="1:9" s="10" customFormat="1" x14ac:dyDescent="0.2">
      <c r="A35" s="29" t="s">
        <v>127</v>
      </c>
      <c r="B35" s="19" t="s">
        <v>131</v>
      </c>
      <c r="C35" s="19" t="s">
        <v>221</v>
      </c>
      <c r="D35" s="19" t="s">
        <v>90</v>
      </c>
      <c r="E35" s="11" t="s">
        <v>132</v>
      </c>
      <c r="F35" s="11" t="s">
        <v>213</v>
      </c>
      <c r="G35" s="29">
        <v>0.25</v>
      </c>
      <c r="H35" s="29">
        <v>5.0999999999999996</v>
      </c>
      <c r="I35" s="36" t="s">
        <v>133</v>
      </c>
    </row>
    <row r="36" spans="1:9" s="10" customFormat="1" x14ac:dyDescent="0.2">
      <c r="A36" s="29" t="s">
        <v>128</v>
      </c>
      <c r="B36" s="19" t="s">
        <v>131</v>
      </c>
      <c r="C36" s="19" t="s">
        <v>221</v>
      </c>
      <c r="D36" s="19" t="s">
        <v>90</v>
      </c>
      <c r="E36" s="11" t="s">
        <v>132</v>
      </c>
      <c r="F36" s="11" t="s">
        <v>213</v>
      </c>
      <c r="G36" s="29">
        <v>0.25</v>
      </c>
      <c r="H36" s="29">
        <v>3.5</v>
      </c>
      <c r="I36" s="36" t="s">
        <v>133</v>
      </c>
    </row>
    <row r="37" spans="1:9" s="7" customFormat="1" ht="16" customHeight="1" x14ac:dyDescent="0.2">
      <c r="A37" s="33" t="s">
        <v>145</v>
      </c>
      <c r="B37" s="9" t="s">
        <v>131</v>
      </c>
      <c r="C37" s="9" t="s">
        <v>221</v>
      </c>
      <c r="D37" s="31" t="s">
        <v>90</v>
      </c>
      <c r="E37" s="9" t="s">
        <v>150</v>
      </c>
      <c r="F37" s="9" t="s">
        <v>213</v>
      </c>
      <c r="G37" s="33">
        <v>0.25</v>
      </c>
      <c r="H37" s="33">
        <v>1.3</v>
      </c>
      <c r="I37" s="34" t="s">
        <v>149</v>
      </c>
    </row>
    <row r="38" spans="1:9" s="7" customFormat="1" x14ac:dyDescent="0.2">
      <c r="A38" s="33" t="s">
        <v>146</v>
      </c>
      <c r="B38" s="9" t="s">
        <v>131</v>
      </c>
      <c r="C38" s="9" t="s">
        <v>221</v>
      </c>
      <c r="D38" s="31" t="s">
        <v>90</v>
      </c>
      <c r="E38" s="9" t="s">
        <v>150</v>
      </c>
      <c r="F38" s="9" t="s">
        <v>213</v>
      </c>
      <c r="G38" s="33">
        <v>0.25</v>
      </c>
      <c r="H38" s="33">
        <v>1.8</v>
      </c>
      <c r="I38" s="34" t="s">
        <v>149</v>
      </c>
    </row>
    <row r="39" spans="1:9" s="10" customFormat="1" x14ac:dyDescent="0.2">
      <c r="A39" s="29" t="s">
        <v>235</v>
      </c>
      <c r="B39" s="11" t="s">
        <v>171</v>
      </c>
      <c r="C39" s="11" t="s">
        <v>221</v>
      </c>
      <c r="D39" s="12" t="s">
        <v>90</v>
      </c>
      <c r="E39" s="11" t="s">
        <v>239</v>
      </c>
      <c r="F39" s="11" t="s">
        <v>213</v>
      </c>
      <c r="G39" s="30">
        <v>0.2</v>
      </c>
      <c r="H39" s="29">
        <v>1.1000000000000001</v>
      </c>
      <c r="I39" s="10" t="s">
        <v>242</v>
      </c>
    </row>
    <row r="40" spans="1:9" s="10" customFormat="1" x14ac:dyDescent="0.2">
      <c r="A40" s="29" t="s">
        <v>236</v>
      </c>
      <c r="B40" s="11" t="s">
        <v>171</v>
      </c>
      <c r="C40" s="11" t="s">
        <v>221</v>
      </c>
      <c r="D40" s="19" t="s">
        <v>86</v>
      </c>
      <c r="E40" s="11" t="s">
        <v>239</v>
      </c>
      <c r="F40" s="11" t="s">
        <v>213</v>
      </c>
      <c r="G40" s="30">
        <v>1.3</v>
      </c>
      <c r="H40" s="29">
        <v>1.32</v>
      </c>
      <c r="I40" s="10" t="s">
        <v>242</v>
      </c>
    </row>
    <row r="41" spans="1:9" s="10" customFormat="1" x14ac:dyDescent="0.2">
      <c r="A41" s="29" t="s">
        <v>237</v>
      </c>
      <c r="B41" s="11" t="s">
        <v>171</v>
      </c>
      <c r="C41" s="11" t="s">
        <v>221</v>
      </c>
      <c r="D41" s="19" t="s">
        <v>86</v>
      </c>
      <c r="E41" s="11" t="s">
        <v>239</v>
      </c>
      <c r="F41" s="11" t="s">
        <v>213</v>
      </c>
      <c r="G41" s="30">
        <v>4.7</v>
      </c>
      <c r="H41" s="29">
        <v>1.36</v>
      </c>
      <c r="I41" s="10" t="s">
        <v>242</v>
      </c>
    </row>
    <row r="42" spans="1:9" s="7" customFormat="1" x14ac:dyDescent="0.2">
      <c r="A42" s="21" t="s">
        <v>173</v>
      </c>
      <c r="B42" s="33" t="s">
        <v>171</v>
      </c>
      <c r="C42" s="33" t="s">
        <v>221</v>
      </c>
      <c r="D42" s="31" t="s">
        <v>90</v>
      </c>
      <c r="E42" s="9" t="s">
        <v>169</v>
      </c>
      <c r="F42" s="9" t="s">
        <v>213</v>
      </c>
      <c r="G42" s="33">
        <v>1</v>
      </c>
      <c r="H42" s="33">
        <v>93</v>
      </c>
      <c r="I42" s="21" t="s">
        <v>172</v>
      </c>
    </row>
    <row r="43" spans="1:9" s="10" customFormat="1" x14ac:dyDescent="0.2">
      <c r="A43" s="20" t="s">
        <v>227</v>
      </c>
      <c r="B43" s="20" t="s">
        <v>42</v>
      </c>
      <c r="C43" s="20" t="s">
        <v>221</v>
      </c>
      <c r="D43" s="29" t="s">
        <v>90</v>
      </c>
      <c r="E43" s="11">
        <v>2009</v>
      </c>
      <c r="F43" s="11" t="s">
        <v>213</v>
      </c>
      <c r="G43" s="18">
        <v>0.05</v>
      </c>
      <c r="H43" s="15">
        <f>42*(16/12)</f>
        <v>56</v>
      </c>
      <c r="I43" s="10" t="s">
        <v>94</v>
      </c>
    </row>
    <row r="44" spans="1:9" s="7" customFormat="1" x14ac:dyDescent="0.2">
      <c r="A44" s="33" t="s">
        <v>3</v>
      </c>
      <c r="B44" s="9" t="s">
        <v>6</v>
      </c>
      <c r="C44" s="9" t="s">
        <v>233</v>
      </c>
      <c r="D44" s="31" t="s">
        <v>90</v>
      </c>
      <c r="E44" s="9" t="s">
        <v>98</v>
      </c>
      <c r="F44" s="9" t="s">
        <v>213</v>
      </c>
      <c r="G44" s="9">
        <v>0.4</v>
      </c>
      <c r="H44" s="14">
        <f>160*(16/12)</f>
        <v>213.33333333333331</v>
      </c>
      <c r="I44" s="7" t="s">
        <v>99</v>
      </c>
    </row>
    <row r="45" spans="1:9" s="7" customFormat="1" ht="16" customHeight="1" x14ac:dyDescent="0.2">
      <c r="A45" s="33" t="s">
        <v>4</v>
      </c>
      <c r="B45" s="9" t="s">
        <v>6</v>
      </c>
      <c r="C45" s="9" t="s">
        <v>233</v>
      </c>
      <c r="D45" s="31" t="s">
        <v>86</v>
      </c>
      <c r="E45" s="9" t="s">
        <v>98</v>
      </c>
      <c r="F45" s="9" t="s">
        <v>213</v>
      </c>
      <c r="G45" s="9">
        <v>1.8</v>
      </c>
      <c r="H45" s="14">
        <f>73*(16/12)</f>
        <v>97.333333333333329</v>
      </c>
      <c r="I45" s="7" t="s">
        <v>99</v>
      </c>
    </row>
    <row r="46" spans="1:9" s="7" customFormat="1" x14ac:dyDescent="0.2">
      <c r="A46" s="31" t="s">
        <v>100</v>
      </c>
      <c r="B46" s="9" t="s">
        <v>6</v>
      </c>
      <c r="C46" s="9" t="s">
        <v>233</v>
      </c>
      <c r="D46" s="31" t="s">
        <v>78</v>
      </c>
      <c r="E46" s="9" t="s">
        <v>98</v>
      </c>
      <c r="F46" s="9" t="s">
        <v>213</v>
      </c>
      <c r="G46" s="9">
        <v>18.100000000000001</v>
      </c>
      <c r="H46" s="14">
        <f>4.3*(16/12)</f>
        <v>5.7333333333333325</v>
      </c>
      <c r="I46" s="7" t="s">
        <v>99</v>
      </c>
    </row>
    <row r="47" spans="1:9" s="10" customFormat="1" ht="16" customHeight="1" x14ac:dyDescent="0.2">
      <c r="A47" s="11" t="s">
        <v>43</v>
      </c>
      <c r="B47" s="11" t="s">
        <v>6</v>
      </c>
      <c r="C47" s="11" t="s">
        <v>233</v>
      </c>
      <c r="D47" s="19" t="s">
        <v>82</v>
      </c>
      <c r="E47" s="11">
        <v>2012</v>
      </c>
      <c r="F47" s="11" t="s">
        <v>7</v>
      </c>
      <c r="G47" s="11">
        <v>9.15</v>
      </c>
      <c r="H47" s="15">
        <v>13.8</v>
      </c>
      <c r="I47" s="10" t="s">
        <v>15</v>
      </c>
    </row>
    <row r="48" spans="1:9" s="10" customFormat="1" ht="16" customHeight="1" x14ac:dyDescent="0.2">
      <c r="A48" s="11" t="s">
        <v>48</v>
      </c>
      <c r="B48" s="11" t="s">
        <v>6</v>
      </c>
      <c r="C48" s="11" t="s">
        <v>233</v>
      </c>
      <c r="D48" s="19" t="s">
        <v>90</v>
      </c>
      <c r="E48" s="11">
        <v>2012</v>
      </c>
      <c r="F48" s="11" t="s">
        <v>7</v>
      </c>
      <c r="G48" s="11">
        <v>0.23</v>
      </c>
      <c r="H48" s="15">
        <v>63</v>
      </c>
      <c r="I48" s="10" t="s">
        <v>15</v>
      </c>
    </row>
    <row r="49" spans="1:9" s="10" customFormat="1" ht="16" customHeight="1" x14ac:dyDescent="0.2">
      <c r="A49" s="11"/>
      <c r="B49" s="11" t="s">
        <v>6</v>
      </c>
      <c r="C49" s="11" t="s">
        <v>233</v>
      </c>
      <c r="D49" s="19" t="s">
        <v>90</v>
      </c>
      <c r="E49" s="11">
        <v>2013</v>
      </c>
      <c r="F49" s="11" t="s">
        <v>7</v>
      </c>
      <c r="G49" s="11">
        <v>0.23</v>
      </c>
      <c r="H49" s="15">
        <v>61.6</v>
      </c>
      <c r="I49" s="10" t="s">
        <v>15</v>
      </c>
    </row>
    <row r="50" spans="1:9" s="7" customFormat="1" ht="16" customHeight="1" x14ac:dyDescent="0.2">
      <c r="A50" s="9" t="s">
        <v>43</v>
      </c>
      <c r="B50" s="9" t="s">
        <v>6</v>
      </c>
      <c r="C50" s="9" t="s">
        <v>233</v>
      </c>
      <c r="D50" s="31" t="s">
        <v>82</v>
      </c>
      <c r="E50" s="9" t="s">
        <v>25</v>
      </c>
      <c r="F50" s="9" t="s">
        <v>7</v>
      </c>
      <c r="G50" s="9">
        <v>9.15</v>
      </c>
      <c r="H50" s="14">
        <f>11.1*(16/12)</f>
        <v>14.799999999999999</v>
      </c>
      <c r="I50" s="7" t="s">
        <v>9</v>
      </c>
    </row>
    <row r="51" spans="1:9" s="7" customFormat="1" ht="16" customHeight="1" x14ac:dyDescent="0.2">
      <c r="A51" s="9"/>
      <c r="B51" s="9" t="s">
        <v>6</v>
      </c>
      <c r="C51" s="9" t="s">
        <v>233</v>
      </c>
      <c r="D51" s="31" t="s">
        <v>82</v>
      </c>
      <c r="E51" s="9" t="s">
        <v>25</v>
      </c>
      <c r="F51" s="9" t="s">
        <v>213</v>
      </c>
      <c r="G51" s="9">
        <v>9.15</v>
      </c>
      <c r="H51" s="14">
        <f>49.6*(16/12)</f>
        <v>66.133333333333326</v>
      </c>
      <c r="I51" s="7" t="s">
        <v>9</v>
      </c>
    </row>
    <row r="52" spans="1:9" s="7" customFormat="1" ht="16" customHeight="1" x14ac:dyDescent="0.2">
      <c r="A52" s="9" t="s">
        <v>48</v>
      </c>
      <c r="B52" s="9" t="s">
        <v>6</v>
      </c>
      <c r="C52" s="9" t="s">
        <v>233</v>
      </c>
      <c r="D52" s="31" t="s">
        <v>90</v>
      </c>
      <c r="E52" s="9" t="s">
        <v>25</v>
      </c>
      <c r="F52" s="9" t="s">
        <v>7</v>
      </c>
      <c r="G52" s="9">
        <v>0.23</v>
      </c>
      <c r="H52" s="14">
        <f>47.1*(16/12)</f>
        <v>62.8</v>
      </c>
      <c r="I52" s="7" t="s">
        <v>9</v>
      </c>
    </row>
    <row r="53" spans="1:9" s="7" customFormat="1" ht="16" customHeight="1" x14ac:dyDescent="0.2">
      <c r="A53" s="9"/>
      <c r="B53" s="9" t="s">
        <v>6</v>
      </c>
      <c r="C53" s="9" t="s">
        <v>233</v>
      </c>
      <c r="D53" s="31" t="s">
        <v>90</v>
      </c>
      <c r="E53" s="9" t="s">
        <v>25</v>
      </c>
      <c r="F53" s="9" t="s">
        <v>213</v>
      </c>
      <c r="G53" s="9">
        <v>0.23</v>
      </c>
      <c r="H53" s="14">
        <f>91.9*(16/12)</f>
        <v>122.53333333333333</v>
      </c>
      <c r="I53" s="7" t="s">
        <v>9</v>
      </c>
    </row>
    <row r="54" spans="1:9" s="10" customFormat="1" x14ac:dyDescent="0.2">
      <c r="A54" s="12" t="s">
        <v>175</v>
      </c>
      <c r="B54" s="10" t="s">
        <v>174</v>
      </c>
      <c r="C54" s="10" t="s">
        <v>233</v>
      </c>
      <c r="D54" s="12" t="s">
        <v>86</v>
      </c>
      <c r="E54" s="10" t="s">
        <v>25</v>
      </c>
      <c r="F54" s="11" t="s">
        <v>213</v>
      </c>
      <c r="G54" s="18">
        <v>2.2999999999999998</v>
      </c>
      <c r="H54" s="15">
        <f>28.8/1000*365</f>
        <v>10.512</v>
      </c>
      <c r="I54" s="10" t="s">
        <v>181</v>
      </c>
    </row>
    <row r="55" spans="1:9" s="10" customFormat="1" x14ac:dyDescent="0.2">
      <c r="A55" s="12" t="s">
        <v>177</v>
      </c>
      <c r="B55" s="10" t="s">
        <v>174</v>
      </c>
      <c r="C55" s="10" t="s">
        <v>233</v>
      </c>
      <c r="D55" s="12" t="s">
        <v>86</v>
      </c>
      <c r="E55" s="10" t="s">
        <v>25</v>
      </c>
      <c r="F55" s="11" t="s">
        <v>213</v>
      </c>
      <c r="G55" s="18">
        <v>4.7</v>
      </c>
      <c r="H55" s="15">
        <f>14.4/1000*365</f>
        <v>5.2560000000000002</v>
      </c>
      <c r="I55" s="10" t="s">
        <v>181</v>
      </c>
    </row>
    <row r="56" spans="1:9" s="10" customFormat="1" x14ac:dyDescent="0.2">
      <c r="A56" s="12" t="s">
        <v>179</v>
      </c>
      <c r="B56" s="10" t="s">
        <v>174</v>
      </c>
      <c r="C56" s="10" t="s">
        <v>233</v>
      </c>
      <c r="D56" s="12" t="s">
        <v>78</v>
      </c>
      <c r="E56" s="10" t="s">
        <v>25</v>
      </c>
      <c r="F56" s="11" t="s">
        <v>213</v>
      </c>
      <c r="G56" s="18">
        <v>20.7</v>
      </c>
      <c r="H56" s="15">
        <f>15.6/1000*365</f>
        <v>5.694</v>
      </c>
      <c r="I56" s="10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B1" workbookViewId="0">
      <selection activeCell="P15" sqref="P15"/>
    </sheetView>
  </sheetViews>
  <sheetFormatPr baseColWidth="10" defaultRowHeight="16" x14ac:dyDescent="0.2"/>
  <cols>
    <col min="1" max="1" width="34.33203125" style="55" bestFit="1" customWidth="1"/>
    <col min="2" max="2" width="14" style="55" bestFit="1" customWidth="1"/>
    <col min="3" max="3" width="17.33203125" style="55" bestFit="1" customWidth="1"/>
    <col min="4" max="4" width="11.1640625" style="55" bestFit="1" customWidth="1"/>
    <col min="5" max="5" width="16.6640625" style="55" bestFit="1" customWidth="1"/>
    <col min="6" max="6" width="7.6640625" style="55" bestFit="1" customWidth="1"/>
    <col min="7" max="7" width="11.33203125" style="55" bestFit="1" customWidth="1"/>
    <col min="8" max="8" width="21.6640625" style="55" bestFit="1" customWidth="1"/>
    <col min="9" max="9" width="9.33203125" style="56" bestFit="1" customWidth="1"/>
    <col min="10" max="11" width="9.33203125" style="56" customWidth="1"/>
    <col min="12" max="12" width="17.5" style="56" bestFit="1" customWidth="1"/>
    <col min="13" max="13" width="17.5" style="56" customWidth="1"/>
    <col min="14" max="16384" width="10.83203125" style="55"/>
  </cols>
  <sheetData>
    <row r="1" spans="1:20" s="41" customFormat="1" x14ac:dyDescent="0.2">
      <c r="A1" s="41" t="s">
        <v>0</v>
      </c>
      <c r="B1" s="41" t="s">
        <v>211</v>
      </c>
      <c r="C1" s="41" t="s">
        <v>212</v>
      </c>
      <c r="D1" s="41" t="s">
        <v>61</v>
      </c>
      <c r="E1" s="41" t="s">
        <v>45</v>
      </c>
      <c r="F1" s="41" t="s">
        <v>46</v>
      </c>
      <c r="G1" s="41" t="s">
        <v>14</v>
      </c>
      <c r="H1" s="41" t="s">
        <v>243</v>
      </c>
      <c r="I1" s="51" t="s">
        <v>2</v>
      </c>
      <c r="J1" s="51"/>
      <c r="K1" s="51"/>
      <c r="L1" s="51"/>
      <c r="M1" s="51"/>
      <c r="N1" s="41" t="s">
        <v>161</v>
      </c>
      <c r="R1" s="41" t="s">
        <v>247</v>
      </c>
    </row>
    <row r="2" spans="1:20" s="51" customFormat="1" x14ac:dyDescent="0.2">
      <c r="A2" s="46" t="s">
        <v>3</v>
      </c>
      <c r="B2" s="24" t="s">
        <v>6</v>
      </c>
      <c r="C2" s="24" t="s">
        <v>233</v>
      </c>
      <c r="D2" s="51" t="s">
        <v>90</v>
      </c>
      <c r="E2" s="24" t="s">
        <v>98</v>
      </c>
      <c r="F2" s="24" t="s">
        <v>213</v>
      </c>
      <c r="G2" s="24">
        <v>0.4</v>
      </c>
      <c r="H2" s="26">
        <f>160*(16/12)</f>
        <v>213.33333333333331</v>
      </c>
      <c r="I2" s="24">
        <v>1983</v>
      </c>
      <c r="J2" s="24"/>
      <c r="K2" s="24"/>
      <c r="L2" s="51" t="s">
        <v>246</v>
      </c>
      <c r="N2" s="41" t="s">
        <v>14</v>
      </c>
      <c r="O2" s="41" t="s">
        <v>243</v>
      </c>
      <c r="P2" s="25"/>
      <c r="Q2" s="25"/>
      <c r="R2" s="24" t="s">
        <v>213</v>
      </c>
      <c r="S2" s="47">
        <v>0.2</v>
      </c>
      <c r="T2" s="46">
        <v>1.1000000000000001</v>
      </c>
    </row>
    <row r="3" spans="1:20" s="51" customFormat="1" x14ac:dyDescent="0.2">
      <c r="A3" s="46" t="s">
        <v>4</v>
      </c>
      <c r="B3" s="24" t="s">
        <v>6</v>
      </c>
      <c r="C3" s="24" t="s">
        <v>233</v>
      </c>
      <c r="D3" s="51" t="s">
        <v>86</v>
      </c>
      <c r="E3" s="24" t="s">
        <v>98</v>
      </c>
      <c r="F3" s="24" t="s">
        <v>213</v>
      </c>
      <c r="G3" s="24">
        <v>1.8</v>
      </c>
      <c r="H3" s="26">
        <f>73*(16/12)</f>
        <v>97.333333333333329</v>
      </c>
      <c r="I3" s="24">
        <v>1983</v>
      </c>
      <c r="J3" s="24"/>
      <c r="K3" s="24"/>
      <c r="M3" s="24" t="s">
        <v>213</v>
      </c>
      <c r="N3" s="24">
        <v>0.4</v>
      </c>
      <c r="O3" s="26">
        <f>160*(16/12)</f>
        <v>213.33333333333331</v>
      </c>
      <c r="P3" s="25"/>
      <c r="Q3" s="25"/>
      <c r="R3" s="24" t="s">
        <v>213</v>
      </c>
      <c r="S3" s="47">
        <v>1.3</v>
      </c>
      <c r="T3" s="46">
        <v>1.32</v>
      </c>
    </row>
    <row r="4" spans="1:20" s="51" customFormat="1" x14ac:dyDescent="0.2">
      <c r="A4" s="51" t="s">
        <v>100</v>
      </c>
      <c r="B4" s="24" t="s">
        <v>6</v>
      </c>
      <c r="C4" s="24" t="s">
        <v>233</v>
      </c>
      <c r="D4" s="51" t="s">
        <v>78</v>
      </c>
      <c r="E4" s="24" t="s">
        <v>98</v>
      </c>
      <c r="F4" s="24" t="s">
        <v>213</v>
      </c>
      <c r="G4" s="24">
        <v>18.100000000000001</v>
      </c>
      <c r="H4" s="26">
        <f>4.3*(16/12)</f>
        <v>5.7333333333333325</v>
      </c>
      <c r="I4" s="24">
        <v>1983</v>
      </c>
      <c r="J4" s="24"/>
      <c r="K4" s="24"/>
      <c r="M4" s="24" t="s">
        <v>213</v>
      </c>
      <c r="N4" s="24">
        <v>1.8</v>
      </c>
      <c r="O4" s="26">
        <f>73*(16/12)</f>
        <v>97.333333333333329</v>
      </c>
      <c r="P4" s="25"/>
      <c r="Q4" s="25"/>
      <c r="R4" s="24" t="s">
        <v>213</v>
      </c>
      <c r="S4" s="47">
        <v>4.7</v>
      </c>
      <c r="T4" s="46">
        <v>1.36</v>
      </c>
    </row>
    <row r="5" spans="1:20" s="51" customFormat="1" x14ac:dyDescent="0.2">
      <c r="A5" s="51" t="s">
        <v>106</v>
      </c>
      <c r="B5" s="24" t="s">
        <v>105</v>
      </c>
      <c r="C5" s="24" t="s">
        <v>216</v>
      </c>
      <c r="D5" s="51" t="s">
        <v>78</v>
      </c>
      <c r="E5" s="24" t="s">
        <v>109</v>
      </c>
      <c r="F5" s="24" t="s">
        <v>213</v>
      </c>
      <c r="G5" s="46">
        <v>18.7</v>
      </c>
      <c r="H5" s="24">
        <v>1.2</v>
      </c>
      <c r="I5" s="24">
        <v>1985</v>
      </c>
      <c r="J5" s="24"/>
      <c r="K5" s="24"/>
      <c r="M5" s="24" t="s">
        <v>213</v>
      </c>
      <c r="N5" s="24">
        <v>18.100000000000001</v>
      </c>
      <c r="O5" s="26">
        <f>4.3*(16/12)</f>
        <v>5.7333333333333325</v>
      </c>
      <c r="P5" s="25"/>
      <c r="Q5" s="25"/>
      <c r="R5" s="24" t="s">
        <v>213</v>
      </c>
      <c r="S5" s="43">
        <v>5</v>
      </c>
      <c r="T5" s="26">
        <f>0.36*16</f>
        <v>5.76</v>
      </c>
    </row>
    <row r="6" spans="1:20" s="41" customFormat="1" x14ac:dyDescent="0.2">
      <c r="A6" s="46" t="s">
        <v>107</v>
      </c>
      <c r="B6" s="24" t="s">
        <v>105</v>
      </c>
      <c r="C6" s="24" t="s">
        <v>216</v>
      </c>
      <c r="D6" s="51" t="s">
        <v>78</v>
      </c>
      <c r="E6" s="24" t="s">
        <v>109</v>
      </c>
      <c r="F6" s="24" t="s">
        <v>213</v>
      </c>
      <c r="G6" s="46">
        <v>22.6</v>
      </c>
      <c r="H6" s="24">
        <v>0.4</v>
      </c>
      <c r="I6" s="24">
        <v>1985</v>
      </c>
      <c r="J6" s="24"/>
      <c r="K6" s="24"/>
      <c r="M6" s="24" t="s">
        <v>213</v>
      </c>
      <c r="N6" s="46">
        <v>18.7</v>
      </c>
      <c r="O6" s="24">
        <v>1.2</v>
      </c>
      <c r="P6" s="25"/>
      <c r="Q6" s="25"/>
      <c r="R6" s="24" t="s">
        <v>213</v>
      </c>
      <c r="S6" s="43">
        <v>5</v>
      </c>
      <c r="T6" s="26">
        <f>0.32*16</f>
        <v>5.12</v>
      </c>
    </row>
    <row r="7" spans="1:20" s="41" customFormat="1" x14ac:dyDescent="0.2">
      <c r="A7" s="46" t="s">
        <v>115</v>
      </c>
      <c r="B7" s="24" t="s">
        <v>105</v>
      </c>
      <c r="C7" s="24" t="s">
        <v>216</v>
      </c>
      <c r="D7" s="51" t="s">
        <v>78</v>
      </c>
      <c r="E7" s="24" t="s">
        <v>110</v>
      </c>
      <c r="F7" s="24" t="s">
        <v>213</v>
      </c>
      <c r="G7" s="46">
        <v>26.3</v>
      </c>
      <c r="H7" s="24">
        <v>1.3</v>
      </c>
      <c r="I7" s="24">
        <v>1985</v>
      </c>
      <c r="J7" s="24"/>
      <c r="K7" s="24"/>
      <c r="M7" s="24" t="s">
        <v>213</v>
      </c>
      <c r="N7" s="46">
        <v>22.6</v>
      </c>
      <c r="O7" s="24">
        <v>0.4</v>
      </c>
      <c r="P7" s="25"/>
      <c r="Q7" s="25"/>
      <c r="R7" s="24" t="s">
        <v>213</v>
      </c>
      <c r="S7" s="46">
        <v>1</v>
      </c>
      <c r="T7" s="46">
        <v>93</v>
      </c>
    </row>
    <row r="8" spans="1:20" s="25" customFormat="1" x14ac:dyDescent="0.2">
      <c r="A8" s="46" t="s">
        <v>116</v>
      </c>
      <c r="B8" s="24" t="s">
        <v>105</v>
      </c>
      <c r="C8" s="24" t="s">
        <v>216</v>
      </c>
      <c r="D8" s="51" t="s">
        <v>82</v>
      </c>
      <c r="E8" s="24" t="s">
        <v>122</v>
      </c>
      <c r="F8" s="24" t="s">
        <v>213</v>
      </c>
      <c r="G8" s="47">
        <v>5.0999999999999996</v>
      </c>
      <c r="H8" s="46">
        <v>18.2</v>
      </c>
      <c r="I8" s="24">
        <v>1987</v>
      </c>
      <c r="J8" s="24"/>
      <c r="K8" s="24"/>
      <c r="M8" s="24" t="s">
        <v>213</v>
      </c>
      <c r="N8" s="46">
        <v>26.3</v>
      </c>
      <c r="O8" s="24">
        <v>1.3</v>
      </c>
      <c r="R8" s="24" t="s">
        <v>213</v>
      </c>
      <c r="S8" s="43">
        <v>0.05</v>
      </c>
      <c r="T8" s="26">
        <f>42*(16/12)</f>
        <v>56</v>
      </c>
    </row>
    <row r="9" spans="1:20" s="25" customFormat="1" x14ac:dyDescent="0.2">
      <c r="A9" s="46" t="s">
        <v>117</v>
      </c>
      <c r="B9" s="24" t="s">
        <v>105</v>
      </c>
      <c r="C9" s="24" t="s">
        <v>216</v>
      </c>
      <c r="D9" s="51" t="s">
        <v>82</v>
      </c>
      <c r="E9" s="24" t="s">
        <v>122</v>
      </c>
      <c r="F9" s="24" t="s">
        <v>213</v>
      </c>
      <c r="G9" s="47">
        <v>12.8</v>
      </c>
      <c r="H9" s="46">
        <v>22.4</v>
      </c>
      <c r="I9" s="24">
        <v>1987</v>
      </c>
      <c r="J9" s="24"/>
      <c r="K9" s="24"/>
      <c r="M9" s="24" t="s">
        <v>213</v>
      </c>
      <c r="N9" s="47">
        <v>5.0999999999999996</v>
      </c>
      <c r="O9" s="46">
        <v>18.2</v>
      </c>
      <c r="R9" s="24" t="s">
        <v>213</v>
      </c>
      <c r="S9" s="24">
        <v>0.25</v>
      </c>
      <c r="T9" s="26">
        <f>20*(16/12)</f>
        <v>26.666666666666664</v>
      </c>
    </row>
    <row r="10" spans="1:20" s="25" customFormat="1" x14ac:dyDescent="0.2">
      <c r="A10" s="46" t="s">
        <v>118</v>
      </c>
      <c r="B10" s="24" t="s">
        <v>105</v>
      </c>
      <c r="C10" s="24" t="s">
        <v>216</v>
      </c>
      <c r="D10" s="51" t="s">
        <v>82</v>
      </c>
      <c r="E10" s="24" t="s">
        <v>122</v>
      </c>
      <c r="F10" s="24" t="s">
        <v>213</v>
      </c>
      <c r="G10" s="47">
        <v>16.600000000000001</v>
      </c>
      <c r="H10" s="24">
        <v>5.6</v>
      </c>
      <c r="I10" s="24">
        <v>1987</v>
      </c>
      <c r="J10" s="24"/>
      <c r="K10" s="24"/>
      <c r="M10" s="24" t="s">
        <v>213</v>
      </c>
      <c r="N10" s="47">
        <v>12.8</v>
      </c>
      <c r="O10" s="46">
        <v>22.4</v>
      </c>
      <c r="R10" s="24" t="s">
        <v>213</v>
      </c>
      <c r="S10" s="24">
        <v>0.25</v>
      </c>
      <c r="T10" s="26">
        <f>24*(16/12)</f>
        <v>32</v>
      </c>
    </row>
    <row r="11" spans="1:20" s="25" customFormat="1" x14ac:dyDescent="0.2">
      <c r="A11" s="46" t="s">
        <v>125</v>
      </c>
      <c r="B11" s="51" t="s">
        <v>131</v>
      </c>
      <c r="C11" s="51" t="s">
        <v>221</v>
      </c>
      <c r="D11" s="51" t="s">
        <v>90</v>
      </c>
      <c r="E11" s="24" t="s">
        <v>132</v>
      </c>
      <c r="F11" s="24" t="s">
        <v>213</v>
      </c>
      <c r="G11" s="46">
        <v>0.25</v>
      </c>
      <c r="H11" s="46">
        <v>8.1999999999999993</v>
      </c>
      <c r="I11" s="46">
        <v>1995</v>
      </c>
      <c r="J11" s="46"/>
      <c r="K11" s="46"/>
      <c r="M11" s="24" t="s">
        <v>213</v>
      </c>
      <c r="N11" s="47">
        <v>16.600000000000001</v>
      </c>
      <c r="O11" s="24">
        <v>5.6</v>
      </c>
      <c r="R11" s="24" t="s">
        <v>213</v>
      </c>
      <c r="S11" s="24">
        <v>2.5</v>
      </c>
      <c r="T11" s="26">
        <f>123*(16/12)</f>
        <v>164</v>
      </c>
    </row>
    <row r="12" spans="1:20" s="25" customFormat="1" x14ac:dyDescent="0.2">
      <c r="A12" s="46" t="s">
        <v>126</v>
      </c>
      <c r="B12" s="51" t="s">
        <v>131</v>
      </c>
      <c r="C12" s="51" t="s">
        <v>221</v>
      </c>
      <c r="D12" s="51" t="s">
        <v>90</v>
      </c>
      <c r="E12" s="24" t="s">
        <v>132</v>
      </c>
      <c r="F12" s="24" t="s">
        <v>213</v>
      </c>
      <c r="G12" s="46">
        <v>0.25</v>
      </c>
      <c r="H12" s="46">
        <v>5.7</v>
      </c>
      <c r="I12" s="46">
        <v>1995</v>
      </c>
      <c r="J12" s="46"/>
      <c r="K12" s="46"/>
      <c r="M12" s="24" t="s">
        <v>213</v>
      </c>
      <c r="N12" s="46">
        <v>0.25</v>
      </c>
      <c r="O12" s="46">
        <v>8.1999999999999993</v>
      </c>
      <c r="R12" s="24" t="s">
        <v>213</v>
      </c>
      <c r="S12" s="24">
        <v>2.5</v>
      </c>
      <c r="T12" s="26">
        <f>87*(16/12)</f>
        <v>116</v>
      </c>
    </row>
    <row r="13" spans="1:20" s="25" customFormat="1" x14ac:dyDescent="0.2">
      <c r="A13" s="46" t="s">
        <v>127</v>
      </c>
      <c r="B13" s="51" t="s">
        <v>131</v>
      </c>
      <c r="C13" s="51" t="s">
        <v>221</v>
      </c>
      <c r="D13" s="51" t="s">
        <v>90</v>
      </c>
      <c r="E13" s="24" t="s">
        <v>132</v>
      </c>
      <c r="F13" s="24" t="s">
        <v>213</v>
      </c>
      <c r="G13" s="46">
        <v>0.25</v>
      </c>
      <c r="H13" s="46">
        <v>5.0999999999999996</v>
      </c>
      <c r="I13" s="46">
        <v>1995</v>
      </c>
      <c r="J13" s="46"/>
      <c r="K13" s="46"/>
      <c r="M13" s="24" t="s">
        <v>213</v>
      </c>
      <c r="N13" s="46">
        <v>0.25</v>
      </c>
      <c r="O13" s="46">
        <v>5.7</v>
      </c>
      <c r="R13" s="24" t="s">
        <v>213</v>
      </c>
      <c r="S13" s="24">
        <v>10</v>
      </c>
      <c r="T13" s="26">
        <f>-5*(16/12)</f>
        <v>-6.6666666666666661</v>
      </c>
    </row>
    <row r="14" spans="1:20" s="25" customFormat="1" x14ac:dyDescent="0.2">
      <c r="A14" s="46" t="s">
        <v>128</v>
      </c>
      <c r="B14" s="51" t="s">
        <v>131</v>
      </c>
      <c r="C14" s="51" t="s">
        <v>221</v>
      </c>
      <c r="D14" s="51" t="s">
        <v>90</v>
      </c>
      <c r="E14" s="24" t="s">
        <v>132</v>
      </c>
      <c r="F14" s="24" t="s">
        <v>213</v>
      </c>
      <c r="G14" s="46">
        <v>0.25</v>
      </c>
      <c r="H14" s="46">
        <v>3.5</v>
      </c>
      <c r="I14" s="46">
        <v>1995</v>
      </c>
      <c r="J14" s="46"/>
      <c r="K14" s="46"/>
      <c r="M14" s="24" t="s">
        <v>213</v>
      </c>
      <c r="N14" s="46">
        <v>0.25</v>
      </c>
      <c r="O14" s="46">
        <v>5.0999999999999996</v>
      </c>
      <c r="R14" s="24" t="s">
        <v>213</v>
      </c>
      <c r="S14" s="24">
        <v>10</v>
      </c>
      <c r="T14" s="26">
        <f>-2*(16/12)</f>
        <v>-2.6666666666666665</v>
      </c>
    </row>
    <row r="15" spans="1:20" s="25" customFormat="1" x14ac:dyDescent="0.2">
      <c r="A15" s="46" t="s">
        <v>134</v>
      </c>
      <c r="B15" s="51" t="s">
        <v>18</v>
      </c>
      <c r="C15" s="51" t="s">
        <v>222</v>
      </c>
      <c r="D15" s="51" t="s">
        <v>78</v>
      </c>
      <c r="E15" s="51">
        <v>1993</v>
      </c>
      <c r="F15" s="51" t="s">
        <v>213</v>
      </c>
      <c r="G15" s="47">
        <v>23.5</v>
      </c>
      <c r="H15" s="46">
        <v>1.3</v>
      </c>
      <c r="I15" s="46">
        <v>1996</v>
      </c>
      <c r="J15" s="46"/>
      <c r="K15" s="46"/>
      <c r="M15" s="24" t="s">
        <v>213</v>
      </c>
      <c r="N15" s="46">
        <v>0.25</v>
      </c>
      <c r="O15" s="46">
        <v>3.5</v>
      </c>
      <c r="P15" s="51"/>
      <c r="Q15" s="51"/>
      <c r="R15" s="24" t="s">
        <v>213</v>
      </c>
      <c r="S15" s="43">
        <v>2.2999999999999998</v>
      </c>
      <c r="T15" s="26">
        <f>28.8/1000*365</f>
        <v>10.512</v>
      </c>
    </row>
    <row r="16" spans="1:20" s="25" customFormat="1" x14ac:dyDescent="0.2">
      <c r="A16" s="46" t="s">
        <v>107</v>
      </c>
      <c r="B16" s="51" t="s">
        <v>18</v>
      </c>
      <c r="C16" s="51" t="s">
        <v>222</v>
      </c>
      <c r="D16" s="51" t="s">
        <v>70</v>
      </c>
      <c r="E16" s="51">
        <v>1993</v>
      </c>
      <c r="F16" s="51" t="s">
        <v>213</v>
      </c>
      <c r="G16" s="47">
        <v>31.6</v>
      </c>
      <c r="H16" s="46">
        <v>0.2</v>
      </c>
      <c r="I16" s="46">
        <v>1996</v>
      </c>
      <c r="J16" s="46"/>
      <c r="K16" s="46"/>
      <c r="M16" s="24" t="s">
        <v>213</v>
      </c>
      <c r="N16" s="47">
        <v>23.5</v>
      </c>
      <c r="O16" s="46">
        <v>1.3</v>
      </c>
      <c r="P16" s="51"/>
      <c r="Q16" s="51"/>
      <c r="R16" s="24" t="s">
        <v>213</v>
      </c>
      <c r="S16" s="43">
        <v>4.7</v>
      </c>
      <c r="T16" s="26">
        <f>14.4/1000*365</f>
        <v>5.2560000000000002</v>
      </c>
    </row>
    <row r="17" spans="1:20" s="25" customFormat="1" x14ac:dyDescent="0.2">
      <c r="A17" s="46" t="s">
        <v>135</v>
      </c>
      <c r="B17" s="51" t="s">
        <v>18</v>
      </c>
      <c r="C17" s="51" t="s">
        <v>222</v>
      </c>
      <c r="D17" s="51" t="s">
        <v>70</v>
      </c>
      <c r="E17" s="51">
        <v>1993</v>
      </c>
      <c r="F17" s="51" t="s">
        <v>213</v>
      </c>
      <c r="G17" s="47">
        <v>33.700000000000003</v>
      </c>
      <c r="H17" s="46">
        <v>0.2</v>
      </c>
      <c r="I17" s="46">
        <v>1996</v>
      </c>
      <c r="J17" s="46"/>
      <c r="K17" s="46"/>
      <c r="M17" s="24" t="s">
        <v>213</v>
      </c>
      <c r="N17" s="47">
        <v>31.6</v>
      </c>
      <c r="O17" s="46">
        <v>0.2</v>
      </c>
      <c r="P17" s="51"/>
      <c r="Q17" s="51"/>
      <c r="R17" s="24" t="s">
        <v>213</v>
      </c>
      <c r="S17" s="43">
        <v>20.7</v>
      </c>
      <c r="T17" s="26">
        <f>15.6/1000*365</f>
        <v>5.694</v>
      </c>
    </row>
    <row r="18" spans="1:20" s="25" customFormat="1" x14ac:dyDescent="0.2">
      <c r="A18" s="46" t="s">
        <v>136</v>
      </c>
      <c r="B18" s="51" t="s">
        <v>18</v>
      </c>
      <c r="C18" s="51" t="s">
        <v>222</v>
      </c>
      <c r="D18" s="51" t="s">
        <v>70</v>
      </c>
      <c r="E18" s="51">
        <v>1993</v>
      </c>
      <c r="F18" s="51" t="s">
        <v>213</v>
      </c>
      <c r="G18" s="47">
        <v>35.1</v>
      </c>
      <c r="H18" s="46">
        <v>0.2</v>
      </c>
      <c r="I18" s="46">
        <v>1996</v>
      </c>
      <c r="J18" s="46"/>
      <c r="K18" s="46"/>
      <c r="M18" s="24" t="s">
        <v>213</v>
      </c>
      <c r="N18" s="47">
        <v>33.700000000000003</v>
      </c>
      <c r="O18" s="46">
        <v>0.2</v>
      </c>
      <c r="P18" s="51"/>
      <c r="Q18" s="51"/>
      <c r="R18" s="51" t="s">
        <v>213</v>
      </c>
      <c r="S18" s="53">
        <v>23.7</v>
      </c>
      <c r="T18" s="54">
        <f>1.29*16/(10^6)*24*365</f>
        <v>0.18080640000000001</v>
      </c>
    </row>
    <row r="19" spans="1:20" s="25" customFormat="1" x14ac:dyDescent="0.2">
      <c r="A19" s="46" t="s">
        <v>141</v>
      </c>
      <c r="B19" s="24" t="s">
        <v>105</v>
      </c>
      <c r="C19" s="24" t="s">
        <v>216</v>
      </c>
      <c r="D19" s="51" t="s">
        <v>90</v>
      </c>
      <c r="E19" s="24" t="s">
        <v>144</v>
      </c>
      <c r="F19" s="24" t="s">
        <v>213</v>
      </c>
      <c r="G19" s="46">
        <v>0.25</v>
      </c>
      <c r="H19" s="24">
        <v>96</v>
      </c>
      <c r="I19" s="24">
        <v>2000</v>
      </c>
      <c r="J19" s="24"/>
      <c r="K19" s="24"/>
      <c r="M19" s="24" t="s">
        <v>213</v>
      </c>
      <c r="N19" s="47">
        <v>35.1</v>
      </c>
      <c r="O19" s="46">
        <v>0.2</v>
      </c>
      <c r="R19" s="51" t="s">
        <v>213</v>
      </c>
      <c r="S19" s="53">
        <v>13.7</v>
      </c>
      <c r="T19" s="54">
        <f>0.23*16/(10^6)*24*365</f>
        <v>3.2236800000000003E-2</v>
      </c>
    </row>
    <row r="20" spans="1:20" s="25" customFormat="1" x14ac:dyDescent="0.2">
      <c r="A20" s="46" t="s">
        <v>145</v>
      </c>
      <c r="B20" s="24" t="s">
        <v>131</v>
      </c>
      <c r="C20" s="24" t="s">
        <v>221</v>
      </c>
      <c r="D20" s="51" t="s">
        <v>90</v>
      </c>
      <c r="E20" s="24" t="s">
        <v>150</v>
      </c>
      <c r="F20" s="24" t="s">
        <v>213</v>
      </c>
      <c r="G20" s="46">
        <v>0.25</v>
      </c>
      <c r="H20" s="46">
        <v>1.3</v>
      </c>
      <c r="I20" s="46">
        <v>2002</v>
      </c>
      <c r="J20" s="46"/>
      <c r="K20" s="46"/>
      <c r="M20" s="24" t="s">
        <v>213</v>
      </c>
      <c r="N20" s="46">
        <v>0.25</v>
      </c>
      <c r="O20" s="24">
        <v>96</v>
      </c>
      <c r="R20" s="24" t="s">
        <v>213</v>
      </c>
      <c r="S20" s="43">
        <v>10</v>
      </c>
      <c r="T20" s="26">
        <v>105.5</v>
      </c>
    </row>
    <row r="21" spans="1:20" s="25" customFormat="1" x14ac:dyDescent="0.2">
      <c r="A21" s="46" t="s">
        <v>146</v>
      </c>
      <c r="B21" s="24" t="s">
        <v>131</v>
      </c>
      <c r="C21" s="24" t="s">
        <v>221</v>
      </c>
      <c r="D21" s="51" t="s">
        <v>90</v>
      </c>
      <c r="E21" s="24" t="s">
        <v>150</v>
      </c>
      <c r="F21" s="24" t="s">
        <v>213</v>
      </c>
      <c r="G21" s="46">
        <v>0.25</v>
      </c>
      <c r="H21" s="46">
        <v>1.8</v>
      </c>
      <c r="I21" s="46">
        <v>2002</v>
      </c>
      <c r="J21" s="46"/>
      <c r="K21" s="46"/>
      <c r="M21" s="24" t="s">
        <v>213</v>
      </c>
      <c r="N21" s="46">
        <v>0.25</v>
      </c>
      <c r="O21" s="46">
        <v>1.3</v>
      </c>
      <c r="R21" s="24" t="s">
        <v>213</v>
      </c>
      <c r="S21" s="43">
        <v>10</v>
      </c>
      <c r="T21" s="26">
        <v>5.2</v>
      </c>
    </row>
    <row r="22" spans="1:20" s="25" customFormat="1" x14ac:dyDescent="0.2">
      <c r="A22" s="46" t="s">
        <v>155</v>
      </c>
      <c r="B22" s="24" t="s">
        <v>38</v>
      </c>
      <c r="C22" s="24" t="s">
        <v>216</v>
      </c>
      <c r="D22" s="51" t="s">
        <v>82</v>
      </c>
      <c r="E22" s="24" t="s">
        <v>153</v>
      </c>
      <c r="F22" s="24" t="s">
        <v>213</v>
      </c>
      <c r="G22" s="46">
        <v>6.8</v>
      </c>
      <c r="H22" s="46">
        <v>4.7</v>
      </c>
      <c r="I22" s="24">
        <v>2005</v>
      </c>
      <c r="J22" s="24"/>
      <c r="K22" s="24"/>
      <c r="M22" s="24" t="s">
        <v>213</v>
      </c>
      <c r="N22" s="46">
        <v>0.25</v>
      </c>
      <c r="O22" s="46">
        <v>1.8</v>
      </c>
      <c r="R22" s="24" t="s">
        <v>213</v>
      </c>
      <c r="S22" s="43">
        <v>10</v>
      </c>
      <c r="T22" s="26">
        <v>1</v>
      </c>
    </row>
    <row r="23" spans="1:20" s="25" customFormat="1" x14ac:dyDescent="0.2">
      <c r="A23" s="46" t="s">
        <v>156</v>
      </c>
      <c r="B23" s="24" t="s">
        <v>38</v>
      </c>
      <c r="C23" s="24" t="s">
        <v>216</v>
      </c>
      <c r="D23" s="51" t="s">
        <v>82</v>
      </c>
      <c r="E23" s="24" t="s">
        <v>153</v>
      </c>
      <c r="F23" s="24" t="s">
        <v>213</v>
      </c>
      <c r="G23" s="46">
        <v>6.8</v>
      </c>
      <c r="H23" s="46">
        <v>3.3</v>
      </c>
      <c r="I23" s="24">
        <v>2005</v>
      </c>
      <c r="J23" s="24"/>
      <c r="K23" s="24"/>
      <c r="M23" s="24" t="s">
        <v>213</v>
      </c>
      <c r="N23" s="46">
        <v>6.8</v>
      </c>
      <c r="O23" s="46">
        <v>4.7</v>
      </c>
      <c r="R23" s="24" t="s">
        <v>213</v>
      </c>
      <c r="S23" s="43">
        <v>10</v>
      </c>
      <c r="T23" s="26">
        <v>13.5</v>
      </c>
    </row>
    <row r="24" spans="1:20" s="25" customFormat="1" x14ac:dyDescent="0.2">
      <c r="A24" s="46" t="s">
        <v>157</v>
      </c>
      <c r="B24" s="46" t="s">
        <v>159</v>
      </c>
      <c r="C24" s="46" t="s">
        <v>216</v>
      </c>
      <c r="D24" s="51" t="s">
        <v>82</v>
      </c>
      <c r="E24" s="24">
        <v>2008</v>
      </c>
      <c r="F24" s="24" t="s">
        <v>213</v>
      </c>
      <c r="G24" s="46">
        <v>11.6</v>
      </c>
      <c r="H24" s="46">
        <v>30.6</v>
      </c>
      <c r="I24" s="46">
        <v>2011</v>
      </c>
      <c r="J24" s="46"/>
      <c r="K24" s="46"/>
      <c r="M24" s="24" t="s">
        <v>213</v>
      </c>
      <c r="N24" s="46">
        <v>6.8</v>
      </c>
      <c r="O24" s="46">
        <v>3.3</v>
      </c>
      <c r="R24" s="24" t="s">
        <v>213</v>
      </c>
      <c r="S24" s="43">
        <v>10</v>
      </c>
      <c r="T24" s="26">
        <v>4.5</v>
      </c>
    </row>
    <row r="25" spans="1:20" s="25" customFormat="1" x14ac:dyDescent="0.2">
      <c r="A25" s="46" t="s">
        <v>158</v>
      </c>
      <c r="B25" s="46" t="s">
        <v>159</v>
      </c>
      <c r="C25" s="46" t="s">
        <v>216</v>
      </c>
      <c r="D25" s="51" t="s">
        <v>82</v>
      </c>
      <c r="E25" s="24">
        <v>2008</v>
      </c>
      <c r="F25" s="24" t="s">
        <v>213</v>
      </c>
      <c r="G25" s="46">
        <v>12.9</v>
      </c>
      <c r="H25" s="46">
        <v>32</v>
      </c>
      <c r="I25" s="46">
        <v>2011</v>
      </c>
      <c r="J25" s="46"/>
      <c r="K25" s="46"/>
      <c r="M25" s="24" t="s">
        <v>213</v>
      </c>
      <c r="N25" s="46">
        <v>11.6</v>
      </c>
      <c r="O25" s="46">
        <v>30.6</v>
      </c>
      <c r="R25" s="24" t="s">
        <v>213</v>
      </c>
      <c r="S25" s="43">
        <v>10</v>
      </c>
      <c r="T25" s="26">
        <v>3.1</v>
      </c>
    </row>
    <row r="26" spans="1:20" s="25" customFormat="1" x14ac:dyDescent="0.2">
      <c r="A26" s="46" t="s">
        <v>235</v>
      </c>
      <c r="B26" s="24" t="s">
        <v>171</v>
      </c>
      <c r="C26" s="24" t="s">
        <v>221</v>
      </c>
      <c r="D26" s="41" t="s">
        <v>90</v>
      </c>
      <c r="E26" s="24" t="s">
        <v>239</v>
      </c>
      <c r="I26" s="24">
        <v>2012</v>
      </c>
      <c r="J26" s="24"/>
      <c r="K26" s="24"/>
      <c r="M26" s="24" t="s">
        <v>213</v>
      </c>
      <c r="N26" s="46">
        <v>12.9</v>
      </c>
      <c r="O26" s="46">
        <v>32</v>
      </c>
      <c r="R26" s="24" t="s">
        <v>213</v>
      </c>
      <c r="S26" s="24">
        <v>9.15</v>
      </c>
      <c r="T26" s="26">
        <f>49.6*(16/12)</f>
        <v>66.133333333333326</v>
      </c>
    </row>
    <row r="27" spans="1:20" s="25" customFormat="1" x14ac:dyDescent="0.2">
      <c r="A27" s="46" t="s">
        <v>236</v>
      </c>
      <c r="B27" s="24" t="s">
        <v>171</v>
      </c>
      <c r="C27" s="24" t="s">
        <v>221</v>
      </c>
      <c r="D27" s="51" t="s">
        <v>86</v>
      </c>
      <c r="E27" s="24" t="s">
        <v>239</v>
      </c>
      <c r="I27" s="24">
        <v>2012</v>
      </c>
      <c r="J27" s="24"/>
      <c r="K27" s="24"/>
      <c r="L27" s="24"/>
      <c r="M27" s="24"/>
      <c r="R27" s="24" t="s">
        <v>213</v>
      </c>
      <c r="S27" s="24">
        <v>0.23</v>
      </c>
      <c r="T27" s="26">
        <f>91.9*(16/12)</f>
        <v>122.53333333333333</v>
      </c>
    </row>
    <row r="28" spans="1:20" s="25" customFormat="1" x14ac:dyDescent="0.2">
      <c r="A28" s="46" t="s">
        <v>237</v>
      </c>
      <c r="B28" s="24" t="s">
        <v>171</v>
      </c>
      <c r="C28" s="24" t="s">
        <v>221</v>
      </c>
      <c r="D28" s="51" t="s">
        <v>86</v>
      </c>
      <c r="E28" s="24" t="s">
        <v>239</v>
      </c>
      <c r="I28" s="24">
        <v>2012</v>
      </c>
      <c r="J28" s="24"/>
      <c r="K28" s="24"/>
      <c r="L28" s="24"/>
      <c r="M28" s="24"/>
    </row>
    <row r="29" spans="1:20" s="25" customFormat="1" ht="16" customHeight="1" x14ac:dyDescent="0.2">
      <c r="A29" s="24" t="s">
        <v>51</v>
      </c>
      <c r="B29" s="24" t="s">
        <v>10</v>
      </c>
      <c r="C29" s="24" t="s">
        <v>216</v>
      </c>
      <c r="D29" s="51" t="s">
        <v>82</v>
      </c>
      <c r="E29" s="24">
        <v>2012</v>
      </c>
      <c r="I29" s="24">
        <v>2013</v>
      </c>
      <c r="J29" s="24"/>
      <c r="K29" s="24"/>
      <c r="L29" s="24"/>
      <c r="M29" s="24"/>
      <c r="R29" s="41" t="s">
        <v>248</v>
      </c>
    </row>
    <row r="30" spans="1:20" s="25" customFormat="1" x14ac:dyDescent="0.2">
      <c r="A30" s="24" t="s">
        <v>52</v>
      </c>
      <c r="B30" s="24" t="s">
        <v>10</v>
      </c>
      <c r="C30" s="24" t="s">
        <v>216</v>
      </c>
      <c r="D30" s="51" t="s">
        <v>82</v>
      </c>
      <c r="E30" s="24">
        <v>2012</v>
      </c>
      <c r="I30" s="24">
        <v>2013</v>
      </c>
      <c r="J30" s="24"/>
      <c r="K30" s="24"/>
      <c r="L30" s="24"/>
      <c r="M30" s="24"/>
      <c r="R30" s="24" t="s">
        <v>7</v>
      </c>
      <c r="S30" s="24">
        <v>0.23</v>
      </c>
      <c r="T30" s="26">
        <f>47.1*(16/12)</f>
        <v>62.8</v>
      </c>
    </row>
    <row r="31" spans="1:20" s="25" customFormat="1" x14ac:dyDescent="0.2">
      <c r="A31" s="41" t="s">
        <v>173</v>
      </c>
      <c r="B31" s="46" t="s">
        <v>171</v>
      </c>
      <c r="C31" s="46" t="s">
        <v>221</v>
      </c>
      <c r="D31" s="51" t="s">
        <v>90</v>
      </c>
      <c r="E31" s="24" t="s">
        <v>169</v>
      </c>
      <c r="I31" s="51">
        <v>2013</v>
      </c>
      <c r="J31" s="51"/>
      <c r="K31" s="51"/>
      <c r="L31" s="51"/>
      <c r="M31" s="51"/>
      <c r="R31" s="24" t="s">
        <v>7</v>
      </c>
      <c r="S31" s="24">
        <v>9.15</v>
      </c>
      <c r="T31" s="26">
        <v>13.8</v>
      </c>
    </row>
    <row r="32" spans="1:20" s="25" customFormat="1" x14ac:dyDescent="0.2">
      <c r="A32" s="52" t="s">
        <v>227</v>
      </c>
      <c r="B32" s="52" t="s">
        <v>42</v>
      </c>
      <c r="C32" s="52" t="s">
        <v>221</v>
      </c>
      <c r="D32" s="46" t="s">
        <v>90</v>
      </c>
      <c r="E32" s="24">
        <v>2009</v>
      </c>
      <c r="I32" s="24">
        <v>2013</v>
      </c>
      <c r="J32" s="24"/>
      <c r="K32" s="24"/>
      <c r="L32" s="24"/>
      <c r="M32" s="24"/>
      <c r="R32" s="24" t="s">
        <v>7</v>
      </c>
      <c r="S32" s="24">
        <v>0.23</v>
      </c>
      <c r="T32" s="26">
        <v>63</v>
      </c>
    </row>
    <row r="33" spans="1:20" s="25" customFormat="1" x14ac:dyDescent="0.2">
      <c r="A33" s="24" t="s">
        <v>26</v>
      </c>
      <c r="B33" s="24" t="s">
        <v>27</v>
      </c>
      <c r="C33" s="24" t="s">
        <v>216</v>
      </c>
      <c r="D33" s="51" t="s">
        <v>90</v>
      </c>
      <c r="E33" s="24">
        <v>2007</v>
      </c>
      <c r="I33" s="24">
        <v>2014</v>
      </c>
      <c r="J33" s="24"/>
      <c r="K33" s="24"/>
      <c r="L33" s="24"/>
      <c r="M33" s="24"/>
      <c r="R33" s="24" t="s">
        <v>7</v>
      </c>
      <c r="S33" s="24">
        <v>0.23</v>
      </c>
      <c r="T33" s="26">
        <v>61.6</v>
      </c>
    </row>
    <row r="34" spans="1:20" s="25" customFormat="1" x14ac:dyDescent="0.2">
      <c r="A34" s="24"/>
      <c r="B34" s="24" t="s">
        <v>27</v>
      </c>
      <c r="C34" s="24" t="s">
        <v>216</v>
      </c>
      <c r="D34" s="51" t="s">
        <v>90</v>
      </c>
      <c r="E34" s="24">
        <v>2008</v>
      </c>
      <c r="I34" s="24">
        <v>2014</v>
      </c>
      <c r="J34" s="24"/>
      <c r="K34" s="24"/>
      <c r="L34" s="24"/>
      <c r="M34" s="24"/>
      <c r="R34" s="24" t="s">
        <v>7</v>
      </c>
      <c r="S34" s="24">
        <v>9.15</v>
      </c>
      <c r="T34" s="26">
        <f>11.1*(16/12)</f>
        <v>14.799999999999999</v>
      </c>
    </row>
    <row r="35" spans="1:20" s="25" customFormat="1" x14ac:dyDescent="0.2">
      <c r="A35" s="24" t="s">
        <v>56</v>
      </c>
      <c r="B35" s="24" t="s">
        <v>27</v>
      </c>
      <c r="C35" s="24" t="s">
        <v>216</v>
      </c>
      <c r="D35" s="51" t="s">
        <v>86</v>
      </c>
      <c r="E35" s="24">
        <v>2007</v>
      </c>
      <c r="I35" s="24">
        <v>2014</v>
      </c>
      <c r="J35" s="24"/>
      <c r="K35" s="24"/>
      <c r="L35" s="24"/>
      <c r="M35" s="24"/>
    </row>
    <row r="36" spans="1:20" s="25" customFormat="1" x14ac:dyDescent="0.2">
      <c r="A36" s="24"/>
      <c r="B36" s="24" t="s">
        <v>27</v>
      </c>
      <c r="C36" s="24" t="s">
        <v>216</v>
      </c>
      <c r="D36" s="51" t="s">
        <v>86</v>
      </c>
      <c r="E36" s="24">
        <v>2008</v>
      </c>
      <c r="I36" s="24">
        <v>2014</v>
      </c>
      <c r="J36" s="24"/>
      <c r="K36" s="24"/>
      <c r="L36" s="24"/>
      <c r="M36" s="24"/>
    </row>
    <row r="37" spans="1:20" s="25" customFormat="1" ht="16" customHeight="1" x14ac:dyDescent="0.2">
      <c r="A37" s="24" t="s">
        <v>57</v>
      </c>
      <c r="B37" s="24" t="s">
        <v>27</v>
      </c>
      <c r="C37" s="24" t="s">
        <v>216</v>
      </c>
      <c r="D37" s="51" t="s">
        <v>82</v>
      </c>
      <c r="E37" s="24">
        <v>2007</v>
      </c>
      <c r="I37" s="24">
        <v>2014</v>
      </c>
      <c r="J37" s="24"/>
      <c r="K37" s="24"/>
      <c r="L37" s="24"/>
      <c r="M37" s="24"/>
    </row>
    <row r="38" spans="1:20" s="25" customFormat="1" x14ac:dyDescent="0.2">
      <c r="A38" s="24"/>
      <c r="B38" s="24" t="s">
        <v>27</v>
      </c>
      <c r="C38" s="24" t="s">
        <v>216</v>
      </c>
      <c r="D38" s="51" t="s">
        <v>82</v>
      </c>
      <c r="E38" s="24">
        <v>2008</v>
      </c>
      <c r="I38" s="24">
        <v>2014</v>
      </c>
      <c r="J38" s="24"/>
      <c r="K38" s="24"/>
      <c r="L38" s="24"/>
      <c r="M38" s="24"/>
    </row>
    <row r="39" spans="1:20" s="25" customFormat="1" x14ac:dyDescent="0.2">
      <c r="A39" s="41" t="s">
        <v>175</v>
      </c>
      <c r="B39" s="25" t="s">
        <v>174</v>
      </c>
      <c r="C39" s="25" t="s">
        <v>233</v>
      </c>
      <c r="D39" s="41" t="s">
        <v>86</v>
      </c>
      <c r="E39" s="25" t="s">
        <v>25</v>
      </c>
      <c r="I39" s="24">
        <v>2015</v>
      </c>
      <c r="J39" s="24"/>
      <c r="K39" s="24"/>
      <c r="L39" s="24"/>
      <c r="M39" s="24"/>
    </row>
    <row r="40" spans="1:20" s="25" customFormat="1" x14ac:dyDescent="0.2">
      <c r="A40" s="41" t="s">
        <v>177</v>
      </c>
      <c r="B40" s="25" t="s">
        <v>174</v>
      </c>
      <c r="C40" s="25" t="s">
        <v>233</v>
      </c>
      <c r="D40" s="41" t="s">
        <v>86</v>
      </c>
      <c r="E40" s="25" t="s">
        <v>25</v>
      </c>
      <c r="I40" s="24">
        <v>2015</v>
      </c>
      <c r="J40" s="24"/>
      <c r="K40" s="24"/>
      <c r="L40" s="24"/>
      <c r="M40" s="24"/>
    </row>
    <row r="41" spans="1:20" s="25" customFormat="1" x14ac:dyDescent="0.2">
      <c r="A41" s="41" t="s">
        <v>179</v>
      </c>
      <c r="B41" s="25" t="s">
        <v>174</v>
      </c>
      <c r="C41" s="25" t="s">
        <v>233</v>
      </c>
      <c r="D41" s="41" t="s">
        <v>78</v>
      </c>
      <c r="E41" s="25" t="s">
        <v>25</v>
      </c>
      <c r="I41" s="24">
        <v>2015</v>
      </c>
      <c r="J41" s="24"/>
      <c r="K41" s="24"/>
      <c r="L41" s="24"/>
      <c r="M41" s="24"/>
    </row>
    <row r="42" spans="1:20" s="25" customFormat="1" x14ac:dyDescent="0.2">
      <c r="A42" s="51" t="s">
        <v>229</v>
      </c>
      <c r="B42" s="51" t="s">
        <v>18</v>
      </c>
      <c r="C42" s="51" t="s">
        <v>222</v>
      </c>
      <c r="D42" s="51" t="s">
        <v>78</v>
      </c>
      <c r="E42" s="51" t="s">
        <v>17</v>
      </c>
      <c r="I42" s="51">
        <v>2016</v>
      </c>
      <c r="J42" s="51"/>
      <c r="K42" s="51"/>
      <c r="L42" s="51"/>
      <c r="M42" s="51"/>
      <c r="N42" s="41"/>
      <c r="O42" s="41"/>
      <c r="P42" s="41"/>
      <c r="Q42" s="41"/>
      <c r="R42" s="41"/>
    </row>
    <row r="43" spans="1:20" s="25" customFormat="1" x14ac:dyDescent="0.2">
      <c r="A43" s="51" t="s">
        <v>230</v>
      </c>
      <c r="B43" s="51" t="s">
        <v>18</v>
      </c>
      <c r="C43" s="51" t="s">
        <v>228</v>
      </c>
      <c r="D43" s="51" t="s">
        <v>82</v>
      </c>
      <c r="E43" s="51" t="s">
        <v>17</v>
      </c>
      <c r="I43" s="51">
        <v>2016</v>
      </c>
      <c r="J43" s="51"/>
      <c r="K43" s="51"/>
      <c r="L43" s="51"/>
      <c r="M43" s="51"/>
      <c r="N43" s="41"/>
      <c r="O43" s="41"/>
      <c r="P43" s="41"/>
      <c r="Q43" s="41"/>
      <c r="R43" s="41"/>
    </row>
    <row r="44" spans="1:20" s="25" customFormat="1" x14ac:dyDescent="0.2">
      <c r="A44" s="24" t="s">
        <v>36</v>
      </c>
      <c r="B44" s="24" t="s">
        <v>38</v>
      </c>
      <c r="C44" s="24" t="s">
        <v>216</v>
      </c>
      <c r="D44" s="51" t="s">
        <v>82</v>
      </c>
      <c r="E44" s="24" t="s">
        <v>39</v>
      </c>
      <c r="I44" s="24">
        <v>2016</v>
      </c>
      <c r="J44" s="24"/>
      <c r="K44" s="24"/>
      <c r="L44" s="24"/>
      <c r="M44" s="24"/>
    </row>
    <row r="45" spans="1:20" s="25" customFormat="1" ht="16" customHeight="1" x14ac:dyDescent="0.2">
      <c r="A45" s="24"/>
      <c r="B45" s="24" t="s">
        <v>38</v>
      </c>
      <c r="C45" s="24" t="s">
        <v>216</v>
      </c>
      <c r="D45" s="51" t="s">
        <v>82</v>
      </c>
      <c r="E45" s="24" t="s">
        <v>39</v>
      </c>
      <c r="I45" s="24">
        <v>2016</v>
      </c>
      <c r="J45" s="24"/>
      <c r="K45" s="24"/>
      <c r="L45" s="24"/>
      <c r="M45" s="24"/>
    </row>
    <row r="46" spans="1:20" s="25" customFormat="1" x14ac:dyDescent="0.2">
      <c r="A46" s="24"/>
      <c r="B46" s="24" t="s">
        <v>38</v>
      </c>
      <c r="C46" s="24" t="s">
        <v>216</v>
      </c>
      <c r="D46" s="51" t="s">
        <v>82</v>
      </c>
      <c r="E46" s="24" t="s">
        <v>39</v>
      </c>
      <c r="I46" s="24">
        <v>2016</v>
      </c>
      <c r="J46" s="24"/>
      <c r="K46" s="24"/>
      <c r="L46" s="24"/>
      <c r="M46" s="24"/>
    </row>
    <row r="47" spans="1:20" s="25" customFormat="1" ht="16" customHeight="1" x14ac:dyDescent="0.2">
      <c r="A47" s="24" t="s">
        <v>37</v>
      </c>
      <c r="B47" s="24" t="s">
        <v>38</v>
      </c>
      <c r="C47" s="24" t="s">
        <v>216</v>
      </c>
      <c r="D47" s="51" t="s">
        <v>82</v>
      </c>
      <c r="E47" s="24" t="s">
        <v>39</v>
      </c>
      <c r="I47" s="24">
        <v>2016</v>
      </c>
      <c r="J47" s="24"/>
      <c r="K47" s="24"/>
      <c r="L47" s="24"/>
      <c r="M47" s="24"/>
    </row>
    <row r="48" spans="1:20" s="25" customFormat="1" ht="16" customHeight="1" x14ac:dyDescent="0.2">
      <c r="A48" s="24"/>
      <c r="B48" s="24" t="s">
        <v>38</v>
      </c>
      <c r="C48" s="24" t="s">
        <v>216</v>
      </c>
      <c r="D48" s="51" t="s">
        <v>82</v>
      </c>
      <c r="E48" s="24" t="s">
        <v>39</v>
      </c>
      <c r="I48" s="24">
        <v>2016</v>
      </c>
      <c r="J48" s="24"/>
      <c r="K48" s="24"/>
      <c r="L48" s="24"/>
      <c r="M48" s="24"/>
    </row>
    <row r="49" spans="1:13" s="25" customFormat="1" ht="16" customHeight="1" x14ac:dyDescent="0.2">
      <c r="A49" s="24"/>
      <c r="B49" s="24" t="s">
        <v>38</v>
      </c>
      <c r="C49" s="24" t="s">
        <v>216</v>
      </c>
      <c r="D49" s="51" t="s">
        <v>82</v>
      </c>
      <c r="E49" s="24" t="s">
        <v>39</v>
      </c>
      <c r="I49" s="24">
        <v>2016</v>
      </c>
      <c r="J49" s="24"/>
      <c r="K49" s="24"/>
      <c r="L49" s="24"/>
      <c r="M49" s="24"/>
    </row>
    <row r="50" spans="1:13" s="25" customFormat="1" ht="16" customHeight="1" x14ac:dyDescent="0.2">
      <c r="A50" s="24" t="s">
        <v>43</v>
      </c>
      <c r="B50" s="24" t="s">
        <v>6</v>
      </c>
      <c r="C50" s="24" t="s">
        <v>233</v>
      </c>
      <c r="D50" s="51" t="s">
        <v>82</v>
      </c>
      <c r="E50" s="24">
        <v>2012</v>
      </c>
      <c r="I50" s="24">
        <v>2016</v>
      </c>
      <c r="J50" s="24"/>
      <c r="K50" s="24"/>
      <c r="L50" s="24"/>
      <c r="M50" s="24"/>
    </row>
    <row r="51" spans="1:13" s="25" customFormat="1" ht="16" customHeight="1" x14ac:dyDescent="0.2">
      <c r="A51" s="24" t="s">
        <v>48</v>
      </c>
      <c r="B51" s="24" t="s">
        <v>6</v>
      </c>
      <c r="C51" s="24" t="s">
        <v>233</v>
      </c>
      <c r="D51" s="51" t="s">
        <v>90</v>
      </c>
      <c r="E51" s="24">
        <v>2012</v>
      </c>
      <c r="I51" s="24">
        <v>2016</v>
      </c>
      <c r="J51" s="24"/>
      <c r="K51" s="24"/>
      <c r="L51" s="24"/>
      <c r="M51" s="24"/>
    </row>
    <row r="52" spans="1:13" s="25" customFormat="1" ht="16" customHeight="1" x14ac:dyDescent="0.2">
      <c r="A52" s="24"/>
      <c r="B52" s="24" t="s">
        <v>6</v>
      </c>
      <c r="C52" s="24" t="s">
        <v>233</v>
      </c>
      <c r="D52" s="51" t="s">
        <v>90</v>
      </c>
      <c r="E52" s="24">
        <v>2013</v>
      </c>
      <c r="I52" s="24">
        <v>2016</v>
      </c>
      <c r="J52" s="24"/>
      <c r="K52" s="24"/>
      <c r="L52" s="24"/>
      <c r="M52" s="24"/>
    </row>
    <row r="53" spans="1:13" s="25" customFormat="1" ht="16" customHeight="1" x14ac:dyDescent="0.2">
      <c r="A53" s="24" t="s">
        <v>43</v>
      </c>
      <c r="B53" s="24" t="s">
        <v>6</v>
      </c>
      <c r="C53" s="24" t="s">
        <v>233</v>
      </c>
      <c r="D53" s="51" t="s">
        <v>82</v>
      </c>
      <c r="E53" s="24" t="s">
        <v>25</v>
      </c>
      <c r="I53" s="24">
        <v>2016</v>
      </c>
      <c r="J53" s="24"/>
      <c r="K53" s="24"/>
      <c r="L53" s="24"/>
      <c r="M53" s="24"/>
    </row>
    <row r="54" spans="1:13" s="25" customFormat="1" x14ac:dyDescent="0.2">
      <c r="A54" s="24"/>
      <c r="B54" s="24" t="s">
        <v>6</v>
      </c>
      <c r="C54" s="24" t="s">
        <v>233</v>
      </c>
      <c r="D54" s="51" t="s">
        <v>82</v>
      </c>
      <c r="E54" s="24" t="s">
        <v>25</v>
      </c>
      <c r="I54" s="24">
        <v>2016</v>
      </c>
      <c r="J54" s="24"/>
      <c r="K54" s="24"/>
      <c r="L54" s="24"/>
      <c r="M54" s="24"/>
    </row>
    <row r="55" spans="1:13" s="25" customFormat="1" x14ac:dyDescent="0.2">
      <c r="A55" s="24" t="s">
        <v>48</v>
      </c>
      <c r="B55" s="24" t="s">
        <v>6</v>
      </c>
      <c r="C55" s="24" t="s">
        <v>233</v>
      </c>
      <c r="D55" s="51" t="s">
        <v>90</v>
      </c>
      <c r="E55" s="24" t="s">
        <v>25</v>
      </c>
      <c r="I55" s="24">
        <v>2016</v>
      </c>
      <c r="J55" s="24"/>
      <c r="K55" s="24"/>
      <c r="L55" s="24"/>
      <c r="M55" s="24"/>
    </row>
    <row r="56" spans="1:13" s="25" customFormat="1" x14ac:dyDescent="0.2">
      <c r="A56" s="24"/>
      <c r="B56" s="24" t="s">
        <v>6</v>
      </c>
      <c r="C56" s="24" t="s">
        <v>233</v>
      </c>
      <c r="D56" s="51" t="s">
        <v>90</v>
      </c>
      <c r="E56" s="24" t="s">
        <v>25</v>
      </c>
      <c r="I56" s="24">
        <v>2016</v>
      </c>
      <c r="J56" s="24"/>
      <c r="K56" s="24"/>
      <c r="L56" s="24"/>
      <c r="M56" s="24"/>
    </row>
  </sheetData>
  <sortState ref="A2:N56">
    <sortCondition ref="I2:I5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D23" workbookViewId="0">
      <selection activeCell="E67" sqref="E67"/>
    </sheetView>
  </sheetViews>
  <sheetFormatPr baseColWidth="10" defaultRowHeight="16" x14ac:dyDescent="0.2"/>
  <cols>
    <col min="1" max="1" width="37" style="6" customWidth="1"/>
    <col min="2" max="2" width="16" style="6" customWidth="1"/>
    <col min="3" max="3" width="17.33203125" style="6" bestFit="1" customWidth="1"/>
    <col min="4" max="4" width="37" style="6" customWidth="1"/>
    <col min="5" max="5" width="47.5" style="6" customWidth="1"/>
    <col min="6" max="6" width="16.1640625" style="6" bestFit="1" customWidth="1"/>
    <col min="7" max="7" width="12.5" style="6" customWidth="1"/>
    <col min="8" max="8" width="10.83203125" style="6" customWidth="1"/>
    <col min="9" max="9" width="18.1640625" style="6" bestFit="1" customWidth="1"/>
    <col min="10" max="10" width="27.33203125" style="6" bestFit="1" customWidth="1"/>
    <col min="11" max="11" width="18.33203125" style="6" customWidth="1"/>
    <col min="12" max="12" width="25.33203125" style="13" bestFit="1" customWidth="1"/>
    <col min="13" max="13" width="18.33203125" style="13" customWidth="1"/>
    <col min="14" max="14" width="153.6640625" style="6" bestFit="1" customWidth="1"/>
    <col min="15" max="15" width="11.6640625" style="6" bestFit="1" customWidth="1"/>
    <col min="16" max="16384" width="10.83203125" style="6"/>
  </cols>
  <sheetData>
    <row r="1" spans="1:14" s="22" customFormat="1" ht="32" x14ac:dyDescent="0.2">
      <c r="A1" s="22" t="s">
        <v>0</v>
      </c>
      <c r="B1" s="22" t="s">
        <v>211</v>
      </c>
      <c r="C1" s="22" t="s">
        <v>212</v>
      </c>
      <c r="D1" s="22" t="s">
        <v>61</v>
      </c>
      <c r="E1" s="22" t="s">
        <v>1</v>
      </c>
      <c r="F1" s="22" t="s">
        <v>45</v>
      </c>
      <c r="G1" s="22" t="s">
        <v>46</v>
      </c>
      <c r="H1" s="22" t="s">
        <v>14</v>
      </c>
      <c r="I1" s="22" t="s">
        <v>47</v>
      </c>
      <c r="J1" s="22" t="s">
        <v>2</v>
      </c>
      <c r="K1" s="22" t="s">
        <v>30</v>
      </c>
      <c r="L1" s="45" t="s">
        <v>214</v>
      </c>
      <c r="M1" s="45" t="s">
        <v>217</v>
      </c>
      <c r="N1" s="22" t="s">
        <v>13</v>
      </c>
    </row>
    <row r="2" spans="1:14" s="10" customFormat="1" x14ac:dyDescent="0.2">
      <c r="A2" s="29" t="s">
        <v>3</v>
      </c>
      <c r="B2" s="11" t="s">
        <v>6</v>
      </c>
      <c r="C2" s="11" t="s">
        <v>233</v>
      </c>
      <c r="D2" s="11" t="s">
        <v>90</v>
      </c>
      <c r="E2" s="30" t="s">
        <v>5</v>
      </c>
      <c r="F2" s="11" t="s">
        <v>98</v>
      </c>
      <c r="G2" s="11" t="s">
        <v>213</v>
      </c>
      <c r="H2" s="11">
        <v>0.4</v>
      </c>
      <c r="I2" s="15">
        <f>160*(16/12)</f>
        <v>213.33333333333331</v>
      </c>
      <c r="J2" s="10" t="s">
        <v>99</v>
      </c>
      <c r="K2" s="10" t="s">
        <v>102</v>
      </c>
      <c r="L2" s="12" t="s">
        <v>215</v>
      </c>
      <c r="M2" s="12" t="s">
        <v>224</v>
      </c>
    </row>
    <row r="3" spans="1:14" s="10" customFormat="1" ht="16" customHeight="1" x14ac:dyDescent="0.2">
      <c r="A3" s="29" t="s">
        <v>4</v>
      </c>
      <c r="B3" s="11" t="s">
        <v>6</v>
      </c>
      <c r="C3" s="11" t="s">
        <v>233</v>
      </c>
      <c r="D3" s="11" t="s">
        <v>86</v>
      </c>
      <c r="E3" s="30" t="s">
        <v>24</v>
      </c>
      <c r="F3" s="11" t="s">
        <v>98</v>
      </c>
      <c r="G3" s="11" t="s">
        <v>213</v>
      </c>
      <c r="H3" s="11">
        <v>1.8</v>
      </c>
      <c r="I3" s="15">
        <f>73*(16/12)</f>
        <v>97.333333333333329</v>
      </c>
      <c r="J3" s="10" t="s">
        <v>99</v>
      </c>
      <c r="K3" s="10" t="s">
        <v>103</v>
      </c>
      <c r="L3" s="12" t="s">
        <v>215</v>
      </c>
      <c r="M3" s="12" t="s">
        <v>224</v>
      </c>
    </row>
    <row r="4" spans="1:14" s="10" customFormat="1" x14ac:dyDescent="0.2">
      <c r="A4" s="19" t="s">
        <v>100</v>
      </c>
      <c r="B4" s="11" t="s">
        <v>6</v>
      </c>
      <c r="C4" s="11" t="s">
        <v>233</v>
      </c>
      <c r="D4" s="19" t="s">
        <v>78</v>
      </c>
      <c r="E4" s="18" t="s">
        <v>101</v>
      </c>
      <c r="F4" s="11" t="s">
        <v>98</v>
      </c>
      <c r="G4" s="11" t="s">
        <v>213</v>
      </c>
      <c r="H4" s="11">
        <v>18.100000000000001</v>
      </c>
      <c r="I4" s="15">
        <f>4.3*(16/12)</f>
        <v>5.7333333333333325</v>
      </c>
      <c r="J4" s="10" t="s">
        <v>99</v>
      </c>
      <c r="K4" s="10" t="s">
        <v>104</v>
      </c>
      <c r="L4" s="12" t="s">
        <v>215</v>
      </c>
      <c r="M4" s="12" t="s">
        <v>224</v>
      </c>
    </row>
    <row r="5" spans="1:14" s="7" customFormat="1" x14ac:dyDescent="0.2">
      <c r="A5" s="31" t="s">
        <v>106</v>
      </c>
      <c r="B5" s="9" t="s">
        <v>105</v>
      </c>
      <c r="C5" s="9" t="s">
        <v>216</v>
      </c>
      <c r="D5" s="9" t="s">
        <v>78</v>
      </c>
      <c r="E5" s="32" t="s">
        <v>29</v>
      </c>
      <c r="F5" s="9" t="s">
        <v>109</v>
      </c>
      <c r="G5" s="9" t="s">
        <v>213</v>
      </c>
      <c r="H5" s="33">
        <v>18.7</v>
      </c>
      <c r="I5" s="9">
        <v>1.2</v>
      </c>
      <c r="J5" s="7" t="s">
        <v>111</v>
      </c>
      <c r="K5" s="7" t="s">
        <v>114</v>
      </c>
      <c r="L5" s="21" t="s">
        <v>215</v>
      </c>
      <c r="M5" s="21" t="s">
        <v>224</v>
      </c>
    </row>
    <row r="6" spans="1:14" s="7" customFormat="1" x14ac:dyDescent="0.2">
      <c r="A6" s="33" t="s">
        <v>107</v>
      </c>
      <c r="B6" s="9" t="s">
        <v>105</v>
      </c>
      <c r="C6" s="9" t="s">
        <v>216</v>
      </c>
      <c r="D6" s="9" t="s">
        <v>78</v>
      </c>
      <c r="E6" s="32" t="s">
        <v>108</v>
      </c>
      <c r="F6" s="9" t="s">
        <v>109</v>
      </c>
      <c r="G6" s="9" t="s">
        <v>213</v>
      </c>
      <c r="H6" s="33">
        <v>22.6</v>
      </c>
      <c r="I6" s="9">
        <v>0.4</v>
      </c>
      <c r="J6" s="7" t="s">
        <v>111</v>
      </c>
      <c r="K6" s="7" t="s">
        <v>114</v>
      </c>
      <c r="L6" s="21" t="s">
        <v>215</v>
      </c>
      <c r="M6" s="21" t="s">
        <v>224</v>
      </c>
    </row>
    <row r="7" spans="1:14" s="7" customFormat="1" x14ac:dyDescent="0.2">
      <c r="A7" s="33" t="s">
        <v>115</v>
      </c>
      <c r="B7" s="9" t="s">
        <v>105</v>
      </c>
      <c r="C7" s="9" t="s">
        <v>216</v>
      </c>
      <c r="D7" s="9" t="s">
        <v>78</v>
      </c>
      <c r="E7" s="32" t="s">
        <v>29</v>
      </c>
      <c r="F7" s="9" t="s">
        <v>110</v>
      </c>
      <c r="G7" s="9" t="s">
        <v>213</v>
      </c>
      <c r="H7" s="33">
        <v>26.3</v>
      </c>
      <c r="I7" s="9">
        <v>1.3</v>
      </c>
      <c r="J7" s="7" t="s">
        <v>111</v>
      </c>
      <c r="K7" s="7" t="s">
        <v>114</v>
      </c>
      <c r="L7" s="21" t="s">
        <v>215</v>
      </c>
      <c r="M7" s="21" t="s">
        <v>224</v>
      </c>
    </row>
    <row r="8" spans="1:14" s="10" customFormat="1" x14ac:dyDescent="0.2">
      <c r="A8" s="29" t="s">
        <v>116</v>
      </c>
      <c r="B8" s="11" t="s">
        <v>105</v>
      </c>
      <c r="C8" s="11" t="s">
        <v>216</v>
      </c>
      <c r="D8" s="11" t="s">
        <v>82</v>
      </c>
      <c r="E8" s="30" t="s">
        <v>119</v>
      </c>
      <c r="F8" s="11" t="s">
        <v>122</v>
      </c>
      <c r="G8" s="11" t="s">
        <v>213</v>
      </c>
      <c r="H8" s="29">
        <v>5.0999999999999996</v>
      </c>
      <c r="I8" s="29">
        <v>18.2</v>
      </c>
      <c r="J8" s="10" t="s">
        <v>123</v>
      </c>
      <c r="K8" s="10" t="s">
        <v>124</v>
      </c>
      <c r="L8" s="12" t="s">
        <v>218</v>
      </c>
      <c r="M8" s="12" t="s">
        <v>224</v>
      </c>
    </row>
    <row r="9" spans="1:14" s="10" customFormat="1" x14ac:dyDescent="0.2">
      <c r="A9" s="29" t="s">
        <v>117</v>
      </c>
      <c r="B9" s="11" t="s">
        <v>105</v>
      </c>
      <c r="C9" s="11" t="s">
        <v>216</v>
      </c>
      <c r="D9" s="19" t="s">
        <v>82</v>
      </c>
      <c r="E9" s="30" t="s">
        <v>120</v>
      </c>
      <c r="F9" s="11" t="s">
        <v>122</v>
      </c>
      <c r="G9" s="11" t="s">
        <v>213</v>
      </c>
      <c r="H9" s="29">
        <v>12.8</v>
      </c>
      <c r="I9" s="29">
        <v>22.4</v>
      </c>
      <c r="J9" s="10" t="s">
        <v>123</v>
      </c>
      <c r="K9" s="10" t="s">
        <v>124</v>
      </c>
      <c r="L9" s="12" t="s">
        <v>218</v>
      </c>
      <c r="M9" s="12" t="s">
        <v>224</v>
      </c>
    </row>
    <row r="10" spans="1:14" s="10" customFormat="1" x14ac:dyDescent="0.2">
      <c r="A10" s="29" t="s">
        <v>118</v>
      </c>
      <c r="B10" s="11" t="s">
        <v>105</v>
      </c>
      <c r="C10" s="11" t="s">
        <v>216</v>
      </c>
      <c r="D10" s="11" t="s">
        <v>82</v>
      </c>
      <c r="E10" s="30" t="s">
        <v>121</v>
      </c>
      <c r="F10" s="11" t="s">
        <v>122</v>
      </c>
      <c r="G10" s="11" t="s">
        <v>213</v>
      </c>
      <c r="H10" s="29">
        <v>16.600000000000001</v>
      </c>
      <c r="I10" s="11">
        <v>5.6</v>
      </c>
      <c r="J10" s="10" t="s">
        <v>123</v>
      </c>
      <c r="K10" s="10" t="s">
        <v>124</v>
      </c>
      <c r="L10" s="12" t="s">
        <v>218</v>
      </c>
      <c r="M10" s="12" t="s">
        <v>224</v>
      </c>
    </row>
    <row r="11" spans="1:14" s="7" customFormat="1" x14ac:dyDescent="0.2">
      <c r="A11" s="33" t="s">
        <v>125</v>
      </c>
      <c r="B11" s="31" t="s">
        <v>131</v>
      </c>
      <c r="C11" s="31" t="s">
        <v>221</v>
      </c>
      <c r="D11" s="9" t="s">
        <v>90</v>
      </c>
      <c r="E11" s="32" t="s">
        <v>130</v>
      </c>
      <c r="F11" s="9" t="s">
        <v>132</v>
      </c>
      <c r="G11" s="9" t="s">
        <v>213</v>
      </c>
      <c r="H11" s="33">
        <v>0.25</v>
      </c>
      <c r="I11" s="33">
        <v>8.1999999999999993</v>
      </c>
      <c r="J11" s="34" t="s">
        <v>133</v>
      </c>
      <c r="K11" s="7" t="s">
        <v>31</v>
      </c>
      <c r="L11" s="21" t="s">
        <v>219</v>
      </c>
      <c r="M11" s="21" t="s">
        <v>220</v>
      </c>
    </row>
    <row r="12" spans="1:14" s="7" customFormat="1" x14ac:dyDescent="0.2">
      <c r="A12" s="33" t="s">
        <v>126</v>
      </c>
      <c r="B12" s="31" t="s">
        <v>131</v>
      </c>
      <c r="C12" s="31" t="s">
        <v>221</v>
      </c>
      <c r="D12" s="9" t="s">
        <v>90</v>
      </c>
      <c r="E12" s="32" t="s">
        <v>129</v>
      </c>
      <c r="F12" s="9" t="s">
        <v>132</v>
      </c>
      <c r="G12" s="9" t="s">
        <v>213</v>
      </c>
      <c r="H12" s="33">
        <v>0.25</v>
      </c>
      <c r="I12" s="33">
        <v>5.7</v>
      </c>
      <c r="J12" s="34" t="s">
        <v>133</v>
      </c>
      <c r="K12" s="7" t="s">
        <v>31</v>
      </c>
      <c r="L12" s="21" t="s">
        <v>219</v>
      </c>
      <c r="M12" s="21" t="s">
        <v>220</v>
      </c>
    </row>
    <row r="13" spans="1:14" s="7" customFormat="1" x14ac:dyDescent="0.2">
      <c r="A13" s="33" t="s">
        <v>127</v>
      </c>
      <c r="B13" s="31" t="s">
        <v>131</v>
      </c>
      <c r="C13" s="31" t="s">
        <v>221</v>
      </c>
      <c r="D13" s="9" t="s">
        <v>90</v>
      </c>
      <c r="E13" s="32" t="s">
        <v>129</v>
      </c>
      <c r="F13" s="9" t="s">
        <v>132</v>
      </c>
      <c r="G13" s="9" t="s">
        <v>213</v>
      </c>
      <c r="H13" s="33">
        <v>0.25</v>
      </c>
      <c r="I13" s="33">
        <v>5.0999999999999996</v>
      </c>
      <c r="J13" s="34" t="s">
        <v>133</v>
      </c>
      <c r="K13" s="7" t="s">
        <v>31</v>
      </c>
      <c r="L13" s="21" t="s">
        <v>219</v>
      </c>
      <c r="M13" s="21" t="s">
        <v>220</v>
      </c>
    </row>
    <row r="14" spans="1:14" s="7" customFormat="1" x14ac:dyDescent="0.2">
      <c r="A14" s="33" t="s">
        <v>128</v>
      </c>
      <c r="B14" s="31" t="s">
        <v>131</v>
      </c>
      <c r="C14" s="31" t="s">
        <v>221</v>
      </c>
      <c r="D14" s="9" t="s">
        <v>90</v>
      </c>
      <c r="E14" s="32" t="s">
        <v>129</v>
      </c>
      <c r="F14" s="9" t="s">
        <v>132</v>
      </c>
      <c r="G14" s="9" t="s">
        <v>213</v>
      </c>
      <c r="H14" s="33">
        <v>0.25</v>
      </c>
      <c r="I14" s="33">
        <v>3.5</v>
      </c>
      <c r="J14" s="34" t="s">
        <v>133</v>
      </c>
      <c r="K14" s="7" t="s">
        <v>31</v>
      </c>
      <c r="L14" s="21" t="s">
        <v>219</v>
      </c>
      <c r="M14" s="21" t="s">
        <v>220</v>
      </c>
    </row>
    <row r="15" spans="1:14" s="11" customFormat="1" x14ac:dyDescent="0.2">
      <c r="A15" s="29" t="s">
        <v>134</v>
      </c>
      <c r="B15" s="11" t="s">
        <v>18</v>
      </c>
      <c r="C15" s="11" t="s">
        <v>222</v>
      </c>
      <c r="D15" s="11" t="s">
        <v>78</v>
      </c>
      <c r="E15" s="30" t="s">
        <v>137</v>
      </c>
      <c r="F15" s="11">
        <v>1993</v>
      </c>
      <c r="G15" s="11" t="s">
        <v>213</v>
      </c>
      <c r="H15" s="29">
        <v>23.5</v>
      </c>
      <c r="I15" s="29">
        <v>1.3</v>
      </c>
      <c r="J15" s="29" t="s">
        <v>140</v>
      </c>
      <c r="K15" s="11" t="s">
        <v>31</v>
      </c>
      <c r="L15" s="19" t="s">
        <v>218</v>
      </c>
      <c r="M15" s="19" t="s">
        <v>223</v>
      </c>
    </row>
    <row r="16" spans="1:14" s="11" customFormat="1" x14ac:dyDescent="0.2">
      <c r="A16" s="29" t="s">
        <v>107</v>
      </c>
      <c r="B16" s="11" t="s">
        <v>18</v>
      </c>
      <c r="C16" s="11" t="s">
        <v>222</v>
      </c>
      <c r="D16" s="11" t="s">
        <v>70</v>
      </c>
      <c r="E16" s="30" t="s">
        <v>138</v>
      </c>
      <c r="F16" s="11">
        <v>1993</v>
      </c>
      <c r="G16" s="11" t="s">
        <v>213</v>
      </c>
      <c r="H16" s="29">
        <v>31.6</v>
      </c>
      <c r="I16" s="29">
        <v>0.2</v>
      </c>
      <c r="J16" s="29" t="s">
        <v>140</v>
      </c>
      <c r="K16" s="11" t="s">
        <v>31</v>
      </c>
      <c r="L16" s="19" t="s">
        <v>218</v>
      </c>
      <c r="M16" s="19" t="s">
        <v>223</v>
      </c>
    </row>
    <row r="17" spans="1:14" s="11" customFormat="1" x14ac:dyDescent="0.2">
      <c r="A17" s="29" t="s">
        <v>135</v>
      </c>
      <c r="B17" s="11" t="s">
        <v>18</v>
      </c>
      <c r="C17" s="11" t="s">
        <v>222</v>
      </c>
      <c r="D17" s="11" t="s">
        <v>70</v>
      </c>
      <c r="E17" s="30" t="s">
        <v>139</v>
      </c>
      <c r="F17" s="11">
        <v>1993</v>
      </c>
      <c r="G17" s="11" t="s">
        <v>213</v>
      </c>
      <c r="H17" s="29">
        <v>33.700000000000003</v>
      </c>
      <c r="I17" s="29">
        <v>0.2</v>
      </c>
      <c r="J17" s="29" t="s">
        <v>140</v>
      </c>
      <c r="K17" s="11" t="s">
        <v>31</v>
      </c>
      <c r="L17" s="19" t="s">
        <v>218</v>
      </c>
      <c r="M17" s="19" t="s">
        <v>223</v>
      </c>
    </row>
    <row r="18" spans="1:14" s="11" customFormat="1" x14ac:dyDescent="0.2">
      <c r="A18" s="29" t="s">
        <v>136</v>
      </c>
      <c r="B18" s="11" t="s">
        <v>18</v>
      </c>
      <c r="C18" s="11" t="s">
        <v>222</v>
      </c>
      <c r="D18" s="11" t="s">
        <v>70</v>
      </c>
      <c r="E18" s="30" t="s">
        <v>29</v>
      </c>
      <c r="F18" s="11">
        <v>1993</v>
      </c>
      <c r="G18" s="11" t="s">
        <v>213</v>
      </c>
      <c r="H18" s="29">
        <v>35.1</v>
      </c>
      <c r="I18" s="29">
        <v>0.2</v>
      </c>
      <c r="J18" s="29" t="s">
        <v>140</v>
      </c>
      <c r="K18" s="11" t="s">
        <v>31</v>
      </c>
      <c r="L18" s="19" t="s">
        <v>218</v>
      </c>
      <c r="M18" s="19" t="s">
        <v>223</v>
      </c>
    </row>
    <row r="19" spans="1:14" s="7" customFormat="1" x14ac:dyDescent="0.2">
      <c r="A19" s="33" t="s">
        <v>141</v>
      </c>
      <c r="B19" s="9" t="s">
        <v>105</v>
      </c>
      <c r="C19" s="9" t="s">
        <v>216</v>
      </c>
      <c r="D19" s="9" t="s">
        <v>90</v>
      </c>
      <c r="E19" s="35" t="s">
        <v>196</v>
      </c>
      <c r="F19" s="9" t="s">
        <v>144</v>
      </c>
      <c r="G19" s="9" t="s">
        <v>213</v>
      </c>
      <c r="H19" s="33">
        <v>0.25</v>
      </c>
      <c r="I19" s="9">
        <v>96</v>
      </c>
      <c r="J19" s="7" t="s">
        <v>142</v>
      </c>
      <c r="K19" s="7" t="s">
        <v>143</v>
      </c>
      <c r="L19" s="21" t="s">
        <v>219</v>
      </c>
      <c r="M19" s="21" t="s">
        <v>224</v>
      </c>
    </row>
    <row r="20" spans="1:14" s="10" customFormat="1" ht="16" customHeight="1" x14ac:dyDescent="0.2">
      <c r="A20" s="29" t="s">
        <v>145</v>
      </c>
      <c r="B20" s="11" t="s">
        <v>131</v>
      </c>
      <c r="C20" s="11" t="s">
        <v>221</v>
      </c>
      <c r="D20" s="11" t="s">
        <v>90</v>
      </c>
      <c r="E20" s="30" t="s">
        <v>147</v>
      </c>
      <c r="F20" s="11" t="s">
        <v>150</v>
      </c>
      <c r="G20" s="11" t="s">
        <v>213</v>
      </c>
      <c r="H20" s="29">
        <v>0.25</v>
      </c>
      <c r="I20" s="29">
        <v>1.3</v>
      </c>
      <c r="J20" s="36" t="s">
        <v>149</v>
      </c>
      <c r="K20" s="10" t="s">
        <v>151</v>
      </c>
      <c r="L20" s="12" t="s">
        <v>215</v>
      </c>
      <c r="M20" s="12" t="s">
        <v>220</v>
      </c>
      <c r="N20" s="10" t="s">
        <v>225</v>
      </c>
    </row>
    <row r="21" spans="1:14" s="10" customFormat="1" x14ac:dyDescent="0.2">
      <c r="A21" s="29" t="s">
        <v>146</v>
      </c>
      <c r="B21" s="11" t="s">
        <v>131</v>
      </c>
      <c r="C21" s="11" t="s">
        <v>221</v>
      </c>
      <c r="D21" s="11" t="s">
        <v>90</v>
      </c>
      <c r="E21" s="30" t="s">
        <v>148</v>
      </c>
      <c r="F21" s="11" t="s">
        <v>150</v>
      </c>
      <c r="G21" s="11" t="s">
        <v>213</v>
      </c>
      <c r="H21" s="29">
        <v>0.25</v>
      </c>
      <c r="I21" s="29">
        <v>1.8</v>
      </c>
      <c r="J21" s="36" t="s">
        <v>149</v>
      </c>
      <c r="K21" s="10" t="s">
        <v>151</v>
      </c>
      <c r="L21" s="12" t="s">
        <v>215</v>
      </c>
      <c r="M21" s="12" t="s">
        <v>220</v>
      </c>
      <c r="N21" s="10" t="s">
        <v>225</v>
      </c>
    </row>
    <row r="22" spans="1:14" s="7" customFormat="1" x14ac:dyDescent="0.2">
      <c r="A22" s="33" t="s">
        <v>155</v>
      </c>
      <c r="B22" s="9" t="s">
        <v>38</v>
      </c>
      <c r="C22" s="9" t="s">
        <v>216</v>
      </c>
      <c r="D22" s="9" t="s">
        <v>82</v>
      </c>
      <c r="E22" s="32" t="s">
        <v>152</v>
      </c>
      <c r="F22" s="9" t="s">
        <v>153</v>
      </c>
      <c r="G22" s="9" t="s">
        <v>213</v>
      </c>
      <c r="H22" s="33">
        <v>6.8</v>
      </c>
      <c r="I22" s="33">
        <v>4.7</v>
      </c>
      <c r="J22" s="7" t="s">
        <v>154</v>
      </c>
      <c r="K22" s="7" t="s">
        <v>103</v>
      </c>
      <c r="L22" s="21" t="s">
        <v>215</v>
      </c>
      <c r="M22" s="21" t="s">
        <v>223</v>
      </c>
    </row>
    <row r="23" spans="1:14" s="7" customFormat="1" x14ac:dyDescent="0.2">
      <c r="A23" s="33" t="s">
        <v>156</v>
      </c>
      <c r="B23" s="9" t="s">
        <v>38</v>
      </c>
      <c r="C23" s="9" t="s">
        <v>216</v>
      </c>
      <c r="D23" s="9" t="s">
        <v>82</v>
      </c>
      <c r="E23" s="32" t="s">
        <v>198</v>
      </c>
      <c r="F23" s="9" t="s">
        <v>153</v>
      </c>
      <c r="G23" s="9" t="s">
        <v>213</v>
      </c>
      <c r="H23" s="33">
        <v>6.8</v>
      </c>
      <c r="I23" s="33">
        <v>3.3</v>
      </c>
      <c r="J23" s="7" t="s">
        <v>154</v>
      </c>
      <c r="K23" s="7" t="s">
        <v>103</v>
      </c>
      <c r="L23" s="21" t="s">
        <v>215</v>
      </c>
      <c r="M23" s="21" t="s">
        <v>223</v>
      </c>
    </row>
    <row r="24" spans="1:14" s="10" customFormat="1" x14ac:dyDescent="0.2">
      <c r="A24" s="29" t="s">
        <v>235</v>
      </c>
      <c r="B24" s="11" t="s">
        <v>171</v>
      </c>
      <c r="C24" s="11" t="s">
        <v>221</v>
      </c>
      <c r="D24" s="10" t="s">
        <v>90</v>
      </c>
      <c r="E24" s="48" t="s">
        <v>238</v>
      </c>
      <c r="F24" s="11" t="s">
        <v>239</v>
      </c>
      <c r="G24" s="11" t="s">
        <v>213</v>
      </c>
      <c r="H24" s="29">
        <v>0.2</v>
      </c>
      <c r="I24" s="29">
        <v>1.1000000000000001</v>
      </c>
      <c r="J24" s="10" t="s">
        <v>242</v>
      </c>
      <c r="K24" s="10" t="s">
        <v>32</v>
      </c>
      <c r="L24" s="12" t="s">
        <v>218</v>
      </c>
      <c r="M24" s="12" t="s">
        <v>224</v>
      </c>
      <c r="N24" s="10" t="s">
        <v>241</v>
      </c>
    </row>
    <row r="25" spans="1:14" s="10" customFormat="1" x14ac:dyDescent="0.2">
      <c r="A25" s="29" t="s">
        <v>236</v>
      </c>
      <c r="B25" s="11" t="s">
        <v>171</v>
      </c>
      <c r="C25" s="11" t="s">
        <v>221</v>
      </c>
      <c r="D25" s="11" t="s">
        <v>86</v>
      </c>
      <c r="E25" s="30" t="s">
        <v>240</v>
      </c>
      <c r="F25" s="11" t="s">
        <v>239</v>
      </c>
      <c r="G25" s="11" t="s">
        <v>213</v>
      </c>
      <c r="H25" s="29">
        <v>1.3</v>
      </c>
      <c r="I25" s="29">
        <v>1.32</v>
      </c>
      <c r="J25" s="10" t="s">
        <v>242</v>
      </c>
      <c r="K25" s="10" t="s">
        <v>32</v>
      </c>
      <c r="L25" s="12" t="s">
        <v>218</v>
      </c>
      <c r="M25" s="12" t="s">
        <v>224</v>
      </c>
      <c r="N25" s="10" t="s">
        <v>241</v>
      </c>
    </row>
    <row r="26" spans="1:14" s="10" customFormat="1" x14ac:dyDescent="0.2">
      <c r="A26" s="29" t="s">
        <v>237</v>
      </c>
      <c r="B26" s="11" t="s">
        <v>171</v>
      </c>
      <c r="C26" s="11" t="s">
        <v>221</v>
      </c>
      <c r="D26" s="11" t="s">
        <v>86</v>
      </c>
      <c r="E26" s="30" t="s">
        <v>240</v>
      </c>
      <c r="F26" s="11" t="s">
        <v>239</v>
      </c>
      <c r="G26" s="11" t="s">
        <v>213</v>
      </c>
      <c r="H26" s="29">
        <v>4.7</v>
      </c>
      <c r="I26" s="29">
        <v>1.36</v>
      </c>
      <c r="J26" s="10" t="s">
        <v>242</v>
      </c>
      <c r="K26" s="10" t="s">
        <v>32</v>
      </c>
      <c r="L26" s="12" t="s">
        <v>218</v>
      </c>
      <c r="M26" s="12" t="s">
        <v>224</v>
      </c>
      <c r="N26" s="10" t="s">
        <v>241</v>
      </c>
    </row>
    <row r="27" spans="1:14" s="7" customFormat="1" ht="32" x14ac:dyDescent="0.2">
      <c r="A27" s="9" t="s">
        <v>26</v>
      </c>
      <c r="B27" s="9" t="s">
        <v>27</v>
      </c>
      <c r="C27" s="9" t="s">
        <v>216</v>
      </c>
      <c r="D27" s="9" t="s">
        <v>90</v>
      </c>
      <c r="E27" s="17" t="s">
        <v>197</v>
      </c>
      <c r="F27" s="9">
        <v>2007</v>
      </c>
      <c r="G27" s="9" t="s">
        <v>213</v>
      </c>
      <c r="H27" s="9">
        <v>0.25</v>
      </c>
      <c r="I27" s="14">
        <f>20*(16/12)</f>
        <v>26.666666666666664</v>
      </c>
      <c r="J27" s="7" t="s">
        <v>35</v>
      </c>
      <c r="K27" s="7" t="s">
        <v>34</v>
      </c>
      <c r="L27" s="21" t="s">
        <v>215</v>
      </c>
      <c r="M27" s="21" t="s">
        <v>224</v>
      </c>
      <c r="N27" s="21" t="s">
        <v>219</v>
      </c>
    </row>
    <row r="28" spans="1:14" s="7" customFormat="1" x14ac:dyDescent="0.2">
      <c r="A28" s="9"/>
      <c r="B28" s="9" t="s">
        <v>27</v>
      </c>
      <c r="C28" s="9" t="s">
        <v>216</v>
      </c>
      <c r="D28" s="9" t="s">
        <v>90</v>
      </c>
      <c r="E28" s="9"/>
      <c r="F28" s="9">
        <v>2008</v>
      </c>
      <c r="G28" s="9" t="s">
        <v>213</v>
      </c>
      <c r="H28" s="9">
        <v>0.25</v>
      </c>
      <c r="I28" s="14">
        <f>24*(16/12)</f>
        <v>32</v>
      </c>
      <c r="J28" s="7" t="s">
        <v>35</v>
      </c>
      <c r="K28" s="7" t="s">
        <v>34</v>
      </c>
      <c r="L28" s="21" t="s">
        <v>215</v>
      </c>
      <c r="M28" s="21" t="s">
        <v>224</v>
      </c>
      <c r="N28" s="21" t="s">
        <v>219</v>
      </c>
    </row>
    <row r="29" spans="1:14" s="7" customFormat="1" x14ac:dyDescent="0.2">
      <c r="A29" s="9" t="s">
        <v>56</v>
      </c>
      <c r="B29" s="9" t="s">
        <v>27</v>
      </c>
      <c r="C29" s="9" t="s">
        <v>216</v>
      </c>
      <c r="D29" s="9" t="s">
        <v>86</v>
      </c>
      <c r="E29" s="17" t="s">
        <v>28</v>
      </c>
      <c r="F29" s="9">
        <v>2007</v>
      </c>
      <c r="G29" s="9" t="s">
        <v>213</v>
      </c>
      <c r="H29" s="9">
        <v>2.5</v>
      </c>
      <c r="I29" s="14">
        <f>123*(16/12)</f>
        <v>164</v>
      </c>
      <c r="J29" s="7" t="s">
        <v>35</v>
      </c>
      <c r="K29" s="7" t="s">
        <v>34</v>
      </c>
      <c r="L29" s="21" t="s">
        <v>215</v>
      </c>
      <c r="M29" s="21" t="s">
        <v>224</v>
      </c>
      <c r="N29" s="7" t="s">
        <v>244</v>
      </c>
    </row>
    <row r="30" spans="1:14" s="7" customFormat="1" x14ac:dyDescent="0.2">
      <c r="A30" s="9"/>
      <c r="B30" s="9" t="s">
        <v>27</v>
      </c>
      <c r="C30" s="9" t="s">
        <v>216</v>
      </c>
      <c r="D30" s="9" t="s">
        <v>86</v>
      </c>
      <c r="E30" s="9"/>
      <c r="F30" s="9">
        <v>2008</v>
      </c>
      <c r="G30" s="9" t="s">
        <v>213</v>
      </c>
      <c r="H30" s="9">
        <v>2.5</v>
      </c>
      <c r="I30" s="14">
        <f>87*(16/12)</f>
        <v>116</v>
      </c>
      <c r="J30" s="7" t="s">
        <v>35</v>
      </c>
      <c r="K30" s="7" t="s">
        <v>34</v>
      </c>
      <c r="L30" s="21" t="s">
        <v>215</v>
      </c>
      <c r="M30" s="21" t="s">
        <v>224</v>
      </c>
      <c r="N30" s="7" t="s">
        <v>244</v>
      </c>
    </row>
    <row r="31" spans="1:14" s="7" customFormat="1" x14ac:dyDescent="0.2">
      <c r="A31" s="9" t="s">
        <v>57</v>
      </c>
      <c r="B31" s="9" t="s">
        <v>27</v>
      </c>
      <c r="C31" s="9" t="s">
        <v>216</v>
      </c>
      <c r="D31" s="9" t="s">
        <v>82</v>
      </c>
      <c r="E31" s="17" t="s">
        <v>29</v>
      </c>
      <c r="F31" s="9">
        <v>2007</v>
      </c>
      <c r="G31" s="9" t="s">
        <v>213</v>
      </c>
      <c r="H31" s="9">
        <v>10</v>
      </c>
      <c r="I31" s="14">
        <f>-5*(16/12)</f>
        <v>-6.6666666666666661</v>
      </c>
      <c r="J31" s="7" t="s">
        <v>35</v>
      </c>
      <c r="K31" s="7" t="s">
        <v>34</v>
      </c>
      <c r="L31" s="21" t="s">
        <v>215</v>
      </c>
      <c r="M31" s="21" t="s">
        <v>224</v>
      </c>
      <c r="N31" s="7" t="s">
        <v>244</v>
      </c>
    </row>
    <row r="32" spans="1:14" s="7" customFormat="1" x14ac:dyDescent="0.2">
      <c r="A32" s="9"/>
      <c r="B32" s="9" t="s">
        <v>27</v>
      </c>
      <c r="C32" s="9" t="s">
        <v>216</v>
      </c>
      <c r="D32" s="9" t="s">
        <v>82</v>
      </c>
      <c r="E32" s="9"/>
      <c r="F32" s="9">
        <v>2008</v>
      </c>
      <c r="G32" s="9" t="s">
        <v>213</v>
      </c>
      <c r="H32" s="9">
        <v>10</v>
      </c>
      <c r="I32" s="14">
        <f>-2*(16/12)</f>
        <v>-2.6666666666666665</v>
      </c>
      <c r="J32" s="7" t="s">
        <v>35</v>
      </c>
      <c r="K32" s="7" t="s">
        <v>34</v>
      </c>
      <c r="L32" s="21" t="s">
        <v>215</v>
      </c>
      <c r="M32" s="21" t="s">
        <v>224</v>
      </c>
      <c r="N32" s="7" t="s">
        <v>244</v>
      </c>
    </row>
    <row r="33" spans="1:14" s="10" customFormat="1" x14ac:dyDescent="0.2">
      <c r="A33" s="29" t="s">
        <v>157</v>
      </c>
      <c r="B33" s="29" t="s">
        <v>159</v>
      </c>
      <c r="C33" s="29" t="s">
        <v>216</v>
      </c>
      <c r="D33" s="11" t="s">
        <v>82</v>
      </c>
      <c r="E33" s="30" t="s">
        <v>160</v>
      </c>
      <c r="F33" s="11">
        <v>2008</v>
      </c>
      <c r="G33" s="11" t="s">
        <v>213</v>
      </c>
      <c r="H33" s="29">
        <v>11.6</v>
      </c>
      <c r="I33" s="29">
        <v>30.6</v>
      </c>
      <c r="J33" s="36" t="s">
        <v>161</v>
      </c>
      <c r="K33" s="10" t="s">
        <v>95</v>
      </c>
      <c r="L33" s="12" t="s">
        <v>215</v>
      </c>
      <c r="M33" s="12" t="s">
        <v>223</v>
      </c>
    </row>
    <row r="34" spans="1:14" s="10" customFormat="1" x14ac:dyDescent="0.2">
      <c r="A34" s="29" t="s">
        <v>158</v>
      </c>
      <c r="B34" s="29" t="s">
        <v>159</v>
      </c>
      <c r="C34" s="29" t="s">
        <v>216</v>
      </c>
      <c r="D34" s="11" t="s">
        <v>82</v>
      </c>
      <c r="E34" s="30" t="s">
        <v>160</v>
      </c>
      <c r="F34" s="11">
        <v>2008</v>
      </c>
      <c r="G34" s="11" t="s">
        <v>213</v>
      </c>
      <c r="H34" s="29">
        <v>12.9</v>
      </c>
      <c r="I34" s="29">
        <v>32</v>
      </c>
      <c r="J34" s="36" t="s">
        <v>161</v>
      </c>
      <c r="K34" s="10" t="s">
        <v>95</v>
      </c>
      <c r="L34" s="12" t="s">
        <v>215</v>
      </c>
      <c r="M34" s="12" t="s">
        <v>223</v>
      </c>
    </row>
    <row r="35" spans="1:14" s="7" customFormat="1" x14ac:dyDescent="0.2">
      <c r="A35" s="21" t="s">
        <v>173</v>
      </c>
      <c r="B35" s="33" t="s">
        <v>171</v>
      </c>
      <c r="C35" s="33" t="s">
        <v>221</v>
      </c>
      <c r="D35" s="9" t="s">
        <v>90</v>
      </c>
      <c r="E35" s="33" t="s">
        <v>168</v>
      </c>
      <c r="F35" s="9" t="s">
        <v>169</v>
      </c>
      <c r="G35" s="9" t="s">
        <v>213</v>
      </c>
      <c r="H35" s="33">
        <v>1</v>
      </c>
      <c r="I35" s="33">
        <v>93</v>
      </c>
      <c r="J35" s="21" t="s">
        <v>172</v>
      </c>
      <c r="K35" s="7" t="s">
        <v>170</v>
      </c>
      <c r="L35" s="21" t="s">
        <v>215</v>
      </c>
      <c r="M35" s="21" t="s">
        <v>224</v>
      </c>
      <c r="N35" s="7" t="s">
        <v>226</v>
      </c>
    </row>
    <row r="36" spans="1:14" s="10" customFormat="1" ht="64" x14ac:dyDescent="0.2">
      <c r="A36" s="20" t="s">
        <v>227</v>
      </c>
      <c r="B36" s="20" t="s">
        <v>42</v>
      </c>
      <c r="C36" s="20" t="s">
        <v>221</v>
      </c>
      <c r="D36" s="20" t="s">
        <v>90</v>
      </c>
      <c r="E36" s="18" t="s">
        <v>199</v>
      </c>
      <c r="F36" s="11">
        <v>2009</v>
      </c>
      <c r="G36" s="11" t="s">
        <v>213</v>
      </c>
      <c r="H36" s="11">
        <v>0.05</v>
      </c>
      <c r="I36" s="15">
        <f>42*(16/12)</f>
        <v>56</v>
      </c>
      <c r="J36" s="10" t="s">
        <v>94</v>
      </c>
      <c r="K36" s="10" t="s">
        <v>95</v>
      </c>
      <c r="L36" s="12" t="s">
        <v>218</v>
      </c>
      <c r="M36" s="12" t="s">
        <v>224</v>
      </c>
      <c r="N36" s="10" t="s">
        <v>96</v>
      </c>
    </row>
    <row r="37" spans="1:14" s="7" customFormat="1" x14ac:dyDescent="0.2">
      <c r="A37" s="9" t="s">
        <v>229</v>
      </c>
      <c r="B37" s="9" t="s">
        <v>18</v>
      </c>
      <c r="C37" s="9" t="s">
        <v>222</v>
      </c>
      <c r="D37" s="9" t="s">
        <v>78</v>
      </c>
      <c r="E37" s="17" t="s">
        <v>138</v>
      </c>
      <c r="F37" s="9" t="s">
        <v>17</v>
      </c>
      <c r="G37" s="9" t="s">
        <v>213</v>
      </c>
      <c r="H37" s="9">
        <v>23.7</v>
      </c>
      <c r="I37" s="14">
        <f>1.29*16/(10^6)*24*365</f>
        <v>0.18080640000000001</v>
      </c>
      <c r="J37" s="7" t="s">
        <v>23</v>
      </c>
      <c r="K37" s="7" t="s">
        <v>33</v>
      </c>
      <c r="L37" s="21" t="s">
        <v>218</v>
      </c>
      <c r="M37" s="21" t="s">
        <v>220</v>
      </c>
      <c r="N37" s="7" t="s">
        <v>231</v>
      </c>
    </row>
    <row r="38" spans="1:14" s="7" customFormat="1" x14ac:dyDescent="0.2">
      <c r="A38" s="9" t="s">
        <v>230</v>
      </c>
      <c r="B38" s="9" t="s">
        <v>18</v>
      </c>
      <c r="C38" s="31" t="s">
        <v>228</v>
      </c>
      <c r="D38" s="9" t="s">
        <v>82</v>
      </c>
      <c r="E38" s="17" t="s">
        <v>138</v>
      </c>
      <c r="F38" s="9" t="s">
        <v>17</v>
      </c>
      <c r="G38" s="9" t="s">
        <v>213</v>
      </c>
      <c r="H38" s="9">
        <v>13.7</v>
      </c>
      <c r="I38" s="14">
        <f>0.23*16/(10^6)*24*365</f>
        <v>3.2236800000000003E-2</v>
      </c>
      <c r="J38" s="7" t="s">
        <v>23</v>
      </c>
      <c r="K38" s="7" t="s">
        <v>33</v>
      </c>
      <c r="L38" s="21" t="s">
        <v>218</v>
      </c>
      <c r="M38" s="21" t="s">
        <v>220</v>
      </c>
      <c r="N38" s="7" t="s">
        <v>245</v>
      </c>
    </row>
    <row r="39" spans="1:14" s="10" customFormat="1" ht="32" x14ac:dyDescent="0.2">
      <c r="A39" s="11" t="s">
        <v>51</v>
      </c>
      <c r="B39" s="11" t="s">
        <v>10</v>
      </c>
      <c r="C39" s="11" t="s">
        <v>216</v>
      </c>
      <c r="D39" s="11" t="s">
        <v>97</v>
      </c>
      <c r="E39" s="18" t="s">
        <v>200</v>
      </c>
      <c r="F39" s="11">
        <v>2012</v>
      </c>
      <c r="G39" s="11" t="s">
        <v>213</v>
      </c>
      <c r="H39" s="11">
        <v>5</v>
      </c>
      <c r="I39" s="15">
        <f>0.36*16</f>
        <v>5.76</v>
      </c>
      <c r="J39" s="10" t="s">
        <v>12</v>
      </c>
      <c r="K39" s="10" t="s">
        <v>113</v>
      </c>
      <c r="L39" s="12" t="s">
        <v>218</v>
      </c>
      <c r="M39" s="12" t="s">
        <v>224</v>
      </c>
      <c r="N39" s="10" t="s">
        <v>53</v>
      </c>
    </row>
    <row r="40" spans="1:14" s="10" customFormat="1" x14ac:dyDescent="0.2">
      <c r="A40" s="11" t="s">
        <v>52</v>
      </c>
      <c r="B40" s="11" t="s">
        <v>10</v>
      </c>
      <c r="C40" s="11" t="s">
        <v>216</v>
      </c>
      <c r="D40" s="11" t="s">
        <v>97</v>
      </c>
      <c r="E40" s="11"/>
      <c r="F40" s="11">
        <v>2012</v>
      </c>
      <c r="G40" s="11" t="s">
        <v>213</v>
      </c>
      <c r="H40" s="11">
        <v>5</v>
      </c>
      <c r="I40" s="15">
        <f>0.32*16</f>
        <v>5.12</v>
      </c>
      <c r="J40" s="10" t="s">
        <v>12</v>
      </c>
      <c r="K40" s="10" t="s">
        <v>113</v>
      </c>
      <c r="L40" s="12" t="s">
        <v>218</v>
      </c>
      <c r="M40" s="12" t="s">
        <v>224</v>
      </c>
    </row>
    <row r="41" spans="1:14" s="7" customFormat="1" ht="16" customHeight="1" x14ac:dyDescent="0.2">
      <c r="A41" s="9" t="s">
        <v>43</v>
      </c>
      <c r="B41" s="9" t="s">
        <v>6</v>
      </c>
      <c r="C41" s="9" t="s">
        <v>233</v>
      </c>
      <c r="D41" s="9" t="s">
        <v>82</v>
      </c>
      <c r="E41" s="17" t="s">
        <v>201</v>
      </c>
      <c r="F41" s="9">
        <v>2012</v>
      </c>
      <c r="G41" s="9" t="s">
        <v>7</v>
      </c>
      <c r="H41" s="9">
        <v>9.15</v>
      </c>
      <c r="I41" s="14">
        <v>13.8</v>
      </c>
      <c r="J41" s="7" t="s">
        <v>15</v>
      </c>
      <c r="K41" s="7" t="s">
        <v>31</v>
      </c>
      <c r="L41" s="21" t="s">
        <v>215</v>
      </c>
      <c r="M41" s="21" t="s">
        <v>224</v>
      </c>
      <c r="N41" s="21" t="s">
        <v>162</v>
      </c>
    </row>
    <row r="42" spans="1:14" s="7" customFormat="1" ht="16" customHeight="1" x14ac:dyDescent="0.2">
      <c r="A42" s="9" t="s">
        <v>48</v>
      </c>
      <c r="B42" s="9" t="s">
        <v>6</v>
      </c>
      <c r="C42" s="9" t="s">
        <v>233</v>
      </c>
      <c r="D42" s="9" t="s">
        <v>90</v>
      </c>
      <c r="E42" s="17" t="s">
        <v>44</v>
      </c>
      <c r="F42" s="9">
        <v>2012</v>
      </c>
      <c r="G42" s="9" t="s">
        <v>7</v>
      </c>
      <c r="H42" s="9">
        <v>0.23</v>
      </c>
      <c r="I42" s="14">
        <v>63</v>
      </c>
      <c r="J42" s="7" t="s">
        <v>15</v>
      </c>
      <c r="K42" s="7" t="s">
        <v>31</v>
      </c>
      <c r="L42" s="21" t="s">
        <v>215</v>
      </c>
      <c r="M42" s="21" t="s">
        <v>224</v>
      </c>
    </row>
    <row r="43" spans="1:14" s="7" customFormat="1" ht="16" customHeight="1" x14ac:dyDescent="0.2">
      <c r="A43" s="9"/>
      <c r="B43" s="9" t="s">
        <v>6</v>
      </c>
      <c r="C43" s="9" t="s">
        <v>233</v>
      </c>
      <c r="D43" s="9" t="s">
        <v>90</v>
      </c>
      <c r="E43" s="9"/>
      <c r="F43" s="9">
        <v>2013</v>
      </c>
      <c r="G43" s="9" t="s">
        <v>7</v>
      </c>
      <c r="H43" s="9">
        <v>0.23</v>
      </c>
      <c r="I43" s="14">
        <v>61.6</v>
      </c>
      <c r="J43" s="7" t="s">
        <v>15</v>
      </c>
      <c r="K43" s="7" t="s">
        <v>31</v>
      </c>
      <c r="L43" s="21" t="s">
        <v>215</v>
      </c>
      <c r="M43" s="21" t="s">
        <v>224</v>
      </c>
    </row>
    <row r="44" spans="1:14" s="10" customFormat="1" ht="16" customHeight="1" x14ac:dyDescent="0.2">
      <c r="A44" s="11" t="s">
        <v>43</v>
      </c>
      <c r="B44" s="11" t="s">
        <v>6</v>
      </c>
      <c r="C44" s="11" t="s">
        <v>233</v>
      </c>
      <c r="D44" s="11" t="s">
        <v>82</v>
      </c>
      <c r="E44" s="18" t="s">
        <v>201</v>
      </c>
      <c r="F44" s="11" t="s">
        <v>25</v>
      </c>
      <c r="G44" s="11" t="s">
        <v>7</v>
      </c>
      <c r="H44" s="11">
        <v>9.15</v>
      </c>
      <c r="I44" s="15">
        <f>11.1*(16/12)</f>
        <v>14.799999999999999</v>
      </c>
      <c r="J44" s="10" t="s">
        <v>9</v>
      </c>
      <c r="K44" s="10" t="s">
        <v>112</v>
      </c>
      <c r="L44" s="12" t="s">
        <v>215</v>
      </c>
      <c r="M44" s="12" t="s">
        <v>224</v>
      </c>
    </row>
    <row r="45" spans="1:14" s="10" customFormat="1" ht="16" customHeight="1" x14ac:dyDescent="0.2">
      <c r="A45" s="11"/>
      <c r="B45" s="11" t="s">
        <v>6</v>
      </c>
      <c r="C45" s="11" t="s">
        <v>233</v>
      </c>
      <c r="D45" s="11" t="s">
        <v>82</v>
      </c>
      <c r="E45" s="18"/>
      <c r="F45" s="11" t="s">
        <v>25</v>
      </c>
      <c r="G45" s="11" t="s">
        <v>213</v>
      </c>
      <c r="H45" s="11">
        <v>9.15</v>
      </c>
      <c r="I45" s="15">
        <f>49.6*(16/12)</f>
        <v>66.133333333333326</v>
      </c>
      <c r="J45" s="10" t="s">
        <v>9</v>
      </c>
      <c r="K45" s="10" t="s">
        <v>112</v>
      </c>
      <c r="L45" s="12" t="s">
        <v>215</v>
      </c>
      <c r="M45" s="12" t="s">
        <v>224</v>
      </c>
    </row>
    <row r="46" spans="1:14" s="10" customFormat="1" ht="16" customHeight="1" x14ac:dyDescent="0.2">
      <c r="A46" s="11" t="s">
        <v>48</v>
      </c>
      <c r="B46" s="11" t="s">
        <v>6</v>
      </c>
      <c r="C46" s="11" t="s">
        <v>233</v>
      </c>
      <c r="D46" s="11" t="s">
        <v>90</v>
      </c>
      <c r="E46" s="18" t="s">
        <v>202</v>
      </c>
      <c r="F46" s="11" t="s">
        <v>25</v>
      </c>
      <c r="G46" s="11" t="s">
        <v>7</v>
      </c>
      <c r="H46" s="11">
        <v>0.23</v>
      </c>
      <c r="I46" s="15">
        <f>47.1*(16/12)</f>
        <v>62.8</v>
      </c>
      <c r="J46" s="10" t="s">
        <v>9</v>
      </c>
      <c r="K46" s="10" t="s">
        <v>112</v>
      </c>
      <c r="L46" s="12" t="s">
        <v>215</v>
      </c>
      <c r="M46" s="12" t="s">
        <v>224</v>
      </c>
    </row>
    <row r="47" spans="1:14" s="10" customFormat="1" ht="16" customHeight="1" x14ac:dyDescent="0.2">
      <c r="A47" s="11"/>
      <c r="B47" s="11" t="s">
        <v>6</v>
      </c>
      <c r="C47" s="11" t="s">
        <v>233</v>
      </c>
      <c r="D47" s="11" t="s">
        <v>90</v>
      </c>
      <c r="E47" s="11"/>
      <c r="F47" s="11" t="s">
        <v>25</v>
      </c>
      <c r="G47" s="11" t="s">
        <v>213</v>
      </c>
      <c r="H47" s="11">
        <v>0.23</v>
      </c>
      <c r="I47" s="15">
        <f>91.9*(16/12)</f>
        <v>122.53333333333333</v>
      </c>
      <c r="J47" s="10" t="s">
        <v>9</v>
      </c>
      <c r="K47" s="10" t="s">
        <v>112</v>
      </c>
      <c r="L47" s="12" t="s">
        <v>215</v>
      </c>
      <c r="M47" s="12" t="s">
        <v>224</v>
      </c>
    </row>
    <row r="48" spans="1:14" s="7" customFormat="1" x14ac:dyDescent="0.2">
      <c r="A48" s="21" t="s">
        <v>175</v>
      </c>
      <c r="B48" s="7" t="s">
        <v>174</v>
      </c>
      <c r="C48" s="7" t="s">
        <v>233</v>
      </c>
      <c r="D48" s="7" t="s">
        <v>86</v>
      </c>
      <c r="E48" s="39" t="s">
        <v>176</v>
      </c>
      <c r="F48" s="7" t="s">
        <v>25</v>
      </c>
      <c r="G48" s="9" t="s">
        <v>213</v>
      </c>
      <c r="H48" s="9">
        <v>2.2999999999999998</v>
      </c>
      <c r="I48" s="14">
        <f>28.8/1000*365</f>
        <v>10.512</v>
      </c>
      <c r="J48" s="7" t="s">
        <v>181</v>
      </c>
      <c r="K48" s="7" t="s">
        <v>182</v>
      </c>
      <c r="L48" s="21" t="s">
        <v>218</v>
      </c>
      <c r="M48" s="21" t="s">
        <v>234</v>
      </c>
    </row>
    <row r="49" spans="1:14" s="7" customFormat="1" x14ac:dyDescent="0.2">
      <c r="A49" s="21" t="s">
        <v>177</v>
      </c>
      <c r="B49" s="7" t="s">
        <v>174</v>
      </c>
      <c r="C49" s="7" t="s">
        <v>233</v>
      </c>
      <c r="D49" s="7" t="s">
        <v>86</v>
      </c>
      <c r="E49" s="39" t="s">
        <v>178</v>
      </c>
      <c r="F49" s="7" t="s">
        <v>25</v>
      </c>
      <c r="G49" s="9" t="s">
        <v>213</v>
      </c>
      <c r="H49" s="9">
        <v>4.7</v>
      </c>
      <c r="I49" s="14">
        <f>14.4/1000*365</f>
        <v>5.2560000000000002</v>
      </c>
      <c r="J49" s="7" t="s">
        <v>181</v>
      </c>
      <c r="K49" s="7" t="s">
        <v>182</v>
      </c>
      <c r="L49" s="21" t="s">
        <v>218</v>
      </c>
      <c r="M49" s="21" t="s">
        <v>234</v>
      </c>
    </row>
    <row r="50" spans="1:14" s="7" customFormat="1" x14ac:dyDescent="0.2">
      <c r="A50" s="21" t="s">
        <v>179</v>
      </c>
      <c r="B50" s="7" t="s">
        <v>174</v>
      </c>
      <c r="C50" s="7" t="s">
        <v>233</v>
      </c>
      <c r="D50" s="7" t="s">
        <v>78</v>
      </c>
      <c r="E50" s="39" t="s">
        <v>203</v>
      </c>
      <c r="F50" s="7" t="s">
        <v>25</v>
      </c>
      <c r="G50" s="9" t="s">
        <v>213</v>
      </c>
      <c r="H50" s="9">
        <v>20.7</v>
      </c>
      <c r="I50" s="14">
        <f>15.6/1000*365</f>
        <v>5.694</v>
      </c>
      <c r="J50" s="7" t="s">
        <v>181</v>
      </c>
      <c r="K50" s="7" t="s">
        <v>182</v>
      </c>
      <c r="L50" s="21" t="s">
        <v>218</v>
      </c>
      <c r="M50" s="21" t="s">
        <v>234</v>
      </c>
    </row>
    <row r="51" spans="1:14" s="10" customFormat="1" x14ac:dyDescent="0.2">
      <c r="A51" s="11" t="s">
        <v>36</v>
      </c>
      <c r="B51" s="11" t="s">
        <v>38</v>
      </c>
      <c r="C51" s="11" t="s">
        <v>216</v>
      </c>
      <c r="D51" s="11" t="s">
        <v>82</v>
      </c>
      <c r="E51" s="18" t="s">
        <v>204</v>
      </c>
      <c r="F51" s="11" t="s">
        <v>39</v>
      </c>
      <c r="G51" s="11" t="s">
        <v>213</v>
      </c>
      <c r="H51" s="11">
        <v>10</v>
      </c>
      <c r="I51" s="15">
        <v>105.5</v>
      </c>
      <c r="J51" s="10" t="s">
        <v>40</v>
      </c>
      <c r="K51" s="10" t="s">
        <v>31</v>
      </c>
      <c r="L51" s="12" t="s">
        <v>218</v>
      </c>
      <c r="M51" s="12" t="s">
        <v>224</v>
      </c>
      <c r="N51" s="10" t="s">
        <v>58</v>
      </c>
    </row>
    <row r="52" spans="1:14" s="10" customFormat="1" x14ac:dyDescent="0.2">
      <c r="A52" s="11"/>
      <c r="B52" s="11" t="s">
        <v>38</v>
      </c>
      <c r="C52" s="11" t="s">
        <v>216</v>
      </c>
      <c r="D52" s="11" t="s">
        <v>82</v>
      </c>
      <c r="E52" s="11" t="s">
        <v>60</v>
      </c>
      <c r="F52" s="11" t="s">
        <v>39</v>
      </c>
      <c r="G52" s="11" t="s">
        <v>213</v>
      </c>
      <c r="H52" s="11">
        <v>10</v>
      </c>
      <c r="I52" s="15">
        <v>5.2</v>
      </c>
      <c r="J52" s="10" t="s">
        <v>40</v>
      </c>
      <c r="K52" s="10" t="s">
        <v>31</v>
      </c>
      <c r="L52" s="12" t="s">
        <v>218</v>
      </c>
      <c r="M52" s="12" t="s">
        <v>224</v>
      </c>
      <c r="N52" s="10" t="s">
        <v>58</v>
      </c>
    </row>
    <row r="53" spans="1:14" s="10" customFormat="1" ht="16" customHeight="1" x14ac:dyDescent="0.2">
      <c r="A53" s="11"/>
      <c r="B53" s="11" t="s">
        <v>38</v>
      </c>
      <c r="C53" s="11" t="s">
        <v>216</v>
      </c>
      <c r="D53" s="11" t="s">
        <v>82</v>
      </c>
      <c r="E53" s="18" t="s">
        <v>59</v>
      </c>
      <c r="F53" s="11" t="s">
        <v>39</v>
      </c>
      <c r="G53" s="11" t="s">
        <v>213</v>
      </c>
      <c r="H53" s="11">
        <v>10</v>
      </c>
      <c r="I53" s="15">
        <v>1</v>
      </c>
      <c r="J53" s="10" t="s">
        <v>40</v>
      </c>
      <c r="K53" s="10" t="s">
        <v>31</v>
      </c>
      <c r="L53" s="12" t="s">
        <v>218</v>
      </c>
      <c r="M53" s="12" t="s">
        <v>224</v>
      </c>
      <c r="N53" s="10" t="s">
        <v>58</v>
      </c>
    </row>
    <row r="54" spans="1:14" s="10" customFormat="1" x14ac:dyDescent="0.2">
      <c r="A54" s="11" t="s">
        <v>37</v>
      </c>
      <c r="B54" s="11" t="s">
        <v>38</v>
      </c>
      <c r="C54" s="11" t="s">
        <v>216</v>
      </c>
      <c r="D54" s="11" t="s">
        <v>82</v>
      </c>
      <c r="E54" s="18" t="s">
        <v>204</v>
      </c>
      <c r="F54" s="11" t="s">
        <v>39</v>
      </c>
      <c r="G54" s="11" t="s">
        <v>213</v>
      </c>
      <c r="H54" s="11">
        <v>10</v>
      </c>
      <c r="I54" s="15">
        <v>13.5</v>
      </c>
      <c r="J54" s="10" t="s">
        <v>40</v>
      </c>
      <c r="K54" s="10" t="s">
        <v>31</v>
      </c>
      <c r="L54" s="12" t="s">
        <v>218</v>
      </c>
      <c r="M54" s="12" t="s">
        <v>224</v>
      </c>
      <c r="N54" s="10" t="s">
        <v>58</v>
      </c>
    </row>
    <row r="55" spans="1:14" s="10" customFormat="1" x14ac:dyDescent="0.2">
      <c r="A55" s="11"/>
      <c r="B55" s="11" t="s">
        <v>38</v>
      </c>
      <c r="C55" s="11" t="s">
        <v>216</v>
      </c>
      <c r="D55" s="11" t="s">
        <v>82</v>
      </c>
      <c r="E55" s="11" t="s">
        <v>60</v>
      </c>
      <c r="F55" s="11" t="s">
        <v>39</v>
      </c>
      <c r="G55" s="11" t="s">
        <v>213</v>
      </c>
      <c r="H55" s="11">
        <v>10</v>
      </c>
      <c r="I55" s="15">
        <v>4.5</v>
      </c>
      <c r="J55" s="10" t="s">
        <v>40</v>
      </c>
      <c r="K55" s="10" t="s">
        <v>31</v>
      </c>
      <c r="L55" s="12" t="s">
        <v>218</v>
      </c>
      <c r="M55" s="12" t="s">
        <v>224</v>
      </c>
      <c r="N55" s="10" t="s">
        <v>58</v>
      </c>
    </row>
    <row r="56" spans="1:14" s="10" customFormat="1" x14ac:dyDescent="0.2">
      <c r="A56" s="11"/>
      <c r="B56" s="11" t="s">
        <v>38</v>
      </c>
      <c r="C56" s="11" t="s">
        <v>216</v>
      </c>
      <c r="D56" s="11" t="s">
        <v>82</v>
      </c>
      <c r="E56" s="18" t="s">
        <v>205</v>
      </c>
      <c r="F56" s="11" t="s">
        <v>39</v>
      </c>
      <c r="G56" s="11" t="s">
        <v>213</v>
      </c>
      <c r="H56" s="11">
        <v>10</v>
      </c>
      <c r="I56" s="15">
        <v>3.1</v>
      </c>
      <c r="J56" s="10" t="s">
        <v>40</v>
      </c>
      <c r="K56" s="10" t="s">
        <v>31</v>
      </c>
      <c r="L56" s="12" t="s">
        <v>218</v>
      </c>
      <c r="M56" s="12" t="s">
        <v>224</v>
      </c>
      <c r="N56" s="10" t="s">
        <v>58</v>
      </c>
    </row>
    <row r="59" spans="1:14" x14ac:dyDescent="0.2">
      <c r="A59" s="23"/>
    </row>
    <row r="60" spans="1:14" x14ac:dyDescent="0.2">
      <c r="A60" s="1"/>
      <c r="F60" s="13"/>
    </row>
    <row r="62" spans="1:14" x14ac:dyDescent="0.2">
      <c r="A62" s="27"/>
    </row>
    <row r="63" spans="1:14" x14ac:dyDescent="0.2">
      <c r="A63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0" zoomScale="93" zoomScaleNormal="93" zoomScalePageLayoutView="93" workbookViewId="0">
      <selection activeCell="L24" sqref="L24:L29"/>
    </sheetView>
  </sheetViews>
  <sheetFormatPr baseColWidth="10" defaultRowHeight="16" x14ac:dyDescent="0.2"/>
  <cols>
    <col min="1" max="2" width="37" style="6" customWidth="1"/>
    <col min="3" max="3" width="47.5" style="6" customWidth="1"/>
    <col min="4" max="4" width="16.1640625" style="6" bestFit="1" customWidth="1"/>
    <col min="5" max="5" width="16" style="6" customWidth="1"/>
    <col min="6" max="6" width="9.6640625" style="6" customWidth="1"/>
    <col min="7" max="7" width="12.5" style="6" customWidth="1"/>
    <col min="8" max="8" width="10.83203125" style="6" customWidth="1"/>
    <col min="9" max="9" width="18.1640625" style="6" bestFit="1" customWidth="1"/>
    <col min="10" max="10" width="27.33203125" style="6" bestFit="1" customWidth="1"/>
    <col min="11" max="11" width="18.33203125" style="6" customWidth="1"/>
    <col min="12" max="12" width="153.6640625" style="6" bestFit="1" customWidth="1"/>
    <col min="13" max="13" width="11.6640625" style="6" bestFit="1" customWidth="1"/>
    <col min="14" max="16384" width="10.83203125" style="6"/>
  </cols>
  <sheetData>
    <row r="1" spans="1:12" s="22" customFormat="1" ht="32" x14ac:dyDescent="0.2">
      <c r="A1" s="22" t="s">
        <v>0</v>
      </c>
      <c r="B1" s="22" t="s">
        <v>61</v>
      </c>
      <c r="C1" s="22" t="s">
        <v>1</v>
      </c>
      <c r="D1" s="22" t="s">
        <v>45</v>
      </c>
      <c r="E1" s="22" t="s">
        <v>22</v>
      </c>
      <c r="F1" s="22" t="s">
        <v>19</v>
      </c>
      <c r="G1" s="22" t="s">
        <v>46</v>
      </c>
      <c r="H1" s="22" t="s">
        <v>14</v>
      </c>
      <c r="I1" s="22" t="s">
        <v>47</v>
      </c>
      <c r="J1" s="22" t="s">
        <v>2</v>
      </c>
      <c r="K1" s="22" t="s">
        <v>30</v>
      </c>
      <c r="L1" s="22" t="s">
        <v>13</v>
      </c>
    </row>
    <row r="2" spans="1:12" s="10" customFormat="1" x14ac:dyDescent="0.2">
      <c r="A2" s="29" t="s">
        <v>3</v>
      </c>
      <c r="B2" s="11" t="s">
        <v>90</v>
      </c>
      <c r="C2" s="30" t="s">
        <v>5</v>
      </c>
      <c r="D2" s="11" t="s">
        <v>98</v>
      </c>
      <c r="E2" s="11" t="s">
        <v>6</v>
      </c>
      <c r="F2" s="11" t="s">
        <v>20</v>
      </c>
      <c r="G2" s="11" t="s">
        <v>8</v>
      </c>
      <c r="H2" s="11">
        <v>0.4</v>
      </c>
      <c r="I2" s="15">
        <f>160*(16/12)</f>
        <v>213.33333333333331</v>
      </c>
      <c r="J2" s="10" t="s">
        <v>99</v>
      </c>
      <c r="K2" s="10" t="s">
        <v>102</v>
      </c>
    </row>
    <row r="3" spans="1:12" s="10" customFormat="1" ht="16" customHeight="1" x14ac:dyDescent="0.2">
      <c r="A3" s="29" t="s">
        <v>4</v>
      </c>
      <c r="B3" s="11" t="s">
        <v>86</v>
      </c>
      <c r="C3" s="30" t="s">
        <v>24</v>
      </c>
      <c r="D3" s="11" t="s">
        <v>98</v>
      </c>
      <c r="E3" s="11" t="s">
        <v>6</v>
      </c>
      <c r="F3" s="11" t="s">
        <v>20</v>
      </c>
      <c r="G3" s="11" t="s">
        <v>8</v>
      </c>
      <c r="H3" s="11">
        <v>1.8</v>
      </c>
      <c r="I3" s="15">
        <f>73*(16/12)</f>
        <v>97.333333333333329</v>
      </c>
      <c r="J3" s="10" t="s">
        <v>99</v>
      </c>
      <c r="K3" s="10" t="s">
        <v>103</v>
      </c>
    </row>
    <row r="4" spans="1:12" s="10" customFormat="1" x14ac:dyDescent="0.2">
      <c r="A4" s="19" t="s">
        <v>100</v>
      </c>
      <c r="B4" s="19" t="s">
        <v>78</v>
      </c>
      <c r="C4" s="18" t="s">
        <v>101</v>
      </c>
      <c r="D4" s="11" t="s">
        <v>98</v>
      </c>
      <c r="E4" s="11" t="s">
        <v>6</v>
      </c>
      <c r="F4" s="11" t="s">
        <v>20</v>
      </c>
      <c r="G4" s="11" t="s">
        <v>8</v>
      </c>
      <c r="H4" s="11">
        <v>18.100000000000001</v>
      </c>
      <c r="I4" s="15">
        <f>4.3*(16/12)</f>
        <v>5.7333333333333325</v>
      </c>
      <c r="J4" s="10" t="s">
        <v>99</v>
      </c>
      <c r="K4" s="10" t="s">
        <v>104</v>
      </c>
    </row>
    <row r="5" spans="1:12" s="7" customFormat="1" x14ac:dyDescent="0.2">
      <c r="A5" s="31" t="s">
        <v>106</v>
      </c>
      <c r="B5" s="9" t="s">
        <v>78</v>
      </c>
      <c r="C5" s="32" t="s">
        <v>29</v>
      </c>
      <c r="D5" s="9" t="s">
        <v>109</v>
      </c>
      <c r="E5" s="9" t="s">
        <v>105</v>
      </c>
      <c r="F5" s="9" t="s">
        <v>20</v>
      </c>
      <c r="G5" s="9" t="s">
        <v>8</v>
      </c>
      <c r="H5" s="33">
        <v>18.7</v>
      </c>
      <c r="I5" s="9">
        <v>1.2</v>
      </c>
      <c r="J5" s="7" t="s">
        <v>111</v>
      </c>
      <c r="K5" s="7" t="s">
        <v>114</v>
      </c>
    </row>
    <row r="6" spans="1:12" s="7" customFormat="1" x14ac:dyDescent="0.2">
      <c r="A6" s="33" t="s">
        <v>107</v>
      </c>
      <c r="B6" s="9" t="s">
        <v>78</v>
      </c>
      <c r="C6" s="32" t="s">
        <v>108</v>
      </c>
      <c r="D6" s="9" t="s">
        <v>109</v>
      </c>
      <c r="E6" s="9" t="s">
        <v>105</v>
      </c>
      <c r="F6" s="9" t="s">
        <v>20</v>
      </c>
      <c r="G6" s="9" t="s">
        <v>8</v>
      </c>
      <c r="H6" s="33">
        <v>22.6</v>
      </c>
      <c r="I6" s="9">
        <v>0.4</v>
      </c>
      <c r="J6" s="7" t="s">
        <v>111</v>
      </c>
      <c r="K6" s="7" t="s">
        <v>114</v>
      </c>
    </row>
    <row r="7" spans="1:12" s="7" customFormat="1" x14ac:dyDescent="0.2">
      <c r="A7" s="33" t="s">
        <v>115</v>
      </c>
      <c r="B7" s="9" t="s">
        <v>78</v>
      </c>
      <c r="C7" s="32" t="s">
        <v>29</v>
      </c>
      <c r="D7" s="9" t="s">
        <v>110</v>
      </c>
      <c r="E7" s="9" t="s">
        <v>105</v>
      </c>
      <c r="F7" s="9" t="s">
        <v>20</v>
      </c>
      <c r="G7" s="9" t="s">
        <v>8</v>
      </c>
      <c r="H7" s="33">
        <v>26.3</v>
      </c>
      <c r="I7" s="9">
        <v>1.3</v>
      </c>
      <c r="J7" s="7" t="s">
        <v>111</v>
      </c>
      <c r="K7" s="7" t="s">
        <v>114</v>
      </c>
    </row>
    <row r="8" spans="1:12" s="10" customFormat="1" x14ac:dyDescent="0.2">
      <c r="A8" s="29" t="s">
        <v>116</v>
      </c>
      <c r="B8" s="11" t="s">
        <v>82</v>
      </c>
      <c r="C8" s="30" t="s">
        <v>119</v>
      </c>
      <c r="D8" s="11" t="s">
        <v>122</v>
      </c>
      <c r="E8" s="11" t="s">
        <v>105</v>
      </c>
      <c r="F8" s="11" t="s">
        <v>20</v>
      </c>
      <c r="G8" s="11" t="s">
        <v>8</v>
      </c>
      <c r="H8" s="29">
        <v>5.0999999999999996</v>
      </c>
      <c r="I8" s="29">
        <v>18.2</v>
      </c>
      <c r="J8" s="10" t="s">
        <v>123</v>
      </c>
      <c r="K8" s="10" t="s">
        <v>124</v>
      </c>
    </row>
    <row r="9" spans="1:12" s="10" customFormat="1" x14ac:dyDescent="0.2">
      <c r="A9" s="29" t="s">
        <v>117</v>
      </c>
      <c r="B9" s="19" t="s">
        <v>82</v>
      </c>
      <c r="C9" s="30" t="s">
        <v>120</v>
      </c>
      <c r="D9" s="11" t="s">
        <v>122</v>
      </c>
      <c r="E9" s="11" t="s">
        <v>105</v>
      </c>
      <c r="F9" s="11" t="s">
        <v>20</v>
      </c>
      <c r="G9" s="11" t="s">
        <v>8</v>
      </c>
      <c r="H9" s="29">
        <v>12.8</v>
      </c>
      <c r="I9" s="29">
        <v>22.4</v>
      </c>
      <c r="J9" s="10" t="s">
        <v>123</v>
      </c>
      <c r="K9" s="10" t="s">
        <v>124</v>
      </c>
    </row>
    <row r="10" spans="1:12" s="10" customFormat="1" x14ac:dyDescent="0.2">
      <c r="A10" s="29" t="s">
        <v>118</v>
      </c>
      <c r="B10" s="11" t="s">
        <v>82</v>
      </c>
      <c r="C10" s="30" t="s">
        <v>121</v>
      </c>
      <c r="D10" s="11" t="s">
        <v>122</v>
      </c>
      <c r="E10" s="11" t="s">
        <v>105</v>
      </c>
      <c r="F10" s="11" t="s">
        <v>20</v>
      </c>
      <c r="G10" s="11" t="s">
        <v>8</v>
      </c>
      <c r="H10" s="29">
        <v>16.600000000000001</v>
      </c>
      <c r="I10" s="11">
        <v>5.6</v>
      </c>
      <c r="J10" s="10" t="s">
        <v>123</v>
      </c>
      <c r="K10" s="10" t="s">
        <v>124</v>
      </c>
    </row>
    <row r="11" spans="1:12" s="7" customFormat="1" x14ac:dyDescent="0.2">
      <c r="A11" s="33" t="s">
        <v>125</v>
      </c>
      <c r="B11" s="9" t="s">
        <v>90</v>
      </c>
      <c r="C11" s="32" t="s">
        <v>130</v>
      </c>
      <c r="D11" s="9" t="s">
        <v>132</v>
      </c>
      <c r="E11" s="31" t="s">
        <v>131</v>
      </c>
      <c r="F11" s="9" t="s">
        <v>20</v>
      </c>
      <c r="G11" s="9" t="s">
        <v>8</v>
      </c>
      <c r="H11" s="33">
        <v>0.25</v>
      </c>
      <c r="I11" s="33">
        <v>8.1999999999999993</v>
      </c>
      <c r="J11" s="34" t="s">
        <v>133</v>
      </c>
      <c r="K11" s="7" t="s">
        <v>31</v>
      </c>
    </row>
    <row r="12" spans="1:12" s="7" customFormat="1" x14ac:dyDescent="0.2">
      <c r="A12" s="33" t="s">
        <v>126</v>
      </c>
      <c r="B12" s="9" t="s">
        <v>90</v>
      </c>
      <c r="C12" s="32" t="s">
        <v>129</v>
      </c>
      <c r="D12" s="9" t="s">
        <v>132</v>
      </c>
      <c r="E12" s="31" t="s">
        <v>131</v>
      </c>
      <c r="F12" s="9" t="s">
        <v>20</v>
      </c>
      <c r="G12" s="9" t="s">
        <v>8</v>
      </c>
      <c r="H12" s="33">
        <v>0.25</v>
      </c>
      <c r="I12" s="33">
        <v>5.7</v>
      </c>
      <c r="J12" s="34" t="s">
        <v>133</v>
      </c>
      <c r="K12" s="7" t="s">
        <v>31</v>
      </c>
    </row>
    <row r="13" spans="1:12" s="7" customFormat="1" x14ac:dyDescent="0.2">
      <c r="A13" s="33" t="s">
        <v>127</v>
      </c>
      <c r="B13" s="9" t="s">
        <v>90</v>
      </c>
      <c r="C13" s="32" t="s">
        <v>129</v>
      </c>
      <c r="D13" s="9" t="s">
        <v>132</v>
      </c>
      <c r="E13" s="31" t="s">
        <v>131</v>
      </c>
      <c r="F13" s="9" t="s">
        <v>20</v>
      </c>
      <c r="G13" s="9" t="s">
        <v>8</v>
      </c>
      <c r="H13" s="33">
        <v>0.25</v>
      </c>
      <c r="I13" s="33">
        <v>5.0999999999999996</v>
      </c>
      <c r="J13" s="34" t="s">
        <v>133</v>
      </c>
      <c r="K13" s="7" t="s">
        <v>31</v>
      </c>
    </row>
    <row r="14" spans="1:12" s="7" customFormat="1" x14ac:dyDescent="0.2">
      <c r="A14" s="33" t="s">
        <v>128</v>
      </c>
      <c r="B14" s="9" t="s">
        <v>90</v>
      </c>
      <c r="C14" s="32" t="s">
        <v>129</v>
      </c>
      <c r="D14" s="9" t="s">
        <v>132</v>
      </c>
      <c r="E14" s="31" t="s">
        <v>131</v>
      </c>
      <c r="F14" s="9" t="s">
        <v>20</v>
      </c>
      <c r="G14" s="9" t="s">
        <v>8</v>
      </c>
      <c r="H14" s="33">
        <v>0.25</v>
      </c>
      <c r="I14" s="33">
        <v>3.5</v>
      </c>
      <c r="J14" s="34" t="s">
        <v>133</v>
      </c>
      <c r="K14" s="7" t="s">
        <v>31</v>
      </c>
    </row>
    <row r="15" spans="1:12" s="11" customFormat="1" x14ac:dyDescent="0.2">
      <c r="A15" s="29" t="s">
        <v>134</v>
      </c>
      <c r="B15" s="11" t="s">
        <v>78</v>
      </c>
      <c r="C15" s="30" t="s">
        <v>137</v>
      </c>
      <c r="D15" s="11">
        <v>1993</v>
      </c>
      <c r="E15" s="11" t="s">
        <v>18</v>
      </c>
      <c r="F15" s="11" t="s">
        <v>20</v>
      </c>
      <c r="G15" s="11" t="s">
        <v>8</v>
      </c>
      <c r="H15" s="29">
        <v>23.5</v>
      </c>
      <c r="I15" s="29">
        <v>1.3</v>
      </c>
      <c r="J15" s="29" t="s">
        <v>140</v>
      </c>
      <c r="K15" s="11" t="s">
        <v>31</v>
      </c>
    </row>
    <row r="16" spans="1:12" s="11" customFormat="1" x14ac:dyDescent="0.2">
      <c r="A16" s="29" t="s">
        <v>107</v>
      </c>
      <c r="B16" s="11" t="s">
        <v>70</v>
      </c>
      <c r="C16" s="30" t="s">
        <v>138</v>
      </c>
      <c r="D16" s="11">
        <v>1993</v>
      </c>
      <c r="E16" s="11" t="s">
        <v>18</v>
      </c>
      <c r="F16" s="11" t="s">
        <v>20</v>
      </c>
      <c r="G16" s="11" t="s">
        <v>8</v>
      </c>
      <c r="H16" s="29">
        <v>31.6</v>
      </c>
      <c r="I16" s="29">
        <v>0.2</v>
      </c>
      <c r="J16" s="29" t="s">
        <v>140</v>
      </c>
      <c r="K16" s="11" t="s">
        <v>31</v>
      </c>
    </row>
    <row r="17" spans="1:12" s="11" customFormat="1" x14ac:dyDescent="0.2">
      <c r="A17" s="29" t="s">
        <v>135</v>
      </c>
      <c r="B17" s="11" t="s">
        <v>70</v>
      </c>
      <c r="C17" s="30" t="s">
        <v>139</v>
      </c>
      <c r="D17" s="11">
        <v>1993</v>
      </c>
      <c r="E17" s="11" t="s">
        <v>18</v>
      </c>
      <c r="F17" s="11" t="s">
        <v>20</v>
      </c>
      <c r="G17" s="11" t="s">
        <v>8</v>
      </c>
      <c r="H17" s="29">
        <v>33.700000000000003</v>
      </c>
      <c r="I17" s="29">
        <v>0.2</v>
      </c>
      <c r="J17" s="29" t="s">
        <v>140</v>
      </c>
      <c r="K17" s="11" t="s">
        <v>31</v>
      </c>
    </row>
    <row r="18" spans="1:12" s="11" customFormat="1" x14ac:dyDescent="0.2">
      <c r="A18" s="29" t="s">
        <v>136</v>
      </c>
      <c r="B18" s="11" t="s">
        <v>70</v>
      </c>
      <c r="C18" s="30" t="s">
        <v>29</v>
      </c>
      <c r="D18" s="11">
        <v>1993</v>
      </c>
      <c r="E18" s="11" t="s">
        <v>18</v>
      </c>
      <c r="F18" s="11" t="s">
        <v>20</v>
      </c>
      <c r="G18" s="11" t="s">
        <v>8</v>
      </c>
      <c r="H18" s="29">
        <v>35.1</v>
      </c>
      <c r="I18" s="29">
        <v>0.2</v>
      </c>
      <c r="J18" s="29" t="s">
        <v>140</v>
      </c>
      <c r="K18" s="11" t="s">
        <v>31</v>
      </c>
    </row>
    <row r="19" spans="1:12" s="7" customFormat="1" x14ac:dyDescent="0.2">
      <c r="A19" s="33" t="s">
        <v>141</v>
      </c>
      <c r="B19" s="9" t="s">
        <v>90</v>
      </c>
      <c r="C19" s="35" t="s">
        <v>196</v>
      </c>
      <c r="D19" s="9" t="s">
        <v>144</v>
      </c>
      <c r="E19" s="9" t="s">
        <v>105</v>
      </c>
      <c r="F19" s="9" t="s">
        <v>20</v>
      </c>
      <c r="G19" s="9" t="s">
        <v>8</v>
      </c>
      <c r="H19" s="33">
        <v>0.25</v>
      </c>
      <c r="I19" s="9">
        <v>96</v>
      </c>
      <c r="J19" s="7" t="s">
        <v>142</v>
      </c>
      <c r="K19" s="7" t="s">
        <v>143</v>
      </c>
    </row>
    <row r="20" spans="1:12" s="10" customFormat="1" ht="16" customHeight="1" x14ac:dyDescent="0.2">
      <c r="A20" s="29" t="s">
        <v>145</v>
      </c>
      <c r="B20" s="11" t="s">
        <v>90</v>
      </c>
      <c r="C20" s="30" t="s">
        <v>147</v>
      </c>
      <c r="D20" s="11" t="s">
        <v>150</v>
      </c>
      <c r="E20" s="11" t="s">
        <v>131</v>
      </c>
      <c r="F20" s="11" t="s">
        <v>20</v>
      </c>
      <c r="G20" s="11" t="s">
        <v>8</v>
      </c>
      <c r="H20" s="29">
        <v>0.25</v>
      </c>
      <c r="I20" s="29">
        <v>1.3</v>
      </c>
      <c r="J20" s="36" t="s">
        <v>149</v>
      </c>
      <c r="K20" s="10" t="s">
        <v>151</v>
      </c>
    </row>
    <row r="21" spans="1:12" s="10" customFormat="1" x14ac:dyDescent="0.2">
      <c r="A21" s="29" t="s">
        <v>146</v>
      </c>
      <c r="B21" s="11" t="s">
        <v>90</v>
      </c>
      <c r="C21" s="30" t="s">
        <v>148</v>
      </c>
      <c r="D21" s="11" t="s">
        <v>150</v>
      </c>
      <c r="E21" s="11" t="s">
        <v>131</v>
      </c>
      <c r="F21" s="11" t="s">
        <v>20</v>
      </c>
      <c r="G21" s="11" t="s">
        <v>8</v>
      </c>
      <c r="H21" s="29">
        <v>0.25</v>
      </c>
      <c r="I21" s="29">
        <v>1.8</v>
      </c>
      <c r="J21" s="36" t="s">
        <v>149</v>
      </c>
      <c r="K21" s="10" t="s">
        <v>151</v>
      </c>
    </row>
    <row r="22" spans="1:12" s="7" customFormat="1" x14ac:dyDescent="0.2">
      <c r="A22" s="33" t="s">
        <v>155</v>
      </c>
      <c r="B22" s="9" t="s">
        <v>82</v>
      </c>
      <c r="C22" s="32" t="s">
        <v>152</v>
      </c>
      <c r="D22" s="9" t="s">
        <v>153</v>
      </c>
      <c r="E22" s="9" t="s">
        <v>38</v>
      </c>
      <c r="F22" s="9" t="s">
        <v>20</v>
      </c>
      <c r="G22" s="9" t="s">
        <v>8</v>
      </c>
      <c r="H22" s="33">
        <v>6.8</v>
      </c>
      <c r="I22" s="33">
        <v>4.7</v>
      </c>
      <c r="J22" s="7" t="s">
        <v>154</v>
      </c>
      <c r="K22" s="7" t="s">
        <v>103</v>
      </c>
    </row>
    <row r="23" spans="1:12" s="7" customFormat="1" x14ac:dyDescent="0.2">
      <c r="A23" s="33" t="s">
        <v>156</v>
      </c>
      <c r="B23" s="9" t="s">
        <v>82</v>
      </c>
      <c r="C23" s="32" t="s">
        <v>198</v>
      </c>
      <c r="D23" s="9" t="s">
        <v>153</v>
      </c>
      <c r="E23" s="9" t="s">
        <v>38</v>
      </c>
      <c r="F23" s="9" t="s">
        <v>20</v>
      </c>
      <c r="G23" s="9" t="s">
        <v>8</v>
      </c>
      <c r="H23" s="33">
        <v>6.8</v>
      </c>
      <c r="I23" s="33">
        <v>3.3</v>
      </c>
      <c r="J23" s="7" t="s">
        <v>154</v>
      </c>
      <c r="K23" s="7" t="s">
        <v>103</v>
      </c>
    </row>
    <row r="24" spans="1:12" s="10" customFormat="1" ht="32" x14ac:dyDescent="0.2">
      <c r="A24" s="11" t="s">
        <v>26</v>
      </c>
      <c r="B24" s="11" t="s">
        <v>90</v>
      </c>
      <c r="C24" s="18" t="s">
        <v>197</v>
      </c>
      <c r="D24" s="11">
        <v>2007</v>
      </c>
      <c r="E24" s="11" t="s">
        <v>27</v>
      </c>
      <c r="F24" s="11" t="s">
        <v>20</v>
      </c>
      <c r="G24" s="11" t="s">
        <v>8</v>
      </c>
      <c r="H24" s="11">
        <v>0</v>
      </c>
      <c r="I24" s="15">
        <f>20*(16/12)</f>
        <v>26.666666666666664</v>
      </c>
      <c r="J24" s="10" t="s">
        <v>35</v>
      </c>
      <c r="K24" s="10" t="s">
        <v>34</v>
      </c>
      <c r="L24" s="10" t="s">
        <v>54</v>
      </c>
    </row>
    <row r="25" spans="1:12" s="10" customFormat="1" x14ac:dyDescent="0.2">
      <c r="A25" s="11"/>
      <c r="B25" s="11" t="s">
        <v>90</v>
      </c>
      <c r="C25" s="11"/>
      <c r="D25" s="11">
        <v>2008</v>
      </c>
      <c r="E25" s="11" t="s">
        <v>27</v>
      </c>
      <c r="F25" s="11" t="s">
        <v>20</v>
      </c>
      <c r="G25" s="11" t="s">
        <v>8</v>
      </c>
      <c r="H25" s="11">
        <v>0</v>
      </c>
      <c r="I25" s="15">
        <f>24*(16/12)</f>
        <v>32</v>
      </c>
      <c r="J25" s="10" t="s">
        <v>35</v>
      </c>
      <c r="K25" s="10" t="s">
        <v>34</v>
      </c>
    </row>
    <row r="26" spans="1:12" s="10" customFormat="1" x14ac:dyDescent="0.2">
      <c r="A26" s="11" t="s">
        <v>56</v>
      </c>
      <c r="B26" s="11" t="s">
        <v>86</v>
      </c>
      <c r="C26" s="18" t="s">
        <v>28</v>
      </c>
      <c r="D26" s="11">
        <v>2007</v>
      </c>
      <c r="E26" s="11" t="s">
        <v>27</v>
      </c>
      <c r="F26" s="11" t="s">
        <v>20</v>
      </c>
      <c r="G26" s="11" t="s">
        <v>8</v>
      </c>
      <c r="H26" s="11">
        <v>5.5</v>
      </c>
      <c r="I26" s="15">
        <f>123*(16/12)</f>
        <v>164</v>
      </c>
      <c r="J26" s="10" t="s">
        <v>35</v>
      </c>
      <c r="K26" s="10" t="s">
        <v>34</v>
      </c>
      <c r="L26" s="10" t="s">
        <v>55</v>
      </c>
    </row>
    <row r="27" spans="1:12" s="10" customFormat="1" x14ac:dyDescent="0.2">
      <c r="A27" s="11"/>
      <c r="B27" s="11" t="s">
        <v>86</v>
      </c>
      <c r="C27" s="11"/>
      <c r="D27" s="11">
        <v>2008</v>
      </c>
      <c r="E27" s="11" t="s">
        <v>27</v>
      </c>
      <c r="F27" s="11" t="s">
        <v>20</v>
      </c>
      <c r="G27" s="11" t="s">
        <v>8</v>
      </c>
      <c r="H27" s="11">
        <v>5.5</v>
      </c>
      <c r="I27" s="15">
        <f>87*(16/12)</f>
        <v>116</v>
      </c>
      <c r="J27" s="10" t="s">
        <v>35</v>
      </c>
      <c r="K27" s="10" t="s">
        <v>34</v>
      </c>
    </row>
    <row r="28" spans="1:12" s="10" customFormat="1" x14ac:dyDescent="0.2">
      <c r="A28" s="11" t="s">
        <v>57</v>
      </c>
      <c r="B28" s="11" t="s">
        <v>82</v>
      </c>
      <c r="C28" s="18" t="s">
        <v>29</v>
      </c>
      <c r="D28" s="11">
        <v>2007</v>
      </c>
      <c r="E28" s="11" t="s">
        <v>27</v>
      </c>
      <c r="F28" s="11" t="s">
        <v>20</v>
      </c>
      <c r="G28" s="11" t="s">
        <v>8</v>
      </c>
      <c r="H28" s="11">
        <v>14.5</v>
      </c>
      <c r="I28" s="15">
        <f>-5*(16/12)</f>
        <v>-6.6666666666666661</v>
      </c>
      <c r="J28" s="10" t="s">
        <v>35</v>
      </c>
      <c r="K28" s="10" t="s">
        <v>34</v>
      </c>
      <c r="L28" s="10" t="s">
        <v>55</v>
      </c>
    </row>
    <row r="29" spans="1:12" s="10" customFormat="1" x14ac:dyDescent="0.2">
      <c r="A29" s="11"/>
      <c r="B29" s="11" t="s">
        <v>82</v>
      </c>
      <c r="C29" s="11"/>
      <c r="D29" s="11">
        <v>2008</v>
      </c>
      <c r="E29" s="11" t="s">
        <v>27</v>
      </c>
      <c r="F29" s="11" t="s">
        <v>20</v>
      </c>
      <c r="G29" s="11" t="s">
        <v>8</v>
      </c>
      <c r="H29" s="11">
        <v>14.5</v>
      </c>
      <c r="I29" s="15">
        <f>-2*(16/12)</f>
        <v>-2.6666666666666665</v>
      </c>
      <c r="J29" s="10" t="s">
        <v>35</v>
      </c>
      <c r="K29" s="10" t="s">
        <v>34</v>
      </c>
    </row>
    <row r="30" spans="1:12" s="7" customFormat="1" x14ac:dyDescent="0.2">
      <c r="A30" s="33" t="s">
        <v>157</v>
      </c>
      <c r="B30" s="9" t="s">
        <v>82</v>
      </c>
      <c r="C30" s="32" t="s">
        <v>160</v>
      </c>
      <c r="D30" s="9">
        <v>2008</v>
      </c>
      <c r="E30" s="33" t="s">
        <v>159</v>
      </c>
      <c r="F30" s="9" t="s">
        <v>20</v>
      </c>
      <c r="G30" s="9" t="s">
        <v>8</v>
      </c>
      <c r="H30" s="33">
        <v>11.6</v>
      </c>
      <c r="I30" s="33">
        <v>30.6</v>
      </c>
      <c r="J30" s="34" t="s">
        <v>161</v>
      </c>
      <c r="K30" s="7" t="s">
        <v>95</v>
      </c>
    </row>
    <row r="31" spans="1:12" s="7" customFormat="1" x14ac:dyDescent="0.2">
      <c r="A31" s="33" t="s">
        <v>158</v>
      </c>
      <c r="B31" s="9" t="s">
        <v>82</v>
      </c>
      <c r="C31" s="32" t="s">
        <v>160</v>
      </c>
      <c r="D31" s="9">
        <v>2008</v>
      </c>
      <c r="E31" s="33" t="s">
        <v>159</v>
      </c>
      <c r="F31" s="9" t="s">
        <v>20</v>
      </c>
      <c r="G31" s="9" t="s">
        <v>8</v>
      </c>
      <c r="H31" s="33">
        <v>12.9</v>
      </c>
      <c r="I31" s="33">
        <v>32</v>
      </c>
      <c r="J31" s="34" t="s">
        <v>161</v>
      </c>
      <c r="K31" s="7" t="s">
        <v>95</v>
      </c>
    </row>
    <row r="32" spans="1:12" s="10" customFormat="1" x14ac:dyDescent="0.2">
      <c r="A32" s="12" t="s">
        <v>173</v>
      </c>
      <c r="B32" s="11" t="s">
        <v>86</v>
      </c>
      <c r="C32" s="29" t="s">
        <v>168</v>
      </c>
      <c r="D32" s="11" t="s">
        <v>169</v>
      </c>
      <c r="E32" s="29" t="s">
        <v>171</v>
      </c>
      <c r="F32" s="11" t="s">
        <v>20</v>
      </c>
      <c r="G32" s="11" t="s">
        <v>8</v>
      </c>
      <c r="H32" s="29">
        <v>1</v>
      </c>
      <c r="I32" s="29">
        <v>93</v>
      </c>
      <c r="J32" s="12" t="s">
        <v>172</v>
      </c>
      <c r="K32" s="10" t="s">
        <v>170</v>
      </c>
      <c r="L32" s="10" t="s">
        <v>167</v>
      </c>
    </row>
    <row r="33" spans="1:12" s="7" customFormat="1" ht="64" x14ac:dyDescent="0.2">
      <c r="A33" s="16" t="s">
        <v>41</v>
      </c>
      <c r="B33" s="16" t="s">
        <v>90</v>
      </c>
      <c r="C33" s="17" t="s">
        <v>199</v>
      </c>
      <c r="D33" s="9">
        <v>2009</v>
      </c>
      <c r="E33" s="16" t="s">
        <v>42</v>
      </c>
      <c r="F33" s="9" t="s">
        <v>20</v>
      </c>
      <c r="G33" s="9" t="s">
        <v>8</v>
      </c>
      <c r="H33" s="9">
        <v>0.05</v>
      </c>
      <c r="I33" s="14">
        <f>42*(16/12)</f>
        <v>56</v>
      </c>
      <c r="J33" s="7" t="s">
        <v>94</v>
      </c>
      <c r="K33" s="7" t="s">
        <v>95</v>
      </c>
      <c r="L33" s="7" t="s">
        <v>96</v>
      </c>
    </row>
    <row r="34" spans="1:12" s="10" customFormat="1" x14ac:dyDescent="0.2">
      <c r="A34" s="11" t="s">
        <v>16</v>
      </c>
      <c r="B34" s="11" t="s">
        <v>78</v>
      </c>
      <c r="C34" s="18" t="s">
        <v>138</v>
      </c>
      <c r="D34" s="11" t="s">
        <v>17</v>
      </c>
      <c r="E34" s="11" t="s">
        <v>18</v>
      </c>
      <c r="F34" s="11" t="s">
        <v>21</v>
      </c>
      <c r="G34" s="11" t="s">
        <v>8</v>
      </c>
      <c r="H34" s="11">
        <v>23.7</v>
      </c>
      <c r="I34" s="15">
        <f>1.29*16/(10^6)*24*365</f>
        <v>0.18080640000000001</v>
      </c>
      <c r="J34" s="10" t="s">
        <v>23</v>
      </c>
      <c r="K34" s="10" t="s">
        <v>33</v>
      </c>
      <c r="L34" s="10" t="s">
        <v>50</v>
      </c>
    </row>
    <row r="35" spans="1:12" s="10" customFormat="1" x14ac:dyDescent="0.2">
      <c r="A35" s="11" t="s">
        <v>49</v>
      </c>
      <c r="B35" s="11" t="s">
        <v>82</v>
      </c>
      <c r="C35" s="18" t="s">
        <v>138</v>
      </c>
      <c r="D35" s="11" t="s">
        <v>17</v>
      </c>
      <c r="E35" s="11" t="s">
        <v>18</v>
      </c>
      <c r="F35" s="11" t="s">
        <v>21</v>
      </c>
      <c r="G35" s="11" t="s">
        <v>8</v>
      </c>
      <c r="H35" s="11">
        <v>13.7</v>
      </c>
      <c r="I35" s="15">
        <f>0.23*16/(10^6)*24*365</f>
        <v>3.2236800000000003E-2</v>
      </c>
      <c r="J35" s="10" t="s">
        <v>23</v>
      </c>
      <c r="K35" s="10" t="s">
        <v>33</v>
      </c>
    </row>
    <row r="36" spans="1:12" s="7" customFormat="1" ht="32" x14ac:dyDescent="0.2">
      <c r="A36" s="9" t="s">
        <v>51</v>
      </c>
      <c r="B36" s="9" t="s">
        <v>97</v>
      </c>
      <c r="C36" s="17" t="s">
        <v>200</v>
      </c>
      <c r="D36" s="9">
        <v>2012</v>
      </c>
      <c r="E36" s="9" t="s">
        <v>10</v>
      </c>
      <c r="F36" s="9" t="s">
        <v>20</v>
      </c>
      <c r="G36" s="9" t="s">
        <v>8</v>
      </c>
      <c r="H36" s="9">
        <v>5</v>
      </c>
      <c r="I36" s="14">
        <f>0.36*16</f>
        <v>5.76</v>
      </c>
      <c r="J36" s="7" t="s">
        <v>12</v>
      </c>
      <c r="K36" s="7" t="s">
        <v>113</v>
      </c>
      <c r="L36" s="7" t="s">
        <v>53</v>
      </c>
    </row>
    <row r="37" spans="1:12" s="7" customFormat="1" x14ac:dyDescent="0.2">
      <c r="A37" s="9" t="s">
        <v>52</v>
      </c>
      <c r="B37" s="9" t="s">
        <v>97</v>
      </c>
      <c r="C37" s="9"/>
      <c r="D37" s="9">
        <v>2012</v>
      </c>
      <c r="E37" s="9" t="s">
        <v>10</v>
      </c>
      <c r="F37" s="9" t="s">
        <v>20</v>
      </c>
      <c r="G37" s="9" t="s">
        <v>8</v>
      </c>
      <c r="H37" s="9">
        <v>5</v>
      </c>
      <c r="I37" s="14">
        <f>0.32*16</f>
        <v>5.12</v>
      </c>
      <c r="J37" s="7" t="s">
        <v>12</v>
      </c>
      <c r="K37" s="7" t="s">
        <v>113</v>
      </c>
    </row>
    <row r="38" spans="1:12" s="10" customFormat="1" ht="32" x14ac:dyDescent="0.2">
      <c r="A38" s="12" t="s">
        <v>11</v>
      </c>
      <c r="B38" s="11" t="s">
        <v>82</v>
      </c>
      <c r="C38" s="37" t="s">
        <v>29</v>
      </c>
      <c r="D38" s="11">
        <v>2012</v>
      </c>
      <c r="E38" s="12" t="s">
        <v>185</v>
      </c>
      <c r="F38" s="11" t="s">
        <v>20</v>
      </c>
      <c r="G38" s="11" t="s">
        <v>8</v>
      </c>
      <c r="H38" s="15">
        <f>(10+11+17+5+12+17+19+18)/8</f>
        <v>13.625</v>
      </c>
      <c r="I38" s="15">
        <f>((5-10+10+5200+20+75+30+10)/8)/10^6*16*24*365</f>
        <v>93.556799999999996</v>
      </c>
      <c r="J38" s="10" t="s">
        <v>186</v>
      </c>
      <c r="K38" s="10" t="s">
        <v>184</v>
      </c>
      <c r="L38" s="10" t="s">
        <v>232</v>
      </c>
    </row>
    <row r="39" spans="1:12" s="10" customFormat="1" x14ac:dyDescent="0.2">
      <c r="A39" s="12" t="s">
        <v>194</v>
      </c>
      <c r="B39" s="11" t="s">
        <v>82</v>
      </c>
      <c r="C39" s="37" t="s">
        <v>183</v>
      </c>
      <c r="D39" s="11">
        <v>2012</v>
      </c>
      <c r="E39" s="12" t="s">
        <v>185</v>
      </c>
      <c r="F39" s="11" t="s">
        <v>20</v>
      </c>
      <c r="G39" s="11" t="s">
        <v>8</v>
      </c>
      <c r="H39" s="15">
        <f>(5+7+12+7+12+18+15+18)/8</f>
        <v>11.75</v>
      </c>
      <c r="I39" s="15">
        <f>((5+0+0+20+30+40+30+0)/8)/10^6*16*24*365</f>
        <v>2.19</v>
      </c>
      <c r="J39" s="10" t="s">
        <v>186</v>
      </c>
    </row>
    <row r="40" spans="1:12" s="7" customFormat="1" ht="16" customHeight="1" x14ac:dyDescent="0.2">
      <c r="A40" s="9" t="s">
        <v>43</v>
      </c>
      <c r="B40" s="9" t="s">
        <v>82</v>
      </c>
      <c r="C40" s="17" t="s">
        <v>201</v>
      </c>
      <c r="D40" s="9">
        <v>2012</v>
      </c>
      <c r="E40" s="9" t="s">
        <v>6</v>
      </c>
      <c r="F40" s="9" t="s">
        <v>20</v>
      </c>
      <c r="G40" s="9" t="s">
        <v>7</v>
      </c>
      <c r="H40" s="9">
        <v>9.15</v>
      </c>
      <c r="I40" s="14">
        <v>13.8</v>
      </c>
      <c r="J40" s="7" t="s">
        <v>15</v>
      </c>
      <c r="K40" s="7" t="s">
        <v>31</v>
      </c>
      <c r="L40" s="21" t="s">
        <v>162</v>
      </c>
    </row>
    <row r="41" spans="1:12" s="7" customFormat="1" ht="16" customHeight="1" x14ac:dyDescent="0.2">
      <c r="A41" s="9" t="s">
        <v>48</v>
      </c>
      <c r="B41" s="9" t="s">
        <v>90</v>
      </c>
      <c r="C41" s="17" t="s">
        <v>44</v>
      </c>
      <c r="D41" s="9">
        <v>2012</v>
      </c>
      <c r="E41" s="9" t="s">
        <v>6</v>
      </c>
      <c r="F41" s="9" t="s">
        <v>20</v>
      </c>
      <c r="G41" s="9" t="s">
        <v>7</v>
      </c>
      <c r="H41" s="9">
        <v>0.23</v>
      </c>
      <c r="I41" s="14">
        <v>63</v>
      </c>
      <c r="J41" s="7" t="s">
        <v>15</v>
      </c>
      <c r="K41" s="7" t="s">
        <v>31</v>
      </c>
    </row>
    <row r="42" spans="1:12" s="7" customFormat="1" ht="16" customHeight="1" x14ac:dyDescent="0.2">
      <c r="A42" s="9"/>
      <c r="B42" s="9" t="s">
        <v>90</v>
      </c>
      <c r="C42" s="9"/>
      <c r="D42" s="9">
        <v>2013</v>
      </c>
      <c r="E42" s="9" t="s">
        <v>6</v>
      </c>
      <c r="F42" s="9" t="s">
        <v>20</v>
      </c>
      <c r="G42" s="9" t="s">
        <v>7</v>
      </c>
      <c r="H42" s="9">
        <v>0.23</v>
      </c>
      <c r="I42" s="14">
        <v>61.6</v>
      </c>
      <c r="J42" s="7" t="s">
        <v>15</v>
      </c>
      <c r="K42" s="7" t="s">
        <v>31</v>
      </c>
    </row>
    <row r="43" spans="1:12" s="10" customFormat="1" ht="16" customHeight="1" x14ac:dyDescent="0.2">
      <c r="A43" s="11" t="s">
        <v>43</v>
      </c>
      <c r="B43" s="11" t="s">
        <v>82</v>
      </c>
      <c r="C43" s="18" t="s">
        <v>201</v>
      </c>
      <c r="D43" s="11" t="s">
        <v>25</v>
      </c>
      <c r="E43" s="11" t="s">
        <v>6</v>
      </c>
      <c r="F43" s="11" t="s">
        <v>20</v>
      </c>
      <c r="G43" s="11" t="s">
        <v>7</v>
      </c>
      <c r="H43" s="11">
        <v>9.15</v>
      </c>
      <c r="I43" s="15">
        <f>11.1*(16/12)</f>
        <v>14.799999999999999</v>
      </c>
      <c r="J43" s="10" t="s">
        <v>9</v>
      </c>
      <c r="K43" s="10" t="s">
        <v>112</v>
      </c>
    </row>
    <row r="44" spans="1:12" s="10" customFormat="1" ht="16" customHeight="1" x14ac:dyDescent="0.2">
      <c r="A44" s="11"/>
      <c r="B44" s="11" t="s">
        <v>82</v>
      </c>
      <c r="C44" s="18"/>
      <c r="D44" s="11" t="s">
        <v>25</v>
      </c>
      <c r="E44" s="11" t="s">
        <v>6</v>
      </c>
      <c r="F44" s="11" t="s">
        <v>20</v>
      </c>
      <c r="G44" s="11" t="s">
        <v>8</v>
      </c>
      <c r="H44" s="11">
        <v>9.15</v>
      </c>
      <c r="I44" s="15">
        <f>49.6*(16/12)</f>
        <v>66.133333333333326</v>
      </c>
      <c r="J44" s="10" t="s">
        <v>9</v>
      </c>
      <c r="K44" s="10" t="s">
        <v>112</v>
      </c>
    </row>
    <row r="45" spans="1:12" s="10" customFormat="1" ht="16" customHeight="1" x14ac:dyDescent="0.2">
      <c r="A45" s="11" t="s">
        <v>48</v>
      </c>
      <c r="B45" s="11" t="s">
        <v>90</v>
      </c>
      <c r="C45" s="18" t="s">
        <v>202</v>
      </c>
      <c r="D45" s="11" t="s">
        <v>25</v>
      </c>
      <c r="E45" s="11" t="s">
        <v>6</v>
      </c>
      <c r="F45" s="11" t="s">
        <v>20</v>
      </c>
      <c r="G45" s="11" t="s">
        <v>7</v>
      </c>
      <c r="H45" s="11">
        <v>0.23</v>
      </c>
      <c r="I45" s="15">
        <f>47.1*(16/12)</f>
        <v>62.8</v>
      </c>
      <c r="J45" s="10" t="s">
        <v>9</v>
      </c>
      <c r="K45" s="10" t="s">
        <v>112</v>
      </c>
    </row>
    <row r="46" spans="1:12" s="10" customFormat="1" ht="16" customHeight="1" x14ac:dyDescent="0.2">
      <c r="A46" s="11"/>
      <c r="B46" s="11" t="s">
        <v>90</v>
      </c>
      <c r="C46" s="11"/>
      <c r="D46" s="11" t="s">
        <v>25</v>
      </c>
      <c r="E46" s="11" t="s">
        <v>6</v>
      </c>
      <c r="F46" s="11" t="s">
        <v>20</v>
      </c>
      <c r="G46" s="11" t="s">
        <v>8</v>
      </c>
      <c r="H46" s="11">
        <v>0.23</v>
      </c>
      <c r="I46" s="15">
        <f>91.9*(16/12)</f>
        <v>122.53333333333333</v>
      </c>
      <c r="J46" s="10" t="s">
        <v>9</v>
      </c>
      <c r="K46" s="10" t="s">
        <v>112</v>
      </c>
    </row>
    <row r="47" spans="1:12" s="7" customFormat="1" x14ac:dyDescent="0.2">
      <c r="A47" s="21" t="s">
        <v>175</v>
      </c>
      <c r="B47" s="7" t="s">
        <v>86</v>
      </c>
      <c r="C47" s="39" t="s">
        <v>176</v>
      </c>
      <c r="D47" s="7" t="s">
        <v>25</v>
      </c>
      <c r="E47" s="7" t="s">
        <v>174</v>
      </c>
      <c r="F47" s="7" t="s">
        <v>20</v>
      </c>
      <c r="G47" s="9" t="s">
        <v>8</v>
      </c>
      <c r="H47" s="9">
        <v>2.2999999999999998</v>
      </c>
      <c r="I47" s="14">
        <f>28.8/1000*365</f>
        <v>10.512</v>
      </c>
      <c r="J47" s="7" t="s">
        <v>181</v>
      </c>
      <c r="K47" s="7" t="s">
        <v>182</v>
      </c>
      <c r="L47" s="7" t="s">
        <v>180</v>
      </c>
    </row>
    <row r="48" spans="1:12" s="7" customFormat="1" x14ac:dyDescent="0.2">
      <c r="A48" s="21" t="s">
        <v>177</v>
      </c>
      <c r="B48" s="7" t="s">
        <v>86</v>
      </c>
      <c r="C48" s="39" t="s">
        <v>178</v>
      </c>
      <c r="D48" s="7" t="s">
        <v>25</v>
      </c>
      <c r="E48" s="7" t="s">
        <v>174</v>
      </c>
      <c r="F48" s="7" t="s">
        <v>20</v>
      </c>
      <c r="G48" s="9" t="s">
        <v>8</v>
      </c>
      <c r="H48" s="9">
        <v>4.7</v>
      </c>
      <c r="I48" s="14">
        <f>14.4/1000*365</f>
        <v>5.2560000000000002</v>
      </c>
      <c r="J48" s="7" t="s">
        <v>181</v>
      </c>
      <c r="K48" s="7" t="s">
        <v>182</v>
      </c>
    </row>
    <row r="49" spans="1:12" s="7" customFormat="1" x14ac:dyDescent="0.2">
      <c r="A49" s="21" t="s">
        <v>179</v>
      </c>
      <c r="B49" s="7" t="s">
        <v>78</v>
      </c>
      <c r="C49" s="39" t="s">
        <v>203</v>
      </c>
      <c r="D49" s="7" t="s">
        <v>25</v>
      </c>
      <c r="E49" s="7" t="s">
        <v>174</v>
      </c>
      <c r="F49" s="7" t="s">
        <v>20</v>
      </c>
      <c r="G49" s="9" t="s">
        <v>8</v>
      </c>
      <c r="H49" s="9">
        <v>20.7</v>
      </c>
      <c r="I49" s="14">
        <f>15.6/1000*365</f>
        <v>5.694</v>
      </c>
      <c r="J49" s="7" t="s">
        <v>181</v>
      </c>
      <c r="K49" s="7" t="s">
        <v>182</v>
      </c>
    </row>
    <row r="50" spans="1:12" s="10" customFormat="1" x14ac:dyDescent="0.2">
      <c r="A50" s="11" t="s">
        <v>36</v>
      </c>
      <c r="B50" s="11" t="s">
        <v>82</v>
      </c>
      <c r="C50" s="18" t="s">
        <v>204</v>
      </c>
      <c r="D50" s="11" t="s">
        <v>39</v>
      </c>
      <c r="E50" s="11" t="s">
        <v>38</v>
      </c>
      <c r="F50" s="11" t="s">
        <v>20</v>
      </c>
      <c r="G50" s="11" t="s">
        <v>8</v>
      </c>
      <c r="H50" s="11">
        <v>10</v>
      </c>
      <c r="I50" s="15">
        <v>105.5</v>
      </c>
      <c r="J50" s="10" t="s">
        <v>40</v>
      </c>
      <c r="K50" s="10" t="s">
        <v>31</v>
      </c>
      <c r="L50" s="10" t="s">
        <v>58</v>
      </c>
    </row>
    <row r="51" spans="1:12" s="10" customFormat="1" x14ac:dyDescent="0.2">
      <c r="A51" s="11"/>
      <c r="B51" s="11" t="s">
        <v>82</v>
      </c>
      <c r="C51" s="11" t="s">
        <v>60</v>
      </c>
      <c r="D51" s="11" t="s">
        <v>39</v>
      </c>
      <c r="E51" s="11" t="s">
        <v>38</v>
      </c>
      <c r="F51" s="11" t="s">
        <v>20</v>
      </c>
      <c r="G51" s="11" t="s">
        <v>8</v>
      </c>
      <c r="H51" s="11">
        <v>10</v>
      </c>
      <c r="I51" s="15">
        <v>5.2</v>
      </c>
      <c r="J51" s="10" t="s">
        <v>40</v>
      </c>
      <c r="K51" s="10" t="s">
        <v>31</v>
      </c>
    </row>
    <row r="52" spans="1:12" s="10" customFormat="1" ht="16" customHeight="1" x14ac:dyDescent="0.2">
      <c r="A52" s="11"/>
      <c r="B52" s="11" t="s">
        <v>82</v>
      </c>
      <c r="C52" s="18" t="s">
        <v>59</v>
      </c>
      <c r="D52" s="11" t="s">
        <v>39</v>
      </c>
      <c r="E52" s="11" t="s">
        <v>38</v>
      </c>
      <c r="F52" s="11" t="s">
        <v>20</v>
      </c>
      <c r="G52" s="11" t="s">
        <v>8</v>
      </c>
      <c r="H52" s="11">
        <v>10</v>
      </c>
      <c r="I52" s="15">
        <v>1</v>
      </c>
      <c r="J52" s="10" t="s">
        <v>40</v>
      </c>
      <c r="K52" s="10" t="s">
        <v>31</v>
      </c>
    </row>
    <row r="53" spans="1:12" s="10" customFormat="1" x14ac:dyDescent="0.2">
      <c r="A53" s="11" t="s">
        <v>37</v>
      </c>
      <c r="B53" s="11" t="s">
        <v>82</v>
      </c>
      <c r="C53" s="18" t="s">
        <v>204</v>
      </c>
      <c r="D53" s="11" t="s">
        <v>39</v>
      </c>
      <c r="E53" s="11" t="s">
        <v>38</v>
      </c>
      <c r="F53" s="11" t="s">
        <v>20</v>
      </c>
      <c r="G53" s="11" t="s">
        <v>8</v>
      </c>
      <c r="H53" s="11">
        <v>10</v>
      </c>
      <c r="I53" s="15">
        <v>13.5</v>
      </c>
      <c r="J53" s="10" t="s">
        <v>40</v>
      </c>
      <c r="K53" s="10" t="s">
        <v>31</v>
      </c>
    </row>
    <row r="54" spans="1:12" s="10" customFormat="1" x14ac:dyDescent="0.2">
      <c r="A54" s="11"/>
      <c r="B54" s="11" t="s">
        <v>82</v>
      </c>
      <c r="C54" s="11" t="s">
        <v>60</v>
      </c>
      <c r="D54" s="11" t="s">
        <v>39</v>
      </c>
      <c r="E54" s="11" t="s">
        <v>38</v>
      </c>
      <c r="F54" s="11" t="s">
        <v>20</v>
      </c>
      <c r="G54" s="11" t="s">
        <v>8</v>
      </c>
      <c r="H54" s="11">
        <v>10</v>
      </c>
      <c r="I54" s="15">
        <v>4.5</v>
      </c>
      <c r="J54" s="10" t="s">
        <v>40</v>
      </c>
      <c r="K54" s="10" t="s">
        <v>31</v>
      </c>
    </row>
    <row r="55" spans="1:12" s="10" customFormat="1" x14ac:dyDescent="0.2">
      <c r="A55" s="11"/>
      <c r="B55" s="11" t="s">
        <v>82</v>
      </c>
      <c r="C55" s="18" t="s">
        <v>205</v>
      </c>
      <c r="D55" s="11" t="s">
        <v>39</v>
      </c>
      <c r="E55" s="11" t="s">
        <v>38</v>
      </c>
      <c r="F55" s="11" t="s">
        <v>20</v>
      </c>
      <c r="G55" s="11" t="s">
        <v>8</v>
      </c>
      <c r="H55" s="11">
        <v>10</v>
      </c>
      <c r="I55" s="15">
        <v>3.1</v>
      </c>
      <c r="J55" s="10" t="s">
        <v>40</v>
      </c>
      <c r="K55" s="10" t="s">
        <v>31</v>
      </c>
    </row>
    <row r="56" spans="1:12" s="7" customFormat="1" ht="32" x14ac:dyDescent="0.2">
      <c r="A56" s="21" t="s">
        <v>188</v>
      </c>
      <c r="B56" s="7" t="s">
        <v>86</v>
      </c>
      <c r="C56" s="8" t="s">
        <v>206</v>
      </c>
      <c r="D56" s="7" t="s">
        <v>187</v>
      </c>
      <c r="E56" s="21" t="s">
        <v>189</v>
      </c>
      <c r="F56" s="7" t="s">
        <v>20</v>
      </c>
      <c r="G56" s="9" t="s">
        <v>8</v>
      </c>
      <c r="H56" s="31">
        <v>3.93</v>
      </c>
      <c r="I56" s="38">
        <f>57.7*16/12</f>
        <v>76.933333333333337</v>
      </c>
      <c r="J56" s="7" t="s">
        <v>191</v>
      </c>
      <c r="K56" s="7" t="s">
        <v>32</v>
      </c>
      <c r="L56" s="7" t="s">
        <v>195</v>
      </c>
    </row>
    <row r="57" spans="1:12" s="7" customFormat="1" ht="32" x14ac:dyDescent="0.2">
      <c r="A57" s="21" t="s">
        <v>190</v>
      </c>
      <c r="B57" s="7" t="s">
        <v>86</v>
      </c>
      <c r="C57" s="8" t="s">
        <v>206</v>
      </c>
      <c r="D57" s="7" t="s">
        <v>187</v>
      </c>
      <c r="E57" s="21" t="s">
        <v>189</v>
      </c>
      <c r="F57" s="7" t="s">
        <v>20</v>
      </c>
      <c r="G57" s="9" t="s">
        <v>8</v>
      </c>
      <c r="H57" s="31">
        <v>3.93</v>
      </c>
      <c r="I57" s="14">
        <f>0.1*16/12*-1</f>
        <v>-0.13333333333333333</v>
      </c>
      <c r="J57" s="7" t="s">
        <v>191</v>
      </c>
      <c r="K57" s="7" t="s">
        <v>32</v>
      </c>
      <c r="L57" s="7" t="s">
        <v>195</v>
      </c>
    </row>
    <row r="60" spans="1:12" x14ac:dyDescent="0.2">
      <c r="A60" s="23" t="s">
        <v>165</v>
      </c>
    </row>
    <row r="61" spans="1:12" x14ac:dyDescent="0.2">
      <c r="A61" s="1" t="s">
        <v>166</v>
      </c>
      <c r="D61" s="13" t="s">
        <v>207</v>
      </c>
    </row>
    <row r="62" spans="1:12" x14ac:dyDescent="0.2">
      <c r="A62" s="6" t="s">
        <v>192</v>
      </c>
    </row>
    <row r="63" spans="1:12" x14ac:dyDescent="0.2">
      <c r="A63" s="27" t="s">
        <v>164</v>
      </c>
    </row>
    <row r="64" spans="1:12" x14ac:dyDescent="0.2">
      <c r="A64" s="27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0" sqref="F5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C25" sqref="C25"/>
    </sheetView>
  </sheetViews>
  <sheetFormatPr baseColWidth="10" defaultRowHeight="16" x14ac:dyDescent="0.2"/>
  <cols>
    <col min="1" max="1" width="19.1640625" bestFit="1" customWidth="1"/>
    <col min="2" max="2" width="16.33203125" bestFit="1" customWidth="1"/>
    <col min="3" max="3" width="25.6640625" bestFit="1" customWidth="1"/>
    <col min="4" max="4" width="45.1640625" bestFit="1" customWidth="1"/>
  </cols>
  <sheetData>
    <row r="2" spans="1:4" ht="18" x14ac:dyDescent="0.2">
      <c r="A2" s="2" t="s">
        <v>62</v>
      </c>
      <c r="B2" s="2" t="s">
        <v>63</v>
      </c>
      <c r="C2" s="2" t="s">
        <v>64</v>
      </c>
      <c r="D2" s="2" t="s">
        <v>65</v>
      </c>
    </row>
    <row r="3" spans="1:4" x14ac:dyDescent="0.2">
      <c r="A3" s="3" t="s">
        <v>66</v>
      </c>
      <c r="B3" s="3" t="s">
        <v>67</v>
      </c>
      <c r="C3" s="3" t="s">
        <v>68</v>
      </c>
      <c r="D3" s="3" t="s">
        <v>69</v>
      </c>
    </row>
    <row r="4" spans="1:4" x14ac:dyDescent="0.2">
      <c r="A4" s="3" t="s">
        <v>70</v>
      </c>
      <c r="B4" s="3" t="s">
        <v>71</v>
      </c>
      <c r="C4" s="3" t="s">
        <v>72</v>
      </c>
      <c r="D4" s="3" t="s">
        <v>73</v>
      </c>
    </row>
    <row r="5" spans="1:4" ht="18" x14ac:dyDescent="0.2">
      <c r="A5" s="3" t="s">
        <v>74</v>
      </c>
      <c r="B5" s="3" t="s">
        <v>75</v>
      </c>
      <c r="C5" s="3" t="s">
        <v>76</v>
      </c>
      <c r="D5" s="3" t="s">
        <v>77</v>
      </c>
    </row>
    <row r="6" spans="1:4" x14ac:dyDescent="0.2">
      <c r="A6" s="4" t="s">
        <v>78</v>
      </c>
      <c r="B6" s="3" t="s">
        <v>79</v>
      </c>
      <c r="C6" s="3" t="s">
        <v>80</v>
      </c>
      <c r="D6" s="3" t="s">
        <v>81</v>
      </c>
    </row>
    <row r="7" spans="1:4" x14ac:dyDescent="0.2">
      <c r="A7" s="4" t="s">
        <v>82</v>
      </c>
      <c r="B7" s="3" t="s">
        <v>83</v>
      </c>
      <c r="C7" s="3" t="s">
        <v>84</v>
      </c>
      <c r="D7" s="3" t="s">
        <v>85</v>
      </c>
    </row>
    <row r="8" spans="1:4" x14ac:dyDescent="0.2">
      <c r="A8" s="4" t="s">
        <v>86</v>
      </c>
      <c r="B8" s="3" t="s">
        <v>87</v>
      </c>
      <c r="C8" s="3" t="s">
        <v>88</v>
      </c>
      <c r="D8" s="3" t="s">
        <v>89</v>
      </c>
    </row>
    <row r="9" spans="1:4" x14ac:dyDescent="0.2">
      <c r="A9" s="3" t="s">
        <v>90</v>
      </c>
      <c r="B9" s="3" t="s">
        <v>90</v>
      </c>
      <c r="C9" s="3" t="s">
        <v>91</v>
      </c>
      <c r="D9" s="3" t="s">
        <v>92</v>
      </c>
    </row>
    <row r="11" spans="1:4" x14ac:dyDescent="0.2">
      <c r="A11" s="5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24" workbookViewId="0">
      <selection activeCell="C95" sqref="C95"/>
    </sheetView>
  </sheetViews>
  <sheetFormatPr baseColWidth="10" defaultRowHeight="16" x14ac:dyDescent="0.2"/>
  <cols>
    <col min="1" max="2" width="37" style="6" customWidth="1"/>
    <col min="3" max="3" width="47.5" style="6" customWidth="1"/>
    <col min="4" max="4" width="16.1640625" style="6" bestFit="1" customWidth="1"/>
    <col min="5" max="5" width="16" style="6" customWidth="1"/>
    <col min="6" max="6" width="9.6640625" style="6" customWidth="1"/>
    <col min="7" max="7" width="12.5" style="6" customWidth="1"/>
    <col min="8" max="8" width="10.83203125" style="6" customWidth="1"/>
    <col min="9" max="9" width="18.1640625" style="6" bestFit="1" customWidth="1"/>
    <col min="10" max="10" width="27.33203125" style="6" bestFit="1" customWidth="1"/>
    <col min="11" max="11" width="18.33203125" style="6" customWidth="1"/>
    <col min="12" max="12" width="153.6640625" style="6" bestFit="1" customWidth="1"/>
    <col min="13" max="13" width="11.6640625" style="6" bestFit="1" customWidth="1"/>
    <col min="14" max="16384" width="10.83203125" style="6"/>
  </cols>
  <sheetData>
    <row r="1" spans="1:12" s="22" customFormat="1" ht="32" x14ac:dyDescent="0.2">
      <c r="A1" s="22" t="s">
        <v>0</v>
      </c>
      <c r="B1" s="22" t="s">
        <v>61</v>
      </c>
      <c r="C1" s="22" t="s">
        <v>1</v>
      </c>
      <c r="D1" s="22" t="s">
        <v>45</v>
      </c>
      <c r="E1" s="22" t="s">
        <v>22</v>
      </c>
      <c r="F1" s="22" t="s">
        <v>19</v>
      </c>
      <c r="G1" s="22" t="s">
        <v>46</v>
      </c>
      <c r="H1" s="22" t="s">
        <v>14</v>
      </c>
      <c r="I1" s="22" t="s">
        <v>47</v>
      </c>
      <c r="J1" s="22" t="s">
        <v>2</v>
      </c>
      <c r="K1" s="22" t="s">
        <v>30</v>
      </c>
      <c r="L1" s="22" t="s">
        <v>13</v>
      </c>
    </row>
    <row r="2" spans="1:12" s="10" customFormat="1" x14ac:dyDescent="0.2">
      <c r="A2" s="29" t="s">
        <v>3</v>
      </c>
      <c r="B2" s="11" t="s">
        <v>90</v>
      </c>
      <c r="C2" s="30" t="s">
        <v>5</v>
      </c>
      <c r="D2" s="11" t="s">
        <v>98</v>
      </c>
      <c r="E2" s="11" t="s">
        <v>6</v>
      </c>
      <c r="F2" s="11" t="s">
        <v>20</v>
      </c>
      <c r="G2" s="11" t="s">
        <v>8</v>
      </c>
      <c r="H2" s="11">
        <v>0.4</v>
      </c>
      <c r="I2" s="15">
        <f>160*(16/12)</f>
        <v>213.33333333333331</v>
      </c>
      <c r="J2" s="10" t="s">
        <v>99</v>
      </c>
      <c r="K2" s="10" t="s">
        <v>102</v>
      </c>
    </row>
    <row r="3" spans="1:12" s="10" customFormat="1" x14ac:dyDescent="0.2">
      <c r="A3" s="29" t="s">
        <v>125</v>
      </c>
      <c r="B3" s="11" t="s">
        <v>90</v>
      </c>
      <c r="C3" s="30" t="s">
        <v>130</v>
      </c>
      <c r="D3" s="11" t="s">
        <v>132</v>
      </c>
      <c r="E3" s="19" t="s">
        <v>131</v>
      </c>
      <c r="F3" s="11" t="s">
        <v>20</v>
      </c>
      <c r="G3" s="11" t="s">
        <v>8</v>
      </c>
      <c r="H3" s="29">
        <v>0.25</v>
      </c>
      <c r="I3" s="29">
        <v>8.1999999999999993</v>
      </c>
      <c r="J3" s="36" t="s">
        <v>133</v>
      </c>
      <c r="K3" s="10" t="s">
        <v>31</v>
      </c>
    </row>
    <row r="4" spans="1:12" s="10" customFormat="1" x14ac:dyDescent="0.2">
      <c r="A4" s="29" t="s">
        <v>126</v>
      </c>
      <c r="B4" s="11" t="s">
        <v>90</v>
      </c>
      <c r="C4" s="30" t="s">
        <v>129</v>
      </c>
      <c r="D4" s="11" t="s">
        <v>132</v>
      </c>
      <c r="E4" s="19" t="s">
        <v>131</v>
      </c>
      <c r="F4" s="11" t="s">
        <v>20</v>
      </c>
      <c r="G4" s="11" t="s">
        <v>8</v>
      </c>
      <c r="H4" s="29">
        <v>0.25</v>
      </c>
      <c r="I4" s="29">
        <v>5.7</v>
      </c>
      <c r="J4" s="36" t="s">
        <v>133</v>
      </c>
      <c r="K4" s="10" t="s">
        <v>31</v>
      </c>
    </row>
    <row r="5" spans="1:12" s="10" customFormat="1" x14ac:dyDescent="0.2">
      <c r="A5" s="29" t="s">
        <v>127</v>
      </c>
      <c r="B5" s="11" t="s">
        <v>90</v>
      </c>
      <c r="C5" s="30" t="s">
        <v>129</v>
      </c>
      <c r="D5" s="11" t="s">
        <v>132</v>
      </c>
      <c r="E5" s="19" t="s">
        <v>131</v>
      </c>
      <c r="F5" s="11" t="s">
        <v>20</v>
      </c>
      <c r="G5" s="11" t="s">
        <v>8</v>
      </c>
      <c r="H5" s="29">
        <v>0.25</v>
      </c>
      <c r="I5" s="29">
        <v>5.0999999999999996</v>
      </c>
      <c r="J5" s="36" t="s">
        <v>133</v>
      </c>
      <c r="K5" s="10" t="s">
        <v>31</v>
      </c>
    </row>
    <row r="6" spans="1:12" s="10" customFormat="1" x14ac:dyDescent="0.2">
      <c r="A6" s="29" t="s">
        <v>128</v>
      </c>
      <c r="B6" s="11" t="s">
        <v>90</v>
      </c>
      <c r="C6" s="30" t="s">
        <v>129</v>
      </c>
      <c r="D6" s="11" t="s">
        <v>132</v>
      </c>
      <c r="E6" s="19" t="s">
        <v>131</v>
      </c>
      <c r="F6" s="11" t="s">
        <v>20</v>
      </c>
      <c r="G6" s="11" t="s">
        <v>8</v>
      </c>
      <c r="H6" s="29">
        <v>0.25</v>
      </c>
      <c r="I6" s="29">
        <v>3.5</v>
      </c>
      <c r="J6" s="36" t="s">
        <v>133</v>
      </c>
      <c r="K6" s="10" t="s">
        <v>31</v>
      </c>
    </row>
    <row r="7" spans="1:12" s="10" customFormat="1" x14ac:dyDescent="0.2">
      <c r="A7" s="29" t="s">
        <v>141</v>
      </c>
      <c r="B7" s="11" t="s">
        <v>90</v>
      </c>
      <c r="C7" s="40" t="s">
        <v>196</v>
      </c>
      <c r="D7" s="11" t="s">
        <v>144</v>
      </c>
      <c r="E7" s="11" t="s">
        <v>105</v>
      </c>
      <c r="F7" s="11" t="s">
        <v>20</v>
      </c>
      <c r="G7" s="11" t="s">
        <v>8</v>
      </c>
      <c r="H7" s="29">
        <v>0.25</v>
      </c>
      <c r="I7" s="11">
        <v>96</v>
      </c>
      <c r="J7" s="10" t="s">
        <v>142</v>
      </c>
      <c r="K7" s="10" t="s">
        <v>143</v>
      </c>
    </row>
    <row r="8" spans="1:12" s="10" customFormat="1" x14ac:dyDescent="0.2">
      <c r="A8" s="29" t="s">
        <v>145</v>
      </c>
      <c r="B8" s="11" t="s">
        <v>90</v>
      </c>
      <c r="C8" s="30" t="s">
        <v>147</v>
      </c>
      <c r="D8" s="11" t="s">
        <v>150</v>
      </c>
      <c r="E8" s="11" t="s">
        <v>131</v>
      </c>
      <c r="F8" s="11" t="s">
        <v>20</v>
      </c>
      <c r="G8" s="11" t="s">
        <v>8</v>
      </c>
      <c r="H8" s="29">
        <v>0.25</v>
      </c>
      <c r="I8" s="29">
        <v>1.3</v>
      </c>
      <c r="J8" s="36" t="s">
        <v>149</v>
      </c>
      <c r="K8" s="10" t="s">
        <v>151</v>
      </c>
    </row>
    <row r="9" spans="1:12" s="10" customFormat="1" x14ac:dyDescent="0.2">
      <c r="A9" s="29" t="s">
        <v>146</v>
      </c>
      <c r="B9" s="11" t="s">
        <v>90</v>
      </c>
      <c r="C9" s="30" t="s">
        <v>148</v>
      </c>
      <c r="D9" s="11" t="s">
        <v>150</v>
      </c>
      <c r="E9" s="11" t="s">
        <v>131</v>
      </c>
      <c r="F9" s="11" t="s">
        <v>20</v>
      </c>
      <c r="G9" s="11" t="s">
        <v>8</v>
      </c>
      <c r="H9" s="29">
        <v>0.25</v>
      </c>
      <c r="I9" s="29">
        <v>1.8</v>
      </c>
      <c r="J9" s="36" t="s">
        <v>149</v>
      </c>
      <c r="K9" s="10" t="s">
        <v>151</v>
      </c>
    </row>
    <row r="10" spans="1:12" s="10" customFormat="1" ht="32" x14ac:dyDescent="0.2">
      <c r="A10" s="11" t="s">
        <v>26</v>
      </c>
      <c r="B10" s="11" t="s">
        <v>90</v>
      </c>
      <c r="C10" s="18" t="s">
        <v>197</v>
      </c>
      <c r="D10" s="11">
        <v>2007</v>
      </c>
      <c r="E10" s="11" t="s">
        <v>27</v>
      </c>
      <c r="F10" s="11" t="s">
        <v>20</v>
      </c>
      <c r="G10" s="11" t="s">
        <v>8</v>
      </c>
      <c r="H10" s="11">
        <v>0</v>
      </c>
      <c r="I10" s="15">
        <f>20*(16/12)</f>
        <v>26.666666666666664</v>
      </c>
      <c r="J10" s="10" t="s">
        <v>35</v>
      </c>
      <c r="K10" s="10" t="s">
        <v>34</v>
      </c>
      <c r="L10" s="10" t="s">
        <v>54</v>
      </c>
    </row>
    <row r="11" spans="1:12" s="10" customFormat="1" x14ac:dyDescent="0.2">
      <c r="A11" s="11"/>
      <c r="B11" s="11" t="s">
        <v>90</v>
      </c>
      <c r="C11" s="11"/>
      <c r="D11" s="11">
        <v>2008</v>
      </c>
      <c r="E11" s="11" t="s">
        <v>27</v>
      </c>
      <c r="F11" s="11" t="s">
        <v>20</v>
      </c>
      <c r="G11" s="11" t="s">
        <v>8</v>
      </c>
      <c r="H11" s="11">
        <v>0</v>
      </c>
      <c r="I11" s="15">
        <f>24*(16/12)</f>
        <v>32</v>
      </c>
      <c r="J11" s="10" t="s">
        <v>35</v>
      </c>
      <c r="K11" s="10" t="s">
        <v>34</v>
      </c>
    </row>
    <row r="12" spans="1:12" s="11" customFormat="1" ht="64" x14ac:dyDescent="0.2">
      <c r="A12" s="20" t="s">
        <v>41</v>
      </c>
      <c r="B12" s="20" t="s">
        <v>90</v>
      </c>
      <c r="C12" s="18" t="s">
        <v>199</v>
      </c>
      <c r="D12" s="11">
        <v>2009</v>
      </c>
      <c r="E12" s="20" t="s">
        <v>42</v>
      </c>
      <c r="F12" s="11" t="s">
        <v>20</v>
      </c>
      <c r="G12" s="11" t="s">
        <v>8</v>
      </c>
      <c r="H12" s="11">
        <v>0.05</v>
      </c>
      <c r="I12" s="15">
        <f>42*(16/12)</f>
        <v>56</v>
      </c>
      <c r="J12" s="10" t="s">
        <v>94</v>
      </c>
      <c r="K12" s="10" t="s">
        <v>95</v>
      </c>
      <c r="L12" s="10" t="s">
        <v>96</v>
      </c>
    </row>
    <row r="13" spans="1:12" s="11" customFormat="1" ht="32" x14ac:dyDescent="0.2">
      <c r="A13" s="11" t="s">
        <v>48</v>
      </c>
      <c r="B13" s="11" t="s">
        <v>90</v>
      </c>
      <c r="C13" s="18" t="s">
        <v>44</v>
      </c>
      <c r="D13" s="11">
        <v>2012</v>
      </c>
      <c r="E13" s="11" t="s">
        <v>6</v>
      </c>
      <c r="F13" s="11" t="s">
        <v>20</v>
      </c>
      <c r="G13" s="11" t="s">
        <v>7</v>
      </c>
      <c r="H13" s="11">
        <v>0.23</v>
      </c>
      <c r="I13" s="15">
        <v>63</v>
      </c>
      <c r="J13" s="10" t="s">
        <v>15</v>
      </c>
      <c r="K13" s="10" t="s">
        <v>31</v>
      </c>
      <c r="L13" s="10"/>
    </row>
    <row r="14" spans="1:12" s="11" customFormat="1" x14ac:dyDescent="0.2">
      <c r="B14" s="11" t="s">
        <v>90</v>
      </c>
      <c r="D14" s="11">
        <v>2013</v>
      </c>
      <c r="E14" s="11" t="s">
        <v>6</v>
      </c>
      <c r="F14" s="11" t="s">
        <v>20</v>
      </c>
      <c r="G14" s="11" t="s">
        <v>7</v>
      </c>
      <c r="H14" s="11">
        <v>0.23</v>
      </c>
      <c r="I14" s="15">
        <v>61.6</v>
      </c>
      <c r="J14" s="10" t="s">
        <v>15</v>
      </c>
      <c r="K14" s="10" t="s">
        <v>31</v>
      </c>
      <c r="L14" s="10"/>
    </row>
    <row r="15" spans="1:12" s="11" customFormat="1" x14ac:dyDescent="0.2">
      <c r="A15" s="11" t="s">
        <v>48</v>
      </c>
      <c r="B15" s="11" t="s">
        <v>90</v>
      </c>
      <c r="C15" s="18" t="s">
        <v>202</v>
      </c>
      <c r="D15" s="11" t="s">
        <v>25</v>
      </c>
      <c r="E15" s="11" t="s">
        <v>6</v>
      </c>
      <c r="F15" s="11" t="s">
        <v>20</v>
      </c>
      <c r="G15" s="11" t="s">
        <v>7</v>
      </c>
      <c r="H15" s="11">
        <v>0.23</v>
      </c>
      <c r="I15" s="15">
        <f>47.1*(16/12)</f>
        <v>62.8</v>
      </c>
      <c r="J15" s="10" t="s">
        <v>9</v>
      </c>
      <c r="K15" s="10" t="s">
        <v>112</v>
      </c>
      <c r="L15" s="10"/>
    </row>
    <row r="16" spans="1:12" s="10" customFormat="1" x14ac:dyDescent="0.2">
      <c r="A16" s="11"/>
      <c r="B16" s="11" t="s">
        <v>90</v>
      </c>
      <c r="C16" s="11"/>
      <c r="D16" s="11" t="s">
        <v>25</v>
      </c>
      <c r="E16" s="11" t="s">
        <v>6</v>
      </c>
      <c r="F16" s="11" t="s">
        <v>20</v>
      </c>
      <c r="G16" s="11" t="s">
        <v>8</v>
      </c>
      <c r="H16" s="11">
        <v>0.23</v>
      </c>
      <c r="I16" s="15">
        <f>91.9*(16/12)</f>
        <v>122.53333333333333</v>
      </c>
      <c r="J16" s="10" t="s">
        <v>9</v>
      </c>
      <c r="K16" s="10" t="s">
        <v>112</v>
      </c>
    </row>
    <row r="17" spans="1:12" s="25" customFormat="1" x14ac:dyDescent="0.2">
      <c r="A17" s="24"/>
      <c r="B17" s="24"/>
      <c r="C17" s="24"/>
      <c r="D17" s="24"/>
      <c r="E17" s="24"/>
      <c r="F17" s="24"/>
      <c r="G17" s="24"/>
      <c r="H17" s="24" t="s">
        <v>208</v>
      </c>
      <c r="I17" s="26">
        <f>AVERAGE(I2:I16)</f>
        <v>50.635555555555548</v>
      </c>
    </row>
    <row r="18" spans="1:12" s="25" customFormat="1" x14ac:dyDescent="0.2">
      <c r="A18" s="24"/>
      <c r="B18" s="24"/>
      <c r="C18" s="24"/>
      <c r="D18" s="24"/>
      <c r="E18" s="24"/>
      <c r="F18" s="24"/>
      <c r="G18" s="24"/>
      <c r="H18" s="24" t="s">
        <v>209</v>
      </c>
      <c r="I18" s="26">
        <f>STDEV(I2:I16)/SQRT(COUNT(I2:I16))</f>
        <v>15.119140770450031</v>
      </c>
    </row>
    <row r="19" spans="1:12" s="7" customFormat="1" ht="16" customHeight="1" x14ac:dyDescent="0.2">
      <c r="A19" s="33" t="s">
        <v>4</v>
      </c>
      <c r="B19" s="9" t="s">
        <v>86</v>
      </c>
      <c r="C19" s="32" t="s">
        <v>24</v>
      </c>
      <c r="D19" s="9" t="s">
        <v>98</v>
      </c>
      <c r="E19" s="9" t="s">
        <v>6</v>
      </c>
      <c r="F19" s="9" t="s">
        <v>20</v>
      </c>
      <c r="G19" s="9" t="s">
        <v>8</v>
      </c>
      <c r="H19" s="9">
        <v>1.8</v>
      </c>
      <c r="I19" s="14">
        <f>73*(16/12)</f>
        <v>97.333333333333329</v>
      </c>
      <c r="J19" s="7" t="s">
        <v>99</v>
      </c>
      <c r="K19" s="7" t="s">
        <v>103</v>
      </c>
    </row>
    <row r="20" spans="1:12" s="7" customFormat="1" ht="16" customHeight="1" x14ac:dyDescent="0.2">
      <c r="A20" s="9" t="s">
        <v>56</v>
      </c>
      <c r="B20" s="9" t="s">
        <v>86</v>
      </c>
      <c r="C20" s="17" t="s">
        <v>28</v>
      </c>
      <c r="D20" s="9">
        <v>2007</v>
      </c>
      <c r="E20" s="9" t="s">
        <v>27</v>
      </c>
      <c r="F20" s="9" t="s">
        <v>20</v>
      </c>
      <c r="G20" s="9" t="s">
        <v>8</v>
      </c>
      <c r="H20" s="9">
        <v>5.5</v>
      </c>
      <c r="I20" s="14">
        <f>123*(16/12)</f>
        <v>164</v>
      </c>
      <c r="J20" s="7" t="s">
        <v>35</v>
      </c>
      <c r="K20" s="7" t="s">
        <v>34</v>
      </c>
      <c r="L20" s="7" t="s">
        <v>55</v>
      </c>
    </row>
    <row r="21" spans="1:12" s="7" customFormat="1" ht="16" customHeight="1" x14ac:dyDescent="0.2">
      <c r="A21" s="9"/>
      <c r="B21" s="9" t="s">
        <v>86</v>
      </c>
      <c r="C21" s="9"/>
      <c r="D21" s="9">
        <v>2008</v>
      </c>
      <c r="E21" s="9" t="s">
        <v>27</v>
      </c>
      <c r="F21" s="9" t="s">
        <v>20</v>
      </c>
      <c r="G21" s="9" t="s">
        <v>8</v>
      </c>
      <c r="H21" s="9">
        <v>5.5</v>
      </c>
      <c r="I21" s="14">
        <f>87*(16/12)</f>
        <v>116</v>
      </c>
      <c r="J21" s="7" t="s">
        <v>35</v>
      </c>
      <c r="K21" s="7" t="s">
        <v>34</v>
      </c>
    </row>
    <row r="22" spans="1:12" s="7" customFormat="1" ht="16" customHeight="1" x14ac:dyDescent="0.2">
      <c r="A22" s="21" t="s">
        <v>173</v>
      </c>
      <c r="B22" s="9" t="s">
        <v>86</v>
      </c>
      <c r="C22" s="33" t="s">
        <v>168</v>
      </c>
      <c r="D22" s="9" t="s">
        <v>169</v>
      </c>
      <c r="E22" s="33" t="s">
        <v>171</v>
      </c>
      <c r="F22" s="9" t="s">
        <v>20</v>
      </c>
      <c r="G22" s="9" t="s">
        <v>8</v>
      </c>
      <c r="H22" s="33">
        <v>1</v>
      </c>
      <c r="I22" s="33">
        <v>93</v>
      </c>
      <c r="J22" s="21" t="s">
        <v>172</v>
      </c>
      <c r="K22" s="7" t="s">
        <v>170</v>
      </c>
      <c r="L22" s="7" t="s">
        <v>167</v>
      </c>
    </row>
    <row r="23" spans="1:12" s="7" customFormat="1" ht="16" customHeight="1" x14ac:dyDescent="0.2">
      <c r="A23" s="21" t="s">
        <v>175</v>
      </c>
      <c r="B23" s="7" t="s">
        <v>86</v>
      </c>
      <c r="C23" s="39" t="s">
        <v>176</v>
      </c>
      <c r="D23" s="7" t="s">
        <v>25</v>
      </c>
      <c r="E23" s="7" t="s">
        <v>174</v>
      </c>
      <c r="F23" s="7" t="s">
        <v>20</v>
      </c>
      <c r="G23" s="9" t="s">
        <v>8</v>
      </c>
      <c r="H23" s="9">
        <v>2.2999999999999998</v>
      </c>
      <c r="I23" s="14">
        <f>28.8/1000*365</f>
        <v>10.512</v>
      </c>
      <c r="J23" s="7" t="s">
        <v>181</v>
      </c>
      <c r="K23" s="7" t="s">
        <v>182</v>
      </c>
      <c r="L23" s="7" t="s">
        <v>180</v>
      </c>
    </row>
    <row r="24" spans="1:12" s="7" customFormat="1" ht="16" customHeight="1" x14ac:dyDescent="0.2">
      <c r="A24" s="21" t="s">
        <v>177</v>
      </c>
      <c r="B24" s="7" t="s">
        <v>86</v>
      </c>
      <c r="C24" s="39" t="s">
        <v>178</v>
      </c>
      <c r="D24" s="7" t="s">
        <v>25</v>
      </c>
      <c r="E24" s="7" t="s">
        <v>174</v>
      </c>
      <c r="F24" s="7" t="s">
        <v>20</v>
      </c>
      <c r="G24" s="9" t="s">
        <v>8</v>
      </c>
      <c r="H24" s="9">
        <v>4.7</v>
      </c>
      <c r="I24" s="14">
        <f>14.4/1000*365</f>
        <v>5.2560000000000002</v>
      </c>
      <c r="J24" s="7" t="s">
        <v>181</v>
      </c>
      <c r="K24" s="7" t="s">
        <v>182</v>
      </c>
    </row>
    <row r="25" spans="1:12" s="7" customFormat="1" ht="32" x14ac:dyDescent="0.2">
      <c r="A25" s="21" t="s">
        <v>188</v>
      </c>
      <c r="B25" s="7" t="s">
        <v>86</v>
      </c>
      <c r="C25" s="8" t="s">
        <v>206</v>
      </c>
      <c r="D25" s="7" t="s">
        <v>187</v>
      </c>
      <c r="E25" s="21" t="s">
        <v>189</v>
      </c>
      <c r="F25" s="7" t="s">
        <v>20</v>
      </c>
      <c r="G25" s="9" t="s">
        <v>8</v>
      </c>
      <c r="H25" s="31">
        <v>3.93</v>
      </c>
      <c r="I25" s="38">
        <f>57.7*16/12</f>
        <v>76.933333333333337</v>
      </c>
      <c r="J25" s="7" t="s">
        <v>191</v>
      </c>
      <c r="K25" s="7" t="s">
        <v>32</v>
      </c>
      <c r="L25" s="7" t="s">
        <v>195</v>
      </c>
    </row>
    <row r="26" spans="1:12" s="7" customFormat="1" ht="32" x14ac:dyDescent="0.2">
      <c r="A26" s="21" t="s">
        <v>190</v>
      </c>
      <c r="B26" s="7" t="s">
        <v>86</v>
      </c>
      <c r="C26" s="8" t="s">
        <v>206</v>
      </c>
      <c r="D26" s="7" t="s">
        <v>187</v>
      </c>
      <c r="E26" s="21" t="s">
        <v>189</v>
      </c>
      <c r="F26" s="7" t="s">
        <v>20</v>
      </c>
      <c r="G26" s="9" t="s">
        <v>8</v>
      </c>
      <c r="H26" s="31">
        <v>3.93</v>
      </c>
      <c r="I26" s="14">
        <f>0.1*16/12*-1</f>
        <v>-0.13333333333333333</v>
      </c>
      <c r="J26" s="7" t="s">
        <v>191</v>
      </c>
      <c r="K26" s="7" t="s">
        <v>32</v>
      </c>
      <c r="L26" s="7" t="s">
        <v>195</v>
      </c>
    </row>
    <row r="27" spans="1:12" s="7" customFormat="1" ht="32" x14ac:dyDescent="0.2">
      <c r="A27" s="9" t="s">
        <v>51</v>
      </c>
      <c r="B27" s="9" t="s">
        <v>97</v>
      </c>
      <c r="C27" s="17" t="s">
        <v>200</v>
      </c>
      <c r="D27" s="9">
        <v>2012</v>
      </c>
      <c r="E27" s="9" t="s">
        <v>10</v>
      </c>
      <c r="F27" s="9" t="s">
        <v>20</v>
      </c>
      <c r="G27" s="9" t="s">
        <v>8</v>
      </c>
      <c r="H27" s="9">
        <v>5</v>
      </c>
      <c r="I27" s="14">
        <f>0.36*16</f>
        <v>5.76</v>
      </c>
      <c r="J27" s="7" t="s">
        <v>12</v>
      </c>
      <c r="K27" s="7" t="s">
        <v>113</v>
      </c>
      <c r="L27" s="7" t="s">
        <v>53</v>
      </c>
    </row>
    <row r="28" spans="1:12" s="7" customFormat="1" x14ac:dyDescent="0.2">
      <c r="A28" s="9" t="s">
        <v>52</v>
      </c>
      <c r="B28" s="9" t="s">
        <v>97</v>
      </c>
      <c r="C28" s="9"/>
      <c r="D28" s="9">
        <v>2012</v>
      </c>
      <c r="E28" s="9" t="s">
        <v>10</v>
      </c>
      <c r="F28" s="9" t="s">
        <v>20</v>
      </c>
      <c r="G28" s="9" t="s">
        <v>8</v>
      </c>
      <c r="H28" s="9">
        <v>5</v>
      </c>
      <c r="I28" s="14">
        <f>0.32*16</f>
        <v>5.12</v>
      </c>
      <c r="J28" s="7" t="s">
        <v>12</v>
      </c>
      <c r="K28" s="7" t="s">
        <v>113</v>
      </c>
    </row>
    <row r="29" spans="1:12" s="25" customFormat="1" x14ac:dyDescent="0.2">
      <c r="A29" s="24"/>
      <c r="B29" s="24"/>
      <c r="C29" s="24"/>
      <c r="D29" s="24"/>
      <c r="E29" s="24"/>
      <c r="F29" s="24"/>
      <c r="G29" s="24"/>
      <c r="H29" s="24" t="s">
        <v>208</v>
      </c>
      <c r="I29" s="26">
        <f>AVERAGE(I19:I28)</f>
        <v>57.378133333333338</v>
      </c>
    </row>
    <row r="30" spans="1:12" s="25" customFormat="1" x14ac:dyDescent="0.2">
      <c r="A30" s="24"/>
      <c r="B30" s="24"/>
      <c r="C30" s="24"/>
      <c r="D30" s="24"/>
      <c r="E30" s="24"/>
      <c r="F30" s="24"/>
      <c r="G30" s="24"/>
      <c r="H30" s="24" t="s">
        <v>209</v>
      </c>
      <c r="I30" s="26">
        <f>STDEV(I19:I28)/SQRT(COUNT(I19:I28))</f>
        <v>18.75827259435022</v>
      </c>
    </row>
    <row r="31" spans="1:12" s="10" customFormat="1" ht="16" customHeight="1" x14ac:dyDescent="0.2">
      <c r="A31" s="29" t="s">
        <v>116</v>
      </c>
      <c r="B31" s="11" t="s">
        <v>82</v>
      </c>
      <c r="C31" s="30" t="s">
        <v>119</v>
      </c>
      <c r="D31" s="11" t="s">
        <v>122</v>
      </c>
      <c r="E31" s="11" t="s">
        <v>105</v>
      </c>
      <c r="F31" s="11" t="s">
        <v>20</v>
      </c>
      <c r="G31" s="11" t="s">
        <v>8</v>
      </c>
      <c r="H31" s="29">
        <v>5.0999999999999996</v>
      </c>
      <c r="I31" s="29">
        <v>18.2</v>
      </c>
      <c r="J31" s="10" t="s">
        <v>123</v>
      </c>
      <c r="K31" s="10" t="s">
        <v>124</v>
      </c>
    </row>
    <row r="32" spans="1:12" s="10" customFormat="1" x14ac:dyDescent="0.2">
      <c r="A32" s="29" t="s">
        <v>117</v>
      </c>
      <c r="B32" s="19" t="s">
        <v>82</v>
      </c>
      <c r="C32" s="30" t="s">
        <v>120</v>
      </c>
      <c r="D32" s="11" t="s">
        <v>122</v>
      </c>
      <c r="E32" s="11" t="s">
        <v>105</v>
      </c>
      <c r="F32" s="11" t="s">
        <v>20</v>
      </c>
      <c r="G32" s="11" t="s">
        <v>8</v>
      </c>
      <c r="H32" s="29">
        <v>12.8</v>
      </c>
      <c r="I32" s="29">
        <v>22.4</v>
      </c>
      <c r="J32" s="10" t="s">
        <v>123</v>
      </c>
      <c r="K32" s="10" t="s">
        <v>124</v>
      </c>
    </row>
    <row r="33" spans="1:12" s="10" customFormat="1" x14ac:dyDescent="0.2">
      <c r="A33" s="29" t="s">
        <v>118</v>
      </c>
      <c r="B33" s="11" t="s">
        <v>82</v>
      </c>
      <c r="C33" s="30" t="s">
        <v>121</v>
      </c>
      <c r="D33" s="11" t="s">
        <v>122</v>
      </c>
      <c r="E33" s="11" t="s">
        <v>105</v>
      </c>
      <c r="F33" s="11" t="s">
        <v>20</v>
      </c>
      <c r="G33" s="11" t="s">
        <v>8</v>
      </c>
      <c r="H33" s="29">
        <v>16.600000000000001</v>
      </c>
      <c r="I33" s="11">
        <v>5.6</v>
      </c>
      <c r="J33" s="10" t="s">
        <v>123</v>
      </c>
      <c r="K33" s="10" t="s">
        <v>124</v>
      </c>
    </row>
    <row r="34" spans="1:12" s="10" customFormat="1" x14ac:dyDescent="0.2">
      <c r="A34" s="29" t="s">
        <v>155</v>
      </c>
      <c r="B34" s="11" t="s">
        <v>82</v>
      </c>
      <c r="C34" s="30" t="s">
        <v>152</v>
      </c>
      <c r="D34" s="11" t="s">
        <v>153</v>
      </c>
      <c r="E34" s="11" t="s">
        <v>38</v>
      </c>
      <c r="F34" s="11" t="s">
        <v>20</v>
      </c>
      <c r="G34" s="11" t="s">
        <v>8</v>
      </c>
      <c r="H34" s="29">
        <v>6.8</v>
      </c>
      <c r="I34" s="29">
        <v>4.7</v>
      </c>
      <c r="J34" s="10" t="s">
        <v>154</v>
      </c>
      <c r="K34" s="10" t="s">
        <v>103</v>
      </c>
    </row>
    <row r="35" spans="1:12" s="10" customFormat="1" x14ac:dyDescent="0.2">
      <c r="A35" s="29" t="s">
        <v>156</v>
      </c>
      <c r="B35" s="11" t="s">
        <v>82</v>
      </c>
      <c r="C35" s="30" t="s">
        <v>198</v>
      </c>
      <c r="D35" s="11" t="s">
        <v>153</v>
      </c>
      <c r="E35" s="11" t="s">
        <v>38</v>
      </c>
      <c r="F35" s="11" t="s">
        <v>20</v>
      </c>
      <c r="G35" s="11" t="s">
        <v>8</v>
      </c>
      <c r="H35" s="29">
        <v>6.8</v>
      </c>
      <c r="I35" s="29">
        <v>3.3</v>
      </c>
      <c r="J35" s="10" t="s">
        <v>154</v>
      </c>
      <c r="K35" s="10" t="s">
        <v>103</v>
      </c>
    </row>
    <row r="36" spans="1:12" s="10" customFormat="1" x14ac:dyDescent="0.2">
      <c r="A36" s="11" t="s">
        <v>57</v>
      </c>
      <c r="B36" s="11" t="s">
        <v>82</v>
      </c>
      <c r="C36" s="18" t="s">
        <v>29</v>
      </c>
      <c r="D36" s="11">
        <v>2007</v>
      </c>
      <c r="E36" s="11" t="s">
        <v>27</v>
      </c>
      <c r="F36" s="11" t="s">
        <v>20</v>
      </c>
      <c r="G36" s="11" t="s">
        <v>8</v>
      </c>
      <c r="H36" s="11">
        <v>14.5</v>
      </c>
      <c r="I36" s="15">
        <f>-5*(16/12)</f>
        <v>-6.6666666666666661</v>
      </c>
      <c r="J36" s="10" t="s">
        <v>35</v>
      </c>
      <c r="K36" s="10" t="s">
        <v>34</v>
      </c>
      <c r="L36" s="10" t="s">
        <v>55</v>
      </c>
    </row>
    <row r="37" spans="1:12" s="10" customFormat="1" x14ac:dyDescent="0.2">
      <c r="A37" s="11"/>
      <c r="B37" s="11" t="s">
        <v>82</v>
      </c>
      <c r="C37" s="11"/>
      <c r="D37" s="11">
        <v>2008</v>
      </c>
      <c r="E37" s="11" t="s">
        <v>27</v>
      </c>
      <c r="F37" s="11" t="s">
        <v>20</v>
      </c>
      <c r="G37" s="11" t="s">
        <v>8</v>
      </c>
      <c r="H37" s="11">
        <v>14.5</v>
      </c>
      <c r="I37" s="15">
        <f>-2*(16/12)</f>
        <v>-2.6666666666666665</v>
      </c>
      <c r="J37" s="10" t="s">
        <v>35</v>
      </c>
      <c r="K37" s="10" t="s">
        <v>34</v>
      </c>
    </row>
    <row r="38" spans="1:12" s="10" customFormat="1" x14ac:dyDescent="0.2">
      <c r="A38" s="29" t="s">
        <v>157</v>
      </c>
      <c r="B38" s="11" t="s">
        <v>82</v>
      </c>
      <c r="C38" s="30" t="s">
        <v>160</v>
      </c>
      <c r="D38" s="11">
        <v>2008</v>
      </c>
      <c r="E38" s="29" t="s">
        <v>159</v>
      </c>
      <c r="F38" s="11" t="s">
        <v>20</v>
      </c>
      <c r="G38" s="11" t="s">
        <v>8</v>
      </c>
      <c r="H38" s="29">
        <v>11.6</v>
      </c>
      <c r="I38" s="29">
        <v>30.6</v>
      </c>
      <c r="J38" s="36" t="s">
        <v>161</v>
      </c>
      <c r="K38" s="10" t="s">
        <v>95</v>
      </c>
    </row>
    <row r="39" spans="1:12" s="10" customFormat="1" x14ac:dyDescent="0.2">
      <c r="A39" s="29" t="s">
        <v>158</v>
      </c>
      <c r="B39" s="11" t="s">
        <v>82</v>
      </c>
      <c r="C39" s="30" t="s">
        <v>160</v>
      </c>
      <c r="D39" s="11">
        <v>2008</v>
      </c>
      <c r="E39" s="29" t="s">
        <v>159</v>
      </c>
      <c r="F39" s="11" t="s">
        <v>20</v>
      </c>
      <c r="G39" s="11" t="s">
        <v>8</v>
      </c>
      <c r="H39" s="29">
        <v>12.9</v>
      </c>
      <c r="I39" s="29">
        <v>32</v>
      </c>
      <c r="J39" s="36" t="s">
        <v>161</v>
      </c>
      <c r="K39" s="10" t="s">
        <v>95</v>
      </c>
    </row>
    <row r="40" spans="1:12" s="10" customFormat="1" x14ac:dyDescent="0.2">
      <c r="A40" s="11" t="s">
        <v>49</v>
      </c>
      <c r="B40" s="11" t="s">
        <v>82</v>
      </c>
      <c r="C40" s="18" t="s">
        <v>138</v>
      </c>
      <c r="D40" s="11" t="s">
        <v>17</v>
      </c>
      <c r="E40" s="11" t="s">
        <v>18</v>
      </c>
      <c r="F40" s="11" t="s">
        <v>21</v>
      </c>
      <c r="G40" s="11" t="s">
        <v>8</v>
      </c>
      <c r="H40" s="11">
        <v>13.7</v>
      </c>
      <c r="I40" s="15">
        <f>0.23*16/(10^6)*24*365</f>
        <v>3.2236800000000003E-2</v>
      </c>
      <c r="J40" s="10" t="s">
        <v>23</v>
      </c>
      <c r="K40" s="10" t="s">
        <v>33</v>
      </c>
    </row>
    <row r="41" spans="1:12" s="10" customFormat="1" ht="32" x14ac:dyDescent="0.2">
      <c r="A41" s="12" t="s">
        <v>11</v>
      </c>
      <c r="B41" s="11" t="s">
        <v>82</v>
      </c>
      <c r="C41" s="37" t="s">
        <v>29</v>
      </c>
      <c r="D41" s="11">
        <v>2012</v>
      </c>
      <c r="E41" s="12" t="s">
        <v>185</v>
      </c>
      <c r="F41" s="11" t="s">
        <v>20</v>
      </c>
      <c r="G41" s="11" t="s">
        <v>8</v>
      </c>
      <c r="H41" s="15">
        <f>(10+11+17+5+12+17+19+18)/8</f>
        <v>13.625</v>
      </c>
      <c r="I41" s="15">
        <f>((5-10+10+5200+20+75+30+10)/8)/10^6*16*24*365</f>
        <v>93.556799999999996</v>
      </c>
      <c r="J41" s="10" t="s">
        <v>186</v>
      </c>
      <c r="K41" s="10" t="s">
        <v>184</v>
      </c>
      <c r="L41" s="10" t="s">
        <v>193</v>
      </c>
    </row>
    <row r="42" spans="1:12" s="10" customFormat="1" x14ac:dyDescent="0.2">
      <c r="A42" s="12" t="s">
        <v>194</v>
      </c>
      <c r="B42" s="11" t="s">
        <v>82</v>
      </c>
      <c r="C42" s="37" t="s">
        <v>183</v>
      </c>
      <c r="D42" s="11">
        <v>2012</v>
      </c>
      <c r="E42" s="12" t="s">
        <v>185</v>
      </c>
      <c r="F42" s="11" t="s">
        <v>20</v>
      </c>
      <c r="G42" s="11" t="s">
        <v>8</v>
      </c>
      <c r="H42" s="15">
        <f>(5+7+12+7+12+18+15+18)/8</f>
        <v>11.75</v>
      </c>
      <c r="I42" s="15">
        <f>((5+0+0+20+30+40+30+0)/8)/10^6*16*24*365</f>
        <v>2.19</v>
      </c>
      <c r="J42" s="10" t="s">
        <v>186</v>
      </c>
    </row>
    <row r="43" spans="1:12" s="10" customFormat="1" x14ac:dyDescent="0.2">
      <c r="A43" s="11" t="s">
        <v>43</v>
      </c>
      <c r="B43" s="11" t="s">
        <v>82</v>
      </c>
      <c r="C43" s="18" t="s">
        <v>201</v>
      </c>
      <c r="D43" s="11">
        <v>2012</v>
      </c>
      <c r="E43" s="11" t="s">
        <v>6</v>
      </c>
      <c r="F43" s="11" t="s">
        <v>20</v>
      </c>
      <c r="G43" s="11" t="s">
        <v>7</v>
      </c>
      <c r="H43" s="11">
        <v>9.15</v>
      </c>
      <c r="I43" s="15">
        <v>13.8</v>
      </c>
      <c r="J43" s="10" t="s">
        <v>15</v>
      </c>
      <c r="K43" s="10" t="s">
        <v>31</v>
      </c>
      <c r="L43" s="12" t="s">
        <v>162</v>
      </c>
    </row>
    <row r="44" spans="1:12" s="10" customFormat="1" x14ac:dyDescent="0.2">
      <c r="A44" s="11" t="s">
        <v>43</v>
      </c>
      <c r="B44" s="11" t="s">
        <v>82</v>
      </c>
      <c r="C44" s="18" t="s">
        <v>201</v>
      </c>
      <c r="D44" s="11" t="s">
        <v>25</v>
      </c>
      <c r="E44" s="11" t="s">
        <v>6</v>
      </c>
      <c r="F44" s="11" t="s">
        <v>20</v>
      </c>
      <c r="G44" s="11" t="s">
        <v>7</v>
      </c>
      <c r="H44" s="11">
        <v>9.15</v>
      </c>
      <c r="I44" s="15">
        <f>11.1*(16/12)</f>
        <v>14.799999999999999</v>
      </c>
      <c r="J44" s="10" t="s">
        <v>9</v>
      </c>
      <c r="K44" s="10" t="s">
        <v>112</v>
      </c>
    </row>
    <row r="45" spans="1:12" s="10" customFormat="1" x14ac:dyDescent="0.2">
      <c r="A45" s="11"/>
      <c r="B45" s="11" t="s">
        <v>82</v>
      </c>
      <c r="C45" s="18"/>
      <c r="D45" s="11" t="s">
        <v>25</v>
      </c>
      <c r="E45" s="11" t="s">
        <v>6</v>
      </c>
      <c r="F45" s="11" t="s">
        <v>20</v>
      </c>
      <c r="G45" s="11" t="s">
        <v>8</v>
      </c>
      <c r="H45" s="11">
        <v>9.15</v>
      </c>
      <c r="I45" s="15">
        <f>49.6*(16/12)</f>
        <v>66.133333333333326</v>
      </c>
      <c r="J45" s="10" t="s">
        <v>9</v>
      </c>
      <c r="K45" s="10" t="s">
        <v>112</v>
      </c>
    </row>
    <row r="46" spans="1:12" s="10" customFormat="1" x14ac:dyDescent="0.2">
      <c r="A46" s="11" t="s">
        <v>36</v>
      </c>
      <c r="B46" s="11" t="s">
        <v>82</v>
      </c>
      <c r="C46" s="18" t="s">
        <v>204</v>
      </c>
      <c r="D46" s="11" t="s">
        <v>39</v>
      </c>
      <c r="E46" s="11" t="s">
        <v>38</v>
      </c>
      <c r="F46" s="11" t="s">
        <v>20</v>
      </c>
      <c r="G46" s="11" t="s">
        <v>8</v>
      </c>
      <c r="H46" s="11">
        <v>10</v>
      </c>
      <c r="I46" s="15">
        <v>105.5</v>
      </c>
      <c r="J46" s="10" t="s">
        <v>40</v>
      </c>
      <c r="K46" s="10" t="s">
        <v>31</v>
      </c>
      <c r="L46" s="10" t="s">
        <v>58</v>
      </c>
    </row>
    <row r="47" spans="1:12" s="10" customFormat="1" x14ac:dyDescent="0.2">
      <c r="A47" s="11"/>
      <c r="B47" s="11" t="s">
        <v>82</v>
      </c>
      <c r="C47" s="11" t="s">
        <v>60</v>
      </c>
      <c r="D47" s="11" t="s">
        <v>39</v>
      </c>
      <c r="E47" s="11" t="s">
        <v>38</v>
      </c>
      <c r="F47" s="11" t="s">
        <v>20</v>
      </c>
      <c r="G47" s="11" t="s">
        <v>8</v>
      </c>
      <c r="H47" s="11">
        <v>10</v>
      </c>
      <c r="I47" s="15">
        <v>5.2</v>
      </c>
      <c r="J47" s="10" t="s">
        <v>40</v>
      </c>
      <c r="K47" s="10" t="s">
        <v>31</v>
      </c>
    </row>
    <row r="48" spans="1:12" s="10" customFormat="1" x14ac:dyDescent="0.2">
      <c r="A48" s="11"/>
      <c r="B48" s="11" t="s">
        <v>82</v>
      </c>
      <c r="C48" s="18" t="s">
        <v>59</v>
      </c>
      <c r="D48" s="11" t="s">
        <v>39</v>
      </c>
      <c r="E48" s="11" t="s">
        <v>38</v>
      </c>
      <c r="F48" s="11" t="s">
        <v>20</v>
      </c>
      <c r="G48" s="11" t="s">
        <v>8</v>
      </c>
      <c r="H48" s="11">
        <v>10</v>
      </c>
      <c r="I48" s="15">
        <v>1</v>
      </c>
      <c r="J48" s="10" t="s">
        <v>40</v>
      </c>
      <c r="K48" s="10" t="s">
        <v>31</v>
      </c>
    </row>
    <row r="49" spans="1:12" s="10" customFormat="1" x14ac:dyDescent="0.2">
      <c r="A49" s="11" t="s">
        <v>37</v>
      </c>
      <c r="B49" s="11" t="s">
        <v>82</v>
      </c>
      <c r="C49" s="18" t="s">
        <v>204</v>
      </c>
      <c r="D49" s="11" t="s">
        <v>39</v>
      </c>
      <c r="E49" s="11" t="s">
        <v>38</v>
      </c>
      <c r="F49" s="11" t="s">
        <v>20</v>
      </c>
      <c r="G49" s="11" t="s">
        <v>8</v>
      </c>
      <c r="H49" s="11">
        <v>10</v>
      </c>
      <c r="I49" s="15">
        <v>13.5</v>
      </c>
      <c r="J49" s="10" t="s">
        <v>40</v>
      </c>
      <c r="K49" s="10" t="s">
        <v>31</v>
      </c>
    </row>
    <row r="50" spans="1:12" s="10" customFormat="1" x14ac:dyDescent="0.2">
      <c r="A50" s="11"/>
      <c r="B50" s="11" t="s">
        <v>82</v>
      </c>
      <c r="C50" s="11" t="s">
        <v>60</v>
      </c>
      <c r="D50" s="11" t="s">
        <v>39</v>
      </c>
      <c r="E50" s="11" t="s">
        <v>38</v>
      </c>
      <c r="F50" s="11" t="s">
        <v>20</v>
      </c>
      <c r="G50" s="11" t="s">
        <v>8</v>
      </c>
      <c r="H50" s="11">
        <v>10</v>
      </c>
      <c r="I50" s="15">
        <v>4.5</v>
      </c>
      <c r="J50" s="10" t="s">
        <v>40</v>
      </c>
      <c r="K50" s="10" t="s">
        <v>31</v>
      </c>
    </row>
    <row r="51" spans="1:12" s="10" customFormat="1" ht="16" customHeight="1" x14ac:dyDescent="0.2">
      <c r="A51" s="11"/>
      <c r="B51" s="11" t="s">
        <v>82</v>
      </c>
      <c r="C51" s="18" t="s">
        <v>205</v>
      </c>
      <c r="D51" s="11" t="s">
        <v>39</v>
      </c>
      <c r="E51" s="11" t="s">
        <v>38</v>
      </c>
      <c r="F51" s="11" t="s">
        <v>20</v>
      </c>
      <c r="G51" s="11" t="s">
        <v>8</v>
      </c>
      <c r="H51" s="11">
        <v>10</v>
      </c>
      <c r="I51" s="15">
        <v>3.1</v>
      </c>
      <c r="J51" s="10" t="s">
        <v>40</v>
      </c>
      <c r="K51" s="10" t="s">
        <v>31</v>
      </c>
    </row>
    <row r="52" spans="1:12" s="25" customFormat="1" ht="16" customHeight="1" x14ac:dyDescent="0.2">
      <c r="A52" s="24"/>
      <c r="B52" s="24"/>
      <c r="C52" s="43"/>
      <c r="D52" s="24"/>
      <c r="E52" s="24"/>
      <c r="F52" s="24"/>
      <c r="G52" s="24"/>
      <c r="H52" s="24" t="s">
        <v>208</v>
      </c>
      <c r="I52" s="26">
        <f>AVERAGE(I31:I51)</f>
        <v>20.513287466666668</v>
      </c>
    </row>
    <row r="53" spans="1:12" x14ac:dyDescent="0.2">
      <c r="H53" s="24" t="s">
        <v>209</v>
      </c>
      <c r="I53" s="26">
        <f>STDEV(I31:I51)/SQRT(COUNT(I31:I51))</f>
        <v>6.7230469074478334</v>
      </c>
    </row>
    <row r="54" spans="1:12" s="7" customFormat="1" x14ac:dyDescent="0.2">
      <c r="A54" s="31" t="s">
        <v>100</v>
      </c>
      <c r="B54" s="31" t="s">
        <v>78</v>
      </c>
      <c r="C54" s="17" t="s">
        <v>101</v>
      </c>
      <c r="D54" s="9" t="s">
        <v>98</v>
      </c>
      <c r="E54" s="9" t="s">
        <v>6</v>
      </c>
      <c r="F54" s="9" t="s">
        <v>20</v>
      </c>
      <c r="G54" s="9" t="s">
        <v>8</v>
      </c>
      <c r="H54" s="9">
        <v>18.100000000000001</v>
      </c>
      <c r="I54" s="14">
        <f>4.3*(16/12)</f>
        <v>5.7333333333333325</v>
      </c>
      <c r="J54" s="7" t="s">
        <v>99</v>
      </c>
      <c r="K54" s="7" t="s">
        <v>104</v>
      </c>
    </row>
    <row r="55" spans="1:12" s="7" customFormat="1" ht="16" customHeight="1" x14ac:dyDescent="0.2">
      <c r="A55" s="31" t="s">
        <v>106</v>
      </c>
      <c r="B55" s="9" t="s">
        <v>78</v>
      </c>
      <c r="C55" s="32" t="s">
        <v>29</v>
      </c>
      <c r="D55" s="9" t="s">
        <v>109</v>
      </c>
      <c r="E55" s="9" t="s">
        <v>105</v>
      </c>
      <c r="F55" s="9" t="s">
        <v>20</v>
      </c>
      <c r="G55" s="9" t="s">
        <v>8</v>
      </c>
      <c r="H55" s="33">
        <v>18.7</v>
      </c>
      <c r="I55" s="9">
        <v>1.2</v>
      </c>
      <c r="J55" s="7" t="s">
        <v>111</v>
      </c>
      <c r="K55" s="7" t="s">
        <v>114</v>
      </c>
    </row>
    <row r="56" spans="1:12" s="7" customFormat="1" x14ac:dyDescent="0.2">
      <c r="A56" s="33" t="s">
        <v>107</v>
      </c>
      <c r="B56" s="9" t="s">
        <v>78</v>
      </c>
      <c r="C56" s="32" t="s">
        <v>108</v>
      </c>
      <c r="D56" s="9" t="s">
        <v>109</v>
      </c>
      <c r="E56" s="9" t="s">
        <v>105</v>
      </c>
      <c r="F56" s="9" t="s">
        <v>20</v>
      </c>
      <c r="G56" s="9" t="s">
        <v>8</v>
      </c>
      <c r="H56" s="33">
        <v>22.6</v>
      </c>
      <c r="I56" s="9">
        <v>0.4</v>
      </c>
      <c r="J56" s="7" t="s">
        <v>111</v>
      </c>
      <c r="K56" s="7" t="s">
        <v>114</v>
      </c>
    </row>
    <row r="57" spans="1:12" s="7" customFormat="1" x14ac:dyDescent="0.2">
      <c r="A57" s="33" t="s">
        <v>115</v>
      </c>
      <c r="B57" s="9" t="s">
        <v>78</v>
      </c>
      <c r="C57" s="32" t="s">
        <v>29</v>
      </c>
      <c r="D57" s="9" t="s">
        <v>110</v>
      </c>
      <c r="E57" s="9" t="s">
        <v>105</v>
      </c>
      <c r="F57" s="9" t="s">
        <v>20</v>
      </c>
      <c r="G57" s="9" t="s">
        <v>8</v>
      </c>
      <c r="H57" s="33">
        <v>26.3</v>
      </c>
      <c r="I57" s="9">
        <v>1.3</v>
      </c>
      <c r="J57" s="7" t="s">
        <v>111</v>
      </c>
      <c r="K57" s="7" t="s">
        <v>114</v>
      </c>
    </row>
    <row r="58" spans="1:12" s="7" customFormat="1" x14ac:dyDescent="0.2">
      <c r="A58" s="33" t="s">
        <v>134</v>
      </c>
      <c r="B58" s="9" t="s">
        <v>78</v>
      </c>
      <c r="C58" s="32" t="s">
        <v>137</v>
      </c>
      <c r="D58" s="9">
        <v>1993</v>
      </c>
      <c r="E58" s="9" t="s">
        <v>18</v>
      </c>
      <c r="F58" s="9" t="s">
        <v>20</v>
      </c>
      <c r="G58" s="9" t="s">
        <v>8</v>
      </c>
      <c r="H58" s="33">
        <v>23.5</v>
      </c>
      <c r="I58" s="33">
        <v>1.3</v>
      </c>
      <c r="J58" s="33" t="s">
        <v>140</v>
      </c>
      <c r="K58" s="9" t="s">
        <v>31</v>
      </c>
      <c r="L58" s="9"/>
    </row>
    <row r="59" spans="1:12" s="7" customFormat="1" x14ac:dyDescent="0.2">
      <c r="A59" s="9" t="s">
        <v>16</v>
      </c>
      <c r="B59" s="9" t="s">
        <v>78</v>
      </c>
      <c r="C59" s="17" t="s">
        <v>138</v>
      </c>
      <c r="D59" s="9" t="s">
        <v>17</v>
      </c>
      <c r="E59" s="9" t="s">
        <v>18</v>
      </c>
      <c r="F59" s="9" t="s">
        <v>21</v>
      </c>
      <c r="G59" s="9" t="s">
        <v>8</v>
      </c>
      <c r="H59" s="9">
        <v>23.7</v>
      </c>
      <c r="I59" s="14">
        <f>1.29*16/(10^6)*24*365</f>
        <v>0.18080640000000001</v>
      </c>
      <c r="J59" s="7" t="s">
        <v>23</v>
      </c>
      <c r="K59" s="7" t="s">
        <v>33</v>
      </c>
      <c r="L59" s="7" t="s">
        <v>50</v>
      </c>
    </row>
    <row r="60" spans="1:12" s="7" customFormat="1" x14ac:dyDescent="0.2">
      <c r="A60" s="21" t="s">
        <v>179</v>
      </c>
      <c r="B60" s="7" t="s">
        <v>78</v>
      </c>
      <c r="C60" s="39" t="s">
        <v>203</v>
      </c>
      <c r="D60" s="7" t="s">
        <v>25</v>
      </c>
      <c r="E60" s="7" t="s">
        <v>174</v>
      </c>
      <c r="F60" s="7" t="s">
        <v>20</v>
      </c>
      <c r="G60" s="9" t="s">
        <v>8</v>
      </c>
      <c r="H60" s="9">
        <v>20.7</v>
      </c>
      <c r="I60" s="14">
        <f>15.6/1000*365</f>
        <v>5.694</v>
      </c>
      <c r="J60" s="7" t="s">
        <v>181</v>
      </c>
      <c r="K60" s="7" t="s">
        <v>182</v>
      </c>
    </row>
    <row r="61" spans="1:12" s="25" customFormat="1" x14ac:dyDescent="0.2">
      <c r="A61" s="41"/>
      <c r="C61" s="42"/>
      <c r="G61" s="24"/>
      <c r="H61" s="24"/>
      <c r="I61" s="26">
        <f>AVERAGE(I54:I60)</f>
        <v>2.2583056761904765</v>
      </c>
    </row>
    <row r="62" spans="1:12" x14ac:dyDescent="0.2">
      <c r="I62" s="26">
        <f>STDEV(I54:I60)/SQRT(COUNT(I54:I60))</f>
        <v>0.90771595063540267</v>
      </c>
    </row>
    <row r="63" spans="1:12" s="10" customFormat="1" x14ac:dyDescent="0.2">
      <c r="A63" s="29" t="s">
        <v>107</v>
      </c>
      <c r="B63" s="11" t="s">
        <v>70</v>
      </c>
      <c r="C63" s="30" t="s">
        <v>138</v>
      </c>
      <c r="D63" s="11">
        <v>1993</v>
      </c>
      <c r="E63" s="11" t="s">
        <v>18</v>
      </c>
      <c r="F63" s="11" t="s">
        <v>20</v>
      </c>
      <c r="G63" s="11" t="s">
        <v>8</v>
      </c>
      <c r="H63" s="29">
        <v>31.6</v>
      </c>
      <c r="I63" s="29">
        <v>0.2</v>
      </c>
      <c r="J63" s="29" t="s">
        <v>140</v>
      </c>
      <c r="K63" s="11" t="s">
        <v>31</v>
      </c>
      <c r="L63" s="11"/>
    </row>
    <row r="64" spans="1:12" s="10" customFormat="1" ht="16" customHeight="1" x14ac:dyDescent="0.2">
      <c r="A64" s="29" t="s">
        <v>135</v>
      </c>
      <c r="B64" s="11" t="s">
        <v>70</v>
      </c>
      <c r="C64" s="30" t="s">
        <v>139</v>
      </c>
      <c r="D64" s="11">
        <v>1993</v>
      </c>
      <c r="E64" s="11" t="s">
        <v>18</v>
      </c>
      <c r="F64" s="11" t="s">
        <v>20</v>
      </c>
      <c r="G64" s="11" t="s">
        <v>8</v>
      </c>
      <c r="H64" s="29">
        <v>33.700000000000003</v>
      </c>
      <c r="I64" s="29">
        <v>0.2</v>
      </c>
      <c r="J64" s="29" t="s">
        <v>140</v>
      </c>
      <c r="K64" s="11" t="s">
        <v>31</v>
      </c>
      <c r="L64" s="11"/>
    </row>
    <row r="65" spans="1:12" s="10" customFormat="1" x14ac:dyDescent="0.2">
      <c r="A65" s="29" t="s">
        <v>136</v>
      </c>
      <c r="B65" s="11" t="s">
        <v>70</v>
      </c>
      <c r="C65" s="30" t="s">
        <v>29</v>
      </c>
      <c r="D65" s="11">
        <v>1993</v>
      </c>
      <c r="E65" s="11" t="s">
        <v>18</v>
      </c>
      <c r="F65" s="11" t="s">
        <v>20</v>
      </c>
      <c r="G65" s="11" t="s">
        <v>8</v>
      </c>
      <c r="H65" s="29">
        <v>35.1</v>
      </c>
      <c r="I65" s="29">
        <v>0.2</v>
      </c>
      <c r="J65" s="29" t="s">
        <v>140</v>
      </c>
      <c r="K65" s="11" t="s">
        <v>31</v>
      </c>
      <c r="L65" s="11"/>
    </row>
    <row r="66" spans="1:12" x14ac:dyDescent="0.2">
      <c r="I66" s="26">
        <f>AVERAGE(I63:I65)</f>
        <v>0.20000000000000004</v>
      </c>
    </row>
    <row r="67" spans="1:12" x14ac:dyDescent="0.2">
      <c r="I67" s="26">
        <f>STDEV(I63:I65)/SQRT(COUNT(I63:I65))</f>
        <v>1.9626155733547187E-17</v>
      </c>
    </row>
    <row r="68" spans="1:12" x14ac:dyDescent="0.2">
      <c r="A68" s="6" t="s">
        <v>210</v>
      </c>
      <c r="B68" s="6" t="s">
        <v>208</v>
      </c>
      <c r="C68" s="6" t="s">
        <v>209</v>
      </c>
    </row>
    <row r="69" spans="1:12" x14ac:dyDescent="0.2">
      <c r="A69" s="6" t="s">
        <v>90</v>
      </c>
      <c r="B69" s="28">
        <f>I17</f>
        <v>50.635555555555548</v>
      </c>
      <c r="C69" s="28">
        <f>I18</f>
        <v>15.119140770450031</v>
      </c>
    </row>
    <row r="70" spans="1:12" x14ac:dyDescent="0.2">
      <c r="A70" s="6" t="s">
        <v>86</v>
      </c>
      <c r="B70" s="28">
        <f>I29</f>
        <v>57.378133333333338</v>
      </c>
      <c r="C70" s="28">
        <f>I30</f>
        <v>18.75827259435022</v>
      </c>
    </row>
    <row r="71" spans="1:12" x14ac:dyDescent="0.2">
      <c r="A71" s="6" t="s">
        <v>82</v>
      </c>
      <c r="B71" s="28">
        <f>I52</f>
        <v>20.513287466666668</v>
      </c>
      <c r="C71" s="28">
        <f>I53</f>
        <v>6.7230469074478334</v>
      </c>
    </row>
    <row r="72" spans="1:12" x14ac:dyDescent="0.2">
      <c r="A72" s="6" t="s">
        <v>78</v>
      </c>
      <c r="B72" s="28">
        <f>I61</f>
        <v>2.2583056761904765</v>
      </c>
      <c r="C72" s="28">
        <f>I62</f>
        <v>0.90771595063540267</v>
      </c>
    </row>
    <row r="73" spans="1:12" x14ac:dyDescent="0.2">
      <c r="A73" s="6" t="s">
        <v>70</v>
      </c>
      <c r="B73" s="28">
        <f>I66</f>
        <v>0.20000000000000004</v>
      </c>
      <c r="C73" s="28">
        <f>I67</f>
        <v>1.9626155733547187E-17</v>
      </c>
    </row>
    <row r="79" spans="1:12" x14ac:dyDescent="0.2">
      <c r="A79" s="44"/>
    </row>
    <row r="80" spans="1:12" x14ac:dyDescent="0.2">
      <c r="A80" s="44"/>
    </row>
    <row r="81" spans="1:1" x14ac:dyDescent="0.2">
      <c r="A81" s="44"/>
    </row>
    <row r="82" spans="1:1" x14ac:dyDescent="0.2">
      <c r="A82" s="44"/>
    </row>
    <row r="83" spans="1:1" x14ac:dyDescent="0.2">
      <c r="A83" s="44"/>
    </row>
    <row r="84" spans="1:1" x14ac:dyDescent="0.2">
      <c r="A84" s="44"/>
    </row>
  </sheetData>
  <sortState ref="A2:L64">
    <sortCondition ref="B2:B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SOCCR-2 from revised</vt:lpstr>
      <vt:lpstr>Salinity vs. CH4 - SOCCR-2</vt:lpstr>
      <vt:lpstr>Flux summary revised</vt:lpstr>
      <vt:lpstr>Flux summary</vt:lpstr>
      <vt:lpstr>Exploratory figures v1</vt:lpstr>
      <vt:lpstr>Salinity classification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2017-04-27T23:46:21Z</dcterms:created>
  <dcterms:modified xsi:type="dcterms:W3CDTF">2017-10-04T00:23:48Z</dcterms:modified>
</cp:coreProperties>
</file>