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oppenheimer/src/ngeht-util/ngehtutil/cost/"/>
    </mc:Choice>
  </mc:AlternateContent>
  <xr:revisionPtr revIDLastSave="0" documentId="13_ncr:1_{DCCB7647-B2DF-8149-AF09-09C8820838F7}" xr6:coauthVersionLast="47" xr6:coauthVersionMax="47" xr10:uidLastSave="{00000000-0000-0000-0000-000000000000}"/>
  <bookViews>
    <workbookView xWindow="3380" yWindow="760" windowWidth="32880" windowHeight="17500" tabRatio="860" activeTab="2" xr2:uid="{00000000-000D-0000-FFFF-FFFF00000000}"/>
  </bookViews>
  <sheets>
    <sheet name="AutonomyModeValues" sheetId="21" r:id="rId1"/>
    <sheet name="DataManagementOptionValues" sheetId="23" r:id="rId2"/>
    <sheet name="SiteDevelopmentValues" sheetId="25" r:id="rId3"/>
    <sheet name="LaborCostValues" sheetId="17" r:id="rId4"/>
    <sheet name="TravelCostValues" sheetId="18" r:id="rId5"/>
    <sheet name="DataManagementValues" sheetId="22" r:id="rId6"/>
  </sheets>
  <definedNames>
    <definedName name="ArrayConfigurations">#REF!</definedName>
    <definedName name="ArrayConfigurationsHeader">#REF!</definedName>
    <definedName name="AutonomyOfOperations">#REF!</definedName>
    <definedName name="CostTable">#REF!</definedName>
    <definedName name="CostTableHeader">#REF!</definedName>
    <definedName name="DataManagementCosts">#REF!</definedName>
    <definedName name="DataManagementCostsHeader">#REF!</definedName>
    <definedName name="OperationalScenario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7" l="1"/>
  <c r="I5" i="23"/>
  <c r="H5" i="23"/>
  <c r="G5" i="23"/>
  <c r="F5" i="23"/>
  <c r="D5" i="23"/>
  <c r="G4" i="23"/>
  <c r="E4" i="23"/>
  <c r="D4" i="23"/>
  <c r="D3" i="23"/>
  <c r="G4" i="17"/>
  <c r="F4" i="17"/>
  <c r="E4" i="17"/>
  <c r="C4" i="17"/>
  <c r="I3" i="17"/>
  <c r="H3" i="17"/>
  <c r="I2" i="17"/>
  <c r="I4" i="17" s="1"/>
  <c r="H2" i="17"/>
  <c r="H4" i="1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Aaron Oppenheimer</author>
  </authors>
  <commentList>
    <comment ref="G2" authorId="0" shapeId="0" xr:uid="{FB403BE2-D4F5-4DF5-9958-E46AE913736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Cost of "working" storage - high throughput but more expensive</t>
        </r>
      </text>
    </comment>
    <comment ref="H2" authorId="0" shapeId="0" xr:uid="{ECC40FF3-705B-439E-B1D4-6BC6218EB7D4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for cheaper storage for holding data while we wait for data from other sites</t>
        </r>
      </text>
    </comment>
    <comment ref="I2" authorId="0" shapeId="0" xr:uid="{C5775A9C-6DA2-42A9-AB18-CA869939147F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to move data from cheap storage to expensive</t>
        </r>
      </text>
    </comment>
    <comment ref="J2" authorId="0" shapeId="0" xr:uid="{0A420733-68E7-4C24-B30A-1E4659C8FCA2}">
      <text>
        <r>
          <rPr>
            <b/>
            <sz val="9"/>
            <color rgb="FF000000"/>
            <rFont val="Tahoma"/>
            <family val="2"/>
          </rPr>
          <t>Aaron Oppenheimer: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People needed at central</t>
        </r>
      </text>
    </comment>
    <comment ref="C3" authorId="0" shapeId="0" xr:uid="{AFF28AB0-876E-4FD3-B344-E0B6D0D08479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Does this include media?</t>
        </r>
      </text>
    </comment>
    <comment ref="D3" authorId="0" shapeId="0" xr:uid="{D1B2DECB-57B6-4743-98B0-84F54217760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$50 per set of 8 SSD, 32 SSD per 3PB array, two-way shipping (per Lindy estimate)</t>
        </r>
      </text>
    </comment>
    <comment ref="E3" authorId="0" shapeId="0" xr:uid="{E2353F19-8C85-4B46-A955-746E028A5CE2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power &amp; cooling - per Lindy's paper?
Should scale per PB, no?</t>
        </r>
      </text>
    </comment>
    <comment ref="E4" authorId="0" shapeId="0" xr:uid="{548D7FDF-E65B-45B8-9BE2-2504D626F23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$5M for 3-year contract</t>
        </r>
      </text>
    </comment>
    <comment ref="G4" authorId="0" shapeId="0" xr:uid="{747024B4-E7EB-4BAD-9A44-7B5C866E107D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"Lustre" storage</t>
        </r>
      </text>
    </comment>
    <comment ref="H4" authorId="0" shapeId="0" xr:uid="{3D0A0B3F-1152-43C6-A3D2-435B1C54DCAB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"Attic"</t>
        </r>
      </text>
    </comment>
    <comment ref="I4" authorId="0" shapeId="0" xr:uid="{A953EF45-8A4A-4B35-B0BF-BF4CF7CD938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No charge to transfer between tiers</t>
        </r>
      </text>
    </comment>
    <comment ref="D5" authorId="0" shapeId="0" xr:uid="{3CB130B4-447C-4D04-976F-193DA06DCE4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($1800 rental + $100 shipping) per 300 TB GTA = $6333/PB</t>
        </r>
      </text>
    </comment>
    <comment ref="F5" authorId="0" shapeId="0" xr:uid="{1E85BEE3-E3C6-45D9-9C33-310729DF9926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Per Lindy? This is PER PB</t>
        </r>
      </text>
    </comment>
    <comment ref="G5" authorId="0" shapeId="0" xr:uid="{F77662F7-52A3-4CE2-BD2C-9BE0B7B8CA68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$0.20/GB/mo</t>
        </r>
      </text>
    </comment>
    <comment ref="H5" authorId="0" shapeId="0" xr:uid="{FA70B389-C060-4A34-BC24-4679DF85F21A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$0.012/GB/mo</t>
        </r>
      </text>
    </comment>
    <comment ref="I5" authorId="0" shapeId="0" xr:uid="{3AF2EB15-8483-4EBC-804E-A13EAD81283F}">
      <text>
        <r>
          <rPr>
            <b/>
            <sz val="9"/>
            <color indexed="81"/>
            <rFont val="Tahoma"/>
            <family val="2"/>
          </rPr>
          <t>Aaron Oppenheimer:</t>
        </r>
        <r>
          <rPr>
            <sz val="9"/>
            <color indexed="81"/>
            <rFont val="Tahoma"/>
            <family val="2"/>
          </rPr>
          <t xml:space="preserve">
$0.05GB to transfer from archive to active storage</t>
        </r>
      </text>
    </comment>
  </commentList>
</comments>
</file>

<file path=xl/sharedStrings.xml><?xml version="1.0" encoding="utf-8"?>
<sst xmlns="http://schemas.openxmlformats.org/spreadsheetml/2006/main" count="176" uniqueCount="157">
  <si>
    <t>Description</t>
  </si>
  <si>
    <t>Notes</t>
  </si>
  <si>
    <t>Variable</t>
  </si>
  <si>
    <t>Manual</t>
  </si>
  <si>
    <t>Polar region scaling</t>
  </si>
  <si>
    <t>Semi-Autonomous</t>
  </si>
  <si>
    <t>Somewhat Autonomous</t>
  </si>
  <si>
    <t>Fully Autonomous</t>
  </si>
  <si>
    <t>Remote</t>
  </si>
  <si>
    <t>Infrastructure scaling, fully developed access</t>
  </si>
  <si>
    <t>Infrastructure scaling, partially developed, nearby access</t>
  </si>
  <si>
    <t>Infrastructure scaling, remote</t>
  </si>
  <si>
    <t>Polar</t>
  </si>
  <si>
    <t>Non-polar</t>
  </si>
  <si>
    <t>Antarctica</t>
  </si>
  <si>
    <t>Infrastructure scaling, fully developed and located at existing site</t>
  </si>
  <si>
    <t>Roughly based on GLT</t>
  </si>
  <si>
    <t>Non-polar scaling</t>
  </si>
  <si>
    <t>Assume even existing sites will need some infrastructure work (~$250k?)</t>
  </si>
  <si>
    <t>Assume roads and power are there but no existing observatory facilities are present</t>
  </si>
  <si>
    <t>Assume unpaved roads and no power, but fairly easy to access transportation, power, utilities, etc.</t>
  </si>
  <si>
    <t>Assume no current infrastructure closeby</t>
  </si>
  <si>
    <t>Scenario</t>
  </si>
  <si>
    <t>Autonomy Mode</t>
  </si>
  <si>
    <t>Labor needed to travel to site during observations (FTE)</t>
  </si>
  <si>
    <t>Complexity factor requiring additional NRE &amp; maint. costs</t>
  </si>
  <si>
    <t>Local labor on-site during observations (FTE)</t>
  </si>
  <si>
    <t>Local labor on-site supporting monitoring (FTE)</t>
  </si>
  <si>
    <t>Labor remote support (FTE/campaign day)</t>
  </si>
  <si>
    <t>S. America</t>
  </si>
  <si>
    <t>Africa</t>
  </si>
  <si>
    <t>Asia</t>
  </si>
  <si>
    <t>Very hands-on, "EHT-like"</t>
  </si>
  <si>
    <t>Less ppl traveling during obs, less on-site personnel</t>
  </si>
  <si>
    <t>No travel during obs, even less on-site personnel, more remote support</t>
  </si>
  <si>
    <t xml:space="preserve">No travel or on-site personnel </t>
  </si>
  <si>
    <t>Australia / NZ</t>
  </si>
  <si>
    <t>Non-local labor on-site supporting monitoring (FTE)</t>
  </si>
  <si>
    <t>Local labor on-site maintenance (FTE-full year)</t>
  </si>
  <si>
    <t>Non-local labor remote maintenance (FTE-full year)</t>
  </si>
  <si>
    <t>One round trip to/from site</t>
  </si>
  <si>
    <t>Recording bit depth</t>
  </si>
  <si>
    <t>Baseline for continuum measurements</t>
  </si>
  <si>
    <t>Sidebands</t>
  </si>
  <si>
    <t>Reference array baseline = 2 (From ALMA Technical Handbook</t>
  </si>
  <si>
    <t>Polarizations</t>
  </si>
  <si>
    <t>Reference array baseline = 2</t>
  </si>
  <si>
    <t>Nominal dual band (230/345 GHz)</t>
  </si>
  <si>
    <t>Oversampling factor</t>
  </si>
  <si>
    <t>Nyquist sampling</t>
  </si>
  <si>
    <t>Sampling hours / day</t>
  </si>
  <si>
    <t>Own Cluster</t>
  </si>
  <si>
    <t>Research Cluster</t>
  </si>
  <si>
    <t>Cloud</t>
  </si>
  <si>
    <t>Media Cost / PB</t>
  </si>
  <si>
    <t>Recorder Cost</t>
  </si>
  <si>
    <t>Months for processing</t>
  </si>
  <si>
    <t>Months for holding data</t>
  </si>
  <si>
    <t>Build Cost</t>
  </si>
  <si>
    <t>Shipping Cost / PB</t>
  </si>
  <si>
    <t>Fast Storage Cost / PB</t>
  </si>
  <si>
    <t>Holding Storage Cost / PB</t>
  </si>
  <si>
    <t>Data Transfer Cost / PB</t>
  </si>
  <si>
    <t>FTE</t>
  </si>
  <si>
    <t>Max nights of media on-hand</t>
  </si>
  <si>
    <t>Max number of nights of data to own. If we have 7, that means we can record 7 nights worth before needing to recycle. Need to dump it somewhere else in that time.</t>
  </si>
  <si>
    <t>Value</t>
  </si>
  <si>
    <t>Comment</t>
  </si>
  <si>
    <t>Bandwidth</t>
  </si>
  <si>
    <t>GHz - Reference array baseline = 8 GHz IF</t>
  </si>
  <si>
    <t>Frequencies</t>
  </si>
  <si>
    <t>FTE cost</t>
  </si>
  <si>
    <t>US technician</t>
  </si>
  <si>
    <t>Compute Cost fixed</t>
  </si>
  <si>
    <t>Compute Cost / PB</t>
  </si>
  <si>
    <t>guess to match quote</t>
  </si>
  <si>
    <t>Multiplier to use for tri-band vs. dual-band receiver</t>
  </si>
  <si>
    <t>Baseline cost for acquiring a site</t>
  </si>
  <si>
    <t>Baseline cost for commissioning at existing site</t>
  </si>
  <si>
    <t>Baseline cost for commissioning at new site</t>
  </si>
  <si>
    <t>site_acquisition_and_leasing</t>
  </si>
  <si>
    <t>Baseline cost for development infrastructure: roads, facilities, utilities, housing, etc.</t>
  </si>
  <si>
    <t>infrastructure_development</t>
  </si>
  <si>
    <t>commissioning_existing</t>
  </si>
  <si>
    <t>commissioning_new</t>
  </si>
  <si>
    <t>exponent to apply to costs for larger dishes</t>
  </si>
  <si>
    <t>receiver_cost_factor</t>
  </si>
  <si>
    <t>triband_cost_multiplier</t>
  </si>
  <si>
    <t>correlator_cost_factor</t>
  </si>
  <si>
    <t>science_salary</t>
  </si>
  <si>
    <t>engineering_salary</t>
  </si>
  <si>
    <t>technician_salary</t>
  </si>
  <si>
    <t>Scientist salary</t>
  </si>
  <si>
    <t>Engineer selary</t>
  </si>
  <si>
    <t>Technician salary</t>
  </si>
  <si>
    <t>round_trip</t>
  </si>
  <si>
    <t>per_diem</t>
  </si>
  <si>
    <t>Costs per day of trip</t>
  </si>
  <si>
    <t>antenna_development_nre</t>
  </si>
  <si>
    <t>antenna_cost_exponent</t>
  </si>
  <si>
    <t>antenna_cost_constant</t>
  </si>
  <si>
    <t>Cost of dual-band receiver</t>
  </si>
  <si>
    <t>From Astro2020 paper</t>
  </si>
  <si>
    <t>xx</t>
  </si>
  <si>
    <t>travel_campaign</t>
  </si>
  <si>
    <t>remote_campaign_perday</t>
  </si>
  <si>
    <t>onsite_campaign</t>
  </si>
  <si>
    <t>nonlocal_onsite_monitoring</t>
  </si>
  <si>
    <t>local_onsite_monitoring</t>
  </si>
  <si>
    <t>nonlocal_remote_maint</t>
  </si>
  <si>
    <t>local_onsite_maint</t>
  </si>
  <si>
    <t>complexity_factor</t>
  </si>
  <si>
    <t>Build and maintain our own compute cluster</t>
  </si>
  <si>
    <t>Use an existing research cluster</t>
  </si>
  <si>
    <t>Cloud service provider</t>
  </si>
  <si>
    <t>build_cost</t>
  </si>
  <si>
    <t>fte_required</t>
  </si>
  <si>
    <t>holding_storage_perPB</t>
  </si>
  <si>
    <t>fast_storage_perPB</t>
  </si>
  <si>
    <t>compute_perPB</t>
  </si>
  <si>
    <t>compute_fixed</t>
  </si>
  <si>
    <t>shipping_perPB</t>
  </si>
  <si>
    <t>data_xfer_perPB</t>
  </si>
  <si>
    <t>Complete</t>
  </si>
  <si>
    <t>Full</t>
  </si>
  <si>
    <t>Partial</t>
  </si>
  <si>
    <t>N. America</t>
  </si>
  <si>
    <t>Europe</t>
  </si>
  <si>
    <t>antenna_cost_factor1</t>
  </si>
  <si>
    <t>k1 in the cost equation</t>
  </si>
  <si>
    <t>k2 in the cost equation</t>
  </si>
  <si>
    <t>antenna_cost_factor2</t>
  </si>
  <si>
    <t>Using a cost model fitting a quote for 3.5m + 12m ALMA dishes, we get cost = $1.3M + 8500*d^2.7</t>
  </si>
  <si>
    <t>C in the cost equation C + k1d + k2d^2.7</t>
  </si>
  <si>
    <t>from "station cost estimate" sheet (Kari)</t>
  </si>
  <si>
    <t>Using a cost model fitting quotes for 3.5, 6, and 10, we get cost = $-4M + $1.687M*d (no exponent term)</t>
  </si>
  <si>
    <t>Multiple of antenna cost for NRE + proto</t>
  </si>
  <si>
    <t>Based on 15.36 TB NVME SSD are e.g. $3,870 each: https://www.cdw.com/product/micron-9300-pro-ssd-15.36-tb-u.2-pcie-nvme/5529945</t>
  </si>
  <si>
    <t>bandwidth</t>
  </si>
  <si>
    <t>bit_depth</t>
  </si>
  <si>
    <t>sidebands</t>
  </si>
  <si>
    <t>polarizations</t>
  </si>
  <si>
    <t>frequencies</t>
  </si>
  <si>
    <t>oversampling</t>
  </si>
  <si>
    <t>recording_hours_per_ay</t>
  </si>
  <si>
    <t>holding_months</t>
  </si>
  <si>
    <t>processing_months</t>
  </si>
  <si>
    <t>media_cost_pb</t>
  </si>
  <si>
    <t>recorder_cost</t>
  </si>
  <si>
    <t>media_on_hand</t>
  </si>
  <si>
    <t>fte_cost</t>
  </si>
  <si>
    <t>maser_cost</t>
  </si>
  <si>
    <t>Cost for maser &amp; components</t>
  </si>
  <si>
    <t>from Jono</t>
  </si>
  <si>
    <t>dbe_cost</t>
  </si>
  <si>
    <t>Cost for BDC &amp; DBE</t>
  </si>
  <si>
    <t>from Ranjani - assumes 2SB, 2pol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</si>
</sst>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</numFmts>
  <fonts count="11" x14ac:knownFonts="1">
    <font>
      <sz val="12"/>
      <color theme="1"/>
      <name val="Futura-Medium"/>
      <family val="2"/>
    </font>
    <font>
      <sz val="12"/>
      <color theme="1"/>
      <name val="Calibri"/>
      <family val="2"/>
      <scheme val="minor"/>
    </font>
    <font>
      <sz val="12"/>
      <color theme="1"/>
      <name val="Futura-Medium"/>
      <family val="2"/>
    </font>
    <font>
      <sz val="12"/>
      <color theme="1"/>
      <name val="Futura Medium"/>
    </font>
    <font>
      <b/>
      <sz val="12"/>
      <color theme="1"/>
      <name val="Futura Medium"/>
    </font>
    <font>
      <b/>
      <sz val="12"/>
      <color theme="1"/>
      <name val="Futura-Medium"/>
    </font>
    <font>
      <sz val="12"/>
      <color theme="1"/>
      <name val="Futura-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/>
    <xf numFmtId="0" fontId="0" fillId="0" borderId="0" xfId="0" applyBorder="1"/>
    <xf numFmtId="0" fontId="0" fillId="0" borderId="0" xfId="0"/>
    <xf numFmtId="44" fontId="0" fillId="0" borderId="0" xfId="4" applyFont="1"/>
    <xf numFmtId="0" fontId="0" fillId="0" borderId="0" xfId="4" applyNumberFormat="1" applyFont="1"/>
    <xf numFmtId="44" fontId="0" fillId="0" borderId="0" xfId="4" applyFont="1" applyBorder="1"/>
    <xf numFmtId="0" fontId="0" fillId="0" borderId="0" xfId="4" applyNumberFormat="1" applyFont="1" applyBorder="1"/>
    <xf numFmtId="44" fontId="0" fillId="2" borderId="0" xfId="4" applyFont="1" applyFill="1" applyBorder="1"/>
    <xf numFmtId="44" fontId="0" fillId="0" borderId="0" xfId="4" applyFont="1" applyFill="1" applyBorder="1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164" fontId="6" fillId="0" borderId="0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wrapText="1"/>
    </xf>
    <xf numFmtId="6" fontId="3" fillId="0" borderId="0" xfId="0" applyNumberFormat="1" applyFont="1" applyBorder="1" applyAlignment="1">
      <alignment horizontal="center" vertical="center"/>
    </xf>
    <xf numFmtId="164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0" fillId="0" borderId="0" xfId="0" applyBorder="1" applyAlignment="1">
      <alignment wrapText="1"/>
    </xf>
    <xf numFmtId="6" fontId="0" fillId="0" borderId="0" xfId="0" applyNumberFormat="1"/>
    <xf numFmtId="44" fontId="6" fillId="0" borderId="0" xfId="4" applyFont="1" applyBorder="1"/>
    <xf numFmtId="44" fontId="3" fillId="0" borderId="0" xfId="4" applyFont="1"/>
    <xf numFmtId="44" fontId="3" fillId="0" borderId="0" xfId="4" applyFont="1" applyBorder="1" applyAlignment="1">
      <alignment horizontal="center" vertical="center"/>
    </xf>
    <xf numFmtId="0" fontId="3" fillId="0" borderId="0" xfId="4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Fill="1"/>
    <xf numFmtId="0" fontId="5" fillId="0" borderId="0" xfId="0" applyFont="1"/>
  </cellXfs>
  <cellStyles count="5">
    <cellStyle name="Comma 2" xfId="3" xr:uid="{00000000-0005-0000-0000-000001000000}"/>
    <cellStyle name="Currency" xfId="4" builtinId="4"/>
    <cellStyle name="Currency 2" xfId="2" xr:uid="{00000000-0005-0000-0000-000003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B2738-0FDD-4912-B5C0-AAFA06FDBC1C}">
  <dimension ref="A1:J6"/>
  <sheetViews>
    <sheetView workbookViewId="0">
      <selection activeCell="E18" sqref="E18"/>
    </sheetView>
  </sheetViews>
  <sheetFormatPr baseColWidth="10" defaultColWidth="8.7109375" defaultRowHeight="17" x14ac:dyDescent="0.25"/>
  <cols>
    <col min="1" max="1" width="21.5703125" style="30" customWidth="1"/>
    <col min="2" max="2" width="24.140625" style="30" customWidth="1"/>
    <col min="3" max="10" width="24.5703125" style="30" customWidth="1"/>
    <col min="11" max="16384" width="8.7109375" style="30"/>
  </cols>
  <sheetData>
    <row r="1" spans="1:10" ht="18" x14ac:dyDescent="0.25">
      <c r="A1" s="30" t="s">
        <v>23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107</v>
      </c>
      <c r="G1" s="30" t="s">
        <v>108</v>
      </c>
      <c r="H1" s="30" t="s">
        <v>109</v>
      </c>
      <c r="I1" s="30" t="s">
        <v>110</v>
      </c>
      <c r="J1" s="30" t="s">
        <v>111</v>
      </c>
    </row>
    <row r="2" spans="1:10" ht="36" x14ac:dyDescent="0.25">
      <c r="A2" s="30" t="s">
        <v>103</v>
      </c>
      <c r="B2" s="30" t="s">
        <v>0</v>
      </c>
      <c r="C2" s="30" t="s">
        <v>24</v>
      </c>
      <c r="D2" s="30" t="s">
        <v>28</v>
      </c>
      <c r="E2" s="30" t="s">
        <v>26</v>
      </c>
      <c r="F2" s="30" t="s">
        <v>37</v>
      </c>
      <c r="G2" s="30" t="s">
        <v>27</v>
      </c>
      <c r="H2" s="30" t="s">
        <v>39</v>
      </c>
      <c r="I2" s="30" t="s">
        <v>38</v>
      </c>
      <c r="J2" s="30" t="s">
        <v>25</v>
      </c>
    </row>
    <row r="3" spans="1:10" ht="18" x14ac:dyDescent="0.25">
      <c r="A3" s="30" t="s">
        <v>3</v>
      </c>
      <c r="B3" s="30" t="s">
        <v>32</v>
      </c>
      <c r="C3" s="30">
        <v>2</v>
      </c>
      <c r="D3" s="30">
        <v>1</v>
      </c>
      <c r="E3" s="30">
        <v>2</v>
      </c>
      <c r="F3" s="30">
        <v>2</v>
      </c>
      <c r="G3" s="30">
        <v>2</v>
      </c>
      <c r="H3" s="30">
        <v>2</v>
      </c>
      <c r="I3" s="30">
        <v>2.5</v>
      </c>
      <c r="J3" s="30">
        <v>1</v>
      </c>
    </row>
    <row r="4" spans="1:10" ht="36" x14ac:dyDescent="0.25">
      <c r="A4" s="30" t="s">
        <v>6</v>
      </c>
      <c r="B4" s="30" t="s">
        <v>33</v>
      </c>
      <c r="C4" s="30">
        <v>1</v>
      </c>
      <c r="D4" s="30">
        <v>2</v>
      </c>
      <c r="E4" s="30">
        <v>2</v>
      </c>
      <c r="F4" s="30">
        <v>0.5</v>
      </c>
      <c r="G4" s="30">
        <v>0.5</v>
      </c>
      <c r="H4" s="30">
        <v>2</v>
      </c>
      <c r="I4" s="30">
        <v>2.5</v>
      </c>
      <c r="J4" s="30">
        <v>1.5</v>
      </c>
    </row>
    <row r="5" spans="1:10" ht="54" x14ac:dyDescent="0.25">
      <c r="A5" s="30" t="s">
        <v>5</v>
      </c>
      <c r="B5" s="30" t="s">
        <v>34</v>
      </c>
      <c r="C5" s="30">
        <v>0</v>
      </c>
      <c r="D5" s="30">
        <v>3</v>
      </c>
      <c r="E5" s="30">
        <v>1</v>
      </c>
      <c r="F5" s="30">
        <v>0.5</v>
      </c>
      <c r="G5" s="30">
        <v>0.5</v>
      </c>
      <c r="H5" s="30">
        <v>2</v>
      </c>
      <c r="I5" s="30">
        <v>2.5</v>
      </c>
      <c r="J5" s="30">
        <v>2</v>
      </c>
    </row>
    <row r="6" spans="1:10" ht="36" x14ac:dyDescent="0.25">
      <c r="A6" s="30" t="s">
        <v>7</v>
      </c>
      <c r="B6" s="30" t="s">
        <v>35</v>
      </c>
      <c r="C6" s="30">
        <v>0</v>
      </c>
      <c r="D6" s="30">
        <v>3</v>
      </c>
      <c r="E6" s="30">
        <v>0</v>
      </c>
      <c r="F6" s="30">
        <v>0</v>
      </c>
      <c r="G6" s="30">
        <v>0</v>
      </c>
      <c r="H6" s="30">
        <v>5</v>
      </c>
      <c r="I6" s="30">
        <v>0</v>
      </c>
      <c r="J6" s="30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F840D-40C8-4F0A-A5D4-57C338ABE3A6}">
  <dimension ref="A1:J5"/>
  <sheetViews>
    <sheetView topLeftCell="A2" workbookViewId="0">
      <selection activeCell="D2" sqref="D1:D1048576"/>
    </sheetView>
  </sheetViews>
  <sheetFormatPr baseColWidth="10" defaultColWidth="8.7109375" defaultRowHeight="17" x14ac:dyDescent="0.25"/>
  <cols>
    <col min="1" max="1" width="16.140625" customWidth="1"/>
    <col min="2" max="2" width="16.140625" style="3" customWidth="1"/>
    <col min="3" max="5" width="22" customWidth="1"/>
    <col min="6" max="6" width="22" style="3" customWidth="1"/>
    <col min="7" max="10" width="22" customWidth="1"/>
  </cols>
  <sheetData>
    <row r="1" spans="1:10" s="3" customFormat="1" ht="18" x14ac:dyDescent="0.25">
      <c r="A1" s="24" t="s">
        <v>22</v>
      </c>
      <c r="B1" s="24" t="s">
        <v>103</v>
      </c>
      <c r="C1" s="3" t="s">
        <v>115</v>
      </c>
      <c r="D1" s="3" t="s">
        <v>121</v>
      </c>
      <c r="E1" s="3" t="s">
        <v>120</v>
      </c>
      <c r="F1" s="3" t="s">
        <v>119</v>
      </c>
      <c r="G1" s="3" t="s">
        <v>118</v>
      </c>
      <c r="H1" s="3" t="s">
        <v>117</v>
      </c>
      <c r="I1" s="3" t="s">
        <v>122</v>
      </c>
      <c r="J1" s="3" t="s">
        <v>116</v>
      </c>
    </row>
    <row r="2" spans="1:10" ht="18" x14ac:dyDescent="0.25">
      <c r="A2" s="24" t="s">
        <v>103</v>
      </c>
      <c r="B2" s="24" t="s">
        <v>0</v>
      </c>
      <c r="C2" s="24" t="s">
        <v>58</v>
      </c>
      <c r="D2" s="24" t="s">
        <v>59</v>
      </c>
      <c r="E2" s="24" t="s">
        <v>73</v>
      </c>
      <c r="F2" s="24" t="s">
        <v>74</v>
      </c>
      <c r="G2" s="24" t="s">
        <v>60</v>
      </c>
      <c r="H2" s="24" t="s">
        <v>61</v>
      </c>
      <c r="I2" s="24" t="s">
        <v>62</v>
      </c>
      <c r="J2" s="24" t="s">
        <v>63</v>
      </c>
    </row>
    <row r="3" spans="1:10" x14ac:dyDescent="0.25">
      <c r="A3" s="2" t="s">
        <v>51</v>
      </c>
      <c r="B3" s="2" t="s">
        <v>112</v>
      </c>
      <c r="C3" s="6">
        <v>6000000</v>
      </c>
      <c r="D3" s="6">
        <f>50*32 / 4 *2 / 3</f>
        <v>266.66666666666669</v>
      </c>
      <c r="E3" s="8">
        <v>442461</v>
      </c>
      <c r="F3" s="8">
        <v>0</v>
      </c>
      <c r="G3" s="6">
        <v>0</v>
      </c>
      <c r="H3" s="6">
        <v>0</v>
      </c>
      <c r="I3" s="6">
        <v>0</v>
      </c>
      <c r="J3" s="7">
        <v>4</v>
      </c>
    </row>
    <row r="4" spans="1:10" x14ac:dyDescent="0.25">
      <c r="A4" s="2" t="s">
        <v>52</v>
      </c>
      <c r="B4" s="2" t="s">
        <v>113</v>
      </c>
      <c r="C4" s="6">
        <v>0</v>
      </c>
      <c r="D4" s="6">
        <f>50*32 / 4 *2 / 3</f>
        <v>266.66666666666669</v>
      </c>
      <c r="E4" s="6">
        <f>5000000/3</f>
        <v>1666666.6666666667</v>
      </c>
      <c r="F4" s="6">
        <v>0</v>
      </c>
      <c r="G4" s="6">
        <f>50000</f>
        <v>50000</v>
      </c>
      <c r="H4" s="6">
        <v>5000</v>
      </c>
      <c r="I4" s="8">
        <v>0</v>
      </c>
      <c r="J4" s="7">
        <v>2</v>
      </c>
    </row>
    <row r="5" spans="1:10" x14ac:dyDescent="0.25">
      <c r="A5" s="2" t="s">
        <v>53</v>
      </c>
      <c r="B5" s="2" t="s">
        <v>114</v>
      </c>
      <c r="C5" s="26">
        <v>0</v>
      </c>
      <c r="D5" s="6">
        <f>1900/300*1000</f>
        <v>6333.333333333333</v>
      </c>
      <c r="E5" s="6">
        <v>0</v>
      </c>
      <c r="F5" s="9">
        <f>500000 / 60</f>
        <v>8333.3333333333339</v>
      </c>
      <c r="G5" s="6">
        <f>0.02 * 1000000</f>
        <v>20000</v>
      </c>
      <c r="H5" s="6">
        <f>0.0012*1000000</f>
        <v>1200</v>
      </c>
      <c r="I5" s="6">
        <f>0.05*1000000</f>
        <v>50000</v>
      </c>
      <c r="J5" s="7">
        <v>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6190B-EC10-4D4E-AB68-769C755BB90E}">
  <dimension ref="A1:F21"/>
  <sheetViews>
    <sheetView tabSelected="1" workbookViewId="0">
      <selection activeCell="C15" sqref="C15"/>
    </sheetView>
  </sheetViews>
  <sheetFormatPr baseColWidth="10" defaultColWidth="8.85546875" defaultRowHeight="17" x14ac:dyDescent="0.25"/>
  <cols>
    <col min="1" max="1" width="38.28515625" style="24" customWidth="1"/>
    <col min="2" max="2" width="30.140625" style="24" customWidth="1"/>
    <col min="3" max="3" width="29.28515625" style="2" customWidth="1"/>
    <col min="4" max="4" width="34.5703125" style="2" customWidth="1"/>
    <col min="5" max="16384" width="8.85546875" style="2"/>
  </cols>
  <sheetData>
    <row r="1" spans="1:6" ht="18" x14ac:dyDescent="0.25">
      <c r="A1" s="23" t="s">
        <v>2</v>
      </c>
      <c r="B1" s="23" t="s">
        <v>0</v>
      </c>
      <c r="C1" s="10" t="s">
        <v>66</v>
      </c>
      <c r="D1" s="22" t="s">
        <v>1</v>
      </c>
    </row>
    <row r="2" spans="1:6" ht="18" x14ac:dyDescent="0.25">
      <c r="A2" s="11" t="s">
        <v>80</v>
      </c>
      <c r="B2" s="11" t="s">
        <v>77</v>
      </c>
      <c r="C2" s="20">
        <v>250000</v>
      </c>
    </row>
    <row r="3" spans="1:6" ht="54" x14ac:dyDescent="0.25">
      <c r="A3" s="11" t="s">
        <v>82</v>
      </c>
      <c r="B3" s="11" t="s">
        <v>81</v>
      </c>
      <c r="C3" s="20">
        <v>600000</v>
      </c>
      <c r="D3" s="2" t="s">
        <v>102</v>
      </c>
    </row>
    <row r="4" spans="1:6" ht="36" x14ac:dyDescent="0.25">
      <c r="A4" s="11" t="s">
        <v>83</v>
      </c>
      <c r="B4" s="11" t="s">
        <v>78</v>
      </c>
      <c r="C4" s="20">
        <v>100000</v>
      </c>
    </row>
    <row r="5" spans="1:6" ht="36" x14ac:dyDescent="0.25">
      <c r="A5" s="11" t="s">
        <v>84</v>
      </c>
      <c r="B5" s="11" t="s">
        <v>79</v>
      </c>
      <c r="C5" s="21">
        <v>800000</v>
      </c>
      <c r="D5" s="2" t="s">
        <v>102</v>
      </c>
    </row>
    <row r="6" spans="1:6" ht="18" x14ac:dyDescent="0.25">
      <c r="A6" s="11" t="s">
        <v>98</v>
      </c>
      <c r="B6" s="1" t="s">
        <v>136</v>
      </c>
      <c r="C6" s="27">
        <v>2</v>
      </c>
      <c r="D6" s="3"/>
    </row>
    <row r="7" spans="1:6" ht="18" x14ac:dyDescent="0.25">
      <c r="A7" s="11" t="s">
        <v>100</v>
      </c>
      <c r="B7" s="1" t="s">
        <v>133</v>
      </c>
      <c r="C7" s="28">
        <v>-4050000</v>
      </c>
      <c r="D7" s="3"/>
    </row>
    <row r="8" spans="1:6" ht="18" x14ac:dyDescent="0.25">
      <c r="A8" s="11" t="s">
        <v>128</v>
      </c>
      <c r="B8" s="11" t="s">
        <v>129</v>
      </c>
      <c r="C8" s="28">
        <v>1687500</v>
      </c>
      <c r="D8" s="12" t="s">
        <v>132</v>
      </c>
      <c r="E8" s="12"/>
      <c r="F8" s="12"/>
    </row>
    <row r="9" spans="1:6" ht="18" x14ac:dyDescent="0.25">
      <c r="A9" s="11" t="s">
        <v>131</v>
      </c>
      <c r="B9" s="11" t="s">
        <v>130</v>
      </c>
      <c r="C9" s="2">
        <v>0</v>
      </c>
      <c r="D9" s="12" t="s">
        <v>135</v>
      </c>
      <c r="E9" s="12"/>
      <c r="F9" s="12"/>
    </row>
    <row r="10" spans="1:6" ht="36" x14ac:dyDescent="0.25">
      <c r="A10" s="11" t="s">
        <v>99</v>
      </c>
      <c r="B10" s="11" t="s">
        <v>85</v>
      </c>
      <c r="C10" s="13">
        <v>2.7</v>
      </c>
      <c r="D10" s="12"/>
      <c r="E10" s="12"/>
      <c r="F10" s="12"/>
    </row>
    <row r="11" spans="1:6" ht="18" x14ac:dyDescent="0.25">
      <c r="A11" s="11" t="s">
        <v>86</v>
      </c>
      <c r="B11" s="11" t="s">
        <v>101</v>
      </c>
      <c r="C11" s="28">
        <v>1300000</v>
      </c>
      <c r="D11" s="12" t="s">
        <v>134</v>
      </c>
      <c r="E11" s="12"/>
      <c r="F11" s="12"/>
    </row>
    <row r="12" spans="1:6" ht="18" x14ac:dyDescent="0.25">
      <c r="A12" s="11" t="s">
        <v>87</v>
      </c>
      <c r="B12" s="12" t="s">
        <v>76</v>
      </c>
      <c r="C12" s="29">
        <v>2</v>
      </c>
      <c r="D12" s="12" t="s">
        <v>76</v>
      </c>
      <c r="E12" s="12"/>
      <c r="F12" s="12"/>
    </row>
    <row r="13" spans="1:6" ht="18" x14ac:dyDescent="0.25">
      <c r="A13" s="11" t="s">
        <v>88</v>
      </c>
      <c r="B13" s="11"/>
      <c r="C13" s="28">
        <v>0</v>
      </c>
      <c r="D13" s="12" t="s">
        <v>75</v>
      </c>
      <c r="E13" s="12"/>
      <c r="F13" s="12"/>
    </row>
    <row r="14" spans="1:6" ht="18" x14ac:dyDescent="0.25">
      <c r="A14" s="11" t="s">
        <v>151</v>
      </c>
      <c r="B14" s="11" t="s">
        <v>152</v>
      </c>
      <c r="C14" s="28">
        <v>500000</v>
      </c>
      <c r="D14" s="12" t="s">
        <v>153</v>
      </c>
      <c r="E14" s="12"/>
      <c r="F14" s="12"/>
    </row>
    <row r="15" spans="1:6" ht="18" x14ac:dyDescent="0.25">
      <c r="A15" s="11" t="s">
        <v>154</v>
      </c>
      <c r="B15" s="11" t="s">
        <v>155</v>
      </c>
      <c r="C15" s="28">
        <v>250000</v>
      </c>
      <c r="D15" s="12" t="s">
        <v>156</v>
      </c>
      <c r="E15" s="12"/>
      <c r="F15" s="12"/>
    </row>
    <row r="16" spans="1:6" ht="54" x14ac:dyDescent="0.25">
      <c r="A16" s="11" t="s">
        <v>123</v>
      </c>
      <c r="B16" s="11" t="s">
        <v>15</v>
      </c>
      <c r="C16" s="13">
        <v>1</v>
      </c>
      <c r="D16" s="12" t="s">
        <v>18</v>
      </c>
      <c r="E16" s="12"/>
      <c r="F16" s="12"/>
    </row>
    <row r="17" spans="1:6" ht="36" x14ac:dyDescent="0.25">
      <c r="A17" s="11" t="s">
        <v>124</v>
      </c>
      <c r="B17" s="11" t="s">
        <v>9</v>
      </c>
      <c r="C17" s="13">
        <v>2.5</v>
      </c>
      <c r="D17" s="12" t="s">
        <v>19</v>
      </c>
      <c r="E17" s="12"/>
      <c r="F17" s="12"/>
    </row>
    <row r="18" spans="1:6" ht="36" x14ac:dyDescent="0.25">
      <c r="A18" s="11" t="s">
        <v>125</v>
      </c>
      <c r="B18" s="11" t="s">
        <v>10</v>
      </c>
      <c r="C18" s="13">
        <v>10</v>
      </c>
      <c r="D18" s="12" t="s">
        <v>20</v>
      </c>
      <c r="E18" s="12"/>
      <c r="F18" s="12"/>
    </row>
    <row r="19" spans="1:6" ht="18" x14ac:dyDescent="0.25">
      <c r="A19" s="11" t="s">
        <v>8</v>
      </c>
      <c r="B19" s="11" t="s">
        <v>11</v>
      </c>
      <c r="C19" s="13">
        <v>25</v>
      </c>
      <c r="D19" s="12" t="s">
        <v>21</v>
      </c>
      <c r="E19" s="12"/>
      <c r="F19" s="12"/>
    </row>
    <row r="20" spans="1:6" ht="18" x14ac:dyDescent="0.25">
      <c r="A20" s="11" t="s">
        <v>13</v>
      </c>
      <c r="B20" s="11" t="s">
        <v>17</v>
      </c>
      <c r="C20" s="13">
        <v>1</v>
      </c>
      <c r="D20" s="12"/>
      <c r="E20" s="12"/>
      <c r="F20" s="12"/>
    </row>
    <row r="21" spans="1:6" ht="18" x14ac:dyDescent="0.25">
      <c r="A21" s="11" t="s">
        <v>12</v>
      </c>
      <c r="B21" s="11" t="s">
        <v>4</v>
      </c>
      <c r="C21" s="13">
        <v>1.4</v>
      </c>
      <c r="D21" s="12" t="s">
        <v>16</v>
      </c>
      <c r="E21" s="12"/>
      <c r="F2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"/>
  <sheetViews>
    <sheetView workbookViewId="0">
      <selection activeCell="C1" sqref="C1"/>
    </sheetView>
  </sheetViews>
  <sheetFormatPr baseColWidth="10" defaultColWidth="8.7109375" defaultRowHeight="17" x14ac:dyDescent="0.25"/>
  <cols>
    <col min="1" max="3" width="20.140625" customWidth="1"/>
    <col min="4" max="4" width="20.140625" style="3" customWidth="1"/>
    <col min="5" max="9" width="20.140625" customWidth="1"/>
  </cols>
  <sheetData>
    <row r="1" spans="1:9" ht="18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7" t="s">
        <v>89</v>
      </c>
      <c r="B2" s="17" t="s">
        <v>92</v>
      </c>
      <c r="C2" s="18">
        <v>250000</v>
      </c>
      <c r="D2" s="18">
        <v>250000</v>
      </c>
      <c r="E2" s="18">
        <v>175000</v>
      </c>
      <c r="F2" s="18">
        <v>150000</v>
      </c>
      <c r="G2" s="18">
        <v>150000</v>
      </c>
      <c r="H2" s="18">
        <f>C2</f>
        <v>250000</v>
      </c>
      <c r="I2" s="18">
        <f>C2*1.5</f>
        <v>375000</v>
      </c>
    </row>
    <row r="3" spans="1:9" x14ac:dyDescent="0.25">
      <c r="A3" s="17" t="s">
        <v>90</v>
      </c>
      <c r="B3" s="17" t="s">
        <v>93</v>
      </c>
      <c r="C3" s="18">
        <v>250000</v>
      </c>
      <c r="D3" s="18">
        <v>250000</v>
      </c>
      <c r="E3" s="18">
        <v>175000</v>
      </c>
      <c r="F3" s="18">
        <v>150000</v>
      </c>
      <c r="G3" s="18">
        <v>150000</v>
      </c>
      <c r="H3" s="18">
        <f>C3</f>
        <v>250000</v>
      </c>
      <c r="I3" s="18">
        <f>C3*1.5</f>
        <v>375000</v>
      </c>
    </row>
    <row r="4" spans="1:9" x14ac:dyDescent="0.25">
      <c r="A4" s="17" t="s">
        <v>91</v>
      </c>
      <c r="B4" s="17" t="s">
        <v>94</v>
      </c>
      <c r="C4" s="18">
        <f t="shared" ref="C4:I4" si="0">C2/2</f>
        <v>125000</v>
      </c>
      <c r="D4" s="18">
        <f t="shared" ref="D4" si="1">D2/2</f>
        <v>125000</v>
      </c>
      <c r="E4" s="18">
        <f t="shared" si="0"/>
        <v>87500</v>
      </c>
      <c r="F4" s="18">
        <f t="shared" si="0"/>
        <v>75000</v>
      </c>
      <c r="G4" s="18">
        <f t="shared" si="0"/>
        <v>75000</v>
      </c>
      <c r="H4" s="18">
        <f t="shared" si="0"/>
        <v>125000</v>
      </c>
      <c r="I4" s="18">
        <f t="shared" si="0"/>
        <v>187500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workbookViewId="0">
      <selection activeCell="D1" sqref="D1"/>
    </sheetView>
  </sheetViews>
  <sheetFormatPr baseColWidth="10" defaultColWidth="8.7109375" defaultRowHeight="17" x14ac:dyDescent="0.25"/>
  <cols>
    <col min="1" max="1" width="27" customWidth="1"/>
    <col min="2" max="2" width="20.7109375" customWidth="1"/>
    <col min="4" max="4" width="8.7109375" style="3"/>
  </cols>
  <sheetData>
    <row r="1" spans="1:9" ht="36" x14ac:dyDescent="0.25">
      <c r="A1" s="14"/>
      <c r="B1" s="14" t="s">
        <v>0</v>
      </c>
      <c r="C1" s="15" t="s">
        <v>126</v>
      </c>
      <c r="D1" s="15" t="s">
        <v>127</v>
      </c>
      <c r="E1" s="16" t="s">
        <v>29</v>
      </c>
      <c r="F1" s="16" t="s">
        <v>31</v>
      </c>
      <c r="G1" s="16" t="s">
        <v>30</v>
      </c>
      <c r="H1" s="16" t="s">
        <v>36</v>
      </c>
      <c r="I1" s="16" t="s">
        <v>14</v>
      </c>
    </row>
    <row r="2" spans="1:9" x14ac:dyDescent="0.25">
      <c r="A2" s="14" t="s">
        <v>95</v>
      </c>
      <c r="B2" s="14" t="s">
        <v>40</v>
      </c>
      <c r="C2" s="18">
        <v>1500</v>
      </c>
      <c r="D2" s="18">
        <v>1500</v>
      </c>
      <c r="E2" s="18">
        <v>4000</v>
      </c>
      <c r="F2" s="18">
        <v>6000</v>
      </c>
      <c r="G2" s="18">
        <v>6000</v>
      </c>
      <c r="H2" s="18">
        <v>8000</v>
      </c>
      <c r="I2" s="18">
        <v>25000</v>
      </c>
    </row>
    <row r="3" spans="1:9" ht="18" x14ac:dyDescent="0.25">
      <c r="A3" s="14" t="s">
        <v>96</v>
      </c>
      <c r="B3" s="19" t="s">
        <v>97</v>
      </c>
      <c r="C3" s="18">
        <v>300</v>
      </c>
      <c r="D3" s="18">
        <v>300</v>
      </c>
      <c r="E3" s="18">
        <v>200</v>
      </c>
      <c r="F3" s="18">
        <v>200</v>
      </c>
      <c r="G3" s="18">
        <v>200</v>
      </c>
      <c r="H3" s="18">
        <v>300</v>
      </c>
      <c r="I3" s="18">
        <v>2000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B76BD-0759-4FEE-B338-554318A1054B}">
  <dimension ref="A1:D14"/>
  <sheetViews>
    <sheetView workbookViewId="0">
      <selection activeCell="A15" sqref="A15"/>
    </sheetView>
  </sheetViews>
  <sheetFormatPr baseColWidth="10" defaultColWidth="8.7109375" defaultRowHeight="17" x14ac:dyDescent="0.25"/>
  <cols>
    <col min="1" max="1" width="18.28515625" style="3" customWidth="1"/>
    <col min="2" max="2" width="19.5703125" customWidth="1"/>
    <col min="3" max="3" width="17" customWidth="1"/>
  </cols>
  <sheetData>
    <row r="1" spans="1:4" s="32" customFormat="1" x14ac:dyDescent="0.25">
      <c r="A1" s="32" t="s">
        <v>2</v>
      </c>
      <c r="B1" s="32" t="s">
        <v>0</v>
      </c>
      <c r="C1" s="32" t="s">
        <v>66</v>
      </c>
      <c r="D1" s="32" t="s">
        <v>67</v>
      </c>
    </row>
    <row r="2" spans="1:4" x14ac:dyDescent="0.25">
      <c r="A2" s="3" t="s">
        <v>138</v>
      </c>
      <c r="B2" s="3" t="s">
        <v>68</v>
      </c>
      <c r="C2" s="3">
        <v>8</v>
      </c>
      <c r="D2" s="3" t="s">
        <v>69</v>
      </c>
    </row>
    <row r="3" spans="1:4" x14ac:dyDescent="0.25">
      <c r="A3" s="3" t="s">
        <v>139</v>
      </c>
      <c r="B3" s="3" t="s">
        <v>41</v>
      </c>
      <c r="C3" s="3">
        <v>2</v>
      </c>
      <c r="D3" s="3" t="s">
        <v>42</v>
      </c>
    </row>
    <row r="4" spans="1:4" x14ac:dyDescent="0.25">
      <c r="A4" s="3" t="s">
        <v>140</v>
      </c>
      <c r="B4" s="3" t="s">
        <v>43</v>
      </c>
      <c r="C4" s="3">
        <v>2</v>
      </c>
      <c r="D4" s="3" t="s">
        <v>44</v>
      </c>
    </row>
    <row r="5" spans="1:4" x14ac:dyDescent="0.25">
      <c r="A5" s="3" t="s">
        <v>141</v>
      </c>
      <c r="B5" s="3" t="s">
        <v>45</v>
      </c>
      <c r="C5" s="3">
        <v>2</v>
      </c>
      <c r="D5" s="3" t="s">
        <v>46</v>
      </c>
    </row>
    <row r="6" spans="1:4" x14ac:dyDescent="0.25">
      <c r="A6" s="3" t="s">
        <v>142</v>
      </c>
      <c r="B6" s="3" t="s">
        <v>70</v>
      </c>
      <c r="C6" s="3">
        <v>2</v>
      </c>
      <c r="D6" s="3" t="s">
        <v>47</v>
      </c>
    </row>
    <row r="7" spans="1:4" x14ac:dyDescent="0.25">
      <c r="A7" s="3" t="s">
        <v>143</v>
      </c>
      <c r="B7" s="3" t="s">
        <v>48</v>
      </c>
      <c r="C7" s="3">
        <v>2</v>
      </c>
      <c r="D7" s="3" t="s">
        <v>49</v>
      </c>
    </row>
    <row r="8" spans="1:4" x14ac:dyDescent="0.25">
      <c r="A8" s="3" t="s">
        <v>144</v>
      </c>
      <c r="B8" s="3" t="s">
        <v>50</v>
      </c>
      <c r="C8" s="3">
        <v>5</v>
      </c>
      <c r="D8" s="3"/>
    </row>
    <row r="9" spans="1:4" x14ac:dyDescent="0.25">
      <c r="A9" s="3" t="s">
        <v>145</v>
      </c>
      <c r="B9" s="3" t="s">
        <v>57</v>
      </c>
      <c r="C9" s="3">
        <v>6</v>
      </c>
      <c r="D9" s="3"/>
    </row>
    <row r="10" spans="1:4" x14ac:dyDescent="0.25">
      <c r="A10" s="3" t="s">
        <v>146</v>
      </c>
      <c r="B10" s="3" t="s">
        <v>56</v>
      </c>
      <c r="C10" s="3">
        <v>1</v>
      </c>
      <c r="D10" s="3"/>
    </row>
    <row r="11" spans="1:4" x14ac:dyDescent="0.25">
      <c r="A11" s="3" t="s">
        <v>147</v>
      </c>
      <c r="B11" s="3" t="s">
        <v>54</v>
      </c>
      <c r="C11" s="4">
        <v>266000</v>
      </c>
      <c r="D11" s="31" t="s">
        <v>137</v>
      </c>
    </row>
    <row r="12" spans="1:4" x14ac:dyDescent="0.25">
      <c r="A12" s="3" t="s">
        <v>148</v>
      </c>
      <c r="B12" s="3" t="s">
        <v>55</v>
      </c>
      <c r="C12" s="4">
        <v>30000</v>
      </c>
      <c r="D12" s="3"/>
    </row>
    <row r="13" spans="1:4" x14ac:dyDescent="0.25">
      <c r="A13" s="3" t="s">
        <v>149</v>
      </c>
      <c r="B13" s="3" t="s">
        <v>64</v>
      </c>
      <c r="C13" s="5">
        <v>7</v>
      </c>
      <c r="D13" s="3" t="s">
        <v>65</v>
      </c>
    </row>
    <row r="14" spans="1:4" x14ac:dyDescent="0.25">
      <c r="A14" s="3" t="s">
        <v>150</v>
      </c>
      <c r="B14" t="s">
        <v>71</v>
      </c>
      <c r="C14" s="25">
        <v>125000</v>
      </c>
      <c r="D14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AutonomyModeValues</vt:lpstr>
      <vt:lpstr>DataManagementOptionValues</vt:lpstr>
      <vt:lpstr>SiteDevelopmentValues</vt:lpstr>
      <vt:lpstr>LaborCostValues</vt:lpstr>
      <vt:lpstr>TravelCostValues</vt:lpstr>
      <vt:lpstr>DataManagementValues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 Fitzpatrick</dc:creator>
  <cp:lastModifiedBy>Microsoft Office User</cp:lastModifiedBy>
  <dcterms:created xsi:type="dcterms:W3CDTF">2020-07-12T10:36:49Z</dcterms:created>
  <dcterms:modified xsi:type="dcterms:W3CDTF">2022-06-17T18:25:04Z</dcterms:modified>
</cp:coreProperties>
</file>