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omments2.xml" ContentType="application/vnd.openxmlformats-officedocument.spreadsheetml.comments+xml"/>
  <Override PartName="/xl/drawings/drawing4.xml" ContentType="application/vnd.openxmlformats-officedocument.drawing+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drawings/drawing5.xml" ContentType="application/vnd.openxmlformats-officedocument.drawing+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omments4.xml" ContentType="application/vnd.openxmlformats-officedocument.spreadsheetml.comments+xml"/>
  <Override PartName="/xl/drawings/drawing6.xml" ContentType="application/vnd.openxmlformats-officedocument.drawing+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omments5.xml" ContentType="application/vnd.openxmlformats-officedocument.spreadsheetml.comments+xml"/>
  <Override PartName="/xl/drawings/drawing7.xml" ContentType="application/vnd.openxmlformats-officedocument.drawing+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omments6.xml" ContentType="application/vnd.openxmlformats-officedocument.spreadsheetml.comments+xml"/>
  <Override PartName="/xl/drawings/drawing8.xml" ContentType="application/vnd.openxmlformats-officedocument.drawing+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7.xml" ContentType="application/vnd.openxmlformats-officedocument.spreadsheetml.comments+xml"/>
  <Override PartName="/xl/drawings/drawing9.xml" ContentType="application/vnd.openxmlformats-officedocument.drawing+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omments8.xml" ContentType="application/vnd.openxmlformats-officedocument.spreadsheetml.comments+xml"/>
  <Override PartName="/xl/drawings/drawing10.xml" ContentType="application/vnd.openxmlformats-officedocument.drawing+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omments9.xml" ContentType="application/vnd.openxmlformats-officedocument.spreadsheetml.comments+xml"/>
  <Override PartName="/xl/drawings/drawing11.xml" ContentType="application/vnd.openxmlformats-officedocument.drawing+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omments10.xml" ContentType="application/vnd.openxmlformats-officedocument.spreadsheetml.comments+xml"/>
  <Override PartName="/xl/drawings/drawing12.xml" ContentType="application/vnd.openxmlformats-officedocument.drawing+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codeName="DieseArbeitsmappe" defaultThemeVersion="153222"/>
  <mc:AlternateContent xmlns:mc="http://schemas.openxmlformats.org/markup-compatibility/2006">
    <mc:Choice Requires="x15">
      <x15ac:absPath xmlns:x15ac="http://schemas.microsoft.com/office/spreadsheetml/2010/11/ac" url="H:\Typo 3\"/>
    </mc:Choice>
  </mc:AlternateContent>
  <bookViews>
    <workbookView xWindow="0" yWindow="0" windowWidth="24000" windowHeight="14235" tabRatio="890"/>
  </bookViews>
  <sheets>
    <sheet name="Blatt 1" sheetId="5" r:id="rId1"/>
    <sheet name="Blatt 2" sheetId="7" r:id="rId2"/>
    <sheet name="Blatt 3" sheetId="1" r:id="rId3"/>
    <sheet name="Blatt 4" sheetId="9" r:id="rId4"/>
    <sheet name="Blatt 5" sheetId="10" r:id="rId5"/>
    <sheet name="Blatt 6" sheetId="11" r:id="rId6"/>
    <sheet name="Blatt 7" sheetId="12" r:id="rId7"/>
    <sheet name="Blatt 8" sheetId="13" r:id="rId8"/>
    <sheet name="Blatt 9" sheetId="14" r:id="rId9"/>
    <sheet name="Blatt 10" sheetId="15" r:id="rId10"/>
    <sheet name="Blatt 11" sheetId="16" r:id="rId11"/>
    <sheet name="Blatt 12" sheetId="17" r:id="rId12"/>
    <sheet name="Leitfaden" sheetId="18" r:id="rId13"/>
  </sheets>
  <definedNames>
    <definedName name="Gültig_vom" comment="Beim Ausfüllen unbedingt den Leitfaden zum Arbeitszeitkonto beachten.">'Blatt 1'!$A$14:$D$14</definedName>
    <definedName name="Z_F722B16D_738E_4BDF_960F_9789C414C7F6_.wvu.Cols" localSheetId="0" hidden="1">'Blatt 1'!$M:$O</definedName>
    <definedName name="Z_F722B16D_738E_4BDF_960F_9789C414C7F6_.wvu.Cols" localSheetId="2" hidden="1">'Blatt 3'!$M:$N</definedName>
    <definedName name="Z_F722B16D_738E_4BDF_960F_9789C414C7F6_.wvu.Rows" localSheetId="0" hidden="1">'Blatt 1'!$15:$15,'Blatt 1'!$54:$54</definedName>
    <definedName name="Z_F722B16D_738E_4BDF_960F_9789C414C7F6_.wvu.Rows" localSheetId="1" hidden="1">'Blatt 2'!$15:$15</definedName>
    <definedName name="Z_F722B16D_738E_4BDF_960F_9789C414C7F6_.wvu.Rows" localSheetId="2" hidden="1">'Blatt 3'!$15:$15,'Blatt 3'!$57:$57</definedName>
  </definedNames>
  <calcPr calcId="152511"/>
  <customWorkbookViews>
    <customWorkbookView name="Bearbeitungsansicht" guid="{F722B16D-738E-4BDF-960F-9789C414C7F6}" maximized="1" xWindow="-8" yWindow="-8" windowWidth="1616" windowHeight="1176" activeSheetId="5" showFormulaBar="0" showComments="commIndAndComment"/>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7" i="7" l="1"/>
  <c r="H57" i="1"/>
  <c r="H57" i="9"/>
  <c r="H57" i="10"/>
  <c r="H57" i="11"/>
  <c r="H57" i="12"/>
  <c r="H57" i="13"/>
  <c r="H57" i="14"/>
  <c r="H57" i="15"/>
  <c r="H57" i="16"/>
  <c r="H57" i="17"/>
  <c r="H56" i="5"/>
  <c r="C1" i="7" l="1"/>
  <c r="C1" i="1"/>
  <c r="B17" i="5" l="1"/>
  <c r="B17" i="7" l="1"/>
  <c r="B17" i="1" s="1"/>
  <c r="B17" i="9" s="1"/>
  <c r="B17" i="10" s="1"/>
  <c r="B17" i="11" s="1"/>
  <c r="B17" i="12" s="1"/>
  <c r="B17" i="13" s="1"/>
  <c r="B17" i="14" s="1"/>
  <c r="B17" i="15" s="1"/>
  <c r="B17" i="16" s="1"/>
  <c r="B17" i="17" s="1"/>
  <c r="C7" i="17" l="1"/>
  <c r="C5" i="17"/>
  <c r="C3" i="17"/>
  <c r="C1" i="17"/>
  <c r="C7" i="16"/>
  <c r="C5" i="16"/>
  <c r="C3" i="16"/>
  <c r="C1" i="16"/>
  <c r="C7" i="15"/>
  <c r="C5" i="15"/>
  <c r="C3" i="15"/>
  <c r="C1" i="15"/>
  <c r="C7" i="14"/>
  <c r="C5" i="14"/>
  <c r="C3" i="14"/>
  <c r="C1" i="14"/>
  <c r="C7" i="12"/>
  <c r="C7" i="13" s="1"/>
  <c r="C5" i="12"/>
  <c r="C5" i="13" s="1"/>
  <c r="C3" i="12"/>
  <c r="C3" i="13" s="1"/>
  <c r="C1" i="12"/>
  <c r="C1" i="13" s="1"/>
  <c r="C7" i="11"/>
  <c r="C5" i="11"/>
  <c r="C3" i="11"/>
  <c r="C1" i="11"/>
  <c r="C7" i="10"/>
  <c r="C5" i="10"/>
  <c r="C3" i="10"/>
  <c r="C1" i="10"/>
  <c r="C7" i="9"/>
  <c r="C5" i="9"/>
  <c r="C3" i="9"/>
  <c r="C1" i="9"/>
  <c r="C7" i="1"/>
  <c r="C5" i="1"/>
  <c r="C3" i="1"/>
  <c r="C7" i="7"/>
  <c r="C3" i="7"/>
  <c r="C5" i="7"/>
  <c r="Q76" i="17" l="1"/>
  <c r="Q59" i="17"/>
  <c r="Q75" i="16"/>
  <c r="Q58" i="16"/>
  <c r="Q75" i="15"/>
  <c r="Q58" i="15"/>
  <c r="Q75" i="14"/>
  <c r="Q58" i="14"/>
  <c r="Q75" i="13"/>
  <c r="Q58" i="13"/>
  <c r="Q75" i="12"/>
  <c r="Q58" i="12"/>
  <c r="Q75" i="11"/>
  <c r="Q58" i="11"/>
  <c r="Q75" i="10"/>
  <c r="Q58" i="10"/>
  <c r="Q75" i="9"/>
  <c r="Q58" i="9"/>
  <c r="G16" i="9" s="1"/>
  <c r="Q75" i="1"/>
  <c r="Q58" i="1"/>
  <c r="Q75" i="7"/>
  <c r="Q58" i="7"/>
  <c r="O16" i="17" l="1"/>
  <c r="H14" i="17" s="1"/>
  <c r="M3" i="17"/>
  <c r="O16" i="16"/>
  <c r="H14" i="16" s="1"/>
  <c r="M3" i="16"/>
  <c r="O16" i="15"/>
  <c r="H14" i="15" s="1"/>
  <c r="A55" i="15" s="1"/>
  <c r="N54" i="15" s="1"/>
  <c r="M3" i="15"/>
  <c r="O16" i="14"/>
  <c r="H14" i="14" s="1"/>
  <c r="A55" i="14" s="1"/>
  <c r="N54" i="14" s="1"/>
  <c r="M3" i="14"/>
  <c r="O16" i="13"/>
  <c r="H14" i="13" s="1"/>
  <c r="A55" i="13" s="1"/>
  <c r="N54" i="13" s="1"/>
  <c r="M3" i="13"/>
  <c r="O16" i="12"/>
  <c r="H14" i="12" s="1"/>
  <c r="M3" i="12"/>
  <c r="O16" i="11"/>
  <c r="H14" i="11" s="1"/>
  <c r="M3" i="11"/>
  <c r="O16" i="10"/>
  <c r="H14" i="10" s="1"/>
  <c r="M3" i="10"/>
  <c r="Q75" i="5"/>
  <c r="A56" i="17" l="1"/>
  <c r="N55" i="17" s="1"/>
  <c r="A55" i="16"/>
  <c r="N54" i="16" s="1"/>
  <c r="A55" i="12"/>
  <c r="N54" i="12" s="1"/>
  <c r="A55" i="11"/>
  <c r="N54" i="11" s="1"/>
  <c r="A55" i="10"/>
  <c r="N54" i="10" s="1"/>
  <c r="O16" i="9"/>
  <c r="H14" i="9" s="1"/>
  <c r="A55" i="9" s="1"/>
  <c r="N54" i="9" s="1"/>
  <c r="M3" i="9"/>
  <c r="O16" i="7" l="1"/>
  <c r="Q58" i="5" l="1"/>
  <c r="N54" i="5" l="1"/>
  <c r="N55" i="5" s="1"/>
  <c r="G16" i="1" l="1"/>
  <c r="G16" i="7"/>
  <c r="A20" i="5"/>
  <c r="H14" i="7"/>
  <c r="A55" i="7" s="1"/>
  <c r="N54" i="7" s="1"/>
  <c r="O16" i="1"/>
  <c r="A16" i="5"/>
  <c r="M3" i="1"/>
  <c r="M3" i="7"/>
  <c r="M3" i="5"/>
  <c r="U20" i="5" l="1"/>
  <c r="G20" i="5"/>
  <c r="Q20" i="5"/>
  <c r="P63" i="5"/>
  <c r="H14" i="1"/>
  <c r="A55" i="1" s="1"/>
  <c r="N54" i="1" s="1"/>
  <c r="T77" i="5" l="1"/>
  <c r="Q77" i="5" s="1"/>
  <c r="T89" i="5"/>
  <c r="Q89" i="5" s="1"/>
  <c r="Q90" i="5" s="1"/>
  <c r="Q91" i="5" s="1"/>
  <c r="Q92" i="5" s="1"/>
  <c r="T83" i="5"/>
  <c r="Q83" i="5" s="1"/>
  <c r="T88" i="5"/>
  <c r="Q88" i="5" s="1"/>
  <c r="G16" i="10"/>
  <c r="Q67" i="5"/>
  <c r="R80" i="5"/>
  <c r="Q66" i="5"/>
  <c r="Q65" i="5"/>
  <c r="Q68" i="5"/>
  <c r="Q64" i="5"/>
  <c r="M20" i="5"/>
  <c r="P20" i="5"/>
  <c r="N20" i="5"/>
  <c r="I20" i="5" s="1"/>
  <c r="R20" i="5"/>
  <c r="A21" i="5"/>
  <c r="G21" i="5" l="1"/>
  <c r="G16" i="11"/>
  <c r="Q70" i="5"/>
  <c r="Q69" i="5"/>
  <c r="Q71" i="5" s="1"/>
  <c r="Q72" i="5" s="1"/>
  <c r="N21" i="5"/>
  <c r="M21" i="5"/>
  <c r="R21" i="5"/>
  <c r="U21" i="5"/>
  <c r="Q21" i="5"/>
  <c r="P21" i="5" s="1"/>
  <c r="A22" i="5"/>
  <c r="I21" i="5" l="1"/>
  <c r="G16" i="12"/>
  <c r="Q73" i="5"/>
  <c r="Q74" i="5" s="1"/>
  <c r="P80" i="5" s="1"/>
  <c r="S81" i="5" s="1"/>
  <c r="M22" i="5"/>
  <c r="G22" i="5"/>
  <c r="N22" i="5"/>
  <c r="R22" i="5"/>
  <c r="U22" i="5"/>
  <c r="A23" i="5"/>
  <c r="Q22" i="5"/>
  <c r="P22" i="5" s="1"/>
  <c r="J21" i="5" l="1"/>
  <c r="O21" i="5"/>
  <c r="I22" i="5"/>
  <c r="O22" i="5" s="1"/>
  <c r="T81" i="5"/>
  <c r="S80" i="5" s="1"/>
  <c r="T80" i="5" s="1"/>
  <c r="Q80" i="5" s="1"/>
  <c r="G16" i="13"/>
  <c r="N23" i="5"/>
  <c r="R23" i="5"/>
  <c r="M23" i="5"/>
  <c r="G23" i="5"/>
  <c r="U23" i="5"/>
  <c r="Q23" i="5"/>
  <c r="P23" i="5" s="1"/>
  <c r="A24" i="5"/>
  <c r="I23" i="5" l="1"/>
  <c r="O23" i="5" s="1"/>
  <c r="Q87" i="5"/>
  <c r="G16" i="14"/>
  <c r="M24" i="5"/>
  <c r="N24" i="5"/>
  <c r="G24" i="5"/>
  <c r="U24" i="5"/>
  <c r="R24" i="5"/>
  <c r="Q24" i="5"/>
  <c r="P24" i="5" s="1"/>
  <c r="A25" i="5"/>
  <c r="I24" i="5" l="1"/>
  <c r="O24" i="5" s="1"/>
  <c r="Q81" i="5"/>
  <c r="Q79" i="5"/>
  <c r="Q85" i="5"/>
  <c r="Q86" i="5" s="1"/>
  <c r="Q84" i="5"/>
  <c r="Q78" i="5"/>
  <c r="G16" i="15"/>
  <c r="R25" i="5"/>
  <c r="G25" i="5"/>
  <c r="M25" i="5"/>
  <c r="N25" i="5"/>
  <c r="U25" i="5"/>
  <c r="Q25" i="5"/>
  <c r="P25" i="5" s="1"/>
  <c r="A26" i="5"/>
  <c r="I25" i="5" l="1"/>
  <c r="O25" i="5" s="1"/>
  <c r="S20" i="5"/>
  <c r="S25" i="5"/>
  <c r="T25" i="5" s="1"/>
  <c r="K25" i="5" s="1"/>
  <c r="S22" i="5"/>
  <c r="S21" i="5"/>
  <c r="S23" i="5"/>
  <c r="S24" i="5"/>
  <c r="G16" i="17"/>
  <c r="G16" i="16"/>
  <c r="M26" i="5"/>
  <c r="G26" i="5"/>
  <c r="N26" i="5"/>
  <c r="R26" i="5"/>
  <c r="U26" i="5"/>
  <c r="A27" i="5"/>
  <c r="S26" i="5"/>
  <c r="T26" i="5" s="1"/>
  <c r="Q26" i="5"/>
  <c r="P26" i="5" s="1"/>
  <c r="I26" i="5" l="1"/>
  <c r="O26" i="5" s="1"/>
  <c r="K26" i="5"/>
  <c r="V25" i="5"/>
  <c r="T21" i="5"/>
  <c r="K21" i="5" s="1"/>
  <c r="T22" i="5"/>
  <c r="K22" i="5" s="1"/>
  <c r="T24" i="5"/>
  <c r="K24" i="5" s="1"/>
  <c r="T23" i="5"/>
  <c r="K23" i="5" s="1"/>
  <c r="T20" i="5"/>
  <c r="K20" i="5" s="1"/>
  <c r="O20" i="5"/>
  <c r="V26" i="5"/>
  <c r="N27" i="5"/>
  <c r="G27" i="5"/>
  <c r="M27" i="5"/>
  <c r="R27" i="5"/>
  <c r="U27" i="5"/>
  <c r="S27" i="5"/>
  <c r="T27" i="5" s="1"/>
  <c r="A28" i="5"/>
  <c r="Q27" i="5"/>
  <c r="P27" i="5" s="1"/>
  <c r="A30" i="5"/>
  <c r="I27" i="5" l="1"/>
  <c r="O27" i="5" s="1"/>
  <c r="K27" i="5"/>
  <c r="V22" i="5"/>
  <c r="V23" i="5"/>
  <c r="V24" i="5"/>
  <c r="V20" i="5"/>
  <c r="V21" i="5"/>
  <c r="J20" i="5"/>
  <c r="V27" i="5"/>
  <c r="R30" i="5"/>
  <c r="G30" i="5"/>
  <c r="U30" i="5"/>
  <c r="N30" i="5"/>
  <c r="M30" i="5"/>
  <c r="Q30" i="5"/>
  <c r="P30" i="5" s="1"/>
  <c r="S30" i="5"/>
  <c r="T30" i="5" s="1"/>
  <c r="A32" i="5"/>
  <c r="M28" i="5"/>
  <c r="N28" i="5"/>
  <c r="R28" i="5"/>
  <c r="G28" i="5"/>
  <c r="U28" i="5"/>
  <c r="S28" i="5"/>
  <c r="T28" i="5" s="1"/>
  <c r="Q28" i="5"/>
  <c r="P28" i="5" s="1"/>
  <c r="A31" i="5"/>
  <c r="A29" i="5"/>
  <c r="I28" i="5" l="1"/>
  <c r="K30" i="5"/>
  <c r="K28" i="5"/>
  <c r="J22" i="5"/>
  <c r="V28" i="5"/>
  <c r="V30" i="5"/>
  <c r="M29" i="5"/>
  <c r="G29" i="5"/>
  <c r="N29" i="5"/>
  <c r="U29" i="5"/>
  <c r="R29" i="5"/>
  <c r="S29" i="5"/>
  <c r="T29" i="5" s="1"/>
  <c r="Q29" i="5"/>
  <c r="P29" i="5" s="1"/>
  <c r="R32" i="5"/>
  <c r="N32" i="5"/>
  <c r="U32" i="5"/>
  <c r="M32" i="5"/>
  <c r="G32" i="5"/>
  <c r="A33" i="5"/>
  <c r="S32" i="5"/>
  <c r="T32" i="5" s="1"/>
  <c r="Q32" i="5"/>
  <c r="P32" i="5" s="1"/>
  <c r="R31" i="5"/>
  <c r="M31" i="5"/>
  <c r="U31" i="5"/>
  <c r="G31" i="5"/>
  <c r="N31" i="5"/>
  <c r="S31" i="5"/>
  <c r="T31" i="5" s="1"/>
  <c r="Q31" i="5"/>
  <c r="P31" i="5" s="1"/>
  <c r="J28" i="5" l="1"/>
  <c r="O28" i="5"/>
  <c r="I29" i="5"/>
  <c r="K32" i="5"/>
  <c r="K31" i="5"/>
  <c r="K29" i="5"/>
  <c r="J23" i="5"/>
  <c r="V32" i="5"/>
  <c r="V31" i="5"/>
  <c r="V29" i="5"/>
  <c r="G33" i="5"/>
  <c r="U33" i="5"/>
  <c r="M33" i="5"/>
  <c r="N33" i="5"/>
  <c r="Q33" i="5"/>
  <c r="P33" i="5" s="1"/>
  <c r="R33" i="5"/>
  <c r="A34" i="5"/>
  <c r="S33" i="5"/>
  <c r="T33" i="5" s="1"/>
  <c r="I30" i="5" l="1"/>
  <c r="O29" i="5"/>
  <c r="K33" i="5"/>
  <c r="J24" i="5"/>
  <c r="V33" i="5"/>
  <c r="N34" i="5"/>
  <c r="U34" i="5"/>
  <c r="G34" i="5"/>
  <c r="R34" i="5"/>
  <c r="M34" i="5"/>
  <c r="S34" i="5"/>
  <c r="T34" i="5" s="1"/>
  <c r="Q34" i="5"/>
  <c r="P34" i="5" s="1"/>
  <c r="A35" i="5"/>
  <c r="I31" i="5" l="1"/>
  <c r="O30" i="5"/>
  <c r="K34" i="5"/>
  <c r="V34" i="5"/>
  <c r="M35" i="5"/>
  <c r="N35" i="5"/>
  <c r="J35" i="5"/>
  <c r="U35" i="5"/>
  <c r="R35" i="5"/>
  <c r="G35" i="5"/>
  <c r="S35" i="5"/>
  <c r="T35" i="5" s="1"/>
  <c r="Q35" i="5"/>
  <c r="P35" i="5" s="1"/>
  <c r="A36" i="5"/>
  <c r="I32" i="5" l="1"/>
  <c r="O31" i="5"/>
  <c r="K35" i="5"/>
  <c r="J25" i="5"/>
  <c r="J26" i="5"/>
  <c r="V35" i="5"/>
  <c r="R36" i="5"/>
  <c r="G36" i="5"/>
  <c r="M36" i="5"/>
  <c r="U36" i="5"/>
  <c r="N36" i="5"/>
  <c r="Q36" i="5"/>
  <c r="P36" i="5" s="1"/>
  <c r="S36" i="5"/>
  <c r="T36" i="5" s="1"/>
  <c r="A37" i="5"/>
  <c r="O32" i="5" l="1"/>
  <c r="I33" i="5"/>
  <c r="K36" i="5"/>
  <c r="V36" i="5"/>
  <c r="M37" i="5"/>
  <c r="N37" i="5"/>
  <c r="R37" i="5"/>
  <c r="G37" i="5"/>
  <c r="U37" i="5"/>
  <c r="S37" i="5"/>
  <c r="T37" i="5" s="1"/>
  <c r="A38" i="5"/>
  <c r="Q37" i="5"/>
  <c r="P37" i="5" s="1"/>
  <c r="O33" i="5" l="1"/>
  <c r="I34" i="5"/>
  <c r="K37" i="5"/>
  <c r="J27" i="5"/>
  <c r="J29" i="5"/>
  <c r="V37" i="5"/>
  <c r="M38" i="5"/>
  <c r="R38" i="5"/>
  <c r="U38" i="5"/>
  <c r="N38" i="5"/>
  <c r="G38" i="5"/>
  <c r="Q38" i="5"/>
  <c r="P38" i="5" s="1"/>
  <c r="S38" i="5"/>
  <c r="T38" i="5" s="1"/>
  <c r="A39" i="5"/>
  <c r="O34" i="5" l="1"/>
  <c r="I35" i="5"/>
  <c r="K38" i="5"/>
  <c r="J30" i="5"/>
  <c r="V38" i="5"/>
  <c r="U39" i="5"/>
  <c r="N39" i="5"/>
  <c r="R39" i="5"/>
  <c r="M39" i="5"/>
  <c r="G39" i="5"/>
  <c r="S39" i="5"/>
  <c r="T39" i="5" s="1"/>
  <c r="Q39" i="5"/>
  <c r="P39" i="5" s="1"/>
  <c r="A40" i="5"/>
  <c r="O35" i="5" l="1"/>
  <c r="I36" i="5"/>
  <c r="K39" i="5"/>
  <c r="J31" i="5"/>
  <c r="V39" i="5"/>
  <c r="R40" i="5"/>
  <c r="N40" i="5"/>
  <c r="M40" i="5"/>
  <c r="U40" i="5"/>
  <c r="G40" i="5"/>
  <c r="S40" i="5"/>
  <c r="T40" i="5" s="1"/>
  <c r="A41" i="5"/>
  <c r="Q40" i="5"/>
  <c r="P40" i="5" s="1"/>
  <c r="O36" i="5" l="1"/>
  <c r="I37" i="5"/>
  <c r="K40" i="5"/>
  <c r="J33" i="5"/>
  <c r="V40" i="5"/>
  <c r="G41" i="5"/>
  <c r="R41" i="5"/>
  <c r="U41" i="5"/>
  <c r="N41" i="5"/>
  <c r="M41" i="5"/>
  <c r="Q41" i="5"/>
  <c r="P41" i="5" s="1"/>
  <c r="A42" i="5"/>
  <c r="S41" i="5"/>
  <c r="T41" i="5" s="1"/>
  <c r="O37" i="5" l="1"/>
  <c r="I38" i="5"/>
  <c r="K41" i="5"/>
  <c r="J32" i="5"/>
  <c r="J34" i="5"/>
  <c r="V41" i="5"/>
  <c r="U42" i="5"/>
  <c r="G42" i="5"/>
  <c r="M42" i="5"/>
  <c r="R42" i="5"/>
  <c r="J42" i="5"/>
  <c r="S42" i="5"/>
  <c r="T42" i="5" s="1"/>
  <c r="Q42" i="5"/>
  <c r="P42" i="5" s="1"/>
  <c r="N42" i="5"/>
  <c r="A43" i="5"/>
  <c r="O38" i="5" l="1"/>
  <c r="I39" i="5"/>
  <c r="S43" i="5"/>
  <c r="T43" i="5" s="1"/>
  <c r="K42" i="5"/>
  <c r="V42" i="5"/>
  <c r="M43" i="5"/>
  <c r="N43" i="5"/>
  <c r="G43" i="5"/>
  <c r="R43" i="5"/>
  <c r="U43" i="5"/>
  <c r="Q43" i="5"/>
  <c r="P43" i="5" s="1"/>
  <c r="A44" i="5"/>
  <c r="O39" i="5" l="1"/>
  <c r="I40" i="5"/>
  <c r="K43" i="5"/>
  <c r="J36" i="5"/>
  <c r="V43" i="5"/>
  <c r="N44" i="5"/>
  <c r="U44" i="5"/>
  <c r="G44" i="5"/>
  <c r="M44" i="5"/>
  <c r="R44" i="5"/>
  <c r="S44" i="5"/>
  <c r="T44" i="5" s="1"/>
  <c r="Q44" i="5"/>
  <c r="P44" i="5" s="1"/>
  <c r="A45" i="5"/>
  <c r="O40" i="5" l="1"/>
  <c r="I41" i="5"/>
  <c r="K44" i="5"/>
  <c r="J37" i="5"/>
  <c r="V44" i="5"/>
  <c r="M45" i="5"/>
  <c r="R45" i="5"/>
  <c r="G45" i="5"/>
  <c r="U45" i="5"/>
  <c r="N45" i="5"/>
  <c r="Q45" i="5"/>
  <c r="P45" i="5" s="1"/>
  <c r="A46" i="5"/>
  <c r="S45" i="5"/>
  <c r="T45" i="5" s="1"/>
  <c r="O41" i="5" l="1"/>
  <c r="I42" i="5"/>
  <c r="K45" i="5"/>
  <c r="J38" i="5"/>
  <c r="V45" i="5"/>
  <c r="G46" i="5"/>
  <c r="N46" i="5"/>
  <c r="R46" i="5"/>
  <c r="M46" i="5"/>
  <c r="U46" i="5"/>
  <c r="S46" i="5"/>
  <c r="T46" i="5" s="1"/>
  <c r="Q46" i="5"/>
  <c r="P46" i="5" s="1"/>
  <c r="A47" i="5"/>
  <c r="O42" i="5" l="1"/>
  <c r="I43" i="5"/>
  <c r="K46" i="5"/>
  <c r="V46" i="5"/>
  <c r="U47" i="5"/>
  <c r="N47" i="5"/>
  <c r="R47" i="5"/>
  <c r="G47" i="5"/>
  <c r="M47" i="5"/>
  <c r="S47" i="5"/>
  <c r="T47" i="5" s="1"/>
  <c r="A48" i="5"/>
  <c r="Q47" i="5"/>
  <c r="P47" i="5" s="1"/>
  <c r="O43" i="5" l="1"/>
  <c r="I44" i="5"/>
  <c r="K47" i="5"/>
  <c r="J40" i="5"/>
  <c r="J39" i="5"/>
  <c r="V47" i="5"/>
  <c r="R48" i="5"/>
  <c r="M48" i="5"/>
  <c r="G48" i="5"/>
  <c r="N48" i="5"/>
  <c r="U48" i="5"/>
  <c r="A49" i="5"/>
  <c r="Q48" i="5"/>
  <c r="P48" i="5" s="1"/>
  <c r="S48" i="5"/>
  <c r="T48" i="5" s="1"/>
  <c r="O44" i="5" l="1"/>
  <c r="I45" i="5"/>
  <c r="K48" i="5"/>
  <c r="J41" i="5"/>
  <c r="V48" i="5"/>
  <c r="U49" i="5"/>
  <c r="N49" i="5"/>
  <c r="G49" i="5"/>
  <c r="R49" i="5"/>
  <c r="J49" i="5"/>
  <c r="S49" i="5"/>
  <c r="T49" i="5" s="1"/>
  <c r="Q49" i="5"/>
  <c r="P49" i="5" s="1"/>
  <c r="M49" i="5"/>
  <c r="A50" i="5"/>
  <c r="O45" i="5" l="1"/>
  <c r="I46" i="5"/>
  <c r="K49" i="5"/>
  <c r="P63" i="7"/>
  <c r="R80" i="7" s="1"/>
  <c r="V49" i="5"/>
  <c r="A20" i="7"/>
  <c r="U50" i="5"/>
  <c r="G50" i="5"/>
  <c r="G52" i="5" s="1"/>
  <c r="M50" i="5"/>
  <c r="N50" i="5"/>
  <c r="R50" i="5"/>
  <c r="G16" i="5" s="1"/>
  <c r="Q50" i="5"/>
  <c r="P50" i="5" s="1"/>
  <c r="S50" i="5"/>
  <c r="T50" i="5" s="1"/>
  <c r="O46" i="5" l="1"/>
  <c r="I47" i="5"/>
  <c r="K50" i="5"/>
  <c r="T77" i="7"/>
  <c r="Q77" i="7" s="1"/>
  <c r="Q68" i="7"/>
  <c r="Q70" i="7" s="1"/>
  <c r="T88" i="7"/>
  <c r="Q88" i="7" s="1"/>
  <c r="Q64" i="7"/>
  <c r="T83" i="7"/>
  <c r="Q83" i="7" s="1"/>
  <c r="Q65" i="7"/>
  <c r="T89" i="7"/>
  <c r="Q89" i="7" s="1"/>
  <c r="Q90" i="7" s="1"/>
  <c r="Q91" i="7" s="1"/>
  <c r="Q92" i="7" s="1"/>
  <c r="Q66" i="7"/>
  <c r="Q67" i="7"/>
  <c r="H21" i="5"/>
  <c r="H28" i="5"/>
  <c r="H35" i="5"/>
  <c r="H42" i="5"/>
  <c r="H49" i="5"/>
  <c r="Q20" i="7"/>
  <c r="P20" i="7" s="1"/>
  <c r="U20" i="7"/>
  <c r="R20" i="7"/>
  <c r="H24" i="5"/>
  <c r="H31" i="5"/>
  <c r="H38" i="5"/>
  <c r="H45" i="5"/>
  <c r="H20" i="5"/>
  <c r="H27" i="5"/>
  <c r="H34" i="5"/>
  <c r="H41" i="5"/>
  <c r="H48" i="5"/>
  <c r="H47" i="5"/>
  <c r="H23" i="5"/>
  <c r="H30" i="5"/>
  <c r="H37" i="5"/>
  <c r="H44" i="5"/>
  <c r="H26" i="5"/>
  <c r="H33" i="5"/>
  <c r="H40" i="5"/>
  <c r="J43" i="5"/>
  <c r="H22" i="5"/>
  <c r="H29" i="5"/>
  <c r="H36" i="5"/>
  <c r="H43" i="5"/>
  <c r="H50" i="5"/>
  <c r="V50" i="5"/>
  <c r="V51" i="5" s="1"/>
  <c r="A57" i="5" s="1"/>
  <c r="A21" i="7"/>
  <c r="M20" i="7"/>
  <c r="N20" i="7"/>
  <c r="N52" i="5"/>
  <c r="C54" i="5" s="1"/>
  <c r="N53" i="5"/>
  <c r="G20" i="7"/>
  <c r="H25" i="5"/>
  <c r="H32" i="5"/>
  <c r="H39" i="5"/>
  <c r="H46" i="5"/>
  <c r="I20" i="7" l="1"/>
  <c r="O20" i="7" s="1"/>
  <c r="O47" i="5"/>
  <c r="I48" i="5"/>
  <c r="Q69" i="7"/>
  <c r="Q71" i="7" s="1"/>
  <c r="Q72" i="7" s="1"/>
  <c r="Q73" i="7" s="1"/>
  <c r="Q74" i="7" s="1"/>
  <c r="P80" i="7" s="1"/>
  <c r="T81" i="7" s="1"/>
  <c r="S80" i="7" s="1"/>
  <c r="Q21" i="7"/>
  <c r="P21" i="7" s="1"/>
  <c r="R21" i="7"/>
  <c r="U21" i="7"/>
  <c r="J44" i="5"/>
  <c r="G21" i="7"/>
  <c r="A22" i="7"/>
  <c r="M21" i="7"/>
  <c r="N21" i="7"/>
  <c r="O48" i="5" l="1"/>
  <c r="I49" i="5"/>
  <c r="I21" i="7"/>
  <c r="O21" i="7" s="1"/>
  <c r="S81" i="7"/>
  <c r="T80" i="7" s="1"/>
  <c r="Q80" i="7" s="1"/>
  <c r="Q22" i="7"/>
  <c r="P22" i="7" s="1"/>
  <c r="U22" i="7"/>
  <c r="R22" i="7"/>
  <c r="J45" i="5"/>
  <c r="A23" i="7"/>
  <c r="N22" i="7"/>
  <c r="M22" i="7"/>
  <c r="G22" i="7"/>
  <c r="I22" i="7" l="1"/>
  <c r="O22" i="7" s="1"/>
  <c r="O49" i="5"/>
  <c r="I50" i="5"/>
  <c r="O50" i="5" s="1"/>
  <c r="O55" i="5" s="1"/>
  <c r="R23" i="7"/>
  <c r="U23" i="7"/>
  <c r="Q23" i="7"/>
  <c r="P23" i="7" s="1"/>
  <c r="Q81" i="7"/>
  <c r="Q87" i="7"/>
  <c r="Q78" i="7"/>
  <c r="Q85" i="7"/>
  <c r="Q86" i="7" s="1"/>
  <c r="Q84" i="7"/>
  <c r="Q79" i="7"/>
  <c r="M23" i="7"/>
  <c r="N23" i="7"/>
  <c r="G23" i="7"/>
  <c r="A24" i="7"/>
  <c r="I23" i="7" l="1"/>
  <c r="O23" i="7" s="1"/>
  <c r="S23" i="7"/>
  <c r="T23" i="7" s="1"/>
  <c r="K23" i="7" s="1"/>
  <c r="S20" i="7"/>
  <c r="S21" i="7"/>
  <c r="S22" i="7"/>
  <c r="R24" i="7"/>
  <c r="Q24" i="7"/>
  <c r="P24" i="7" s="1"/>
  <c r="U24" i="7"/>
  <c r="S24" i="7"/>
  <c r="T24" i="7" s="1"/>
  <c r="J46" i="5"/>
  <c r="J47" i="5"/>
  <c r="M24" i="7"/>
  <c r="N24" i="7"/>
  <c r="A25" i="7"/>
  <c r="G24" i="7"/>
  <c r="I24" i="7" l="1"/>
  <c r="O24" i="7" s="1"/>
  <c r="K24" i="7"/>
  <c r="V23" i="7"/>
  <c r="T21" i="7"/>
  <c r="K21" i="7" s="1"/>
  <c r="T22" i="7"/>
  <c r="K22" i="7" s="1"/>
  <c r="T20" i="7"/>
  <c r="K20" i="7" s="1"/>
  <c r="V24" i="7"/>
  <c r="R25" i="7"/>
  <c r="U25" i="7"/>
  <c r="Q25" i="7"/>
  <c r="P25" i="7" s="1"/>
  <c r="S25" i="7"/>
  <c r="T25" i="7" s="1"/>
  <c r="J48" i="5"/>
  <c r="M25" i="7"/>
  <c r="N25" i="7"/>
  <c r="G25" i="7"/>
  <c r="A26" i="7"/>
  <c r="I25" i="7" l="1"/>
  <c r="O25" i="7" s="1"/>
  <c r="K25" i="7"/>
  <c r="V21" i="7"/>
  <c r="V20" i="7"/>
  <c r="V22" i="7"/>
  <c r="V25" i="7"/>
  <c r="R26" i="7"/>
  <c r="U26" i="7"/>
  <c r="Q26" i="7"/>
  <c r="P26" i="7" s="1"/>
  <c r="S26" i="7"/>
  <c r="T26" i="7" s="1"/>
  <c r="M26" i="7"/>
  <c r="N26" i="7"/>
  <c r="A27" i="7"/>
  <c r="G26" i="7"/>
  <c r="I26" i="7" l="1"/>
  <c r="O26" i="7" s="1"/>
  <c r="K26" i="7"/>
  <c r="U27" i="7"/>
  <c r="R27" i="7"/>
  <c r="Q27" i="7"/>
  <c r="P27" i="7" s="1"/>
  <c r="S27" i="7"/>
  <c r="T27" i="7" s="1"/>
  <c r="V26" i="7"/>
  <c r="M27" i="7"/>
  <c r="N27" i="7"/>
  <c r="A30" i="7"/>
  <c r="A28" i="7"/>
  <c r="G27" i="7"/>
  <c r="I27" i="7" l="1"/>
  <c r="O27" i="7" s="1"/>
  <c r="K27" i="7"/>
  <c r="J52" i="5"/>
  <c r="J50" i="5"/>
  <c r="U28" i="7"/>
  <c r="R28" i="7"/>
  <c r="Q28" i="7"/>
  <c r="P28" i="7" s="1"/>
  <c r="S28" i="7"/>
  <c r="T28" i="7" s="1"/>
  <c r="U30" i="7"/>
  <c r="R30" i="7"/>
  <c r="Q30" i="7"/>
  <c r="P30" i="7" s="1"/>
  <c r="S30" i="7"/>
  <c r="T30" i="7" s="1"/>
  <c r="V27" i="7"/>
  <c r="N30" i="7"/>
  <c r="M30" i="7"/>
  <c r="G30" i="7"/>
  <c r="A32" i="7"/>
  <c r="M28" i="7"/>
  <c r="N28" i="7"/>
  <c r="A29" i="7"/>
  <c r="G28" i="7"/>
  <c r="A31" i="7"/>
  <c r="I28" i="7" l="1"/>
  <c r="O28" i="7" s="1"/>
  <c r="F56" i="5"/>
  <c r="K52" i="5" s="1"/>
  <c r="K28" i="7"/>
  <c r="K30" i="7"/>
  <c r="K56" i="5"/>
  <c r="L56" i="5" s="1"/>
  <c r="V30" i="7"/>
  <c r="V28" i="7"/>
  <c r="U29" i="7"/>
  <c r="R29" i="7"/>
  <c r="Q29" i="7"/>
  <c r="P29" i="7" s="1"/>
  <c r="S29" i="7"/>
  <c r="T29" i="7" s="1"/>
  <c r="U32" i="7"/>
  <c r="R32" i="7"/>
  <c r="Q32" i="7"/>
  <c r="P32" i="7" s="1"/>
  <c r="S32" i="7"/>
  <c r="T32" i="7" s="1"/>
  <c r="Q31" i="7"/>
  <c r="P31" i="7" s="1"/>
  <c r="U31" i="7"/>
  <c r="R31" i="7"/>
  <c r="S31" i="7"/>
  <c r="T31" i="7" s="1"/>
  <c r="M29" i="7"/>
  <c r="N29" i="7"/>
  <c r="G29" i="7"/>
  <c r="N32" i="7"/>
  <c r="M32" i="7"/>
  <c r="G32" i="7"/>
  <c r="A33" i="7"/>
  <c r="M31" i="7"/>
  <c r="N31" i="7"/>
  <c r="G31" i="7"/>
  <c r="I29" i="7" l="1"/>
  <c r="I30" i="7" s="1"/>
  <c r="I31" i="7" s="1"/>
  <c r="I56" i="5"/>
  <c r="J56" i="5" s="1"/>
  <c r="M16" i="7"/>
  <c r="K31" i="7"/>
  <c r="K32" i="7"/>
  <c r="K29" i="7"/>
  <c r="K54" i="5"/>
  <c r="H54" i="5"/>
  <c r="V31" i="7"/>
  <c r="V32" i="7"/>
  <c r="V29" i="7"/>
  <c r="Q33" i="7"/>
  <c r="P33" i="7" s="1"/>
  <c r="U33" i="7"/>
  <c r="R33" i="7"/>
  <c r="S33" i="7"/>
  <c r="T33" i="7" s="1"/>
  <c r="J25" i="7"/>
  <c r="M33" i="7"/>
  <c r="N33" i="7"/>
  <c r="G33" i="7"/>
  <c r="A34" i="7"/>
  <c r="O29" i="7" l="1"/>
  <c r="O30" i="7"/>
  <c r="I32" i="7"/>
  <c r="O32" i="7" s="1"/>
  <c r="O31" i="7"/>
  <c r="D54" i="7"/>
  <c r="N55" i="7" s="1"/>
  <c r="N16" i="7" s="1"/>
  <c r="K33" i="7"/>
  <c r="J22" i="7"/>
  <c r="J29" i="7"/>
  <c r="V33" i="7"/>
  <c r="J21" i="7"/>
  <c r="J24" i="7"/>
  <c r="U34" i="7"/>
  <c r="R34" i="7"/>
  <c r="Q34" i="7"/>
  <c r="P34" i="7" s="1"/>
  <c r="S34" i="7"/>
  <c r="T34" i="7" s="1"/>
  <c r="J20" i="7"/>
  <c r="J27" i="7"/>
  <c r="J28" i="7"/>
  <c r="N34" i="7"/>
  <c r="M34" i="7"/>
  <c r="G34" i="7"/>
  <c r="A35" i="7"/>
  <c r="J26" i="7" l="1"/>
  <c r="J23" i="7"/>
  <c r="J30" i="7"/>
  <c r="I33" i="7"/>
  <c r="O33" i="7" s="1"/>
  <c r="K34" i="7"/>
  <c r="V34" i="7"/>
  <c r="Q35" i="7"/>
  <c r="P35" i="7" s="1"/>
  <c r="R35" i="7"/>
  <c r="U35" i="7"/>
  <c r="S35" i="7"/>
  <c r="T35" i="7" s="1"/>
  <c r="J31" i="7"/>
  <c r="M35" i="7"/>
  <c r="N35" i="7"/>
  <c r="G35" i="7"/>
  <c r="A36" i="7"/>
  <c r="I34" i="7" l="1"/>
  <c r="O34" i="7" s="1"/>
  <c r="K35" i="7"/>
  <c r="V35" i="7"/>
  <c r="Q36" i="7"/>
  <c r="P36" i="7" s="1"/>
  <c r="U36" i="7"/>
  <c r="R36" i="7"/>
  <c r="S36" i="7"/>
  <c r="T36" i="7" s="1"/>
  <c r="M36" i="7"/>
  <c r="N36" i="7"/>
  <c r="G36" i="7"/>
  <c r="A37" i="7"/>
  <c r="I35" i="7" l="1"/>
  <c r="O35" i="7" s="1"/>
  <c r="K36" i="7"/>
  <c r="V36" i="7"/>
  <c r="Q37" i="7"/>
  <c r="P37" i="7" s="1"/>
  <c r="R37" i="7"/>
  <c r="U37" i="7"/>
  <c r="S37" i="7"/>
  <c r="T37" i="7" s="1"/>
  <c r="J32" i="7"/>
  <c r="J33" i="7"/>
  <c r="M37" i="7"/>
  <c r="N37" i="7"/>
  <c r="G37" i="7"/>
  <c r="A38" i="7"/>
  <c r="I36" i="7" l="1"/>
  <c r="O36" i="7" s="1"/>
  <c r="K37" i="7"/>
  <c r="Q38" i="7"/>
  <c r="P38" i="7" s="1"/>
  <c r="U38" i="7"/>
  <c r="R38" i="7"/>
  <c r="S38" i="7"/>
  <c r="T38" i="7" s="1"/>
  <c r="V37" i="7"/>
  <c r="J34" i="7"/>
  <c r="N38" i="7"/>
  <c r="M38" i="7"/>
  <c r="G38" i="7"/>
  <c r="A39" i="7"/>
  <c r="I37" i="7" l="1"/>
  <c r="K38" i="7"/>
  <c r="R39" i="7"/>
  <c r="U39" i="7"/>
  <c r="Q39" i="7"/>
  <c r="P39" i="7" s="1"/>
  <c r="S39" i="7"/>
  <c r="T39" i="7" s="1"/>
  <c r="V38" i="7"/>
  <c r="J35" i="7"/>
  <c r="M39" i="7"/>
  <c r="N39" i="7"/>
  <c r="G39" i="7"/>
  <c r="A40" i="7"/>
  <c r="O37" i="7" l="1"/>
  <c r="J37" i="7"/>
  <c r="I38" i="7"/>
  <c r="O38" i="7" s="1"/>
  <c r="K39" i="7"/>
  <c r="V39" i="7"/>
  <c r="R40" i="7"/>
  <c r="Q40" i="7"/>
  <c r="P40" i="7" s="1"/>
  <c r="U40" i="7"/>
  <c r="S40" i="7"/>
  <c r="T40" i="7" s="1"/>
  <c r="J36" i="7"/>
  <c r="M40" i="7"/>
  <c r="N40" i="7"/>
  <c r="A41" i="7"/>
  <c r="G40" i="7"/>
  <c r="I39" i="7" l="1"/>
  <c r="O39" i="7" s="1"/>
  <c r="K40" i="7"/>
  <c r="R41" i="7"/>
  <c r="U41" i="7"/>
  <c r="Q41" i="7"/>
  <c r="P41" i="7" s="1"/>
  <c r="S41" i="7"/>
  <c r="T41" i="7" s="1"/>
  <c r="V40" i="7"/>
  <c r="M41" i="7"/>
  <c r="N41" i="7"/>
  <c r="G41" i="7"/>
  <c r="A42" i="7"/>
  <c r="I40" i="7" l="1"/>
  <c r="O40" i="7" s="1"/>
  <c r="K41" i="7"/>
  <c r="R42" i="7"/>
  <c r="Q42" i="7"/>
  <c r="P42" i="7" s="1"/>
  <c r="U42" i="7"/>
  <c r="S42" i="7"/>
  <c r="T42" i="7" s="1"/>
  <c r="V41" i="7"/>
  <c r="J38" i="7"/>
  <c r="N42" i="7"/>
  <c r="M42" i="7"/>
  <c r="G42" i="7"/>
  <c r="A43" i="7"/>
  <c r="I41" i="7" l="1"/>
  <c r="O41" i="7" s="1"/>
  <c r="K42" i="7"/>
  <c r="V42" i="7"/>
  <c r="U43" i="7"/>
  <c r="Q43" i="7"/>
  <c r="P43" i="7" s="1"/>
  <c r="R43" i="7"/>
  <c r="S43" i="7"/>
  <c r="T43" i="7" s="1"/>
  <c r="M43" i="7"/>
  <c r="N43" i="7"/>
  <c r="G43" i="7"/>
  <c r="A44" i="7"/>
  <c r="I42" i="7" l="1"/>
  <c r="O42" i="7" s="1"/>
  <c r="K43" i="7"/>
  <c r="V43" i="7"/>
  <c r="U44" i="7"/>
  <c r="R44" i="7"/>
  <c r="Q44" i="7"/>
  <c r="P44" i="7" s="1"/>
  <c r="S44" i="7"/>
  <c r="T44" i="7" s="1"/>
  <c r="J39" i="7"/>
  <c r="J40" i="7"/>
  <c r="N44" i="7"/>
  <c r="M44" i="7"/>
  <c r="G44" i="7"/>
  <c r="A45" i="7"/>
  <c r="I43" i="7" l="1"/>
  <c r="O43" i="7" s="1"/>
  <c r="K44" i="7"/>
  <c r="U45" i="7"/>
  <c r="Q45" i="7"/>
  <c r="P45" i="7" s="1"/>
  <c r="R45" i="7"/>
  <c r="S45" i="7"/>
  <c r="T45" i="7" s="1"/>
  <c r="V44" i="7"/>
  <c r="J41" i="7"/>
  <c r="N45" i="7"/>
  <c r="M45" i="7"/>
  <c r="A46" i="7"/>
  <c r="G45" i="7"/>
  <c r="I44" i="7" l="1"/>
  <c r="K45" i="7"/>
  <c r="V45" i="7"/>
  <c r="U46" i="7"/>
  <c r="R46" i="7"/>
  <c r="Q46" i="7"/>
  <c r="P46" i="7" s="1"/>
  <c r="S46" i="7"/>
  <c r="T46" i="7" s="1"/>
  <c r="J42" i="7"/>
  <c r="M46" i="7"/>
  <c r="N46" i="7"/>
  <c r="G46" i="7"/>
  <c r="A47" i="7"/>
  <c r="O44" i="7" l="1"/>
  <c r="J44" i="7"/>
  <c r="I45" i="7"/>
  <c r="O45" i="7" s="1"/>
  <c r="K46" i="7"/>
  <c r="R47" i="7"/>
  <c r="Q47" i="7"/>
  <c r="P47" i="7" s="1"/>
  <c r="U47" i="7"/>
  <c r="S47" i="7"/>
  <c r="T47" i="7" s="1"/>
  <c r="V46" i="7"/>
  <c r="J43" i="7"/>
  <c r="M47" i="7"/>
  <c r="N47" i="7"/>
  <c r="A48" i="7"/>
  <c r="G47" i="7"/>
  <c r="I46" i="7" l="1"/>
  <c r="O46" i="7" s="1"/>
  <c r="K47" i="7"/>
  <c r="V47" i="7"/>
  <c r="U48" i="7"/>
  <c r="Q48" i="7"/>
  <c r="P48" i="7" s="1"/>
  <c r="R48" i="7"/>
  <c r="S48" i="7"/>
  <c r="T48" i="7" s="1"/>
  <c r="N48" i="7"/>
  <c r="M48" i="7"/>
  <c r="G48" i="7"/>
  <c r="A49" i="7"/>
  <c r="I47" i="7" l="1"/>
  <c r="O47" i="7" s="1"/>
  <c r="K48" i="7"/>
  <c r="V48" i="7"/>
  <c r="U49" i="7"/>
  <c r="R49" i="7"/>
  <c r="Q49" i="7"/>
  <c r="P49" i="7" s="1"/>
  <c r="S49" i="7"/>
  <c r="T49" i="7" s="1"/>
  <c r="J45" i="7"/>
  <c r="M49" i="7"/>
  <c r="N49" i="7"/>
  <c r="G49" i="7"/>
  <c r="A50" i="7"/>
  <c r="I48" i="7" l="1"/>
  <c r="O48" i="7" s="1"/>
  <c r="K49" i="7"/>
  <c r="A20" i="1"/>
  <c r="N20" i="1" s="1"/>
  <c r="P63" i="1"/>
  <c r="V49" i="7"/>
  <c r="R50" i="7"/>
  <c r="A16" i="7" s="1"/>
  <c r="Q50" i="7"/>
  <c r="P50" i="7" s="1"/>
  <c r="U50" i="7"/>
  <c r="S50" i="7"/>
  <c r="T50" i="7" s="1"/>
  <c r="N50" i="7"/>
  <c r="M50" i="7"/>
  <c r="H22" i="7" s="1"/>
  <c r="G50" i="7"/>
  <c r="I49" i="7" l="1"/>
  <c r="O49" i="7" s="1"/>
  <c r="K50" i="7"/>
  <c r="H23" i="7"/>
  <c r="H30" i="7"/>
  <c r="H37" i="7"/>
  <c r="H44" i="7"/>
  <c r="H50" i="7"/>
  <c r="T77" i="1"/>
  <c r="Q77" i="1" s="1"/>
  <c r="Q68" i="1"/>
  <c r="Q64" i="1"/>
  <c r="T89" i="1"/>
  <c r="Q89" i="1" s="1"/>
  <c r="Q90" i="1" s="1"/>
  <c r="Q91" i="1" s="1"/>
  <c r="Q92" i="1" s="1"/>
  <c r="T83" i="1"/>
  <c r="Q83" i="1" s="1"/>
  <c r="Q67" i="1"/>
  <c r="Q66" i="1"/>
  <c r="T88" i="1"/>
  <c r="Q88" i="1" s="1"/>
  <c r="R80" i="1"/>
  <c r="Q65" i="1"/>
  <c r="Q20" i="1"/>
  <c r="P20" i="1" s="1"/>
  <c r="R20" i="1"/>
  <c r="M20" i="1"/>
  <c r="U20" i="1"/>
  <c r="V50" i="7"/>
  <c r="V51" i="7" s="1"/>
  <c r="H21" i="7"/>
  <c r="H28" i="7"/>
  <c r="H35" i="7"/>
  <c r="H42" i="7"/>
  <c r="H49" i="7"/>
  <c r="H24" i="7"/>
  <c r="H31" i="7"/>
  <c r="H38" i="7"/>
  <c r="H45" i="7"/>
  <c r="H26" i="7"/>
  <c r="H33" i="7"/>
  <c r="H40" i="7"/>
  <c r="H47" i="7"/>
  <c r="G52" i="7"/>
  <c r="J46" i="7"/>
  <c r="H25" i="7"/>
  <c r="H32" i="7"/>
  <c r="H39" i="7"/>
  <c r="H46" i="7"/>
  <c r="H36" i="7"/>
  <c r="H20" i="7"/>
  <c r="H27" i="7"/>
  <c r="H34" i="7"/>
  <c r="H41" i="7"/>
  <c r="H48" i="7"/>
  <c r="H29" i="7"/>
  <c r="H43" i="7"/>
  <c r="N52" i="7"/>
  <c r="D53" i="7" s="1"/>
  <c r="N53" i="7"/>
  <c r="A21" i="1"/>
  <c r="G20" i="1"/>
  <c r="I20" i="1" s="1"/>
  <c r="I50" i="7" l="1"/>
  <c r="O50" i="7" s="1"/>
  <c r="O55" i="7" s="1"/>
  <c r="J47" i="7"/>
  <c r="Q69" i="1"/>
  <c r="Q71" i="1" s="1"/>
  <c r="Q72" i="1" s="1"/>
  <c r="Q70" i="1"/>
  <c r="N21" i="1"/>
  <c r="M21" i="1"/>
  <c r="Q21" i="1"/>
  <c r="P21" i="1" s="1"/>
  <c r="R21" i="1"/>
  <c r="U21" i="1"/>
  <c r="O20" i="1"/>
  <c r="G21" i="1"/>
  <c r="I21" i="1" s="1"/>
  <c r="O21" i="1" s="1"/>
  <c r="A22" i="1"/>
  <c r="J48" i="7" l="1"/>
  <c r="Q73" i="1"/>
  <c r="Q74" i="1" s="1"/>
  <c r="P80" i="1" s="1"/>
  <c r="T81" i="1" s="1"/>
  <c r="S80" i="1" s="1"/>
  <c r="M22" i="1"/>
  <c r="U22" i="1"/>
  <c r="R22" i="1"/>
  <c r="N22" i="1"/>
  <c r="Q22" i="1"/>
  <c r="P22" i="1" s="1"/>
  <c r="J49" i="7"/>
  <c r="A23" i="1"/>
  <c r="G22" i="1"/>
  <c r="I22" i="1" s="1"/>
  <c r="O22" i="1" s="1"/>
  <c r="S81" i="1" l="1"/>
  <c r="T80" i="1" s="1"/>
  <c r="Q80" i="1" s="1"/>
  <c r="N23" i="1"/>
  <c r="R23" i="1"/>
  <c r="M23" i="1"/>
  <c r="Q23" i="1"/>
  <c r="P23" i="1" s="1"/>
  <c r="U23" i="1"/>
  <c r="G23" i="1"/>
  <c r="I23" i="1" s="1"/>
  <c r="O23" i="1" s="1"/>
  <c r="A24" i="1"/>
  <c r="J50" i="7" l="1"/>
  <c r="Q79" i="1"/>
  <c r="Q84" i="1"/>
  <c r="Q87" i="1"/>
  <c r="Q78" i="1"/>
  <c r="Q81" i="1"/>
  <c r="Q85" i="1"/>
  <c r="Q86" i="1" s="1"/>
  <c r="M24" i="1"/>
  <c r="N24" i="1"/>
  <c r="Q24" i="1"/>
  <c r="P24" i="1" s="1"/>
  <c r="U24" i="1"/>
  <c r="R24" i="1"/>
  <c r="G24" i="1"/>
  <c r="I24" i="1" s="1"/>
  <c r="O24" i="1" s="1"/>
  <c r="A25" i="1"/>
  <c r="H56" i="7" l="1"/>
  <c r="J52" i="7" s="1"/>
  <c r="S24" i="1"/>
  <c r="T24" i="1" s="1"/>
  <c r="K24" i="1" s="1"/>
  <c r="S20" i="1"/>
  <c r="S21" i="1"/>
  <c r="S22" i="1"/>
  <c r="S23" i="1"/>
  <c r="N25" i="1"/>
  <c r="M25" i="1"/>
  <c r="R25" i="1"/>
  <c r="Q25" i="1"/>
  <c r="P25" i="1" s="1"/>
  <c r="U25" i="1"/>
  <c r="S25" i="1"/>
  <c r="T25" i="1" s="1"/>
  <c r="A26" i="1"/>
  <c r="G25" i="1"/>
  <c r="I25" i="1" l="1"/>
  <c r="O25" i="1" s="1"/>
  <c r="K56" i="7"/>
  <c r="L56" i="7" s="1"/>
  <c r="E56" i="7"/>
  <c r="K52" i="7" s="1"/>
  <c r="K54" i="7" s="1"/>
  <c r="G56" i="7"/>
  <c r="K25" i="1"/>
  <c r="V24" i="1"/>
  <c r="T23" i="1"/>
  <c r="K23" i="1" s="1"/>
  <c r="T22" i="1"/>
  <c r="K22" i="1" s="1"/>
  <c r="T21" i="1"/>
  <c r="K21" i="1" s="1"/>
  <c r="T20" i="1"/>
  <c r="K20" i="1" s="1"/>
  <c r="V25" i="1"/>
  <c r="N26" i="1"/>
  <c r="R26" i="1"/>
  <c r="U26" i="1"/>
  <c r="Q26" i="1"/>
  <c r="P26" i="1" s="1"/>
  <c r="M26" i="1"/>
  <c r="S26" i="1"/>
  <c r="T26" i="1" s="1"/>
  <c r="M16" i="1"/>
  <c r="I56" i="7"/>
  <c r="J56" i="7" s="1"/>
  <c r="A27" i="1"/>
  <c r="G26" i="1"/>
  <c r="I26" i="1" l="1"/>
  <c r="O26" i="1" s="1"/>
  <c r="H54" i="7"/>
  <c r="K26" i="1"/>
  <c r="V21" i="1"/>
  <c r="V22" i="1"/>
  <c r="V23" i="1"/>
  <c r="V20" i="1"/>
  <c r="D54" i="1"/>
  <c r="N55" i="1" s="1"/>
  <c r="N27" i="1"/>
  <c r="M27" i="1"/>
  <c r="U27" i="1"/>
  <c r="R27" i="1"/>
  <c r="Q27" i="1"/>
  <c r="P27" i="1" s="1"/>
  <c r="S27" i="1"/>
  <c r="T27" i="1" s="1"/>
  <c r="V26" i="1"/>
  <c r="J22" i="1"/>
  <c r="A28" i="1"/>
  <c r="G27" i="1"/>
  <c r="I27" i="1" s="1"/>
  <c r="O27" i="1" s="1"/>
  <c r="A30" i="1"/>
  <c r="K27" i="1" l="1"/>
  <c r="N16" i="1"/>
  <c r="R28" i="1"/>
  <c r="U28" i="1"/>
  <c r="Q28" i="1"/>
  <c r="P28" i="1" s="1"/>
  <c r="M28" i="1"/>
  <c r="N28" i="1"/>
  <c r="S28" i="1"/>
  <c r="T28" i="1" s="1"/>
  <c r="V27" i="1"/>
  <c r="U30" i="1"/>
  <c r="R30" i="1"/>
  <c r="M30" i="1"/>
  <c r="Q30" i="1"/>
  <c r="P30" i="1" s="1"/>
  <c r="N30" i="1"/>
  <c r="S30" i="1"/>
  <c r="T30" i="1" s="1"/>
  <c r="G30" i="1"/>
  <c r="A32" i="1"/>
  <c r="A31" i="1"/>
  <c r="G28" i="1"/>
  <c r="I28" i="1" s="1"/>
  <c r="O28" i="1" s="1"/>
  <c r="A29" i="1"/>
  <c r="J25" i="1" l="1"/>
  <c r="J23" i="1"/>
  <c r="K28" i="1"/>
  <c r="K30" i="1"/>
  <c r="J26" i="1"/>
  <c r="J20" i="1"/>
  <c r="J24" i="1"/>
  <c r="J21" i="1"/>
  <c r="V28" i="1"/>
  <c r="U32" i="1"/>
  <c r="R32" i="1"/>
  <c r="M32" i="1"/>
  <c r="N32" i="1"/>
  <c r="Q32" i="1"/>
  <c r="P32" i="1" s="1"/>
  <c r="S32" i="1"/>
  <c r="T32" i="1" s="1"/>
  <c r="U31" i="1"/>
  <c r="R31" i="1"/>
  <c r="N31" i="1"/>
  <c r="Q31" i="1"/>
  <c r="P31" i="1" s="1"/>
  <c r="M31" i="1"/>
  <c r="S31" i="1"/>
  <c r="T31" i="1" s="1"/>
  <c r="U29" i="1"/>
  <c r="R29" i="1"/>
  <c r="N29" i="1"/>
  <c r="M29" i="1"/>
  <c r="Q29" i="1"/>
  <c r="P29" i="1" s="1"/>
  <c r="S29" i="1"/>
  <c r="T29" i="1" s="1"/>
  <c r="V30" i="1"/>
  <c r="J27" i="1"/>
  <c r="G31" i="1"/>
  <c r="G29" i="1"/>
  <c r="G32" i="1"/>
  <c r="A33" i="1"/>
  <c r="I29" i="1" l="1"/>
  <c r="I30" i="1" s="1"/>
  <c r="I31" i="1" s="1"/>
  <c r="K29" i="1"/>
  <c r="K32" i="1"/>
  <c r="K31" i="1"/>
  <c r="V32" i="1"/>
  <c r="V29" i="1"/>
  <c r="V31" i="1"/>
  <c r="U33" i="1"/>
  <c r="R33" i="1"/>
  <c r="N33" i="1"/>
  <c r="M33" i="1"/>
  <c r="Q33" i="1"/>
  <c r="P33" i="1" s="1"/>
  <c r="S33" i="1"/>
  <c r="T33" i="1" s="1"/>
  <c r="J28" i="1"/>
  <c r="G33" i="1"/>
  <c r="A34" i="1"/>
  <c r="O29" i="1" l="1"/>
  <c r="O30" i="1"/>
  <c r="J30" i="1"/>
  <c r="I32" i="1"/>
  <c r="O32" i="1" s="1"/>
  <c r="O31" i="1"/>
  <c r="K33" i="1"/>
  <c r="V33" i="1"/>
  <c r="U34" i="1"/>
  <c r="R34" i="1"/>
  <c r="N34" i="1"/>
  <c r="M34" i="1"/>
  <c r="Q34" i="1"/>
  <c r="P34" i="1" s="1"/>
  <c r="S34" i="1"/>
  <c r="T34" i="1" s="1"/>
  <c r="J29" i="1"/>
  <c r="G34" i="1"/>
  <c r="A35" i="1"/>
  <c r="I33" i="1" l="1"/>
  <c r="O33" i="1" s="1"/>
  <c r="K34" i="1"/>
  <c r="V34" i="1"/>
  <c r="S35" i="1"/>
  <c r="T35" i="1" s="1"/>
  <c r="R35" i="1"/>
  <c r="U35" i="1"/>
  <c r="Q35" i="1"/>
  <c r="P35" i="1" s="1"/>
  <c r="N35" i="1"/>
  <c r="M35" i="1"/>
  <c r="G35" i="1"/>
  <c r="A36" i="1"/>
  <c r="I34" i="1" l="1"/>
  <c r="O34" i="1" s="1"/>
  <c r="K35" i="1"/>
  <c r="V35" i="1"/>
  <c r="S36" i="1"/>
  <c r="T36" i="1" s="1"/>
  <c r="U36" i="1"/>
  <c r="Q36" i="1"/>
  <c r="P36" i="1" s="1"/>
  <c r="R36" i="1"/>
  <c r="M36" i="1"/>
  <c r="N36" i="1"/>
  <c r="J31" i="1"/>
  <c r="G36" i="1"/>
  <c r="J36" i="1"/>
  <c r="A37" i="1"/>
  <c r="I35" i="1" l="1"/>
  <c r="O35" i="1" s="1"/>
  <c r="K36" i="1"/>
  <c r="V36" i="1"/>
  <c r="U37" i="1"/>
  <c r="Q37" i="1"/>
  <c r="P37" i="1" s="1"/>
  <c r="S37" i="1"/>
  <c r="T37" i="1" s="1"/>
  <c r="R37" i="1"/>
  <c r="N37" i="1"/>
  <c r="M37" i="1"/>
  <c r="J32" i="1"/>
  <c r="A38" i="1"/>
  <c r="G37" i="1"/>
  <c r="I36" i="1" l="1"/>
  <c r="O36" i="1" s="1"/>
  <c r="K37" i="1"/>
  <c r="J33" i="1"/>
  <c r="V37" i="1"/>
  <c r="R38" i="1"/>
  <c r="U38" i="1"/>
  <c r="Q38" i="1"/>
  <c r="P38" i="1" s="1"/>
  <c r="S38" i="1"/>
  <c r="T38" i="1" s="1"/>
  <c r="M38" i="1"/>
  <c r="N38" i="1"/>
  <c r="A39" i="1"/>
  <c r="G38" i="1"/>
  <c r="I37" i="1" l="1"/>
  <c r="O37" i="1" s="1"/>
  <c r="K38" i="1"/>
  <c r="V38" i="1"/>
  <c r="S39" i="1"/>
  <c r="T39" i="1" s="1"/>
  <c r="R39" i="1"/>
  <c r="Q39" i="1"/>
  <c r="P39" i="1" s="1"/>
  <c r="U39" i="1"/>
  <c r="N39" i="1"/>
  <c r="M39" i="1"/>
  <c r="J34" i="1"/>
  <c r="G39" i="1"/>
  <c r="A40" i="1"/>
  <c r="J37" i="1" l="1"/>
  <c r="I38" i="1"/>
  <c r="O38" i="1" s="1"/>
  <c r="K39" i="1"/>
  <c r="V39" i="1"/>
  <c r="R40" i="1"/>
  <c r="S40" i="1"/>
  <c r="T40" i="1" s="1"/>
  <c r="U40" i="1"/>
  <c r="Q40" i="1"/>
  <c r="P40" i="1" s="1"/>
  <c r="M40" i="1"/>
  <c r="N40" i="1"/>
  <c r="J35" i="1"/>
  <c r="G40" i="1"/>
  <c r="A41" i="1"/>
  <c r="I39" i="1" l="1"/>
  <c r="O39" i="1" s="1"/>
  <c r="K40" i="1"/>
  <c r="V40" i="1"/>
  <c r="U41" i="1"/>
  <c r="Q41" i="1"/>
  <c r="P41" i="1" s="1"/>
  <c r="S41" i="1"/>
  <c r="T41" i="1" s="1"/>
  <c r="R41" i="1"/>
  <c r="N41" i="1"/>
  <c r="M41" i="1"/>
  <c r="A42" i="1"/>
  <c r="G41" i="1"/>
  <c r="I40" i="1" l="1"/>
  <c r="O40" i="1" s="1"/>
  <c r="K41" i="1"/>
  <c r="R42" i="1"/>
  <c r="U42" i="1"/>
  <c r="Q42" i="1"/>
  <c r="P42" i="1" s="1"/>
  <c r="S42" i="1"/>
  <c r="T42" i="1" s="1"/>
  <c r="V41" i="1"/>
  <c r="M42" i="1"/>
  <c r="N42" i="1"/>
  <c r="J38" i="1"/>
  <c r="G42" i="1"/>
  <c r="A43" i="1"/>
  <c r="I41" i="1" l="1"/>
  <c r="O41" i="1" s="1"/>
  <c r="K42" i="1"/>
  <c r="V42" i="1"/>
  <c r="S43" i="1"/>
  <c r="T43" i="1" s="1"/>
  <c r="Q43" i="1"/>
  <c r="P43" i="1" s="1"/>
  <c r="R43" i="1"/>
  <c r="U43" i="1"/>
  <c r="N43" i="1"/>
  <c r="M43" i="1"/>
  <c r="J43" i="1"/>
  <c r="G43" i="1"/>
  <c r="A44" i="1"/>
  <c r="I42" i="1" l="1"/>
  <c r="O42" i="1" s="1"/>
  <c r="K43" i="1"/>
  <c r="V43" i="1"/>
  <c r="S44" i="1"/>
  <c r="T44" i="1" s="1"/>
  <c r="U44" i="1"/>
  <c r="Q44" i="1"/>
  <c r="P44" i="1" s="1"/>
  <c r="R44" i="1"/>
  <c r="M44" i="1"/>
  <c r="N44" i="1"/>
  <c r="J39" i="1"/>
  <c r="A45" i="1"/>
  <c r="G44" i="1"/>
  <c r="I43" i="1" l="1"/>
  <c r="O43" i="1" s="1"/>
  <c r="K44" i="1"/>
  <c r="J40" i="1"/>
  <c r="V44" i="1"/>
  <c r="U45" i="1"/>
  <c r="Q45" i="1"/>
  <c r="P45" i="1" s="1"/>
  <c r="S45" i="1"/>
  <c r="T45" i="1" s="1"/>
  <c r="R45" i="1"/>
  <c r="N45" i="1"/>
  <c r="M45" i="1"/>
  <c r="G45" i="1"/>
  <c r="A46" i="1"/>
  <c r="I44" i="1" l="1"/>
  <c r="K45" i="1"/>
  <c r="R46" i="1"/>
  <c r="U46" i="1"/>
  <c r="Q46" i="1"/>
  <c r="P46" i="1" s="1"/>
  <c r="S46" i="1"/>
  <c r="T46" i="1" s="1"/>
  <c r="V45" i="1"/>
  <c r="M46" i="1"/>
  <c r="N46" i="1"/>
  <c r="J41" i="1"/>
  <c r="A47" i="1"/>
  <c r="G46" i="1"/>
  <c r="O44" i="1" l="1"/>
  <c r="J44" i="1"/>
  <c r="I45" i="1"/>
  <c r="O45" i="1" s="1"/>
  <c r="K46" i="1"/>
  <c r="V46" i="1"/>
  <c r="S47" i="1"/>
  <c r="T47" i="1" s="1"/>
  <c r="U47" i="1"/>
  <c r="R47" i="1"/>
  <c r="Q47" i="1"/>
  <c r="P47" i="1" s="1"/>
  <c r="N47" i="1"/>
  <c r="M47" i="1"/>
  <c r="J42" i="1"/>
  <c r="A48" i="1"/>
  <c r="G47" i="1"/>
  <c r="I46" i="1" l="1"/>
  <c r="O46" i="1" s="1"/>
  <c r="K47" i="1"/>
  <c r="V47" i="1"/>
  <c r="S48" i="1"/>
  <c r="T48" i="1" s="1"/>
  <c r="U48" i="1"/>
  <c r="Q48" i="1"/>
  <c r="P48" i="1" s="1"/>
  <c r="R48" i="1"/>
  <c r="M48" i="1"/>
  <c r="N48" i="1"/>
  <c r="G48" i="1"/>
  <c r="A49" i="1"/>
  <c r="I47" i="1" l="1"/>
  <c r="O47" i="1" s="1"/>
  <c r="K48" i="1"/>
  <c r="V48" i="1"/>
  <c r="U49" i="1"/>
  <c r="Q49" i="1"/>
  <c r="P49" i="1" s="1"/>
  <c r="S49" i="1"/>
  <c r="T49" i="1" s="1"/>
  <c r="R49" i="1"/>
  <c r="N49" i="1"/>
  <c r="M49" i="1"/>
  <c r="A50" i="1"/>
  <c r="G49" i="1"/>
  <c r="I48" i="1" l="1"/>
  <c r="O48" i="1" s="1"/>
  <c r="K49" i="1"/>
  <c r="J45" i="1"/>
  <c r="A20" i="9"/>
  <c r="M20" i="9" s="1"/>
  <c r="P63" i="9"/>
  <c r="R50" i="1"/>
  <c r="A16" i="1" s="1"/>
  <c r="U50" i="1"/>
  <c r="Q50" i="1"/>
  <c r="P50" i="1" s="1"/>
  <c r="S50" i="1"/>
  <c r="T50" i="1" s="1"/>
  <c r="V49" i="1"/>
  <c r="M50" i="1"/>
  <c r="N50" i="1"/>
  <c r="J47" i="1"/>
  <c r="G50" i="1"/>
  <c r="J50" i="1"/>
  <c r="I49" i="1" l="1"/>
  <c r="O49" i="1" s="1"/>
  <c r="K50" i="1"/>
  <c r="J46" i="1"/>
  <c r="G20" i="9"/>
  <c r="N20" i="9"/>
  <c r="V50" i="1"/>
  <c r="V51" i="1" s="1"/>
  <c r="T77" i="9"/>
  <c r="Q77" i="9" s="1"/>
  <c r="T83" i="9"/>
  <c r="Q83" i="9" s="1"/>
  <c r="Q65" i="9"/>
  <c r="T89" i="9"/>
  <c r="Q89" i="9" s="1"/>
  <c r="Q90" i="9" s="1"/>
  <c r="Q91" i="9" s="1"/>
  <c r="Q92" i="9" s="1"/>
  <c r="Q67" i="9"/>
  <c r="T88" i="9"/>
  <c r="Q88" i="9" s="1"/>
  <c r="Q66" i="9"/>
  <c r="Q64" i="9"/>
  <c r="R80" i="9"/>
  <c r="Q68" i="9"/>
  <c r="A21" i="9"/>
  <c r="Q20" i="9"/>
  <c r="P20" i="9" s="1"/>
  <c r="R20" i="9"/>
  <c r="U20" i="9"/>
  <c r="N52" i="1"/>
  <c r="D53" i="1" s="1"/>
  <c r="N53" i="1"/>
  <c r="H21" i="1"/>
  <c r="H28" i="1"/>
  <c r="H35" i="1"/>
  <c r="H42" i="1"/>
  <c r="H49" i="1"/>
  <c r="H23" i="1"/>
  <c r="H30" i="1"/>
  <c r="H37" i="1"/>
  <c r="H44" i="1"/>
  <c r="H22" i="1"/>
  <c r="H29" i="1"/>
  <c r="H36" i="1"/>
  <c r="H43" i="1"/>
  <c r="H50" i="1"/>
  <c r="H25" i="1"/>
  <c r="H32" i="1"/>
  <c r="H39" i="1"/>
  <c r="H46" i="1"/>
  <c r="G52" i="1"/>
  <c r="H20" i="1"/>
  <c r="H27" i="1"/>
  <c r="H34" i="1"/>
  <c r="H41" i="1"/>
  <c r="H48" i="1"/>
  <c r="H24" i="1"/>
  <c r="H31" i="1"/>
  <c r="H38" i="1"/>
  <c r="H45" i="1"/>
  <c r="H33" i="1"/>
  <c r="H47" i="1"/>
  <c r="H40" i="1"/>
  <c r="H26" i="1"/>
  <c r="I50" i="1" l="1"/>
  <c r="O50" i="1" s="1"/>
  <c r="O55" i="1" s="1"/>
  <c r="I20" i="9"/>
  <c r="O20" i="9" s="1"/>
  <c r="J48" i="1"/>
  <c r="A22" i="9"/>
  <c r="Q21" i="9"/>
  <c r="P21" i="9" s="1"/>
  <c r="R21" i="9"/>
  <c r="U21" i="9"/>
  <c r="M21" i="9"/>
  <c r="N21" i="9"/>
  <c r="G21" i="9"/>
  <c r="Q70" i="9"/>
  <c r="Q69" i="9"/>
  <c r="Q71" i="9" s="1"/>
  <c r="Q72" i="9" s="1"/>
  <c r="J49" i="1"/>
  <c r="I21" i="9" l="1"/>
  <c r="O21" i="9" s="1"/>
  <c r="H56" i="1"/>
  <c r="K56" i="1" s="1"/>
  <c r="Q73" i="9"/>
  <c r="Q74" i="9" s="1"/>
  <c r="P80" i="9" s="1"/>
  <c r="S81" i="9" s="1"/>
  <c r="R22" i="9"/>
  <c r="Q22" i="9"/>
  <c r="P22" i="9" s="1"/>
  <c r="U22" i="9"/>
  <c r="M22" i="9"/>
  <c r="A23" i="9"/>
  <c r="N22" i="9"/>
  <c r="G22" i="9"/>
  <c r="I22" i="9" l="1"/>
  <c r="G56" i="1"/>
  <c r="E56" i="1"/>
  <c r="K52" i="1" s="1"/>
  <c r="J52" i="1"/>
  <c r="M16" i="9" s="1"/>
  <c r="D54" i="9" s="1"/>
  <c r="N55" i="9" s="1"/>
  <c r="L56" i="1"/>
  <c r="T81" i="9"/>
  <c r="S80" i="9" s="1"/>
  <c r="T80" i="9" s="1"/>
  <c r="Q80" i="9" s="1"/>
  <c r="R23" i="9"/>
  <c r="Q23" i="9"/>
  <c r="P23" i="9" s="1"/>
  <c r="U23" i="9"/>
  <c r="N23" i="9"/>
  <c r="A24" i="9"/>
  <c r="G23" i="9"/>
  <c r="M23" i="9"/>
  <c r="I23" i="9" l="1"/>
  <c r="I56" i="1"/>
  <c r="J56" i="1" s="1"/>
  <c r="H54" i="1" s="1"/>
  <c r="N16" i="9"/>
  <c r="J22" i="9" s="1"/>
  <c r="O22" i="9"/>
  <c r="K54" i="1"/>
  <c r="Q79" i="9"/>
  <c r="Q81" i="9"/>
  <c r="Q84" i="9"/>
  <c r="Q78" i="9"/>
  <c r="Q85" i="9"/>
  <c r="Q86" i="9" s="1"/>
  <c r="Q87" i="9"/>
  <c r="U24" i="9"/>
  <c r="R24" i="9"/>
  <c r="Q24" i="9"/>
  <c r="P24" i="9" s="1"/>
  <c r="N24" i="9"/>
  <c r="A25" i="9"/>
  <c r="M24" i="9"/>
  <c r="G24" i="9"/>
  <c r="J24" i="9"/>
  <c r="I24" i="9" l="1"/>
  <c r="O24" i="9" s="1"/>
  <c r="O23" i="9"/>
  <c r="J23" i="9"/>
  <c r="J21" i="9"/>
  <c r="J20" i="9"/>
  <c r="S24" i="9"/>
  <c r="T24" i="9" s="1"/>
  <c r="K24" i="9" s="1"/>
  <c r="U25" i="9"/>
  <c r="R25" i="9"/>
  <c r="Q25" i="9"/>
  <c r="P25" i="9" s="1"/>
  <c r="S25" i="9"/>
  <c r="T25" i="9" s="1"/>
  <c r="G25" i="9"/>
  <c r="M25" i="9"/>
  <c r="A26" i="9"/>
  <c r="N25" i="9"/>
  <c r="S20" i="9"/>
  <c r="S21" i="9"/>
  <c r="S22" i="9"/>
  <c r="S23" i="9"/>
  <c r="I25" i="9" l="1"/>
  <c r="K25" i="9"/>
  <c r="V24" i="9"/>
  <c r="T21" i="9"/>
  <c r="K21" i="9" s="1"/>
  <c r="T20" i="9"/>
  <c r="K20" i="9" s="1"/>
  <c r="T23" i="9"/>
  <c r="K23" i="9" s="1"/>
  <c r="T22" i="9"/>
  <c r="K22" i="9" s="1"/>
  <c r="J25" i="9"/>
  <c r="U26" i="9"/>
  <c r="Q26" i="9"/>
  <c r="P26" i="9" s="1"/>
  <c r="R26" i="9"/>
  <c r="S26" i="9"/>
  <c r="T26" i="9" s="1"/>
  <c r="G26" i="9"/>
  <c r="M26" i="9"/>
  <c r="A27" i="9"/>
  <c r="N26" i="9"/>
  <c r="J26" i="9"/>
  <c r="V25" i="9"/>
  <c r="I26" i="9" l="1"/>
  <c r="O26" i="9" s="1"/>
  <c r="K26" i="9"/>
  <c r="V21" i="9"/>
  <c r="V23" i="9"/>
  <c r="V22" i="9"/>
  <c r="V20" i="9"/>
  <c r="O25" i="9"/>
  <c r="U27" i="9"/>
  <c r="Q27" i="9"/>
  <c r="P27" i="9" s="1"/>
  <c r="R27" i="9"/>
  <c r="S27" i="9"/>
  <c r="T27" i="9" s="1"/>
  <c r="A30" i="9"/>
  <c r="M27" i="9"/>
  <c r="A28" i="9"/>
  <c r="G27" i="9"/>
  <c r="N27" i="9"/>
  <c r="V26" i="9"/>
  <c r="I27" i="9" l="1"/>
  <c r="O27" i="9" s="1"/>
  <c r="K27" i="9"/>
  <c r="V27" i="9"/>
  <c r="Q28" i="9"/>
  <c r="P28" i="9" s="1"/>
  <c r="R28" i="9"/>
  <c r="U28" i="9"/>
  <c r="S28" i="9"/>
  <c r="T28" i="9" s="1"/>
  <c r="A29" i="9"/>
  <c r="M28" i="9"/>
  <c r="N28" i="9"/>
  <c r="G28" i="9"/>
  <c r="A31" i="9"/>
  <c r="R30" i="9"/>
  <c r="Q30" i="9"/>
  <c r="P30" i="9" s="1"/>
  <c r="U30" i="9"/>
  <c r="S30" i="9"/>
  <c r="T30" i="9" s="1"/>
  <c r="M30" i="9"/>
  <c r="A32" i="9"/>
  <c r="N30" i="9"/>
  <c r="G30" i="9"/>
  <c r="I28" i="9" l="1"/>
  <c r="K30" i="9"/>
  <c r="K28" i="9"/>
  <c r="J27" i="9"/>
  <c r="J28" i="9"/>
  <c r="V30" i="9"/>
  <c r="U32" i="9"/>
  <c r="R32" i="9"/>
  <c r="Q32" i="9"/>
  <c r="P32" i="9" s="1"/>
  <c r="S32" i="9"/>
  <c r="T32" i="9" s="1"/>
  <c r="M32" i="9"/>
  <c r="A33" i="9"/>
  <c r="N32" i="9"/>
  <c r="G32" i="9"/>
  <c r="R31" i="9"/>
  <c r="Q31" i="9"/>
  <c r="P31" i="9" s="1"/>
  <c r="U31" i="9"/>
  <c r="S31" i="9"/>
  <c r="T31" i="9" s="1"/>
  <c r="M31" i="9"/>
  <c r="N31" i="9"/>
  <c r="J31" i="9"/>
  <c r="G31" i="9"/>
  <c r="Q29" i="9"/>
  <c r="P29" i="9" s="1"/>
  <c r="R29" i="9"/>
  <c r="U29" i="9"/>
  <c r="S29" i="9"/>
  <c r="T29" i="9" s="1"/>
  <c r="N29" i="9"/>
  <c r="M29" i="9"/>
  <c r="G29" i="9"/>
  <c r="V28" i="9"/>
  <c r="I29" i="9" l="1"/>
  <c r="I30" i="9" s="1"/>
  <c r="I31" i="9" s="1"/>
  <c r="I32" i="9" s="1"/>
  <c r="K29" i="9"/>
  <c r="K31" i="9"/>
  <c r="K32" i="9"/>
  <c r="O28" i="9"/>
  <c r="V31" i="9"/>
  <c r="V32" i="9"/>
  <c r="U33" i="9"/>
  <c r="R33" i="9"/>
  <c r="Q33" i="9"/>
  <c r="P33" i="9" s="1"/>
  <c r="S33" i="9"/>
  <c r="T33" i="9" s="1"/>
  <c r="M33" i="9"/>
  <c r="G33" i="9"/>
  <c r="J33" i="9"/>
  <c r="N33" i="9"/>
  <c r="A34" i="9"/>
  <c r="V29" i="9"/>
  <c r="J29" i="9" l="1"/>
  <c r="I33" i="9"/>
  <c r="K33" i="9"/>
  <c r="O29" i="9"/>
  <c r="V33" i="9"/>
  <c r="U34" i="9"/>
  <c r="Q34" i="9"/>
  <c r="P34" i="9" s="1"/>
  <c r="R34" i="9"/>
  <c r="S34" i="9"/>
  <c r="T34" i="9" s="1"/>
  <c r="M34" i="9"/>
  <c r="G34" i="9"/>
  <c r="A35" i="9"/>
  <c r="N34" i="9"/>
  <c r="I34" i="9" l="1"/>
  <c r="K34" i="9"/>
  <c r="O30" i="9"/>
  <c r="J30" i="9"/>
  <c r="O31" i="9"/>
  <c r="V34" i="9"/>
  <c r="S35" i="9"/>
  <c r="T35" i="9" s="1"/>
  <c r="M35" i="9"/>
  <c r="U35" i="9"/>
  <c r="A36" i="9"/>
  <c r="R35" i="9"/>
  <c r="G35" i="9"/>
  <c r="Q35" i="9"/>
  <c r="P35" i="9" s="1"/>
  <c r="N35" i="9"/>
  <c r="I35" i="9" l="1"/>
  <c r="K35" i="9"/>
  <c r="J32" i="9"/>
  <c r="R36" i="9"/>
  <c r="G36" i="9"/>
  <c r="U36" i="9"/>
  <c r="N36" i="9"/>
  <c r="S36" i="9"/>
  <c r="T36" i="9" s="1"/>
  <c r="M36" i="9"/>
  <c r="Q36" i="9"/>
  <c r="P36" i="9" s="1"/>
  <c r="A37" i="9"/>
  <c r="V35" i="9"/>
  <c r="I36" i="9" l="1"/>
  <c r="K36" i="9"/>
  <c r="O32" i="9"/>
  <c r="O33" i="9"/>
  <c r="V36" i="9"/>
  <c r="S37" i="9"/>
  <c r="T37" i="9" s="1"/>
  <c r="N37" i="9"/>
  <c r="G37" i="9"/>
  <c r="R37" i="9"/>
  <c r="Q37" i="9"/>
  <c r="P37" i="9" s="1"/>
  <c r="A38" i="9"/>
  <c r="U37" i="9"/>
  <c r="M37" i="9"/>
  <c r="I37" i="9" l="1"/>
  <c r="K37" i="9"/>
  <c r="V37" i="9"/>
  <c r="J35" i="9"/>
  <c r="Q38" i="9"/>
  <c r="P38" i="9" s="1"/>
  <c r="G38" i="9"/>
  <c r="A39" i="9"/>
  <c r="S38" i="9"/>
  <c r="T38" i="9" s="1"/>
  <c r="R38" i="9"/>
  <c r="N38" i="9"/>
  <c r="U38" i="9"/>
  <c r="M38" i="9"/>
  <c r="J38" i="9"/>
  <c r="I38" i="9" l="1"/>
  <c r="K38" i="9"/>
  <c r="V38" i="9"/>
  <c r="J34" i="9"/>
  <c r="O34" i="9"/>
  <c r="R39" i="9"/>
  <c r="G39" i="9"/>
  <c r="U39" i="9"/>
  <c r="S39" i="9"/>
  <c r="T39" i="9" s="1"/>
  <c r="N39" i="9"/>
  <c r="A40" i="9"/>
  <c r="Q39" i="9"/>
  <c r="P39" i="9" s="1"/>
  <c r="M39" i="9"/>
  <c r="O35" i="9"/>
  <c r="J36" i="9"/>
  <c r="I39" i="9" l="1"/>
  <c r="K39" i="9"/>
  <c r="V39" i="9"/>
  <c r="Q40" i="9"/>
  <c r="P40" i="9" s="1"/>
  <c r="J40" i="9"/>
  <c r="S40" i="9"/>
  <c r="T40" i="9" s="1"/>
  <c r="M40" i="9"/>
  <c r="R40" i="9"/>
  <c r="N40" i="9"/>
  <c r="U40" i="9"/>
  <c r="G40" i="9"/>
  <c r="A41" i="9"/>
  <c r="O36" i="9"/>
  <c r="J37" i="9"/>
  <c r="I40" i="9" l="1"/>
  <c r="K40" i="9"/>
  <c r="V40" i="9"/>
  <c r="Q41" i="9"/>
  <c r="P41" i="9" s="1"/>
  <c r="N41" i="9"/>
  <c r="G41" i="9"/>
  <c r="S41" i="9"/>
  <c r="T41" i="9" s="1"/>
  <c r="R41" i="9"/>
  <c r="A42" i="9"/>
  <c r="U41" i="9"/>
  <c r="M41" i="9"/>
  <c r="O37" i="9"/>
  <c r="I41" i="9" l="1"/>
  <c r="K41" i="9"/>
  <c r="V41" i="9"/>
  <c r="R42" i="9"/>
  <c r="A43" i="9"/>
  <c r="U42" i="9"/>
  <c r="N42" i="9"/>
  <c r="S42" i="9"/>
  <c r="T42" i="9" s="1"/>
  <c r="G42" i="9"/>
  <c r="Q42" i="9"/>
  <c r="P42" i="9" s="1"/>
  <c r="M42" i="9"/>
  <c r="O38" i="9"/>
  <c r="J39" i="9"/>
  <c r="I42" i="9" l="1"/>
  <c r="K42" i="9"/>
  <c r="V42" i="9"/>
  <c r="U43" i="9"/>
  <c r="Q43" i="9"/>
  <c r="P43" i="9" s="1"/>
  <c r="G43" i="9"/>
  <c r="S43" i="9"/>
  <c r="T43" i="9" s="1"/>
  <c r="M43" i="9"/>
  <c r="R43" i="9"/>
  <c r="N43" i="9"/>
  <c r="A44" i="9"/>
  <c r="O39" i="9"/>
  <c r="I43" i="9" l="1"/>
  <c r="K43" i="9"/>
  <c r="Q44" i="9"/>
  <c r="P44" i="9" s="1"/>
  <c r="N44" i="9"/>
  <c r="G44" i="9"/>
  <c r="R44" i="9"/>
  <c r="S44" i="9"/>
  <c r="T44" i="9" s="1"/>
  <c r="M44" i="9"/>
  <c r="A45" i="9"/>
  <c r="U44" i="9"/>
  <c r="V43" i="9"/>
  <c r="O40" i="9"/>
  <c r="I44" i="9" l="1"/>
  <c r="K44" i="9"/>
  <c r="V44" i="9"/>
  <c r="U45" i="9"/>
  <c r="Q45" i="9"/>
  <c r="P45" i="9" s="1"/>
  <c r="N45" i="9"/>
  <c r="A46" i="9"/>
  <c r="S45" i="9"/>
  <c r="T45" i="9" s="1"/>
  <c r="M45" i="9"/>
  <c r="J45" i="9"/>
  <c r="R45" i="9"/>
  <c r="G45" i="9"/>
  <c r="I45" i="9" s="1"/>
  <c r="O41" i="9"/>
  <c r="J41" i="9"/>
  <c r="J42" i="9"/>
  <c r="K45" i="9" l="1"/>
  <c r="V45" i="9"/>
  <c r="N46" i="9"/>
  <c r="G46" i="9"/>
  <c r="S46" i="9"/>
  <c r="T46" i="9" s="1"/>
  <c r="R46" i="9"/>
  <c r="A47" i="9"/>
  <c r="U46" i="9"/>
  <c r="M46" i="9"/>
  <c r="Q46" i="9"/>
  <c r="P46" i="9" s="1"/>
  <c r="O42" i="9"/>
  <c r="J43" i="9"/>
  <c r="I46" i="9" l="1"/>
  <c r="K46" i="9"/>
  <c r="V46" i="9"/>
  <c r="U47" i="9"/>
  <c r="J47" i="9"/>
  <c r="Q47" i="9"/>
  <c r="P47" i="9" s="1"/>
  <c r="A48" i="9"/>
  <c r="S47" i="9"/>
  <c r="T47" i="9" s="1"/>
  <c r="N47" i="9"/>
  <c r="R47" i="9"/>
  <c r="G47" i="9"/>
  <c r="M47" i="9"/>
  <c r="O43" i="9"/>
  <c r="J44" i="9"/>
  <c r="I47" i="9" l="1"/>
  <c r="K47" i="9"/>
  <c r="R48" i="9"/>
  <c r="A49" i="9"/>
  <c r="U48" i="9"/>
  <c r="G48" i="9"/>
  <c r="S48" i="9"/>
  <c r="T48" i="9" s="1"/>
  <c r="N48" i="9"/>
  <c r="M48" i="9"/>
  <c r="Q48" i="9"/>
  <c r="P48" i="9" s="1"/>
  <c r="V47" i="9"/>
  <c r="O44" i="9"/>
  <c r="I48" i="9" l="1"/>
  <c r="K48" i="9"/>
  <c r="V48" i="9"/>
  <c r="U49" i="9"/>
  <c r="G49" i="9"/>
  <c r="Q49" i="9"/>
  <c r="P49" i="9" s="1"/>
  <c r="A50" i="9"/>
  <c r="S49" i="9"/>
  <c r="T49" i="9" s="1"/>
  <c r="M49" i="9"/>
  <c r="R49" i="9"/>
  <c r="N49" i="9"/>
  <c r="O45" i="9"/>
  <c r="J46" i="9"/>
  <c r="I49" i="9" l="1"/>
  <c r="K49" i="9"/>
  <c r="P63" i="10"/>
  <c r="A20" i="10"/>
  <c r="A21" i="10" s="1"/>
  <c r="U50" i="9"/>
  <c r="Q50" i="9"/>
  <c r="P50" i="9" s="1"/>
  <c r="S50" i="9"/>
  <c r="T50" i="9" s="1"/>
  <c r="G50" i="9"/>
  <c r="R50" i="9"/>
  <c r="A16" i="9" s="1"/>
  <c r="M50" i="9"/>
  <c r="N50" i="9"/>
  <c r="N53" i="9" s="1"/>
  <c r="V49" i="9"/>
  <c r="O46" i="9"/>
  <c r="I50" i="9" l="1"/>
  <c r="K50" i="9"/>
  <c r="H26" i="9"/>
  <c r="H33" i="9"/>
  <c r="H40" i="9"/>
  <c r="H47" i="9"/>
  <c r="H24" i="9"/>
  <c r="H31" i="9"/>
  <c r="H38" i="9"/>
  <c r="H45" i="9"/>
  <c r="H32" i="9"/>
  <c r="H23" i="9"/>
  <c r="H30" i="9"/>
  <c r="H37" i="9"/>
  <c r="H44" i="9"/>
  <c r="H25" i="9"/>
  <c r="G52" i="9"/>
  <c r="H48" i="9"/>
  <c r="H34" i="9"/>
  <c r="H20" i="9"/>
  <c r="H41" i="9"/>
  <c r="H27" i="9"/>
  <c r="H46" i="9"/>
  <c r="H50" i="9"/>
  <c r="H39" i="9"/>
  <c r="H22" i="9"/>
  <c r="H29" i="9"/>
  <c r="H36" i="9"/>
  <c r="H43" i="9"/>
  <c r="V50" i="9"/>
  <c r="V51" i="9" s="1"/>
  <c r="H28" i="9"/>
  <c r="H21" i="9"/>
  <c r="H35" i="9"/>
  <c r="H49" i="9"/>
  <c r="H42" i="9"/>
  <c r="R21" i="10"/>
  <c r="Q21" i="10"/>
  <c r="P21" i="10" s="1"/>
  <c r="U21" i="10"/>
  <c r="J21" i="10"/>
  <c r="M21" i="10"/>
  <c r="G21" i="10"/>
  <c r="N21" i="10"/>
  <c r="A22" i="10"/>
  <c r="R20" i="10"/>
  <c r="Q20" i="10"/>
  <c r="P20" i="10" s="1"/>
  <c r="U20" i="10"/>
  <c r="N20" i="10"/>
  <c r="M20" i="10"/>
  <c r="G20" i="10"/>
  <c r="N52" i="9"/>
  <c r="D53" i="9" s="1"/>
  <c r="T83" i="10"/>
  <c r="Q83" i="10" s="1"/>
  <c r="T77" i="10"/>
  <c r="Q77" i="10" s="1"/>
  <c r="T89" i="10"/>
  <c r="Q89" i="10" s="1"/>
  <c r="Q90" i="10" s="1"/>
  <c r="Q91" i="10" s="1"/>
  <c r="Q92" i="10" s="1"/>
  <c r="Q65" i="10"/>
  <c r="Q66" i="10"/>
  <c r="Q64" i="10"/>
  <c r="R80" i="10"/>
  <c r="Q68" i="10"/>
  <c r="Q67" i="10"/>
  <c r="T88" i="10"/>
  <c r="Q88" i="10" s="1"/>
  <c r="O47" i="9"/>
  <c r="I20" i="10" l="1"/>
  <c r="I21" i="10" s="1"/>
  <c r="O21" i="10" s="1"/>
  <c r="U22" i="10"/>
  <c r="R22" i="10"/>
  <c r="Q22" i="10"/>
  <c r="P22" i="10" s="1"/>
  <c r="M22" i="10"/>
  <c r="A23" i="10"/>
  <c r="G22" i="10"/>
  <c r="N22" i="10"/>
  <c r="Q69" i="10"/>
  <c r="Q71" i="10" s="1"/>
  <c r="Q72" i="10" s="1"/>
  <c r="Q70" i="10"/>
  <c r="O48" i="9"/>
  <c r="J48" i="9"/>
  <c r="J49" i="9"/>
  <c r="O20" i="10" l="1"/>
  <c r="I22" i="10"/>
  <c r="O22" i="10" s="1"/>
  <c r="Q73" i="10"/>
  <c r="Q74" i="10" s="1"/>
  <c r="P80" i="10" s="1"/>
  <c r="S81" i="10" s="1"/>
  <c r="U23" i="10"/>
  <c r="R23" i="10"/>
  <c r="Q23" i="10"/>
  <c r="P23" i="10" s="1"/>
  <c r="N23" i="10"/>
  <c r="G23" i="10"/>
  <c r="A24" i="10"/>
  <c r="M23" i="10"/>
  <c r="J23" i="10"/>
  <c r="O49" i="9"/>
  <c r="I23" i="10" l="1"/>
  <c r="O23" i="10" s="1"/>
  <c r="O50" i="9"/>
  <c r="O55" i="9" s="1"/>
  <c r="J50" i="9"/>
  <c r="T81" i="10"/>
  <c r="S80" i="10" s="1"/>
  <c r="T80" i="10" s="1"/>
  <c r="Q80" i="10" s="1"/>
  <c r="U24" i="10"/>
  <c r="Q24" i="10"/>
  <c r="P24" i="10" s="1"/>
  <c r="R24" i="10"/>
  <c r="N24" i="10"/>
  <c r="A25" i="10"/>
  <c r="G24" i="10"/>
  <c r="M24" i="10"/>
  <c r="J24" i="10"/>
  <c r="H56" i="9" l="1"/>
  <c r="I24" i="10"/>
  <c r="O24" i="10" s="1"/>
  <c r="E56" i="9"/>
  <c r="K52" i="9" s="1"/>
  <c r="J52" i="9"/>
  <c r="M16" i="10" s="1"/>
  <c r="D54" i="10" s="1"/>
  <c r="N55" i="10" s="1"/>
  <c r="N16" i="10" s="1"/>
  <c r="J22" i="10" s="1"/>
  <c r="K56" i="9"/>
  <c r="L56" i="9" s="1"/>
  <c r="G56" i="9"/>
  <c r="Q78" i="10"/>
  <c r="Q81" i="10"/>
  <c r="Q85" i="10"/>
  <c r="Q86" i="10" s="1"/>
  <c r="Q87" i="10"/>
  <c r="Q84" i="10"/>
  <c r="Q79" i="10"/>
  <c r="U25" i="10"/>
  <c r="Q25" i="10"/>
  <c r="P25" i="10" s="1"/>
  <c r="R25" i="10"/>
  <c r="N25" i="10"/>
  <c r="M25" i="10"/>
  <c r="A26" i="10"/>
  <c r="G25" i="10"/>
  <c r="I25" i="10" l="1"/>
  <c r="O25" i="10" s="1"/>
  <c r="K54" i="9"/>
  <c r="I56" i="9"/>
  <c r="J56" i="9" s="1"/>
  <c r="H54" i="9" s="1"/>
  <c r="S25" i="10"/>
  <c r="T25" i="10" s="1"/>
  <c r="K25" i="10" s="1"/>
  <c r="Q26" i="10"/>
  <c r="P26" i="10" s="1"/>
  <c r="R26" i="10"/>
  <c r="U26" i="10"/>
  <c r="S26" i="10"/>
  <c r="T26" i="10" s="1"/>
  <c r="N26" i="10"/>
  <c r="A27" i="10"/>
  <c r="G26" i="10"/>
  <c r="M26" i="10"/>
  <c r="S21" i="10"/>
  <c r="S22" i="10"/>
  <c r="S20" i="10"/>
  <c r="S23" i="10"/>
  <c r="S24" i="10"/>
  <c r="J20" i="10"/>
  <c r="I26" i="10" l="1"/>
  <c r="O26" i="10" s="1"/>
  <c r="K26" i="10"/>
  <c r="V25" i="10"/>
  <c r="T23" i="10"/>
  <c r="K23" i="10" s="1"/>
  <c r="T22" i="10"/>
  <c r="K22" i="10" s="1"/>
  <c r="T20" i="10"/>
  <c r="K20" i="10" s="1"/>
  <c r="T24" i="10"/>
  <c r="K24" i="10" s="1"/>
  <c r="T21" i="10"/>
  <c r="K21" i="10" s="1"/>
  <c r="Q27" i="10"/>
  <c r="P27" i="10" s="1"/>
  <c r="R27" i="10"/>
  <c r="U27" i="10"/>
  <c r="S27" i="10"/>
  <c r="T27" i="10" s="1"/>
  <c r="G27" i="10"/>
  <c r="A30" i="10"/>
  <c r="M27" i="10"/>
  <c r="A28" i="10"/>
  <c r="N27" i="10"/>
  <c r="V26" i="10"/>
  <c r="I27" i="10" l="1"/>
  <c r="O27" i="10" s="1"/>
  <c r="K27" i="10"/>
  <c r="V20" i="10"/>
  <c r="V21" i="10"/>
  <c r="V23" i="10"/>
  <c r="V24" i="10"/>
  <c r="V22" i="10"/>
  <c r="J25" i="10"/>
  <c r="R28" i="10"/>
  <c r="Q28" i="10"/>
  <c r="P28" i="10" s="1"/>
  <c r="U28" i="10"/>
  <c r="S28" i="10"/>
  <c r="T28" i="10" s="1"/>
  <c r="A31" i="10"/>
  <c r="M28" i="10"/>
  <c r="A29" i="10"/>
  <c r="J28" i="10"/>
  <c r="N28" i="10"/>
  <c r="G28" i="10"/>
  <c r="V27" i="10"/>
  <c r="U30" i="10"/>
  <c r="R30" i="10"/>
  <c r="Q30" i="10"/>
  <c r="P30" i="10" s="1"/>
  <c r="S30" i="10"/>
  <c r="T30" i="10" s="1"/>
  <c r="M30" i="10"/>
  <c r="N30" i="10"/>
  <c r="J30" i="10"/>
  <c r="A32" i="10"/>
  <c r="G30" i="10"/>
  <c r="I28" i="10" l="1"/>
  <c r="O28" i="10" s="1"/>
  <c r="K28" i="10"/>
  <c r="K30" i="10"/>
  <c r="J26" i="10"/>
  <c r="V30" i="10"/>
  <c r="R29" i="10"/>
  <c r="Q29" i="10"/>
  <c r="P29" i="10" s="1"/>
  <c r="U29" i="10"/>
  <c r="S29" i="10"/>
  <c r="T29" i="10" s="1"/>
  <c r="M29" i="10"/>
  <c r="G29" i="10"/>
  <c r="N29" i="10"/>
  <c r="V28" i="10"/>
  <c r="U31" i="10"/>
  <c r="R31" i="10"/>
  <c r="Q31" i="10"/>
  <c r="P31" i="10" s="1"/>
  <c r="S31" i="10"/>
  <c r="T31" i="10" s="1"/>
  <c r="G31" i="10"/>
  <c r="M31" i="10"/>
  <c r="N31" i="10"/>
  <c r="J31" i="10"/>
  <c r="U32" i="10"/>
  <c r="Q32" i="10"/>
  <c r="P32" i="10" s="1"/>
  <c r="R32" i="10"/>
  <c r="S32" i="10"/>
  <c r="T32" i="10" s="1"/>
  <c r="M32" i="10"/>
  <c r="A33" i="10"/>
  <c r="N32" i="10"/>
  <c r="G32" i="10"/>
  <c r="I29" i="10" l="1"/>
  <c r="J27" i="10"/>
  <c r="K31" i="10"/>
  <c r="K29" i="10"/>
  <c r="K32" i="10"/>
  <c r="V32" i="10"/>
  <c r="V31" i="10"/>
  <c r="U33" i="10"/>
  <c r="Q33" i="10"/>
  <c r="P33" i="10" s="1"/>
  <c r="R33" i="10"/>
  <c r="S33" i="10"/>
  <c r="T33" i="10" s="1"/>
  <c r="G33" i="10"/>
  <c r="M33" i="10"/>
  <c r="A34" i="10"/>
  <c r="N33" i="10"/>
  <c r="V29" i="10"/>
  <c r="I30" i="10" l="1"/>
  <c r="O29" i="10"/>
  <c r="K33" i="10"/>
  <c r="V33" i="10"/>
  <c r="Q34" i="10"/>
  <c r="P34" i="10" s="1"/>
  <c r="R34" i="10"/>
  <c r="U34" i="10"/>
  <c r="S34" i="10"/>
  <c r="T34" i="10" s="1"/>
  <c r="A35" i="10"/>
  <c r="M34" i="10"/>
  <c r="G34" i="10"/>
  <c r="N34" i="10"/>
  <c r="I31" i="10" l="1"/>
  <c r="O30" i="10"/>
  <c r="K34" i="10"/>
  <c r="J29" i="10"/>
  <c r="V34" i="10"/>
  <c r="S35" i="10"/>
  <c r="T35" i="10" s="1"/>
  <c r="G35" i="10"/>
  <c r="R35" i="10"/>
  <c r="N35" i="10"/>
  <c r="J35" i="10"/>
  <c r="U35" i="10"/>
  <c r="M35" i="10"/>
  <c r="Q35" i="10"/>
  <c r="P35" i="10" s="1"/>
  <c r="A36" i="10"/>
  <c r="I32" i="10" l="1"/>
  <c r="O31" i="10"/>
  <c r="K35" i="10"/>
  <c r="V35" i="10"/>
  <c r="R36" i="10"/>
  <c r="N36" i="10"/>
  <c r="Q36" i="10"/>
  <c r="P36" i="10" s="1"/>
  <c r="G36" i="10"/>
  <c r="U36" i="10"/>
  <c r="M36" i="10"/>
  <c r="S36" i="10"/>
  <c r="T36" i="10" s="1"/>
  <c r="A37" i="10"/>
  <c r="O32" i="10" l="1"/>
  <c r="I33" i="10"/>
  <c r="K36" i="10"/>
  <c r="V36" i="10"/>
  <c r="R37" i="10"/>
  <c r="N37" i="10"/>
  <c r="A38" i="10"/>
  <c r="Q37" i="10"/>
  <c r="P37" i="10" s="1"/>
  <c r="J37" i="10"/>
  <c r="S37" i="10"/>
  <c r="T37" i="10" s="1"/>
  <c r="G37" i="10"/>
  <c r="U37" i="10"/>
  <c r="M37" i="10"/>
  <c r="J32" i="10"/>
  <c r="O33" i="10" l="1"/>
  <c r="I34" i="10"/>
  <c r="K37" i="10"/>
  <c r="J33" i="10"/>
  <c r="V37" i="10"/>
  <c r="M38" i="10"/>
  <c r="S38" i="10"/>
  <c r="T38" i="10" s="1"/>
  <c r="R38" i="10"/>
  <c r="G38" i="10"/>
  <c r="U38" i="10"/>
  <c r="N38" i="10"/>
  <c r="J38" i="10"/>
  <c r="Q38" i="10"/>
  <c r="P38" i="10" s="1"/>
  <c r="A39" i="10"/>
  <c r="O34" i="10" l="1"/>
  <c r="I35" i="10"/>
  <c r="K38" i="10"/>
  <c r="V38" i="10"/>
  <c r="U39" i="10"/>
  <c r="A40" i="10"/>
  <c r="Q39" i="10"/>
  <c r="P39" i="10" s="1"/>
  <c r="M39" i="10"/>
  <c r="S39" i="10"/>
  <c r="T39" i="10" s="1"/>
  <c r="R39" i="10"/>
  <c r="G39" i="10"/>
  <c r="N39" i="10"/>
  <c r="O35" i="10" l="1"/>
  <c r="I36" i="10"/>
  <c r="K39" i="10"/>
  <c r="J34" i="10"/>
  <c r="V39" i="10"/>
  <c r="J36" i="10"/>
  <c r="Q40" i="10"/>
  <c r="P40" i="10" s="1"/>
  <c r="N40" i="10"/>
  <c r="R40" i="10"/>
  <c r="G40" i="10"/>
  <c r="S40" i="10"/>
  <c r="T40" i="10" s="1"/>
  <c r="U40" i="10"/>
  <c r="M40" i="10"/>
  <c r="A41" i="10"/>
  <c r="O36" i="10" l="1"/>
  <c r="I37" i="10"/>
  <c r="K40" i="10"/>
  <c r="V40" i="10"/>
  <c r="Q41" i="10"/>
  <c r="P41" i="10" s="1"/>
  <c r="M41" i="10"/>
  <c r="S41" i="10"/>
  <c r="T41" i="10" s="1"/>
  <c r="G41" i="10"/>
  <c r="R41" i="10"/>
  <c r="U41" i="10"/>
  <c r="N41" i="10"/>
  <c r="A42" i="10"/>
  <c r="O37" i="10" l="1"/>
  <c r="I38" i="10"/>
  <c r="K41" i="10"/>
  <c r="V41" i="10"/>
  <c r="Q42" i="10"/>
  <c r="P42" i="10" s="1"/>
  <c r="J42" i="10"/>
  <c r="R42" i="10"/>
  <c r="N42" i="10"/>
  <c r="S42" i="10"/>
  <c r="T42" i="10" s="1"/>
  <c r="M42" i="10"/>
  <c r="A43" i="10"/>
  <c r="U42" i="10"/>
  <c r="G42" i="10"/>
  <c r="O38" i="10" l="1"/>
  <c r="I39" i="10"/>
  <c r="K42" i="10"/>
  <c r="V42" i="10"/>
  <c r="R43" i="10"/>
  <c r="G43" i="10"/>
  <c r="Q43" i="10"/>
  <c r="P43" i="10" s="1"/>
  <c r="N43" i="10"/>
  <c r="A44" i="10"/>
  <c r="U43" i="10"/>
  <c r="S43" i="10"/>
  <c r="T43" i="10" s="1"/>
  <c r="M43" i="10"/>
  <c r="O39" i="10" l="1"/>
  <c r="I40" i="10"/>
  <c r="K43" i="10"/>
  <c r="V43" i="10"/>
  <c r="R44" i="10"/>
  <c r="N44" i="10"/>
  <c r="Q44" i="10"/>
  <c r="P44" i="10" s="1"/>
  <c r="J44" i="10"/>
  <c r="S44" i="10"/>
  <c r="T44" i="10" s="1"/>
  <c r="M44" i="10"/>
  <c r="A45" i="10"/>
  <c r="U44" i="10"/>
  <c r="G44" i="10"/>
  <c r="J39" i="10"/>
  <c r="J40" i="10"/>
  <c r="O40" i="10" l="1"/>
  <c r="I41" i="10"/>
  <c r="K44" i="10"/>
  <c r="V44" i="10"/>
  <c r="U45" i="10"/>
  <c r="G45" i="10"/>
  <c r="Q45" i="10"/>
  <c r="P45" i="10" s="1"/>
  <c r="N45" i="10"/>
  <c r="J45" i="10"/>
  <c r="R45" i="10"/>
  <c r="S45" i="10"/>
  <c r="T45" i="10" s="1"/>
  <c r="M45" i="10"/>
  <c r="A46" i="10"/>
  <c r="O41" i="10" l="1"/>
  <c r="I42" i="10"/>
  <c r="K45" i="10"/>
  <c r="V45" i="10"/>
  <c r="R46" i="10"/>
  <c r="M46" i="10"/>
  <c r="U46" i="10"/>
  <c r="N46" i="10"/>
  <c r="Q46" i="10"/>
  <c r="P46" i="10" s="1"/>
  <c r="G46" i="10"/>
  <c r="S46" i="10"/>
  <c r="T46" i="10" s="1"/>
  <c r="A47" i="10"/>
  <c r="J41" i="10"/>
  <c r="O42" i="10" l="1"/>
  <c r="I43" i="10"/>
  <c r="K46" i="10"/>
  <c r="V46" i="10"/>
  <c r="A48" i="10"/>
  <c r="S47" i="10"/>
  <c r="T47" i="10" s="1"/>
  <c r="R47" i="10"/>
  <c r="G47" i="10"/>
  <c r="U47" i="10"/>
  <c r="N47" i="10"/>
  <c r="Q47" i="10"/>
  <c r="P47" i="10" s="1"/>
  <c r="M47" i="10"/>
  <c r="J43" i="10"/>
  <c r="O43" i="10" l="1"/>
  <c r="I44" i="10"/>
  <c r="K47" i="10"/>
  <c r="V47" i="10"/>
  <c r="R48" i="10"/>
  <c r="Q48" i="10"/>
  <c r="P48" i="10" s="1"/>
  <c r="M48" i="10"/>
  <c r="U48" i="10"/>
  <c r="N48" i="10"/>
  <c r="S48" i="10"/>
  <c r="T48" i="10" s="1"/>
  <c r="G48" i="10"/>
  <c r="A49" i="10"/>
  <c r="O44" i="10" l="1"/>
  <c r="I45" i="10"/>
  <c r="K48" i="10"/>
  <c r="U49" i="10"/>
  <c r="M49" i="10"/>
  <c r="Q49" i="10"/>
  <c r="P49" i="10" s="1"/>
  <c r="J49" i="10"/>
  <c r="S49" i="10"/>
  <c r="T49" i="10" s="1"/>
  <c r="N49" i="10"/>
  <c r="G49" i="10"/>
  <c r="R49" i="10"/>
  <c r="A50" i="10"/>
  <c r="V48" i="10"/>
  <c r="O45" i="10" l="1"/>
  <c r="I46" i="10"/>
  <c r="K49" i="10"/>
  <c r="P63" i="11"/>
  <c r="A20" i="11"/>
  <c r="V49" i="10"/>
  <c r="Q50" i="10"/>
  <c r="P50" i="10" s="1"/>
  <c r="M50" i="10"/>
  <c r="H50" i="10"/>
  <c r="S50" i="10"/>
  <c r="T50" i="10" s="1"/>
  <c r="N50" i="10"/>
  <c r="N52" i="10" s="1"/>
  <c r="D53" i="10" s="1"/>
  <c r="J50" i="10"/>
  <c r="R50" i="10"/>
  <c r="A16" i="10" s="1"/>
  <c r="G50" i="10"/>
  <c r="U50" i="10"/>
  <c r="O46" i="10" l="1"/>
  <c r="I47" i="10"/>
  <c r="K50" i="10"/>
  <c r="H21" i="10"/>
  <c r="H28" i="10"/>
  <c r="H35" i="10"/>
  <c r="H42" i="10"/>
  <c r="H49" i="10"/>
  <c r="H23" i="10"/>
  <c r="H30" i="10"/>
  <c r="H37" i="10"/>
  <c r="H44" i="10"/>
  <c r="H36" i="10"/>
  <c r="H24" i="10"/>
  <c r="H31" i="10"/>
  <c r="H38" i="10"/>
  <c r="H45" i="10"/>
  <c r="G52" i="10"/>
  <c r="H34" i="10"/>
  <c r="H27" i="10"/>
  <c r="H22" i="10"/>
  <c r="H43" i="10"/>
  <c r="H29" i="10"/>
  <c r="H25" i="10"/>
  <c r="H26" i="10"/>
  <c r="H33" i="10"/>
  <c r="H40" i="10"/>
  <c r="H47" i="10"/>
  <c r="H39" i="10"/>
  <c r="V50" i="10"/>
  <c r="V51" i="10" s="1"/>
  <c r="H20" i="10"/>
  <c r="H46" i="10"/>
  <c r="H32" i="10"/>
  <c r="N53" i="10"/>
  <c r="U20" i="11"/>
  <c r="R20" i="11"/>
  <c r="Q20" i="11"/>
  <c r="P20" i="11" s="1"/>
  <c r="N20" i="11"/>
  <c r="G20" i="11"/>
  <c r="M20" i="11"/>
  <c r="A21" i="11"/>
  <c r="H41" i="10"/>
  <c r="H48" i="10"/>
  <c r="J46" i="10"/>
  <c r="J47" i="10"/>
  <c r="T77" i="11"/>
  <c r="Q77" i="11" s="1"/>
  <c r="T89" i="11"/>
  <c r="Q89" i="11" s="1"/>
  <c r="Q90" i="11" s="1"/>
  <c r="Q91" i="11" s="1"/>
  <c r="Q92" i="11" s="1"/>
  <c r="T83" i="11"/>
  <c r="Q83" i="11" s="1"/>
  <c r="Q65" i="11"/>
  <c r="Q67" i="11"/>
  <c r="T88" i="11"/>
  <c r="Q88" i="11" s="1"/>
  <c r="Q66" i="11"/>
  <c r="Q64" i="11"/>
  <c r="R80" i="11"/>
  <c r="Q68" i="11"/>
  <c r="O47" i="10" l="1"/>
  <c r="I48" i="10"/>
  <c r="I20" i="11"/>
  <c r="O20" i="11" s="1"/>
  <c r="U21" i="11"/>
  <c r="R21" i="11"/>
  <c r="Q21" i="11"/>
  <c r="P21" i="11" s="1"/>
  <c r="M21" i="11"/>
  <c r="N21" i="11"/>
  <c r="A22" i="11"/>
  <c r="G21" i="11"/>
  <c r="J21" i="11"/>
  <c r="Q70" i="11"/>
  <c r="Q69" i="11"/>
  <c r="Q71" i="11" s="1"/>
  <c r="Q72" i="11" s="1"/>
  <c r="O48" i="10" l="1"/>
  <c r="I49" i="10"/>
  <c r="I21" i="11"/>
  <c r="O21" i="11" s="1"/>
  <c r="Q73" i="11"/>
  <c r="Q74" i="11" s="1"/>
  <c r="P80" i="11" s="1"/>
  <c r="S81" i="11" s="1"/>
  <c r="J48" i="10"/>
  <c r="U22" i="11"/>
  <c r="Q22" i="11"/>
  <c r="P22" i="11" s="1"/>
  <c r="R22" i="11"/>
  <c r="M22" i="11"/>
  <c r="N22" i="11"/>
  <c r="A23" i="11"/>
  <c r="G22" i="11"/>
  <c r="O49" i="10" l="1"/>
  <c r="I50" i="10"/>
  <c r="O50" i="10" s="1"/>
  <c r="O55" i="10" s="1"/>
  <c r="I22" i="11"/>
  <c r="T81" i="11"/>
  <c r="S80" i="11" s="1"/>
  <c r="T80" i="11" s="1"/>
  <c r="Q80" i="11" s="1"/>
  <c r="U23" i="11"/>
  <c r="Q23" i="11"/>
  <c r="P23" i="11" s="1"/>
  <c r="R23" i="11"/>
  <c r="A24" i="11"/>
  <c r="G23" i="11"/>
  <c r="M23" i="11"/>
  <c r="N23" i="11"/>
  <c r="O22" i="11" l="1"/>
  <c r="I23" i="11"/>
  <c r="O23" i="11" s="1"/>
  <c r="H56" i="10"/>
  <c r="E56" i="10" s="1"/>
  <c r="K52" i="10" s="1"/>
  <c r="R24" i="11"/>
  <c r="U24" i="11"/>
  <c r="Q24" i="11"/>
  <c r="P24" i="11" s="1"/>
  <c r="A25" i="11"/>
  <c r="G24" i="11"/>
  <c r="N24" i="11"/>
  <c r="M24" i="11"/>
  <c r="Q78" i="11"/>
  <c r="Q79" i="11"/>
  <c r="Q85" i="11"/>
  <c r="Q86" i="11" s="1"/>
  <c r="Q87" i="11"/>
  <c r="Q81" i="11"/>
  <c r="Q84" i="11"/>
  <c r="I24" i="11" l="1"/>
  <c r="O24" i="11" s="1"/>
  <c r="K56" i="10"/>
  <c r="L56" i="10" s="1"/>
  <c r="J52" i="10"/>
  <c r="M16" i="11" s="1"/>
  <c r="D54" i="11" s="1"/>
  <c r="N55" i="11" s="1"/>
  <c r="N16" i="11" s="1"/>
  <c r="G56" i="10"/>
  <c r="H54" i="10"/>
  <c r="K54" i="10"/>
  <c r="J23" i="11"/>
  <c r="S20" i="11"/>
  <c r="S21" i="11"/>
  <c r="S22" i="11"/>
  <c r="S23" i="11"/>
  <c r="S24" i="11"/>
  <c r="T24" i="11" s="1"/>
  <c r="K24" i="11" s="1"/>
  <c r="Q25" i="11"/>
  <c r="P25" i="11" s="1"/>
  <c r="R25" i="11"/>
  <c r="U25" i="11"/>
  <c r="S25" i="11"/>
  <c r="T25" i="11" s="1"/>
  <c r="M25" i="11"/>
  <c r="G25" i="11"/>
  <c r="J25" i="11"/>
  <c r="N25" i="11"/>
  <c r="A26" i="11"/>
  <c r="J20" i="11" l="1"/>
  <c r="J22" i="11"/>
  <c r="I25" i="11"/>
  <c r="O25" i="11" s="1"/>
  <c r="K25" i="11"/>
  <c r="V24" i="11"/>
  <c r="I56" i="10"/>
  <c r="J56" i="10" s="1"/>
  <c r="T23" i="11"/>
  <c r="K23" i="11" s="1"/>
  <c r="T20" i="11"/>
  <c r="K20" i="11" s="1"/>
  <c r="T22" i="11"/>
  <c r="K22" i="11" s="1"/>
  <c r="T21" i="11"/>
  <c r="K21" i="11" s="1"/>
  <c r="J24" i="11"/>
  <c r="R26" i="11"/>
  <c r="Q26" i="11"/>
  <c r="P26" i="11" s="1"/>
  <c r="U26" i="11"/>
  <c r="S26" i="11"/>
  <c r="T26" i="11" s="1"/>
  <c r="G26" i="11"/>
  <c r="M26" i="11"/>
  <c r="A27" i="11"/>
  <c r="N26" i="11"/>
  <c r="J26" i="11"/>
  <c r="V25" i="11"/>
  <c r="I26" i="11" l="1"/>
  <c r="O26" i="11" s="1"/>
  <c r="K26" i="11"/>
  <c r="V22" i="11"/>
  <c r="V20" i="11"/>
  <c r="V21" i="11"/>
  <c r="V23" i="11"/>
  <c r="U27" i="11"/>
  <c r="R27" i="11"/>
  <c r="Q27" i="11"/>
  <c r="P27" i="11" s="1"/>
  <c r="S27" i="11"/>
  <c r="T27" i="11" s="1"/>
  <c r="A30" i="11"/>
  <c r="M27" i="11"/>
  <c r="A28" i="11"/>
  <c r="N27" i="11"/>
  <c r="G27" i="11"/>
  <c r="V26" i="11"/>
  <c r="I27" i="11" l="1"/>
  <c r="O27" i="11" s="1"/>
  <c r="K27" i="11"/>
  <c r="Q28" i="11"/>
  <c r="P28" i="11" s="1"/>
  <c r="R28" i="11"/>
  <c r="U28" i="11"/>
  <c r="S28" i="11"/>
  <c r="T28" i="11" s="1"/>
  <c r="G28" i="11"/>
  <c r="J28" i="11"/>
  <c r="N28" i="11"/>
  <c r="A29" i="11"/>
  <c r="M28" i="11"/>
  <c r="A31" i="11"/>
  <c r="V27" i="11"/>
  <c r="R30" i="11"/>
  <c r="U30" i="11"/>
  <c r="Q30" i="11"/>
  <c r="P30" i="11" s="1"/>
  <c r="S30" i="11"/>
  <c r="T30" i="11" s="1"/>
  <c r="M30" i="11"/>
  <c r="G30" i="11"/>
  <c r="N30" i="11"/>
  <c r="A32" i="11"/>
  <c r="I28" i="11" l="1"/>
  <c r="O28" i="11" s="1"/>
  <c r="K28" i="11"/>
  <c r="K30" i="11"/>
  <c r="J27" i="11"/>
  <c r="U32" i="11"/>
  <c r="R32" i="11"/>
  <c r="Q32" i="11"/>
  <c r="P32" i="11" s="1"/>
  <c r="S32" i="11"/>
  <c r="T32" i="11" s="1"/>
  <c r="J32" i="11"/>
  <c r="M32" i="11"/>
  <c r="A33" i="11"/>
  <c r="N32" i="11"/>
  <c r="G32" i="11"/>
  <c r="V28" i="11"/>
  <c r="V30" i="11"/>
  <c r="R31" i="11"/>
  <c r="Q31" i="11"/>
  <c r="P31" i="11" s="1"/>
  <c r="U31" i="11"/>
  <c r="S31" i="11"/>
  <c r="T31" i="11" s="1"/>
  <c r="M31" i="11"/>
  <c r="G31" i="11"/>
  <c r="N31" i="11"/>
  <c r="Q29" i="11"/>
  <c r="P29" i="11" s="1"/>
  <c r="R29" i="11"/>
  <c r="U29" i="11"/>
  <c r="S29" i="11"/>
  <c r="T29" i="11" s="1"/>
  <c r="N29" i="11"/>
  <c r="G29" i="11"/>
  <c r="M29" i="11"/>
  <c r="I29" i="11" l="1"/>
  <c r="J29" i="11" s="1"/>
  <c r="K31" i="11"/>
  <c r="K32" i="11"/>
  <c r="K29" i="11"/>
  <c r="V31" i="11"/>
  <c r="V32" i="11"/>
  <c r="U33" i="11"/>
  <c r="R33" i="11"/>
  <c r="Q33" i="11"/>
  <c r="P33" i="11" s="1"/>
  <c r="S33" i="11"/>
  <c r="T33" i="11" s="1"/>
  <c r="J33" i="11"/>
  <c r="N33" i="11"/>
  <c r="A34" i="11"/>
  <c r="G33" i="11"/>
  <c r="M33" i="11"/>
  <c r="V29" i="11"/>
  <c r="I30" i="11" l="1"/>
  <c r="O29" i="11"/>
  <c r="K33" i="11"/>
  <c r="V33" i="11"/>
  <c r="J30" i="11"/>
  <c r="Q34" i="11"/>
  <c r="P34" i="11" s="1"/>
  <c r="R34" i="11"/>
  <c r="U34" i="11"/>
  <c r="S34" i="11"/>
  <c r="T34" i="11" s="1"/>
  <c r="A35" i="11"/>
  <c r="N34" i="11"/>
  <c r="G34" i="11"/>
  <c r="M34" i="11"/>
  <c r="I31" i="11" l="1"/>
  <c r="O30" i="11"/>
  <c r="K34" i="11"/>
  <c r="J31" i="11"/>
  <c r="V34" i="11"/>
  <c r="R35" i="11"/>
  <c r="G35" i="11"/>
  <c r="M35" i="11"/>
  <c r="U35" i="11"/>
  <c r="N35" i="11"/>
  <c r="J35" i="11"/>
  <c r="S35" i="11"/>
  <c r="T35" i="11" s="1"/>
  <c r="Q35" i="11"/>
  <c r="P35" i="11" s="1"/>
  <c r="A36" i="11"/>
  <c r="I32" i="11" l="1"/>
  <c r="O31" i="11"/>
  <c r="K35" i="11"/>
  <c r="V35" i="11"/>
  <c r="Q36" i="11"/>
  <c r="P36" i="11" s="1"/>
  <c r="U36" i="11"/>
  <c r="A37" i="11"/>
  <c r="S36" i="11"/>
  <c r="T36" i="11" s="1"/>
  <c r="N36" i="11"/>
  <c r="M36" i="11"/>
  <c r="R36" i="11"/>
  <c r="G36" i="11"/>
  <c r="O32" i="11" l="1"/>
  <c r="I33" i="11"/>
  <c r="K36" i="11"/>
  <c r="V36" i="11"/>
  <c r="U37" i="11"/>
  <c r="M37" i="11"/>
  <c r="G37" i="11"/>
  <c r="Q37" i="11"/>
  <c r="P37" i="11" s="1"/>
  <c r="N37" i="11"/>
  <c r="A38" i="11"/>
  <c r="R37" i="11"/>
  <c r="S37" i="11"/>
  <c r="T37" i="11" s="1"/>
  <c r="O33" i="11" l="1"/>
  <c r="I34" i="11"/>
  <c r="K37" i="11"/>
  <c r="U38" i="11"/>
  <c r="S38" i="11"/>
  <c r="T38" i="11" s="1"/>
  <c r="G38" i="11"/>
  <c r="Q38" i="11"/>
  <c r="P38" i="11" s="1"/>
  <c r="R38" i="11"/>
  <c r="N38" i="11"/>
  <c r="A39" i="11"/>
  <c r="M38" i="11"/>
  <c r="V37" i="11"/>
  <c r="O34" i="11" l="1"/>
  <c r="I35" i="11"/>
  <c r="K38" i="11"/>
  <c r="J34" i="11"/>
  <c r="V38" i="11"/>
  <c r="S39" i="11"/>
  <c r="T39" i="11" s="1"/>
  <c r="M39" i="11"/>
  <c r="A40" i="11"/>
  <c r="R39" i="11"/>
  <c r="U39" i="11"/>
  <c r="Q39" i="11"/>
  <c r="P39" i="11" s="1"/>
  <c r="N39" i="11"/>
  <c r="J39" i="11"/>
  <c r="G39" i="11"/>
  <c r="O35" i="11" l="1"/>
  <c r="I36" i="11"/>
  <c r="K39" i="11"/>
  <c r="V39" i="11"/>
  <c r="S40" i="11"/>
  <c r="T40" i="11" s="1"/>
  <c r="Q40" i="11"/>
  <c r="P40" i="11" s="1"/>
  <c r="J40" i="11"/>
  <c r="R40" i="11"/>
  <c r="A41" i="11"/>
  <c r="U40" i="11"/>
  <c r="G40" i="11"/>
  <c r="N40" i="11"/>
  <c r="M40" i="11"/>
  <c r="O36" i="11" l="1"/>
  <c r="J36" i="11"/>
  <c r="I37" i="11"/>
  <c r="K40" i="11"/>
  <c r="V40" i="11"/>
  <c r="J37" i="11"/>
  <c r="Q41" i="11"/>
  <c r="P41" i="11" s="1"/>
  <c r="N41" i="11"/>
  <c r="R41" i="11"/>
  <c r="M41" i="11"/>
  <c r="G41" i="11"/>
  <c r="S41" i="11"/>
  <c r="T41" i="11" s="1"/>
  <c r="U41" i="11"/>
  <c r="A42" i="11"/>
  <c r="O37" i="11" l="1"/>
  <c r="I38" i="11"/>
  <c r="K41" i="11"/>
  <c r="J38" i="11"/>
  <c r="V41" i="11"/>
  <c r="U42" i="11"/>
  <c r="G42" i="11"/>
  <c r="R42" i="11"/>
  <c r="Q42" i="11"/>
  <c r="P42" i="11" s="1"/>
  <c r="N42" i="11"/>
  <c r="A43" i="11"/>
  <c r="S42" i="11"/>
  <c r="T42" i="11" s="1"/>
  <c r="M42" i="11"/>
  <c r="J42" i="11"/>
  <c r="O38" i="11" l="1"/>
  <c r="I39" i="11"/>
  <c r="K42" i="11"/>
  <c r="V42" i="11"/>
  <c r="Q43" i="11"/>
  <c r="P43" i="11" s="1"/>
  <c r="G43" i="11"/>
  <c r="R43" i="11"/>
  <c r="N43" i="11"/>
  <c r="A44" i="11"/>
  <c r="S43" i="11"/>
  <c r="T43" i="11" s="1"/>
  <c r="M43" i="11"/>
  <c r="U43" i="11"/>
  <c r="O39" i="11" l="1"/>
  <c r="I40" i="11"/>
  <c r="K43" i="11"/>
  <c r="V43" i="11"/>
  <c r="Q44" i="11"/>
  <c r="P44" i="11" s="1"/>
  <c r="S44" i="11"/>
  <c r="T44" i="11" s="1"/>
  <c r="M44" i="11"/>
  <c r="R44" i="11"/>
  <c r="N44" i="11"/>
  <c r="A45" i="11"/>
  <c r="U44" i="11"/>
  <c r="G44" i="11"/>
  <c r="O40" i="11" l="1"/>
  <c r="I41" i="11"/>
  <c r="K44" i="11"/>
  <c r="V44" i="11"/>
  <c r="R45" i="11"/>
  <c r="S45" i="11"/>
  <c r="T45" i="11" s="1"/>
  <c r="U45" i="11"/>
  <c r="G45" i="11"/>
  <c r="N45" i="11"/>
  <c r="Q45" i="11"/>
  <c r="P45" i="11" s="1"/>
  <c r="M45" i="11"/>
  <c r="A46" i="11"/>
  <c r="O41" i="11" l="1"/>
  <c r="I42" i="11"/>
  <c r="K45" i="11"/>
  <c r="J41" i="11"/>
  <c r="R46" i="11"/>
  <c r="A47" i="11"/>
  <c r="G46" i="11"/>
  <c r="S46" i="11"/>
  <c r="T46" i="11" s="1"/>
  <c r="N46" i="11"/>
  <c r="U46" i="11"/>
  <c r="Q46" i="11"/>
  <c r="P46" i="11" s="1"/>
  <c r="M46" i="11"/>
  <c r="J46" i="11"/>
  <c r="V45" i="11"/>
  <c r="O42" i="11" l="1"/>
  <c r="I43" i="11"/>
  <c r="K46" i="11"/>
  <c r="V46" i="11"/>
  <c r="R47" i="11"/>
  <c r="N47" i="11"/>
  <c r="A48" i="11"/>
  <c r="U47" i="11"/>
  <c r="G47" i="11"/>
  <c r="S47" i="11"/>
  <c r="T47" i="11" s="1"/>
  <c r="M47" i="11"/>
  <c r="J47" i="11"/>
  <c r="Q47" i="11"/>
  <c r="P47" i="11" s="1"/>
  <c r="O43" i="11" l="1"/>
  <c r="J43" i="11"/>
  <c r="I44" i="11"/>
  <c r="K47" i="11"/>
  <c r="J44" i="11"/>
  <c r="Q48" i="11"/>
  <c r="P48" i="11" s="1"/>
  <c r="M48" i="11"/>
  <c r="S48" i="11"/>
  <c r="T48" i="11" s="1"/>
  <c r="N48" i="11"/>
  <c r="U48" i="11"/>
  <c r="A49" i="11"/>
  <c r="R48" i="11"/>
  <c r="G48" i="11"/>
  <c r="V47" i="11"/>
  <c r="O44" i="11" l="1"/>
  <c r="I45" i="11"/>
  <c r="K48" i="11"/>
  <c r="J45" i="11"/>
  <c r="R49" i="11"/>
  <c r="M49" i="11"/>
  <c r="S49" i="11"/>
  <c r="T49" i="11" s="1"/>
  <c r="N49" i="11"/>
  <c r="J49" i="11"/>
  <c r="Q49" i="11"/>
  <c r="P49" i="11" s="1"/>
  <c r="G49" i="11"/>
  <c r="A50" i="11"/>
  <c r="U49" i="11"/>
  <c r="V48" i="11"/>
  <c r="O45" i="11" l="1"/>
  <c r="I46" i="11"/>
  <c r="K49" i="11"/>
  <c r="V49" i="11"/>
  <c r="P63" i="12"/>
  <c r="A20" i="12"/>
  <c r="Q50" i="11"/>
  <c r="P50" i="11" s="1"/>
  <c r="S50" i="11"/>
  <c r="T50" i="11" s="1"/>
  <c r="M50" i="11"/>
  <c r="R50" i="11"/>
  <c r="A16" i="11" s="1"/>
  <c r="G50" i="11"/>
  <c r="J50" i="11"/>
  <c r="U50" i="11"/>
  <c r="N50" i="11"/>
  <c r="H50" i="11"/>
  <c r="H25" i="11" l="1"/>
  <c r="H32" i="11"/>
  <c r="H39" i="11"/>
  <c r="H46" i="11"/>
  <c r="O46" i="11"/>
  <c r="I47" i="11"/>
  <c r="H22" i="11"/>
  <c r="H29" i="11"/>
  <c r="H36" i="11"/>
  <c r="H43" i="11"/>
  <c r="K50" i="11"/>
  <c r="H26" i="11"/>
  <c r="H33" i="11"/>
  <c r="H40" i="11"/>
  <c r="H47" i="11"/>
  <c r="H21" i="11"/>
  <c r="H28" i="11"/>
  <c r="H35" i="11"/>
  <c r="H42" i="11"/>
  <c r="H49" i="11"/>
  <c r="G52" i="11"/>
  <c r="H24" i="11"/>
  <c r="H31" i="11"/>
  <c r="H38" i="11"/>
  <c r="H45" i="11"/>
  <c r="H23" i="11"/>
  <c r="H30" i="11"/>
  <c r="H37" i="11"/>
  <c r="H44" i="11"/>
  <c r="V50" i="11"/>
  <c r="V51" i="11" s="1"/>
  <c r="H34" i="11"/>
  <c r="H41" i="11"/>
  <c r="H48" i="11"/>
  <c r="H27" i="11"/>
  <c r="H20" i="11"/>
  <c r="R20" i="12"/>
  <c r="Q20" i="12"/>
  <c r="P20" i="12" s="1"/>
  <c r="U20" i="12"/>
  <c r="G20" i="12"/>
  <c r="N20" i="12"/>
  <c r="M20" i="12"/>
  <c r="R80" i="12"/>
  <c r="Q66" i="12"/>
  <c r="T83" i="12"/>
  <c r="Q83" i="12" s="1"/>
  <c r="Q64" i="12"/>
  <c r="T89" i="12"/>
  <c r="Q89" i="12" s="1"/>
  <c r="Q90" i="12" s="1"/>
  <c r="Q91" i="12" s="1"/>
  <c r="Q92" i="12" s="1"/>
  <c r="Q68" i="12"/>
  <c r="Q65" i="12"/>
  <c r="Q67" i="12"/>
  <c r="T77" i="12"/>
  <c r="Q77" i="12" s="1"/>
  <c r="T88" i="12"/>
  <c r="Q88" i="12" s="1"/>
  <c r="N53" i="11"/>
  <c r="N52" i="11"/>
  <c r="D53" i="11" s="1"/>
  <c r="A21" i="12"/>
  <c r="O47" i="11" l="1"/>
  <c r="I48" i="11"/>
  <c r="I20" i="12"/>
  <c r="O20" i="12" s="1"/>
  <c r="R21" i="12"/>
  <c r="Q21" i="12"/>
  <c r="P21" i="12" s="1"/>
  <c r="U21" i="12"/>
  <c r="G21" i="12"/>
  <c r="N21" i="12"/>
  <c r="A22" i="12"/>
  <c r="M21" i="12"/>
  <c r="Q70" i="12"/>
  <c r="Q69" i="12"/>
  <c r="Q71" i="12" s="1"/>
  <c r="Q72" i="12" s="1"/>
  <c r="O48" i="11" l="1"/>
  <c r="I49" i="11"/>
  <c r="I21" i="12"/>
  <c r="O21" i="12" s="1"/>
  <c r="J48" i="11"/>
  <c r="R22" i="12"/>
  <c r="U22" i="12"/>
  <c r="Q22" i="12"/>
  <c r="P22" i="12" s="1"/>
  <c r="G22" i="12"/>
  <c r="M22" i="12"/>
  <c r="A23" i="12"/>
  <c r="N22" i="12"/>
  <c r="Q73" i="12"/>
  <c r="Q74" i="12" s="1"/>
  <c r="P80" i="12" s="1"/>
  <c r="O49" i="11" l="1"/>
  <c r="I50" i="11"/>
  <c r="O50" i="11" s="1"/>
  <c r="O55" i="11" s="1"/>
  <c r="I22" i="12"/>
  <c r="O22" i="12" s="1"/>
  <c r="S81" i="12"/>
  <c r="T81" i="12"/>
  <c r="S80" i="12" s="1"/>
  <c r="U23" i="12"/>
  <c r="Q23" i="12"/>
  <c r="P23" i="12" s="1"/>
  <c r="R23" i="12"/>
  <c r="N23" i="12"/>
  <c r="J23" i="12"/>
  <c r="M23" i="12"/>
  <c r="G23" i="12"/>
  <c r="A24" i="12"/>
  <c r="I23" i="12" l="1"/>
  <c r="O23" i="12" s="1"/>
  <c r="H56" i="11"/>
  <c r="E56" i="11" s="1"/>
  <c r="K52" i="11" s="1"/>
  <c r="R24" i="12"/>
  <c r="Q24" i="12"/>
  <c r="P24" i="12" s="1"/>
  <c r="U24" i="12"/>
  <c r="N24" i="12"/>
  <c r="G24" i="12"/>
  <c r="M24" i="12"/>
  <c r="A25" i="12"/>
  <c r="T80" i="12"/>
  <c r="Q80" i="12" s="1"/>
  <c r="I24" i="12" l="1"/>
  <c r="O24" i="12" s="1"/>
  <c r="G56" i="11"/>
  <c r="K56" i="11"/>
  <c r="L56" i="11" s="1"/>
  <c r="J52" i="11"/>
  <c r="M16" i="12" s="1"/>
  <c r="D54" i="12" s="1"/>
  <c r="N55" i="12" s="1"/>
  <c r="N16" i="12" s="1"/>
  <c r="J22" i="12" s="1"/>
  <c r="K54" i="11"/>
  <c r="Q85" i="12"/>
  <c r="Q86" i="12" s="1"/>
  <c r="Q81" i="12"/>
  <c r="Q84" i="12"/>
  <c r="Q79" i="12"/>
  <c r="Q78" i="12"/>
  <c r="Q87" i="12"/>
  <c r="U25" i="12"/>
  <c r="R25" i="12"/>
  <c r="Q25" i="12"/>
  <c r="P25" i="12" s="1"/>
  <c r="H25" i="12"/>
  <c r="N25" i="12"/>
  <c r="A26" i="12"/>
  <c r="J25" i="12"/>
  <c r="M25" i="12"/>
  <c r="G25" i="12"/>
  <c r="I25" i="12" s="1"/>
  <c r="O25" i="12" s="1"/>
  <c r="J24" i="12" l="1"/>
  <c r="I56" i="11"/>
  <c r="J56" i="11" s="1"/>
  <c r="H54" i="11" s="1"/>
  <c r="J20" i="12"/>
  <c r="J21" i="12"/>
  <c r="S25" i="12"/>
  <c r="T25" i="12" s="1"/>
  <c r="K25" i="12" s="1"/>
  <c r="U26" i="12"/>
  <c r="Q26" i="12"/>
  <c r="P26" i="12" s="1"/>
  <c r="R26" i="12"/>
  <c r="S26" i="12"/>
  <c r="T26" i="12" s="1"/>
  <c r="N26" i="12"/>
  <c r="A27" i="12"/>
  <c r="G26" i="12"/>
  <c r="M26" i="12"/>
  <c r="J26" i="12"/>
  <c r="S20" i="12"/>
  <c r="S21" i="12"/>
  <c r="S22" i="12"/>
  <c r="S23" i="12"/>
  <c r="S24" i="12"/>
  <c r="I26" i="12" l="1"/>
  <c r="O26" i="12" s="1"/>
  <c r="K26" i="12"/>
  <c r="V25" i="12"/>
  <c r="T21" i="12"/>
  <c r="K21" i="12" s="1"/>
  <c r="T24" i="12"/>
  <c r="K24" i="12" s="1"/>
  <c r="T20" i="12"/>
  <c r="K20" i="12" s="1"/>
  <c r="T23" i="12"/>
  <c r="K23" i="12" s="1"/>
  <c r="T22" i="12"/>
  <c r="K22" i="12" s="1"/>
  <c r="V26" i="12"/>
  <c r="Q27" i="12"/>
  <c r="P27" i="12" s="1"/>
  <c r="R27" i="12"/>
  <c r="U27" i="12"/>
  <c r="S27" i="12"/>
  <c r="T27" i="12" s="1"/>
  <c r="G27" i="12"/>
  <c r="A28" i="12"/>
  <c r="N27" i="12"/>
  <c r="M27" i="12"/>
  <c r="A30" i="12"/>
  <c r="I27" i="12" l="1"/>
  <c r="O27" i="12" s="1"/>
  <c r="K27" i="12"/>
  <c r="V22" i="12"/>
  <c r="V21" i="12"/>
  <c r="V23" i="12"/>
  <c r="V20" i="12"/>
  <c r="V24" i="12"/>
  <c r="R28" i="12"/>
  <c r="U28" i="12"/>
  <c r="Q28" i="12"/>
  <c r="P28" i="12" s="1"/>
  <c r="S28" i="12"/>
  <c r="T28" i="12" s="1"/>
  <c r="G28" i="12"/>
  <c r="N28" i="12"/>
  <c r="M28" i="12"/>
  <c r="A31" i="12"/>
  <c r="A29" i="12"/>
  <c r="R30" i="12"/>
  <c r="Q30" i="12"/>
  <c r="P30" i="12" s="1"/>
  <c r="U30" i="12"/>
  <c r="S30" i="12"/>
  <c r="T30" i="12" s="1"/>
  <c r="G30" i="12"/>
  <c r="M30" i="12"/>
  <c r="J30" i="12"/>
  <c r="N30" i="12"/>
  <c r="A32" i="12"/>
  <c r="V27" i="12"/>
  <c r="J27" i="12" l="1"/>
  <c r="I28" i="12"/>
  <c r="O28" i="12" s="1"/>
  <c r="K30" i="12"/>
  <c r="K28" i="12"/>
  <c r="U31" i="12"/>
  <c r="R31" i="12"/>
  <c r="Q31" i="12"/>
  <c r="P31" i="12" s="1"/>
  <c r="S31" i="12"/>
  <c r="T31" i="12" s="1"/>
  <c r="G31" i="12"/>
  <c r="M31" i="12"/>
  <c r="N31" i="12"/>
  <c r="V28" i="12"/>
  <c r="Q32" i="12"/>
  <c r="P32" i="12" s="1"/>
  <c r="R32" i="12"/>
  <c r="U32" i="12"/>
  <c r="S32" i="12"/>
  <c r="T32" i="12" s="1"/>
  <c r="M32" i="12"/>
  <c r="N32" i="12"/>
  <c r="G32" i="12"/>
  <c r="J32" i="12"/>
  <c r="H32" i="12"/>
  <c r="A33" i="12"/>
  <c r="V30" i="12"/>
  <c r="R29" i="12"/>
  <c r="Q29" i="12"/>
  <c r="P29" i="12" s="1"/>
  <c r="U29" i="12"/>
  <c r="S29" i="12"/>
  <c r="T29" i="12" s="1"/>
  <c r="G29" i="12"/>
  <c r="M29" i="12"/>
  <c r="N29" i="12"/>
  <c r="I29" i="12" l="1"/>
  <c r="K32" i="12"/>
  <c r="K31" i="12"/>
  <c r="K29" i="12"/>
  <c r="J28" i="12"/>
  <c r="V29" i="12"/>
  <c r="R33" i="12"/>
  <c r="Q33" i="12"/>
  <c r="P33" i="12" s="1"/>
  <c r="U33" i="12"/>
  <c r="S33" i="12"/>
  <c r="T33" i="12" s="1"/>
  <c r="J33" i="12"/>
  <c r="A34" i="12"/>
  <c r="G33" i="12"/>
  <c r="M33" i="12"/>
  <c r="N33" i="12"/>
  <c r="V31" i="12"/>
  <c r="V32" i="12"/>
  <c r="I30" i="12" l="1"/>
  <c r="O29" i="12"/>
  <c r="J29" i="12"/>
  <c r="K33" i="12"/>
  <c r="V33" i="12"/>
  <c r="U34" i="12"/>
  <c r="R34" i="12"/>
  <c r="Q34" i="12"/>
  <c r="P34" i="12" s="1"/>
  <c r="S34" i="12"/>
  <c r="T34" i="12" s="1"/>
  <c r="G34" i="12"/>
  <c r="M34" i="12"/>
  <c r="A35" i="12"/>
  <c r="N34" i="12"/>
  <c r="I31" i="12" l="1"/>
  <c r="O30" i="12"/>
  <c r="K34" i="12"/>
  <c r="V34" i="12"/>
  <c r="J31" i="12"/>
  <c r="Q35" i="12"/>
  <c r="P35" i="12" s="1"/>
  <c r="N35" i="12"/>
  <c r="A36" i="12"/>
  <c r="S35" i="12"/>
  <c r="T35" i="12" s="1"/>
  <c r="M35" i="12"/>
  <c r="R35" i="12"/>
  <c r="G35" i="12"/>
  <c r="U35" i="12"/>
  <c r="I32" i="12" l="1"/>
  <c r="O31" i="12"/>
  <c r="K35" i="12"/>
  <c r="V35" i="12"/>
  <c r="R36" i="12"/>
  <c r="N36" i="12"/>
  <c r="A37" i="12"/>
  <c r="G36" i="12"/>
  <c r="U36" i="12"/>
  <c r="Q36" i="12"/>
  <c r="P36" i="12" s="1"/>
  <c r="S36" i="12"/>
  <c r="T36" i="12" s="1"/>
  <c r="M36" i="12"/>
  <c r="O32" i="12" l="1"/>
  <c r="I33" i="12"/>
  <c r="K36" i="12"/>
  <c r="V36" i="12"/>
  <c r="R37" i="12"/>
  <c r="N37" i="12"/>
  <c r="A38" i="12"/>
  <c r="G37" i="12"/>
  <c r="U37" i="12"/>
  <c r="M37" i="12"/>
  <c r="S37" i="12"/>
  <c r="T37" i="12" s="1"/>
  <c r="J37" i="12"/>
  <c r="Q37" i="12"/>
  <c r="P37" i="12" s="1"/>
  <c r="O33" i="12" l="1"/>
  <c r="I34" i="12"/>
  <c r="K37" i="12"/>
  <c r="V37" i="12"/>
  <c r="S38" i="12"/>
  <c r="T38" i="12" s="1"/>
  <c r="N38" i="12"/>
  <c r="A39" i="12"/>
  <c r="U38" i="12"/>
  <c r="G38" i="12"/>
  <c r="R38" i="12"/>
  <c r="Q38" i="12"/>
  <c r="P38" i="12" s="1"/>
  <c r="M38" i="12"/>
  <c r="O34" i="12" l="1"/>
  <c r="I35" i="12"/>
  <c r="K38" i="12"/>
  <c r="V38" i="12"/>
  <c r="R39" i="12"/>
  <c r="M39" i="12"/>
  <c r="Q39" i="12"/>
  <c r="P39" i="12" s="1"/>
  <c r="N39" i="12"/>
  <c r="J39" i="12"/>
  <c r="G39" i="12"/>
  <c r="U39" i="12"/>
  <c r="H39" i="12"/>
  <c r="A40" i="12"/>
  <c r="S39" i="12"/>
  <c r="T39" i="12" s="1"/>
  <c r="J35" i="12"/>
  <c r="J34" i="12"/>
  <c r="O35" i="12" l="1"/>
  <c r="I36" i="12"/>
  <c r="K39" i="12"/>
  <c r="V39" i="12"/>
  <c r="J36" i="12"/>
  <c r="S40" i="12"/>
  <c r="T40" i="12" s="1"/>
  <c r="N40" i="12"/>
  <c r="U40" i="12"/>
  <c r="R40" i="12"/>
  <c r="M40" i="12"/>
  <c r="J40" i="12"/>
  <c r="A41" i="12"/>
  <c r="Q40" i="12"/>
  <c r="P40" i="12" s="1"/>
  <c r="G40" i="12"/>
  <c r="O36" i="12" l="1"/>
  <c r="I37" i="12"/>
  <c r="K40" i="12"/>
  <c r="R41" i="12"/>
  <c r="M41" i="12"/>
  <c r="Q41" i="12"/>
  <c r="P41" i="12" s="1"/>
  <c r="G41" i="12"/>
  <c r="U41" i="12"/>
  <c r="N41" i="12"/>
  <c r="S41" i="12"/>
  <c r="T41" i="12" s="1"/>
  <c r="A42" i="12"/>
  <c r="V40" i="12"/>
  <c r="O37" i="12" l="1"/>
  <c r="I38" i="12"/>
  <c r="K41" i="12"/>
  <c r="R42" i="12"/>
  <c r="A43" i="12"/>
  <c r="U42" i="12"/>
  <c r="M42" i="12"/>
  <c r="S42" i="12"/>
  <c r="T42" i="12" s="1"/>
  <c r="N42" i="12"/>
  <c r="G42" i="12"/>
  <c r="Q42" i="12"/>
  <c r="P42" i="12" s="1"/>
  <c r="J38" i="12"/>
  <c r="V41" i="12"/>
  <c r="O38" i="12" l="1"/>
  <c r="I39" i="12"/>
  <c r="K42" i="12"/>
  <c r="V42" i="12"/>
  <c r="G43" i="12"/>
  <c r="U43" i="12"/>
  <c r="N43" i="12"/>
  <c r="R43" i="12"/>
  <c r="S43" i="12"/>
  <c r="T43" i="12" s="1"/>
  <c r="M43" i="12"/>
  <c r="A44" i="12"/>
  <c r="Q43" i="12"/>
  <c r="P43" i="12" s="1"/>
  <c r="O39" i="12" l="1"/>
  <c r="I40" i="12"/>
  <c r="K43" i="12"/>
  <c r="R44" i="12"/>
  <c r="M44" i="12"/>
  <c r="J44" i="12"/>
  <c r="S44" i="12"/>
  <c r="T44" i="12" s="1"/>
  <c r="N44" i="12"/>
  <c r="A45" i="12"/>
  <c r="U44" i="12"/>
  <c r="Q44" i="12"/>
  <c r="P44" i="12" s="1"/>
  <c r="G44" i="12"/>
  <c r="V43" i="12"/>
  <c r="O40" i="12" l="1"/>
  <c r="I41" i="12"/>
  <c r="K44" i="12"/>
  <c r="V44" i="12"/>
  <c r="U45" i="12"/>
  <c r="A46" i="12"/>
  <c r="Q45" i="12"/>
  <c r="P45" i="12" s="1"/>
  <c r="R45" i="12"/>
  <c r="S45" i="12"/>
  <c r="T45" i="12" s="1"/>
  <c r="M45" i="12"/>
  <c r="G45" i="12"/>
  <c r="N45" i="12"/>
  <c r="O41" i="12" l="1"/>
  <c r="I42" i="12"/>
  <c r="K45" i="12"/>
  <c r="V45" i="12"/>
  <c r="J42" i="12"/>
  <c r="J41" i="12"/>
  <c r="S46" i="12"/>
  <c r="T46" i="12" s="1"/>
  <c r="N46" i="12"/>
  <c r="G46" i="12"/>
  <c r="H46" i="12"/>
  <c r="A47" i="12"/>
  <c r="U46" i="12"/>
  <c r="R46" i="12"/>
  <c r="Q46" i="12"/>
  <c r="P46" i="12" s="1"/>
  <c r="J46" i="12"/>
  <c r="M46" i="12"/>
  <c r="O42" i="12" l="1"/>
  <c r="I43" i="12"/>
  <c r="K46" i="12"/>
  <c r="V46" i="12"/>
  <c r="J43" i="12"/>
  <c r="S47" i="12"/>
  <c r="T47" i="12" s="1"/>
  <c r="N47" i="12"/>
  <c r="A48" i="12"/>
  <c r="U47" i="12"/>
  <c r="R47" i="12"/>
  <c r="J47" i="12"/>
  <c r="Q47" i="12"/>
  <c r="P47" i="12" s="1"/>
  <c r="M47" i="12"/>
  <c r="G47" i="12"/>
  <c r="O43" i="12" l="1"/>
  <c r="I44" i="12"/>
  <c r="K47" i="12"/>
  <c r="V47" i="12"/>
  <c r="Q48" i="12"/>
  <c r="P48" i="12" s="1"/>
  <c r="M48" i="12"/>
  <c r="R48" i="12"/>
  <c r="U48" i="12"/>
  <c r="A49" i="12"/>
  <c r="N48" i="12"/>
  <c r="S48" i="12"/>
  <c r="T48" i="12" s="1"/>
  <c r="G48" i="12"/>
  <c r="O44" i="12" l="1"/>
  <c r="I45" i="12"/>
  <c r="K48" i="12"/>
  <c r="V48" i="12"/>
  <c r="S49" i="12"/>
  <c r="T49" i="12" s="1"/>
  <c r="M49" i="12"/>
  <c r="U49" i="12"/>
  <c r="A50" i="12"/>
  <c r="Q49" i="12"/>
  <c r="P49" i="12" s="1"/>
  <c r="N49" i="12"/>
  <c r="R49" i="12"/>
  <c r="G49" i="12"/>
  <c r="J45" i="12"/>
  <c r="O45" i="12" l="1"/>
  <c r="I46" i="12"/>
  <c r="K49" i="12"/>
  <c r="V49" i="12"/>
  <c r="P63" i="13"/>
  <c r="A20" i="13"/>
  <c r="U50" i="12"/>
  <c r="Q50" i="12"/>
  <c r="P50" i="12" s="1"/>
  <c r="M50" i="12"/>
  <c r="S50" i="12"/>
  <c r="T50" i="12" s="1"/>
  <c r="N50" i="12"/>
  <c r="R50" i="12"/>
  <c r="A16" i="12" s="1"/>
  <c r="G50" i="12"/>
  <c r="O46" i="12" l="1"/>
  <c r="I47" i="12"/>
  <c r="K50" i="12"/>
  <c r="H23" i="12"/>
  <c r="H30" i="12"/>
  <c r="H37" i="12"/>
  <c r="H44" i="12"/>
  <c r="H26" i="12"/>
  <c r="H33" i="12"/>
  <c r="H40" i="12"/>
  <c r="H47" i="12"/>
  <c r="H24" i="12"/>
  <c r="H31" i="12"/>
  <c r="H38" i="12"/>
  <c r="H45" i="12"/>
  <c r="H50" i="12"/>
  <c r="H22" i="12"/>
  <c r="H29" i="12"/>
  <c r="H36" i="12"/>
  <c r="H43" i="12"/>
  <c r="G52" i="12"/>
  <c r="H21" i="12"/>
  <c r="H28" i="12"/>
  <c r="H35" i="12"/>
  <c r="H42" i="12"/>
  <c r="H49" i="12"/>
  <c r="N52" i="12"/>
  <c r="D53" i="12" s="1"/>
  <c r="N53" i="12"/>
  <c r="Q66" i="13"/>
  <c r="R80" i="13"/>
  <c r="T83" i="13"/>
  <c r="Q83" i="13" s="1"/>
  <c r="Q64" i="13"/>
  <c r="T89" i="13"/>
  <c r="Q89" i="13" s="1"/>
  <c r="Q90" i="13" s="1"/>
  <c r="Q91" i="13" s="1"/>
  <c r="Q92" i="13" s="1"/>
  <c r="Q68" i="13"/>
  <c r="Q65" i="13"/>
  <c r="Q67" i="13"/>
  <c r="T77" i="13"/>
  <c r="Q77" i="13" s="1"/>
  <c r="T88" i="13"/>
  <c r="Q88" i="13" s="1"/>
  <c r="V50" i="12"/>
  <c r="V51" i="12" s="1"/>
  <c r="H48" i="12"/>
  <c r="H41" i="12"/>
  <c r="H27" i="12"/>
  <c r="H34" i="12"/>
  <c r="U20" i="13"/>
  <c r="Q20" i="13"/>
  <c r="P20" i="13" s="1"/>
  <c r="R20" i="13"/>
  <c r="G20" i="13"/>
  <c r="M20" i="13"/>
  <c r="A21" i="13"/>
  <c r="N20" i="13"/>
  <c r="H20" i="12"/>
  <c r="O47" i="12" l="1"/>
  <c r="I48" i="12"/>
  <c r="I20" i="13"/>
  <c r="O20" i="13" s="1"/>
  <c r="Q21" i="13"/>
  <c r="P21" i="13" s="1"/>
  <c r="R21" i="13"/>
  <c r="U21" i="13"/>
  <c r="G21" i="13"/>
  <c r="M21" i="13"/>
  <c r="A22" i="13"/>
  <c r="N21" i="13"/>
  <c r="J21" i="13"/>
  <c r="Q70" i="13"/>
  <c r="Q69" i="13"/>
  <c r="Q71" i="13" s="1"/>
  <c r="Q72" i="13" s="1"/>
  <c r="O48" i="12" l="1"/>
  <c r="I49" i="12"/>
  <c r="I21" i="13"/>
  <c r="O21" i="13" s="1"/>
  <c r="J49" i="12"/>
  <c r="J48" i="12"/>
  <c r="R22" i="13"/>
  <c r="Q22" i="13"/>
  <c r="P22" i="13" s="1"/>
  <c r="U22" i="13"/>
  <c r="M22" i="13"/>
  <c r="N22" i="13"/>
  <c r="A23" i="13"/>
  <c r="G22" i="13"/>
  <c r="Q73" i="13"/>
  <c r="Q74" i="13" s="1"/>
  <c r="P80" i="13" s="1"/>
  <c r="O49" i="12" l="1"/>
  <c r="I50" i="12"/>
  <c r="O50" i="12" s="1"/>
  <c r="O55" i="12" s="1"/>
  <c r="I22" i="13"/>
  <c r="O22" i="13" s="1"/>
  <c r="S81" i="13"/>
  <c r="T81" i="13"/>
  <c r="S80" i="13" s="1"/>
  <c r="Q23" i="13"/>
  <c r="P23" i="13" s="1"/>
  <c r="U23" i="13"/>
  <c r="R23" i="13"/>
  <c r="G23" i="13"/>
  <c r="M23" i="13"/>
  <c r="A24" i="13"/>
  <c r="N23" i="13"/>
  <c r="J23" i="13"/>
  <c r="I23" i="13" l="1"/>
  <c r="O23" i="13" s="1"/>
  <c r="H56" i="12"/>
  <c r="E56" i="12" s="1"/>
  <c r="K52" i="12" s="1"/>
  <c r="J50" i="12"/>
  <c r="R24" i="13"/>
  <c r="Q24" i="13"/>
  <c r="P24" i="13" s="1"/>
  <c r="U24" i="13"/>
  <c r="N24" i="13"/>
  <c r="M24" i="13"/>
  <c r="G24" i="13"/>
  <c r="A25" i="13"/>
  <c r="T80" i="13"/>
  <c r="Q80" i="13" s="1"/>
  <c r="I24" i="13" l="1"/>
  <c r="O24" i="13" s="1"/>
  <c r="K56" i="12"/>
  <c r="L56" i="12" s="1"/>
  <c r="G56" i="12"/>
  <c r="J52" i="12"/>
  <c r="M16" i="13" s="1"/>
  <c r="D54" i="13" s="1"/>
  <c r="N55" i="13" s="1"/>
  <c r="N16" i="13" s="1"/>
  <c r="K54" i="12"/>
  <c r="Q84" i="13"/>
  <c r="Q87" i="13"/>
  <c r="Q85" i="13"/>
  <c r="Q86" i="13" s="1"/>
  <c r="Q79" i="13"/>
  <c r="Q78" i="13"/>
  <c r="Q81" i="13"/>
  <c r="R25" i="13"/>
  <c r="U25" i="13"/>
  <c r="Q25" i="13"/>
  <c r="P25" i="13" s="1"/>
  <c r="M25" i="13"/>
  <c r="G25" i="13"/>
  <c r="N25" i="13"/>
  <c r="A26" i="13"/>
  <c r="I25" i="13" l="1"/>
  <c r="O25" i="13" s="1"/>
  <c r="J20" i="13"/>
  <c r="J22" i="13"/>
  <c r="I56" i="12"/>
  <c r="J56" i="12" s="1"/>
  <c r="H54" i="12" s="1"/>
  <c r="J24" i="13"/>
  <c r="S25" i="13"/>
  <c r="T25" i="13" s="1"/>
  <c r="K25" i="13" s="1"/>
  <c r="R26" i="13"/>
  <c r="U26" i="13"/>
  <c r="Q26" i="13"/>
  <c r="P26" i="13" s="1"/>
  <c r="S26" i="13"/>
  <c r="T26" i="13" s="1"/>
  <c r="G26" i="13"/>
  <c r="A27" i="13"/>
  <c r="M26" i="13"/>
  <c r="N26" i="13"/>
  <c r="S20" i="13"/>
  <c r="S21" i="13"/>
  <c r="S22" i="13"/>
  <c r="S23" i="13"/>
  <c r="S24" i="13"/>
  <c r="I26" i="13" l="1"/>
  <c r="O26" i="13" s="1"/>
  <c r="K26" i="13"/>
  <c r="V25" i="13"/>
  <c r="T24" i="13"/>
  <c r="K24" i="13" s="1"/>
  <c r="T20" i="13"/>
  <c r="K20" i="13" s="1"/>
  <c r="T23" i="13"/>
  <c r="K23" i="13" s="1"/>
  <c r="T22" i="13"/>
  <c r="K22" i="13" s="1"/>
  <c r="T21" i="13"/>
  <c r="K21" i="13" s="1"/>
  <c r="J25" i="13"/>
  <c r="V26" i="13"/>
  <c r="U27" i="13"/>
  <c r="Q27" i="13"/>
  <c r="P27" i="13" s="1"/>
  <c r="R27" i="13"/>
  <c r="S27" i="13"/>
  <c r="T27" i="13" s="1"/>
  <c r="N27" i="13"/>
  <c r="A30" i="13"/>
  <c r="M27" i="13"/>
  <c r="G27" i="13"/>
  <c r="A28" i="13"/>
  <c r="I27" i="13" l="1"/>
  <c r="O27" i="13" s="1"/>
  <c r="K27" i="13"/>
  <c r="J26" i="13"/>
  <c r="V22" i="13"/>
  <c r="V20" i="13"/>
  <c r="V21" i="13"/>
  <c r="V24" i="13"/>
  <c r="V23" i="13"/>
  <c r="Q30" i="13"/>
  <c r="P30" i="13" s="1"/>
  <c r="R30" i="13"/>
  <c r="U30" i="13"/>
  <c r="S30" i="13"/>
  <c r="T30" i="13" s="1"/>
  <c r="N30" i="13"/>
  <c r="J30" i="13"/>
  <c r="G30" i="13"/>
  <c r="M30" i="13"/>
  <c r="A32" i="13"/>
  <c r="U28" i="13"/>
  <c r="R28" i="13"/>
  <c r="Q28" i="13"/>
  <c r="P28" i="13" s="1"/>
  <c r="S28" i="13"/>
  <c r="T28" i="13" s="1"/>
  <c r="N28" i="13"/>
  <c r="A29" i="13"/>
  <c r="A31" i="13"/>
  <c r="G28" i="13"/>
  <c r="M28" i="13"/>
  <c r="J28" i="13"/>
  <c r="V27" i="13"/>
  <c r="I28" i="13" l="1"/>
  <c r="O28" i="13" s="1"/>
  <c r="K28" i="13"/>
  <c r="K30" i="13"/>
  <c r="V28" i="13"/>
  <c r="J27" i="13"/>
  <c r="R32" i="13"/>
  <c r="Q32" i="13"/>
  <c r="P32" i="13" s="1"/>
  <c r="U32" i="13"/>
  <c r="S32" i="13"/>
  <c r="T32" i="13" s="1"/>
  <c r="G32" i="13"/>
  <c r="N32" i="13"/>
  <c r="A33" i="13"/>
  <c r="M32" i="13"/>
  <c r="Q31" i="13"/>
  <c r="P31" i="13" s="1"/>
  <c r="U31" i="13"/>
  <c r="R31" i="13"/>
  <c r="S31" i="13"/>
  <c r="T31" i="13" s="1"/>
  <c r="N31" i="13"/>
  <c r="M31" i="13"/>
  <c r="G31" i="13"/>
  <c r="U29" i="13"/>
  <c r="Q29" i="13"/>
  <c r="P29" i="13" s="1"/>
  <c r="R29" i="13"/>
  <c r="S29" i="13"/>
  <c r="T29" i="13" s="1"/>
  <c r="M29" i="13"/>
  <c r="N29" i="13"/>
  <c r="G29" i="13"/>
  <c r="V30" i="13"/>
  <c r="I29" i="13" l="1"/>
  <c r="K31" i="13"/>
  <c r="K32" i="13"/>
  <c r="K29" i="13"/>
  <c r="J29" i="13"/>
  <c r="V32" i="13"/>
  <c r="R33" i="13"/>
  <c r="Q33" i="13"/>
  <c r="P33" i="13" s="1"/>
  <c r="U33" i="13"/>
  <c r="S33" i="13"/>
  <c r="T33" i="13" s="1"/>
  <c r="M33" i="13"/>
  <c r="G33" i="13"/>
  <c r="N33" i="13"/>
  <c r="A34" i="13"/>
  <c r="V31" i="13"/>
  <c r="V29" i="13"/>
  <c r="I30" i="13" l="1"/>
  <c r="O29" i="13"/>
  <c r="K33" i="13"/>
  <c r="V33" i="13"/>
  <c r="R34" i="13"/>
  <c r="U34" i="13"/>
  <c r="Q34" i="13"/>
  <c r="P34" i="13" s="1"/>
  <c r="S34" i="13"/>
  <c r="T34" i="13" s="1"/>
  <c r="M34" i="13"/>
  <c r="N34" i="13"/>
  <c r="A35" i="13"/>
  <c r="G34" i="13"/>
  <c r="I31" i="13" l="1"/>
  <c r="O30" i="13"/>
  <c r="K34" i="13"/>
  <c r="V34" i="13"/>
  <c r="J31" i="13"/>
  <c r="A36" i="13"/>
  <c r="R35" i="13"/>
  <c r="N35" i="13"/>
  <c r="Q35" i="13"/>
  <c r="P35" i="13" s="1"/>
  <c r="G35" i="13"/>
  <c r="S35" i="13"/>
  <c r="T35" i="13" s="1"/>
  <c r="J35" i="13"/>
  <c r="U35" i="13"/>
  <c r="M35" i="13"/>
  <c r="I32" i="13" l="1"/>
  <c r="O31" i="13"/>
  <c r="K35" i="13"/>
  <c r="V35" i="13"/>
  <c r="R36" i="13"/>
  <c r="G36" i="13"/>
  <c r="U36" i="13"/>
  <c r="Q36" i="13"/>
  <c r="P36" i="13" s="1"/>
  <c r="M36" i="13"/>
  <c r="S36" i="13"/>
  <c r="T36" i="13" s="1"/>
  <c r="N36" i="13"/>
  <c r="A37" i="13"/>
  <c r="J32" i="13"/>
  <c r="O32" i="13" l="1"/>
  <c r="I33" i="13"/>
  <c r="K36" i="13"/>
  <c r="V36" i="13"/>
  <c r="J33" i="13"/>
  <c r="R37" i="13"/>
  <c r="M37" i="13"/>
  <c r="J37" i="13"/>
  <c r="Q37" i="13"/>
  <c r="P37" i="13" s="1"/>
  <c r="U37" i="13"/>
  <c r="N37" i="13"/>
  <c r="A38" i="13"/>
  <c r="S37" i="13"/>
  <c r="T37" i="13" s="1"/>
  <c r="G37" i="13"/>
  <c r="O33" i="13" l="1"/>
  <c r="I34" i="13"/>
  <c r="K37" i="13"/>
  <c r="V37" i="13"/>
  <c r="R38" i="13"/>
  <c r="N38" i="13"/>
  <c r="G38" i="13"/>
  <c r="U38" i="13"/>
  <c r="M38" i="13"/>
  <c r="A39" i="13"/>
  <c r="S38" i="13"/>
  <c r="T38" i="13" s="1"/>
  <c r="Q38" i="13"/>
  <c r="P38" i="13" s="1"/>
  <c r="O34" i="13" l="1"/>
  <c r="I35" i="13"/>
  <c r="K38" i="13"/>
  <c r="V38" i="13"/>
  <c r="J34" i="13"/>
  <c r="U39" i="13"/>
  <c r="M39" i="13"/>
  <c r="G39" i="13"/>
  <c r="S39" i="13"/>
  <c r="T39" i="13" s="1"/>
  <c r="A40" i="13"/>
  <c r="Q39" i="13"/>
  <c r="P39" i="13" s="1"/>
  <c r="N39" i="13"/>
  <c r="R39" i="13"/>
  <c r="O35" i="13" l="1"/>
  <c r="I36" i="13"/>
  <c r="K39" i="13"/>
  <c r="V39" i="13"/>
  <c r="Q40" i="13"/>
  <c r="P40" i="13" s="1"/>
  <c r="N40" i="13"/>
  <c r="A41" i="13"/>
  <c r="G40" i="13"/>
  <c r="U40" i="13"/>
  <c r="R40" i="13"/>
  <c r="M40" i="13"/>
  <c r="S40" i="13"/>
  <c r="T40" i="13" s="1"/>
  <c r="J36" i="13"/>
  <c r="O36" i="13" l="1"/>
  <c r="I37" i="13"/>
  <c r="K40" i="13"/>
  <c r="Q41" i="13"/>
  <c r="P41" i="13" s="1"/>
  <c r="M41" i="13"/>
  <c r="S41" i="13"/>
  <c r="T41" i="13" s="1"/>
  <c r="G41" i="13"/>
  <c r="U41" i="13"/>
  <c r="N41" i="13"/>
  <c r="R41" i="13"/>
  <c r="A42" i="13"/>
  <c r="V40" i="13"/>
  <c r="O37" i="13" l="1"/>
  <c r="I38" i="13"/>
  <c r="J38" i="13" s="1"/>
  <c r="K41" i="13"/>
  <c r="V41" i="13"/>
  <c r="G42" i="13"/>
  <c r="U42" i="13"/>
  <c r="J42" i="13"/>
  <c r="Q42" i="13"/>
  <c r="P42" i="13" s="1"/>
  <c r="M42" i="13"/>
  <c r="S42" i="13"/>
  <c r="T42" i="13" s="1"/>
  <c r="N42" i="13"/>
  <c r="A43" i="13"/>
  <c r="R42" i="13"/>
  <c r="O38" i="13" l="1"/>
  <c r="I39" i="13"/>
  <c r="K42" i="13"/>
  <c r="S43" i="13"/>
  <c r="T43" i="13" s="1"/>
  <c r="G43" i="13"/>
  <c r="U43" i="13"/>
  <c r="Q43" i="13"/>
  <c r="P43" i="13" s="1"/>
  <c r="N43" i="13"/>
  <c r="A44" i="13"/>
  <c r="R43" i="13"/>
  <c r="M43" i="13"/>
  <c r="J39" i="13"/>
  <c r="V42" i="13"/>
  <c r="O39" i="13" l="1"/>
  <c r="I40" i="13"/>
  <c r="K43" i="13"/>
  <c r="V43" i="13"/>
  <c r="S44" i="13"/>
  <c r="T44" i="13" s="1"/>
  <c r="M44" i="13"/>
  <c r="J44" i="13"/>
  <c r="U44" i="13"/>
  <c r="N44" i="13"/>
  <c r="A45" i="13"/>
  <c r="Q44" i="13"/>
  <c r="P44" i="13" s="1"/>
  <c r="R44" i="13"/>
  <c r="G44" i="13"/>
  <c r="J40" i="13"/>
  <c r="O40" i="13" l="1"/>
  <c r="I41" i="13"/>
  <c r="K44" i="13"/>
  <c r="V44" i="13"/>
  <c r="R45" i="13"/>
  <c r="U45" i="13"/>
  <c r="N45" i="13"/>
  <c r="S45" i="13"/>
  <c r="T45" i="13" s="1"/>
  <c r="M45" i="13"/>
  <c r="G45" i="13"/>
  <c r="Q45" i="13"/>
  <c r="P45" i="13" s="1"/>
  <c r="A46" i="13"/>
  <c r="O41" i="13" l="1"/>
  <c r="I42" i="13"/>
  <c r="K45" i="13"/>
  <c r="R46" i="13"/>
  <c r="G46" i="13"/>
  <c r="M46" i="13"/>
  <c r="U46" i="13"/>
  <c r="Q46" i="13"/>
  <c r="P46" i="13" s="1"/>
  <c r="N46" i="13"/>
  <c r="A47" i="13"/>
  <c r="S46" i="13"/>
  <c r="T46" i="13" s="1"/>
  <c r="V45" i="13"/>
  <c r="J41" i="13"/>
  <c r="O42" i="13" l="1"/>
  <c r="I43" i="13"/>
  <c r="K46" i="13"/>
  <c r="V46" i="13"/>
  <c r="S47" i="13"/>
  <c r="T47" i="13" s="1"/>
  <c r="G47" i="13"/>
  <c r="U47" i="13"/>
  <c r="N47" i="13"/>
  <c r="R47" i="13"/>
  <c r="A48" i="13"/>
  <c r="Q47" i="13"/>
  <c r="P47" i="13" s="1"/>
  <c r="M47" i="13"/>
  <c r="J43" i="13"/>
  <c r="O43" i="13" l="1"/>
  <c r="I44" i="13"/>
  <c r="K47" i="13"/>
  <c r="V47" i="13"/>
  <c r="U48" i="13"/>
  <c r="N48" i="13"/>
  <c r="Q48" i="13"/>
  <c r="P48" i="13" s="1"/>
  <c r="G48" i="13"/>
  <c r="S48" i="13"/>
  <c r="T48" i="13" s="1"/>
  <c r="A49" i="13"/>
  <c r="R48" i="13"/>
  <c r="M48" i="13"/>
  <c r="O44" i="13" l="1"/>
  <c r="I45" i="13"/>
  <c r="K48" i="13"/>
  <c r="V48" i="13"/>
  <c r="S49" i="13"/>
  <c r="T49" i="13" s="1"/>
  <c r="N49" i="13"/>
  <c r="A50" i="13"/>
  <c r="Q49" i="13"/>
  <c r="P49" i="13" s="1"/>
  <c r="M49" i="13"/>
  <c r="G49" i="13"/>
  <c r="R49" i="13"/>
  <c r="U49" i="13"/>
  <c r="J49" i="13"/>
  <c r="J45" i="13"/>
  <c r="O45" i="13" l="1"/>
  <c r="I46" i="13"/>
  <c r="K49" i="13"/>
  <c r="V49" i="13"/>
  <c r="J46" i="13"/>
  <c r="Q50" i="13"/>
  <c r="P50" i="13" s="1"/>
  <c r="G50" i="13"/>
  <c r="S50" i="13"/>
  <c r="T50" i="13" s="1"/>
  <c r="N50" i="13"/>
  <c r="U50" i="13"/>
  <c r="M50" i="13"/>
  <c r="R50" i="13"/>
  <c r="A16" i="13" s="1"/>
  <c r="P63" i="14"/>
  <c r="A20" i="14"/>
  <c r="O46" i="13" l="1"/>
  <c r="I47" i="13"/>
  <c r="K50" i="13"/>
  <c r="H21" i="13"/>
  <c r="H28" i="13"/>
  <c r="H35" i="13"/>
  <c r="H42" i="13"/>
  <c r="H49" i="13"/>
  <c r="H23" i="13"/>
  <c r="H30" i="13"/>
  <c r="H37" i="13"/>
  <c r="H44" i="13"/>
  <c r="H22" i="13"/>
  <c r="H29" i="13"/>
  <c r="H36" i="13"/>
  <c r="H43" i="13"/>
  <c r="H50" i="13"/>
  <c r="H26" i="13"/>
  <c r="H33" i="13"/>
  <c r="H40" i="13"/>
  <c r="H47" i="13"/>
  <c r="G52" i="13"/>
  <c r="H25" i="13"/>
  <c r="H32" i="13"/>
  <c r="H39" i="13"/>
  <c r="H46" i="13"/>
  <c r="H24" i="13"/>
  <c r="H31" i="13"/>
  <c r="H38" i="13"/>
  <c r="H45" i="13"/>
  <c r="N53" i="13"/>
  <c r="N52" i="13"/>
  <c r="D53" i="13" s="1"/>
  <c r="A21" i="14"/>
  <c r="Q20" i="14"/>
  <c r="P20" i="14" s="1"/>
  <c r="U20" i="14"/>
  <c r="R20" i="14"/>
  <c r="M20" i="14"/>
  <c r="G20" i="14"/>
  <c r="N20" i="14"/>
  <c r="H20" i="13"/>
  <c r="H34" i="13"/>
  <c r="H27" i="13"/>
  <c r="H41" i="13"/>
  <c r="H48" i="13"/>
  <c r="Q65" i="14"/>
  <c r="Q66" i="14"/>
  <c r="Q64" i="14"/>
  <c r="T77" i="14"/>
  <c r="Q77" i="14" s="1"/>
  <c r="R80" i="14"/>
  <c r="Q68" i="14"/>
  <c r="T83" i="14"/>
  <c r="Q83" i="14" s="1"/>
  <c r="Q67" i="14"/>
  <c r="T89" i="14"/>
  <c r="Q89" i="14" s="1"/>
  <c r="Q90" i="14" s="1"/>
  <c r="Q91" i="14" s="1"/>
  <c r="Q92" i="14" s="1"/>
  <c r="T88" i="14"/>
  <c r="Q88" i="14" s="1"/>
  <c r="V50" i="13"/>
  <c r="V51" i="13" s="1"/>
  <c r="J47" i="13"/>
  <c r="O47" i="13" l="1"/>
  <c r="I48" i="13"/>
  <c r="I20" i="14"/>
  <c r="O20" i="14" s="1"/>
  <c r="Q21" i="14"/>
  <c r="P21" i="14" s="1"/>
  <c r="R21" i="14"/>
  <c r="U21" i="14"/>
  <c r="N21" i="14"/>
  <c r="M21" i="14"/>
  <c r="G21" i="14"/>
  <c r="A22" i="14"/>
  <c r="Q70" i="14"/>
  <c r="Q69" i="14"/>
  <c r="Q71" i="14" s="1"/>
  <c r="Q72" i="14" s="1"/>
  <c r="O48" i="13" l="1"/>
  <c r="I49" i="13"/>
  <c r="I21" i="14"/>
  <c r="O21" i="14" s="1"/>
  <c r="Q73" i="14"/>
  <c r="Q74" i="14" s="1"/>
  <c r="P80" i="14" s="1"/>
  <c r="J48" i="13"/>
  <c r="R22" i="14"/>
  <c r="U22" i="14"/>
  <c r="Q22" i="14"/>
  <c r="P22" i="14" s="1"/>
  <c r="M22" i="14"/>
  <c r="N22" i="14"/>
  <c r="A23" i="14"/>
  <c r="G22" i="14"/>
  <c r="O49" i="13" l="1"/>
  <c r="I50" i="13"/>
  <c r="O50" i="13" s="1"/>
  <c r="O55" i="13" s="1"/>
  <c r="I22" i="14"/>
  <c r="O22" i="14" s="1"/>
  <c r="T81" i="14"/>
  <c r="S80" i="14" s="1"/>
  <c r="S81" i="14"/>
  <c r="R23" i="14"/>
  <c r="U23" i="14"/>
  <c r="Q23" i="14"/>
  <c r="P23" i="14" s="1"/>
  <c r="N23" i="14"/>
  <c r="G23" i="14"/>
  <c r="A24" i="14"/>
  <c r="M23" i="14"/>
  <c r="I23" i="14" l="1"/>
  <c r="O23" i="14" s="1"/>
  <c r="H56" i="13"/>
  <c r="E56" i="13" s="1"/>
  <c r="K52" i="13" s="1"/>
  <c r="J50" i="13"/>
  <c r="R24" i="14"/>
  <c r="Q24" i="14"/>
  <c r="P24" i="14" s="1"/>
  <c r="U24" i="14"/>
  <c r="A25" i="14"/>
  <c r="N24" i="14"/>
  <c r="M24" i="14"/>
  <c r="G24" i="14"/>
  <c r="J24" i="14"/>
  <c r="T80" i="14"/>
  <c r="Q80" i="14" s="1"/>
  <c r="I24" i="14" l="1"/>
  <c r="O24" i="14" s="1"/>
  <c r="G56" i="13"/>
  <c r="J52" i="13"/>
  <c r="M16" i="14" s="1"/>
  <c r="D54" i="14" s="1"/>
  <c r="N55" i="14" s="1"/>
  <c r="N16" i="14" s="1"/>
  <c r="K56" i="13"/>
  <c r="L56" i="13" s="1"/>
  <c r="K54" i="13"/>
  <c r="R25" i="14"/>
  <c r="Q25" i="14"/>
  <c r="P25" i="14" s="1"/>
  <c r="U25" i="14"/>
  <c r="J25" i="14"/>
  <c r="M25" i="14"/>
  <c r="A26" i="14"/>
  <c r="N25" i="14"/>
  <c r="G25" i="14"/>
  <c r="I25" i="14" s="1"/>
  <c r="O25" i="14" s="1"/>
  <c r="Q78" i="14"/>
  <c r="Q85" i="14"/>
  <c r="Q86" i="14" s="1"/>
  <c r="Q87" i="14"/>
  <c r="Q79" i="14"/>
  <c r="Q84" i="14"/>
  <c r="Q81" i="14"/>
  <c r="J20" i="14" l="1"/>
  <c r="J21" i="14"/>
  <c r="J23" i="14"/>
  <c r="I56" i="13"/>
  <c r="J56" i="13" s="1"/>
  <c r="H54" i="13" s="1"/>
  <c r="J22" i="14"/>
  <c r="S20" i="14"/>
  <c r="S21" i="14"/>
  <c r="S22" i="14"/>
  <c r="S23" i="14"/>
  <c r="S24" i="14"/>
  <c r="U26" i="14"/>
  <c r="R26" i="14"/>
  <c r="Q26" i="14"/>
  <c r="P26" i="14" s="1"/>
  <c r="S26" i="14"/>
  <c r="T26" i="14" s="1"/>
  <c r="N26" i="14"/>
  <c r="M26" i="14"/>
  <c r="G26" i="14"/>
  <c r="A27" i="14"/>
  <c r="S25" i="14"/>
  <c r="T25" i="14" s="1"/>
  <c r="K25" i="14" s="1"/>
  <c r="I26" i="14" l="1"/>
  <c r="O26" i="14" s="1"/>
  <c r="K26" i="14"/>
  <c r="V25" i="14"/>
  <c r="T22" i="14"/>
  <c r="K22" i="14" s="1"/>
  <c r="T21" i="14"/>
  <c r="K21" i="14" s="1"/>
  <c r="T24" i="14"/>
  <c r="K24" i="14" s="1"/>
  <c r="T20" i="14"/>
  <c r="K20" i="14" s="1"/>
  <c r="T23" i="14"/>
  <c r="K23" i="14" s="1"/>
  <c r="U27" i="14"/>
  <c r="Q27" i="14"/>
  <c r="P27" i="14" s="1"/>
  <c r="R27" i="14"/>
  <c r="S27" i="14"/>
  <c r="T27" i="14" s="1"/>
  <c r="M27" i="14"/>
  <c r="G27" i="14"/>
  <c r="A30" i="14"/>
  <c r="N27" i="14"/>
  <c r="A28" i="14"/>
  <c r="V26" i="14"/>
  <c r="I27" i="14" l="1"/>
  <c r="O27" i="14" s="1"/>
  <c r="J26" i="14"/>
  <c r="K27" i="14"/>
  <c r="V20" i="14"/>
  <c r="V23" i="14"/>
  <c r="V22" i="14"/>
  <c r="V24" i="14"/>
  <c r="V21" i="14"/>
  <c r="U28" i="14"/>
  <c r="Q28" i="14"/>
  <c r="P28" i="14" s="1"/>
  <c r="R28" i="14"/>
  <c r="S28" i="14"/>
  <c r="T28" i="14" s="1"/>
  <c r="A31" i="14"/>
  <c r="N28" i="14"/>
  <c r="A29" i="14"/>
  <c r="M28" i="14"/>
  <c r="G28" i="14"/>
  <c r="V27" i="14"/>
  <c r="U30" i="14"/>
  <c r="Q30" i="14"/>
  <c r="P30" i="14" s="1"/>
  <c r="R30" i="14"/>
  <c r="S30" i="14"/>
  <c r="T30" i="14" s="1"/>
  <c r="N30" i="14"/>
  <c r="G30" i="14"/>
  <c r="M30" i="14"/>
  <c r="A32" i="14"/>
  <c r="I28" i="14" l="1"/>
  <c r="O28" i="14" s="1"/>
  <c r="K28" i="14"/>
  <c r="K30" i="14"/>
  <c r="V30" i="14"/>
  <c r="J27" i="14"/>
  <c r="V28" i="14"/>
  <c r="U29" i="14"/>
  <c r="R29" i="14"/>
  <c r="Q29" i="14"/>
  <c r="P29" i="14" s="1"/>
  <c r="S29" i="14"/>
  <c r="T29" i="14" s="1"/>
  <c r="G29" i="14"/>
  <c r="M29" i="14"/>
  <c r="N29" i="14"/>
  <c r="R32" i="14"/>
  <c r="U32" i="14"/>
  <c r="Q32" i="14"/>
  <c r="P32" i="14" s="1"/>
  <c r="S32" i="14"/>
  <c r="T32" i="14" s="1"/>
  <c r="M32" i="14"/>
  <c r="G32" i="14"/>
  <c r="A33" i="14"/>
  <c r="N32" i="14"/>
  <c r="J32" i="14"/>
  <c r="R31" i="14"/>
  <c r="Q31" i="14"/>
  <c r="P31" i="14" s="1"/>
  <c r="U31" i="14"/>
  <c r="S31" i="14"/>
  <c r="T31" i="14" s="1"/>
  <c r="N31" i="14"/>
  <c r="G31" i="14"/>
  <c r="J31" i="14"/>
  <c r="M31" i="14"/>
  <c r="J28" i="14" l="1"/>
  <c r="I29" i="14"/>
  <c r="K31" i="14"/>
  <c r="K29" i="14"/>
  <c r="K32" i="14"/>
  <c r="V31" i="14"/>
  <c r="V29" i="14"/>
  <c r="R33" i="14"/>
  <c r="Q33" i="14"/>
  <c r="P33" i="14" s="1"/>
  <c r="U33" i="14"/>
  <c r="S33" i="14"/>
  <c r="T33" i="14" s="1"/>
  <c r="N33" i="14"/>
  <c r="M33" i="14"/>
  <c r="A34" i="14"/>
  <c r="G33" i="14"/>
  <c r="V32" i="14"/>
  <c r="J29" i="14"/>
  <c r="I30" i="14" l="1"/>
  <c r="O29" i="14"/>
  <c r="I33" i="14"/>
  <c r="O33" i="14" s="1"/>
  <c r="K33" i="14"/>
  <c r="J30" i="14"/>
  <c r="U34" i="14"/>
  <c r="Q34" i="14"/>
  <c r="P34" i="14" s="1"/>
  <c r="R34" i="14"/>
  <c r="S34" i="14"/>
  <c r="T34" i="14" s="1"/>
  <c r="N34" i="14"/>
  <c r="G34" i="14"/>
  <c r="A35" i="14"/>
  <c r="M34" i="14"/>
  <c r="V33" i="14"/>
  <c r="I31" i="14" l="1"/>
  <c r="O30" i="14"/>
  <c r="I34" i="14"/>
  <c r="O34" i="14" s="1"/>
  <c r="K34" i="14"/>
  <c r="V34" i="14"/>
  <c r="U35" i="14"/>
  <c r="A36" i="14"/>
  <c r="Q35" i="14"/>
  <c r="P35" i="14" s="1"/>
  <c r="R35" i="14"/>
  <c r="N35" i="14"/>
  <c r="G35" i="14"/>
  <c r="M35" i="14"/>
  <c r="S35" i="14"/>
  <c r="T35" i="14" s="1"/>
  <c r="J35" i="14"/>
  <c r="I32" i="14" l="1"/>
  <c r="O32" i="14" s="1"/>
  <c r="O31" i="14"/>
  <c r="I35" i="14"/>
  <c r="O35" i="14" s="1"/>
  <c r="K35" i="14"/>
  <c r="S36" i="14"/>
  <c r="T36" i="14" s="1"/>
  <c r="R36" i="14"/>
  <c r="N36" i="14"/>
  <c r="U36" i="14"/>
  <c r="A37" i="14"/>
  <c r="Q36" i="14"/>
  <c r="P36" i="14" s="1"/>
  <c r="G36" i="14"/>
  <c r="M36" i="14"/>
  <c r="V35" i="14"/>
  <c r="I36" i="14" l="1"/>
  <c r="O36" i="14" s="1"/>
  <c r="K36" i="14"/>
  <c r="V36" i="14"/>
  <c r="J33" i="14"/>
  <c r="U37" i="14"/>
  <c r="M37" i="14"/>
  <c r="Q37" i="14"/>
  <c r="P37" i="14" s="1"/>
  <c r="S37" i="14"/>
  <c r="T37" i="14" s="1"/>
  <c r="R37" i="14"/>
  <c r="A38" i="14"/>
  <c r="N37" i="14"/>
  <c r="G37" i="14"/>
  <c r="I37" i="14" l="1"/>
  <c r="O37" i="14" s="1"/>
  <c r="K37" i="14"/>
  <c r="Q38" i="14"/>
  <c r="P38" i="14" s="1"/>
  <c r="G38" i="14"/>
  <c r="A39" i="14"/>
  <c r="S38" i="14"/>
  <c r="T38" i="14" s="1"/>
  <c r="M38" i="14"/>
  <c r="J38" i="14"/>
  <c r="U38" i="14"/>
  <c r="N38" i="14"/>
  <c r="R38" i="14"/>
  <c r="V37" i="14"/>
  <c r="I38" i="14" l="1"/>
  <c r="O38" i="14" s="1"/>
  <c r="K38" i="14"/>
  <c r="V38" i="14"/>
  <c r="J34" i="14"/>
  <c r="Q39" i="14"/>
  <c r="P39" i="14" s="1"/>
  <c r="N39" i="14"/>
  <c r="A40" i="14"/>
  <c r="S39" i="14"/>
  <c r="T39" i="14" s="1"/>
  <c r="M39" i="14"/>
  <c r="R39" i="14"/>
  <c r="G39" i="14"/>
  <c r="U39" i="14"/>
  <c r="V39" i="14" s="1"/>
  <c r="J39" i="14"/>
  <c r="I39" i="14" l="1"/>
  <c r="O39" i="14" s="1"/>
  <c r="K39" i="14"/>
  <c r="Q40" i="14"/>
  <c r="P40" i="14" s="1"/>
  <c r="N40" i="14"/>
  <c r="S40" i="14"/>
  <c r="T40" i="14" s="1"/>
  <c r="R40" i="14"/>
  <c r="U40" i="14"/>
  <c r="G40" i="14"/>
  <c r="M40" i="14"/>
  <c r="A41" i="14"/>
  <c r="J36" i="14"/>
  <c r="I40" i="14" l="1"/>
  <c r="O40" i="14" s="1"/>
  <c r="K40" i="14"/>
  <c r="V40" i="14"/>
  <c r="M41" i="14"/>
  <c r="U41" i="14"/>
  <c r="N41" i="14"/>
  <c r="S41" i="14"/>
  <c r="T41" i="14" s="1"/>
  <c r="A42" i="14"/>
  <c r="R41" i="14"/>
  <c r="Q41" i="14"/>
  <c r="P41" i="14" s="1"/>
  <c r="G41" i="14"/>
  <c r="J37" i="14"/>
  <c r="I41" i="14" l="1"/>
  <c r="O41" i="14" s="1"/>
  <c r="K41" i="14"/>
  <c r="V41" i="14"/>
  <c r="S42" i="14"/>
  <c r="T42" i="14" s="1"/>
  <c r="J42" i="14"/>
  <c r="A43" i="14"/>
  <c r="R42" i="14"/>
  <c r="N42" i="14"/>
  <c r="G42" i="14"/>
  <c r="Q42" i="14"/>
  <c r="P42" i="14" s="1"/>
  <c r="M42" i="14"/>
  <c r="U42" i="14"/>
  <c r="I42" i="14" l="1"/>
  <c r="O42" i="14" s="1"/>
  <c r="K42" i="14"/>
  <c r="V42" i="14"/>
  <c r="Q43" i="14"/>
  <c r="P43" i="14" s="1"/>
  <c r="N43" i="14"/>
  <c r="S43" i="14"/>
  <c r="T43" i="14" s="1"/>
  <c r="M43" i="14"/>
  <c r="A44" i="14"/>
  <c r="R43" i="14"/>
  <c r="G43" i="14"/>
  <c r="I43" i="14" s="1"/>
  <c r="O43" i="14" s="1"/>
  <c r="U43" i="14"/>
  <c r="K43" i="14" l="1"/>
  <c r="V43" i="14"/>
  <c r="J40" i="14"/>
  <c r="R44" i="14"/>
  <c r="Q44" i="14"/>
  <c r="P44" i="14" s="1"/>
  <c r="M44" i="14"/>
  <c r="G44" i="14"/>
  <c r="U44" i="14"/>
  <c r="S44" i="14"/>
  <c r="T44" i="14" s="1"/>
  <c r="N44" i="14"/>
  <c r="A45" i="14"/>
  <c r="I44" i="14" l="1"/>
  <c r="O44" i="14" s="1"/>
  <c r="K44" i="14"/>
  <c r="V44" i="14"/>
  <c r="Q45" i="14"/>
  <c r="P45" i="14" s="1"/>
  <c r="J45" i="14"/>
  <c r="U45" i="14"/>
  <c r="N45" i="14"/>
  <c r="S45" i="14"/>
  <c r="T45" i="14" s="1"/>
  <c r="G45" i="14"/>
  <c r="R45" i="14"/>
  <c r="M45" i="14"/>
  <c r="A46" i="14"/>
  <c r="K45" i="14" l="1"/>
  <c r="I45" i="14"/>
  <c r="O45" i="14" s="1"/>
  <c r="V45" i="14"/>
  <c r="J41" i="14"/>
  <c r="U46" i="14"/>
  <c r="A47" i="14"/>
  <c r="Q46" i="14"/>
  <c r="P46" i="14" s="1"/>
  <c r="N46" i="14"/>
  <c r="S46" i="14"/>
  <c r="T46" i="14" s="1"/>
  <c r="G46" i="14"/>
  <c r="R46" i="14"/>
  <c r="M46" i="14"/>
  <c r="J46" i="14"/>
  <c r="I46" i="14" l="1"/>
  <c r="O46" i="14" s="1"/>
  <c r="K46" i="14"/>
  <c r="V46" i="14"/>
  <c r="Q47" i="14"/>
  <c r="P47" i="14" s="1"/>
  <c r="M47" i="14"/>
  <c r="G47" i="14"/>
  <c r="R47" i="14"/>
  <c r="S47" i="14"/>
  <c r="T47" i="14" s="1"/>
  <c r="N47" i="14"/>
  <c r="A48" i="14"/>
  <c r="U47" i="14"/>
  <c r="J43" i="14"/>
  <c r="I47" i="14" l="1"/>
  <c r="O47" i="14" s="1"/>
  <c r="K47" i="14"/>
  <c r="V47" i="14"/>
  <c r="J44" i="14"/>
  <c r="Q48" i="14"/>
  <c r="P48" i="14" s="1"/>
  <c r="G48" i="14"/>
  <c r="S48" i="14"/>
  <c r="T48" i="14" s="1"/>
  <c r="M48" i="14"/>
  <c r="U48" i="14"/>
  <c r="A49" i="14"/>
  <c r="A50" i="14" s="1"/>
  <c r="N48" i="14"/>
  <c r="R48" i="14"/>
  <c r="I48" i="14" l="1"/>
  <c r="O48" i="14" s="1"/>
  <c r="K48" i="14"/>
  <c r="V48" i="14"/>
  <c r="S49" i="14"/>
  <c r="T49" i="14" s="1"/>
  <c r="G49" i="14"/>
  <c r="U49" i="14"/>
  <c r="R49" i="14"/>
  <c r="N49" i="14"/>
  <c r="J49" i="14"/>
  <c r="Q49" i="14"/>
  <c r="P49" i="14" s="1"/>
  <c r="M49" i="14"/>
  <c r="I49" i="14" l="1"/>
  <c r="O49" i="14" s="1"/>
  <c r="K49" i="14"/>
  <c r="H50" i="14"/>
  <c r="U50" i="14"/>
  <c r="M50" i="14"/>
  <c r="J50" i="14"/>
  <c r="Q50" i="14"/>
  <c r="P50" i="14" s="1"/>
  <c r="S50" i="14"/>
  <c r="T50" i="14" s="1"/>
  <c r="G50" i="14"/>
  <c r="R50" i="14"/>
  <c r="A16" i="14" s="1"/>
  <c r="N50" i="14"/>
  <c r="N53" i="14" s="1"/>
  <c r="P63" i="15"/>
  <c r="A20" i="15"/>
  <c r="A21" i="15" s="1"/>
  <c r="V49" i="14"/>
  <c r="I50" i="14" l="1"/>
  <c r="O50" i="14" s="1"/>
  <c r="O55" i="14" s="1"/>
  <c r="K50" i="14"/>
  <c r="H25" i="14"/>
  <c r="H32" i="14"/>
  <c r="H39" i="14"/>
  <c r="H46" i="14"/>
  <c r="H21" i="14"/>
  <c r="H28" i="14"/>
  <c r="H35" i="14"/>
  <c r="H42" i="14"/>
  <c r="H49" i="14"/>
  <c r="H26" i="14"/>
  <c r="H33" i="14"/>
  <c r="H40" i="14"/>
  <c r="H47" i="14"/>
  <c r="H24" i="14"/>
  <c r="H31" i="14"/>
  <c r="H38" i="14"/>
  <c r="H45" i="14"/>
  <c r="G52" i="14"/>
  <c r="N52" i="14"/>
  <c r="D53" i="14" s="1"/>
  <c r="H23" i="14"/>
  <c r="H30" i="14"/>
  <c r="H37" i="14"/>
  <c r="H44" i="14"/>
  <c r="H48" i="14"/>
  <c r="H22" i="14"/>
  <c r="H29" i="14"/>
  <c r="H36" i="14"/>
  <c r="H43" i="14"/>
  <c r="H41" i="14"/>
  <c r="H27" i="14"/>
  <c r="J47" i="14"/>
  <c r="T77" i="15"/>
  <c r="Q77" i="15" s="1"/>
  <c r="Q67" i="15"/>
  <c r="T89" i="15"/>
  <c r="Q89" i="15" s="1"/>
  <c r="Q90" i="15" s="1"/>
  <c r="Q91" i="15" s="1"/>
  <c r="Q92" i="15" s="1"/>
  <c r="T83" i="15"/>
  <c r="Q83" i="15" s="1"/>
  <c r="Q66" i="15"/>
  <c r="T88" i="15"/>
  <c r="Q88" i="15" s="1"/>
  <c r="R80" i="15"/>
  <c r="Q68" i="15"/>
  <c r="Q64" i="15"/>
  <c r="Q65" i="15"/>
  <c r="Q21" i="15"/>
  <c r="P21" i="15" s="1"/>
  <c r="R21" i="15"/>
  <c r="U21" i="15"/>
  <c r="N21" i="15"/>
  <c r="A22" i="15"/>
  <c r="G21" i="15"/>
  <c r="M21" i="15"/>
  <c r="H34" i="14"/>
  <c r="V50" i="14"/>
  <c r="V51" i="14" s="1"/>
  <c r="H20" i="14"/>
  <c r="Q20" i="15"/>
  <c r="P20" i="15" s="1"/>
  <c r="R20" i="15"/>
  <c r="U20" i="15"/>
  <c r="G20" i="15"/>
  <c r="M20" i="15"/>
  <c r="N20" i="15"/>
  <c r="I20" i="15" l="1"/>
  <c r="I21" i="15" s="1"/>
  <c r="O21" i="15" s="1"/>
  <c r="Q69" i="15"/>
  <c r="Q71" i="15" s="1"/>
  <c r="Q72" i="15" s="1"/>
  <c r="Q70" i="15"/>
  <c r="Q22" i="15"/>
  <c r="P22" i="15" s="1"/>
  <c r="R22" i="15"/>
  <c r="U22" i="15"/>
  <c r="N22" i="15"/>
  <c r="A23" i="15"/>
  <c r="G22" i="15"/>
  <c r="M22" i="15"/>
  <c r="O20" i="15" l="1"/>
  <c r="I22" i="15"/>
  <c r="O22" i="15" s="1"/>
  <c r="Q73" i="15"/>
  <c r="Q74" i="15" s="1"/>
  <c r="P80" i="15" s="1"/>
  <c r="Q23" i="15"/>
  <c r="P23" i="15" s="1"/>
  <c r="R23" i="15"/>
  <c r="U23" i="15"/>
  <c r="N23" i="15"/>
  <c r="A24" i="15"/>
  <c r="G23" i="15"/>
  <c r="M23" i="15"/>
  <c r="J48" i="14"/>
  <c r="J22" i="15"/>
  <c r="I23" i="15" l="1"/>
  <c r="O23" i="15" s="1"/>
  <c r="Q24" i="15"/>
  <c r="P24" i="15" s="1"/>
  <c r="R24" i="15"/>
  <c r="U24" i="15"/>
  <c r="N24" i="15"/>
  <c r="J24" i="15"/>
  <c r="M24" i="15"/>
  <c r="A25" i="15"/>
  <c r="H24" i="15"/>
  <c r="G24" i="15"/>
  <c r="T81" i="15"/>
  <c r="S80" i="15" s="1"/>
  <c r="S81" i="15"/>
  <c r="I24" i="15" l="1"/>
  <c r="O24" i="15" s="1"/>
  <c r="H56" i="14"/>
  <c r="E56" i="14" s="1"/>
  <c r="K52" i="14" s="1"/>
  <c r="T80" i="15"/>
  <c r="Q80" i="15" s="1"/>
  <c r="Q81" i="15" s="1"/>
  <c r="Q25" i="15"/>
  <c r="P25" i="15" s="1"/>
  <c r="R25" i="15"/>
  <c r="U25" i="15"/>
  <c r="M25" i="15"/>
  <c r="J25" i="15"/>
  <c r="N25" i="15"/>
  <c r="A26" i="15"/>
  <c r="G25" i="15"/>
  <c r="I25" i="15" l="1"/>
  <c r="O25" i="15" s="1"/>
  <c r="G56" i="14"/>
  <c r="J52" i="14"/>
  <c r="M16" i="15" s="1"/>
  <c r="D54" i="15" s="1"/>
  <c r="N55" i="15" s="1"/>
  <c r="N16" i="15" s="1"/>
  <c r="J23" i="15" s="1"/>
  <c r="K56" i="14"/>
  <c r="L56" i="14" s="1"/>
  <c r="K54" i="14"/>
  <c r="Q87" i="15"/>
  <c r="Q79" i="15"/>
  <c r="Q85" i="15"/>
  <c r="Q86" i="15" s="1"/>
  <c r="Q84" i="15"/>
  <c r="Q78" i="15"/>
  <c r="Q26" i="15"/>
  <c r="P26" i="15" s="1"/>
  <c r="R26" i="15"/>
  <c r="U26" i="15"/>
  <c r="N26" i="15"/>
  <c r="G26" i="15"/>
  <c r="A27" i="15"/>
  <c r="M26" i="15"/>
  <c r="I26" i="15" l="1"/>
  <c r="O26" i="15" s="1"/>
  <c r="J20" i="15"/>
  <c r="J21" i="15"/>
  <c r="I56" i="14"/>
  <c r="J56" i="14" s="1"/>
  <c r="H54" i="14" s="1"/>
  <c r="S23" i="15"/>
  <c r="S22" i="15"/>
  <c r="S25" i="15"/>
  <c r="S26" i="15"/>
  <c r="T26" i="15" s="1"/>
  <c r="K26" i="15" s="1"/>
  <c r="S20" i="15"/>
  <c r="S24" i="15"/>
  <c r="S21" i="15"/>
  <c r="Q27" i="15"/>
  <c r="P27" i="15" s="1"/>
  <c r="R27" i="15"/>
  <c r="U27" i="15"/>
  <c r="S27" i="15"/>
  <c r="T27" i="15" s="1"/>
  <c r="N27" i="15"/>
  <c r="A30" i="15"/>
  <c r="M27" i="15"/>
  <c r="A28" i="15"/>
  <c r="G27" i="15"/>
  <c r="I27" i="15" l="1"/>
  <c r="O27" i="15" s="1"/>
  <c r="K27" i="15"/>
  <c r="V26" i="15"/>
  <c r="T22" i="15"/>
  <c r="K22" i="15" s="1"/>
  <c r="T21" i="15"/>
  <c r="K21" i="15" s="1"/>
  <c r="T25" i="15"/>
  <c r="K25" i="15" s="1"/>
  <c r="T20" i="15"/>
  <c r="K20" i="15" s="1"/>
  <c r="T24" i="15"/>
  <c r="K24" i="15" s="1"/>
  <c r="T23" i="15"/>
  <c r="K23" i="15" s="1"/>
  <c r="Q30" i="15"/>
  <c r="P30" i="15" s="1"/>
  <c r="R30" i="15"/>
  <c r="U30" i="15"/>
  <c r="S30" i="15"/>
  <c r="T30" i="15" s="1"/>
  <c r="M30" i="15"/>
  <c r="G30" i="15"/>
  <c r="N30" i="15"/>
  <c r="A32" i="15"/>
  <c r="Q28" i="15"/>
  <c r="P28" i="15" s="1"/>
  <c r="R28" i="15"/>
  <c r="U28" i="15"/>
  <c r="S28" i="15"/>
  <c r="T28" i="15" s="1"/>
  <c r="N28" i="15"/>
  <c r="G28" i="15"/>
  <c r="A29" i="15"/>
  <c r="M28" i="15"/>
  <c r="A31" i="15"/>
  <c r="V27" i="15"/>
  <c r="I28" i="15" l="1"/>
  <c r="O28" i="15" s="1"/>
  <c r="K28" i="15"/>
  <c r="K30" i="15"/>
  <c r="V24" i="15"/>
  <c r="V22" i="15"/>
  <c r="V20" i="15"/>
  <c r="V25" i="15"/>
  <c r="V23" i="15"/>
  <c r="V21" i="15"/>
  <c r="J26" i="15"/>
  <c r="V28" i="15"/>
  <c r="V30" i="15"/>
  <c r="Q31" i="15"/>
  <c r="P31" i="15" s="1"/>
  <c r="R31" i="15"/>
  <c r="U31" i="15"/>
  <c r="S31" i="15"/>
  <c r="T31" i="15" s="1"/>
  <c r="J31" i="15"/>
  <c r="M31" i="15"/>
  <c r="G31" i="15"/>
  <c r="N31" i="15"/>
  <c r="H31" i="15"/>
  <c r="Q32" i="15"/>
  <c r="P32" i="15" s="1"/>
  <c r="R32" i="15"/>
  <c r="U32" i="15"/>
  <c r="S32" i="15"/>
  <c r="T32" i="15" s="1"/>
  <c r="N32" i="15"/>
  <c r="G32" i="15"/>
  <c r="A33" i="15"/>
  <c r="M32" i="15"/>
  <c r="J32" i="15"/>
  <c r="Q29" i="15"/>
  <c r="P29" i="15" s="1"/>
  <c r="R29" i="15"/>
  <c r="U29" i="15"/>
  <c r="S29" i="15"/>
  <c r="T29" i="15" s="1"/>
  <c r="G29" i="15"/>
  <c r="N29" i="15"/>
  <c r="J29" i="15"/>
  <c r="M29" i="15"/>
  <c r="I29" i="15" l="1"/>
  <c r="J28" i="15"/>
  <c r="K29" i="15"/>
  <c r="K32" i="15"/>
  <c r="K31" i="15"/>
  <c r="J27" i="15"/>
  <c r="V29" i="15"/>
  <c r="V31" i="15"/>
  <c r="Q33" i="15"/>
  <c r="P33" i="15" s="1"/>
  <c r="R33" i="15"/>
  <c r="U33" i="15"/>
  <c r="S33" i="15"/>
  <c r="T33" i="15" s="1"/>
  <c r="M33" i="15"/>
  <c r="N33" i="15"/>
  <c r="G33" i="15"/>
  <c r="A34" i="15"/>
  <c r="V32" i="15"/>
  <c r="I30" i="15" l="1"/>
  <c r="O29" i="15"/>
  <c r="I33" i="15"/>
  <c r="O33" i="15" s="1"/>
  <c r="J30" i="15"/>
  <c r="K33" i="15"/>
  <c r="Q34" i="15"/>
  <c r="P34" i="15" s="1"/>
  <c r="R34" i="15"/>
  <c r="U34" i="15"/>
  <c r="S34" i="15"/>
  <c r="T34" i="15" s="1"/>
  <c r="A35" i="15"/>
  <c r="N34" i="15"/>
  <c r="M34" i="15"/>
  <c r="G34" i="15"/>
  <c r="V33" i="15"/>
  <c r="I31" i="15" l="1"/>
  <c r="O30" i="15"/>
  <c r="I34" i="15"/>
  <c r="O34" i="15" s="1"/>
  <c r="K34" i="15"/>
  <c r="V34" i="15"/>
  <c r="G35" i="15"/>
  <c r="Q35" i="15"/>
  <c r="P35" i="15" s="1"/>
  <c r="S35" i="15"/>
  <c r="T35" i="15" s="1"/>
  <c r="R35" i="15"/>
  <c r="M35" i="15"/>
  <c r="U35" i="15"/>
  <c r="N35" i="15"/>
  <c r="A36" i="15"/>
  <c r="I32" i="15" l="1"/>
  <c r="O32" i="15" s="1"/>
  <c r="O31" i="15"/>
  <c r="I35" i="15"/>
  <c r="O35" i="15" s="1"/>
  <c r="K35" i="15"/>
  <c r="V35" i="15"/>
  <c r="R36" i="15"/>
  <c r="N36" i="15"/>
  <c r="A37" i="15"/>
  <c r="S36" i="15"/>
  <c r="T36" i="15" s="1"/>
  <c r="G36" i="15"/>
  <c r="Q36" i="15"/>
  <c r="P36" i="15" s="1"/>
  <c r="M36" i="15"/>
  <c r="J36" i="15"/>
  <c r="U36" i="15"/>
  <c r="I36" i="15" l="1"/>
  <c r="O36" i="15" s="1"/>
  <c r="K36" i="15"/>
  <c r="V36" i="15"/>
  <c r="J33" i="15"/>
  <c r="U37" i="15"/>
  <c r="M37" i="15"/>
  <c r="Q37" i="15"/>
  <c r="P37" i="15" s="1"/>
  <c r="G37" i="15"/>
  <c r="S37" i="15"/>
  <c r="T37" i="15" s="1"/>
  <c r="A38" i="15"/>
  <c r="N37" i="15"/>
  <c r="R37" i="15"/>
  <c r="I37" i="15" l="1"/>
  <c r="O37" i="15" s="1"/>
  <c r="K37" i="15"/>
  <c r="J34" i="15"/>
  <c r="N38" i="15"/>
  <c r="R38" i="15"/>
  <c r="M38" i="15"/>
  <c r="G38" i="15"/>
  <c r="S38" i="15"/>
  <c r="T38" i="15" s="1"/>
  <c r="J38" i="15"/>
  <c r="U38" i="15"/>
  <c r="H38" i="15"/>
  <c r="A39" i="15"/>
  <c r="Q38" i="15"/>
  <c r="P38" i="15" s="1"/>
  <c r="V37" i="15"/>
  <c r="I38" i="15" l="1"/>
  <c r="O38" i="15" s="1"/>
  <c r="J35" i="15"/>
  <c r="K38" i="15"/>
  <c r="V38" i="15"/>
  <c r="M39" i="15"/>
  <c r="N39" i="15"/>
  <c r="J39" i="15"/>
  <c r="Q39" i="15"/>
  <c r="P39" i="15" s="1"/>
  <c r="G39" i="15"/>
  <c r="S39" i="15"/>
  <c r="T39" i="15" s="1"/>
  <c r="A40" i="15"/>
  <c r="U39" i="15"/>
  <c r="R39" i="15"/>
  <c r="I39" i="15" l="1"/>
  <c r="O39" i="15" s="1"/>
  <c r="K39" i="15"/>
  <c r="V39" i="15"/>
  <c r="R40" i="15"/>
  <c r="Q40" i="15"/>
  <c r="P40" i="15" s="1"/>
  <c r="U40" i="15"/>
  <c r="N40" i="15"/>
  <c r="S40" i="15"/>
  <c r="T40" i="15" s="1"/>
  <c r="M40" i="15"/>
  <c r="A41" i="15"/>
  <c r="G40" i="15"/>
  <c r="I40" i="15" l="1"/>
  <c r="O40" i="15" s="1"/>
  <c r="J37" i="15"/>
  <c r="K40" i="15"/>
  <c r="S41" i="15"/>
  <c r="T41" i="15" s="1"/>
  <c r="M41" i="15"/>
  <c r="R41" i="15"/>
  <c r="N41" i="15"/>
  <c r="Q41" i="15"/>
  <c r="P41" i="15" s="1"/>
  <c r="G41" i="15"/>
  <c r="A42" i="15"/>
  <c r="U41" i="15"/>
  <c r="V40" i="15"/>
  <c r="I41" i="15" l="1"/>
  <c r="O41" i="15" s="1"/>
  <c r="K41" i="15"/>
  <c r="V41" i="15"/>
  <c r="G42" i="15"/>
  <c r="R42" i="15"/>
  <c r="M42" i="15"/>
  <c r="U42" i="15"/>
  <c r="N42" i="15"/>
  <c r="Q42" i="15"/>
  <c r="P42" i="15" s="1"/>
  <c r="S42" i="15"/>
  <c r="T42" i="15" s="1"/>
  <c r="A43" i="15"/>
  <c r="I42" i="15" l="1"/>
  <c r="O42" i="15" s="1"/>
  <c r="J40" i="15"/>
  <c r="K42" i="15"/>
  <c r="V42" i="15"/>
  <c r="Q43" i="15"/>
  <c r="P43" i="15" s="1"/>
  <c r="N43" i="15"/>
  <c r="A44" i="15"/>
  <c r="U43" i="15"/>
  <c r="R43" i="15"/>
  <c r="G43" i="15"/>
  <c r="S43" i="15"/>
  <c r="T43" i="15" s="1"/>
  <c r="M43" i="15"/>
  <c r="J43" i="15"/>
  <c r="I43" i="15" l="1"/>
  <c r="O43" i="15" s="1"/>
  <c r="K43" i="15"/>
  <c r="V43" i="15"/>
  <c r="M44" i="15"/>
  <c r="U44" i="15"/>
  <c r="G44" i="15"/>
  <c r="R44" i="15"/>
  <c r="Q44" i="15"/>
  <c r="P44" i="15" s="1"/>
  <c r="N44" i="15"/>
  <c r="A45" i="15"/>
  <c r="S44" i="15"/>
  <c r="T44" i="15" s="1"/>
  <c r="J41" i="15"/>
  <c r="J42" i="15"/>
  <c r="I44" i="15" l="1"/>
  <c r="O44" i="15" s="1"/>
  <c r="K44" i="15"/>
  <c r="V44" i="15"/>
  <c r="S45" i="15"/>
  <c r="T45" i="15" s="1"/>
  <c r="N45" i="15"/>
  <c r="Q45" i="15"/>
  <c r="P45" i="15" s="1"/>
  <c r="G45" i="15"/>
  <c r="R45" i="15"/>
  <c r="H45" i="15"/>
  <c r="J45" i="15"/>
  <c r="A46" i="15"/>
  <c r="U45" i="15"/>
  <c r="M45" i="15"/>
  <c r="I45" i="15" l="1"/>
  <c r="O45" i="15" s="1"/>
  <c r="K45" i="15"/>
  <c r="V45" i="15"/>
  <c r="S46" i="15"/>
  <c r="T46" i="15" s="1"/>
  <c r="G46" i="15"/>
  <c r="U46" i="15"/>
  <c r="Q46" i="15"/>
  <c r="P46" i="15" s="1"/>
  <c r="N46" i="15"/>
  <c r="A47" i="15"/>
  <c r="R46" i="15"/>
  <c r="J46" i="15"/>
  <c r="M46" i="15"/>
  <c r="J44" i="15"/>
  <c r="I46" i="15" l="1"/>
  <c r="O46" i="15" s="1"/>
  <c r="K46" i="15"/>
  <c r="V46" i="15"/>
  <c r="S47" i="15"/>
  <c r="T47" i="15" s="1"/>
  <c r="N47" i="15"/>
  <c r="A48" i="15"/>
  <c r="R47" i="15"/>
  <c r="Q47" i="15"/>
  <c r="P47" i="15" s="1"/>
  <c r="G47" i="15"/>
  <c r="U47" i="15"/>
  <c r="M47" i="15"/>
  <c r="I47" i="15" l="1"/>
  <c r="O47" i="15" s="1"/>
  <c r="K47" i="15"/>
  <c r="V47" i="15"/>
  <c r="Q48" i="15"/>
  <c r="P48" i="15" s="1"/>
  <c r="S48" i="15"/>
  <c r="T48" i="15" s="1"/>
  <c r="N48" i="15"/>
  <c r="R48" i="15"/>
  <c r="M48" i="15"/>
  <c r="U48" i="15"/>
  <c r="G48" i="15"/>
  <c r="A49" i="15"/>
  <c r="I48" i="15" l="1"/>
  <c r="O48" i="15" s="1"/>
  <c r="K48" i="15"/>
  <c r="V48" i="15"/>
  <c r="S49" i="15"/>
  <c r="T49" i="15" s="1"/>
  <c r="M49" i="15"/>
  <c r="A50" i="15"/>
  <c r="Q49" i="15"/>
  <c r="P49" i="15" s="1"/>
  <c r="N49" i="15"/>
  <c r="U49" i="15"/>
  <c r="G49" i="15"/>
  <c r="R49" i="15"/>
  <c r="J47" i="15"/>
  <c r="I49" i="15" l="1"/>
  <c r="O49" i="15" s="1"/>
  <c r="K49" i="15"/>
  <c r="V49" i="15"/>
  <c r="M50" i="15"/>
  <c r="R50" i="15"/>
  <c r="A16" i="15" s="1"/>
  <c r="J50" i="15"/>
  <c r="Q50" i="15"/>
  <c r="P50" i="15" s="1"/>
  <c r="H50" i="15"/>
  <c r="G50" i="15"/>
  <c r="S50" i="15"/>
  <c r="T50" i="15" s="1"/>
  <c r="N50" i="15"/>
  <c r="U50" i="15"/>
  <c r="P63" i="16"/>
  <c r="A20" i="16"/>
  <c r="A21" i="16" s="1"/>
  <c r="R21" i="16" s="1"/>
  <c r="I50" i="15" l="1"/>
  <c r="O50" i="15" s="1"/>
  <c r="O55" i="15" s="1"/>
  <c r="K50" i="15"/>
  <c r="H22" i="15"/>
  <c r="H29" i="15"/>
  <c r="H36" i="15"/>
  <c r="H43" i="15"/>
  <c r="H25" i="15"/>
  <c r="H32" i="15"/>
  <c r="H39" i="15"/>
  <c r="H46" i="15"/>
  <c r="H23" i="15"/>
  <c r="H30" i="15"/>
  <c r="H37" i="15"/>
  <c r="H44" i="15"/>
  <c r="H47" i="15"/>
  <c r="H21" i="15"/>
  <c r="H28" i="15"/>
  <c r="H35" i="15"/>
  <c r="H42" i="15"/>
  <c r="H49" i="15"/>
  <c r="G52" i="15"/>
  <c r="H26" i="15"/>
  <c r="H33" i="15"/>
  <c r="H40" i="15"/>
  <c r="U21" i="16"/>
  <c r="A22" i="16"/>
  <c r="N22" i="16" s="1"/>
  <c r="N21" i="16"/>
  <c r="Q21" i="16"/>
  <c r="P21" i="16" s="1"/>
  <c r="G21" i="16"/>
  <c r="M21" i="16"/>
  <c r="R20" i="16"/>
  <c r="U20" i="16"/>
  <c r="M20" i="16"/>
  <c r="Q20" i="16"/>
  <c r="P20" i="16" s="1"/>
  <c r="N20" i="16"/>
  <c r="G20" i="16"/>
  <c r="N52" i="15"/>
  <c r="D53" i="15" s="1"/>
  <c r="N53" i="15"/>
  <c r="Q67" i="16"/>
  <c r="Q65" i="16"/>
  <c r="T89" i="16"/>
  <c r="Q89" i="16" s="1"/>
  <c r="Q90" i="16" s="1"/>
  <c r="Q91" i="16" s="1"/>
  <c r="Q92" i="16" s="1"/>
  <c r="Q68" i="16"/>
  <c r="Q66" i="16"/>
  <c r="Q64" i="16"/>
  <c r="T83" i="16"/>
  <c r="Q83" i="16" s="1"/>
  <c r="T88" i="16"/>
  <c r="Q88" i="16" s="1"/>
  <c r="T77" i="16"/>
  <c r="Q77" i="16" s="1"/>
  <c r="R80" i="16"/>
  <c r="V50" i="15"/>
  <c r="V51" i="15" s="1"/>
  <c r="H20" i="15"/>
  <c r="H27" i="15"/>
  <c r="H34" i="15"/>
  <c r="H41" i="15"/>
  <c r="H48" i="15"/>
  <c r="J48" i="15"/>
  <c r="J49" i="15"/>
  <c r="I20" i="16" l="1"/>
  <c r="I21" i="16" s="1"/>
  <c r="O21" i="16" s="1"/>
  <c r="A23" i="16"/>
  <c r="N23" i="16" s="1"/>
  <c r="M22" i="16"/>
  <c r="Q22" i="16"/>
  <c r="P22" i="16" s="1"/>
  <c r="U22" i="16"/>
  <c r="R22" i="16"/>
  <c r="G22" i="16"/>
  <c r="Q69" i="16"/>
  <c r="Q71" i="16" s="1"/>
  <c r="Q72" i="16" s="1"/>
  <c r="Q70" i="16"/>
  <c r="O20" i="16" l="1"/>
  <c r="I22" i="16"/>
  <c r="O22" i="16" s="1"/>
  <c r="H56" i="15"/>
  <c r="E56" i="15" s="1"/>
  <c r="K52" i="15" s="1"/>
  <c r="J23" i="16"/>
  <c r="Q23" i="16"/>
  <c r="P23" i="16" s="1"/>
  <c r="M23" i="16"/>
  <c r="R23" i="16"/>
  <c r="A24" i="16"/>
  <c r="Q24" i="16" s="1"/>
  <c r="P24" i="16" s="1"/>
  <c r="G23" i="16"/>
  <c r="U23" i="16"/>
  <c r="Q73" i="16"/>
  <c r="Q74" i="16" s="1"/>
  <c r="P80" i="16" s="1"/>
  <c r="S81" i="16" s="1"/>
  <c r="J22" i="16"/>
  <c r="I23" i="16" l="1"/>
  <c r="O23" i="16" s="1"/>
  <c r="G56" i="15"/>
  <c r="K56" i="15"/>
  <c r="L56" i="15" s="1"/>
  <c r="K54" i="15" s="1"/>
  <c r="J52" i="15"/>
  <c r="M16" i="16" s="1"/>
  <c r="D54" i="16" s="1"/>
  <c r="N55" i="16" s="1"/>
  <c r="N16" i="16" s="1"/>
  <c r="J20" i="16" s="1"/>
  <c r="N24" i="16"/>
  <c r="A25" i="16"/>
  <c r="R25" i="16" s="1"/>
  <c r="U24" i="16"/>
  <c r="R24" i="16"/>
  <c r="M24" i="16"/>
  <c r="G24" i="16"/>
  <c r="T81" i="16"/>
  <c r="S80" i="16" s="1"/>
  <c r="T80" i="16" s="1"/>
  <c r="Q80" i="16" s="1"/>
  <c r="I24" i="16" l="1"/>
  <c r="O24" i="16" s="1"/>
  <c r="J21" i="16"/>
  <c r="U25" i="16"/>
  <c r="G25" i="16"/>
  <c r="I56" i="15"/>
  <c r="J56" i="15" s="1"/>
  <c r="H54" i="15" s="1"/>
  <c r="Q25" i="16"/>
  <c r="P25" i="16" s="1"/>
  <c r="A26" i="16"/>
  <c r="R26" i="16" s="1"/>
  <c r="N25" i="16"/>
  <c r="M25" i="16"/>
  <c r="Q79" i="16"/>
  <c r="Q81" i="16"/>
  <c r="Q78" i="16"/>
  <c r="Q84" i="16"/>
  <c r="Q85" i="16"/>
  <c r="Q86" i="16" s="1"/>
  <c r="Q87" i="16"/>
  <c r="I25" i="16" l="1"/>
  <c r="O25" i="16" s="1"/>
  <c r="Q26" i="16"/>
  <c r="P26" i="16" s="1"/>
  <c r="J26" i="16"/>
  <c r="N26" i="16"/>
  <c r="G26" i="16"/>
  <c r="U26" i="16"/>
  <c r="A27" i="16"/>
  <c r="R27" i="16" s="1"/>
  <c r="M26" i="16"/>
  <c r="S26" i="16"/>
  <c r="T26" i="16" s="1"/>
  <c r="S21" i="16"/>
  <c r="S23" i="16"/>
  <c r="S25" i="16"/>
  <c r="S22" i="16"/>
  <c r="S20" i="16"/>
  <c r="S24" i="16"/>
  <c r="J24" i="16"/>
  <c r="I26" i="16" l="1"/>
  <c r="O26" i="16" s="1"/>
  <c r="K26" i="16"/>
  <c r="Q27" i="16"/>
  <c r="P27" i="16" s="1"/>
  <c r="G27" i="16"/>
  <c r="M27" i="16"/>
  <c r="U27" i="16"/>
  <c r="A30" i="16"/>
  <c r="S30" i="16" s="1"/>
  <c r="T30" i="16" s="1"/>
  <c r="N27" i="16"/>
  <c r="S27" i="16"/>
  <c r="T27" i="16" s="1"/>
  <c r="A28" i="16"/>
  <c r="R28" i="16" s="1"/>
  <c r="V26" i="16"/>
  <c r="T25" i="16"/>
  <c r="K25" i="16" s="1"/>
  <c r="T24" i="16"/>
  <c r="K24" i="16" s="1"/>
  <c r="T20" i="16"/>
  <c r="K20" i="16" s="1"/>
  <c r="T21" i="16"/>
  <c r="K21" i="16" s="1"/>
  <c r="T23" i="16"/>
  <c r="K23" i="16" s="1"/>
  <c r="T22" i="16"/>
  <c r="K22" i="16" s="1"/>
  <c r="J25" i="16"/>
  <c r="I27" i="16" l="1"/>
  <c r="O27" i="16" s="1"/>
  <c r="K27" i="16"/>
  <c r="V22" i="16"/>
  <c r="V24" i="16"/>
  <c r="V20" i="16"/>
  <c r="V23" i="16"/>
  <c r="V25" i="16"/>
  <c r="V21" i="16"/>
  <c r="M30" i="16"/>
  <c r="U30" i="16"/>
  <c r="V30" i="16" s="1"/>
  <c r="J30" i="16"/>
  <c r="Q28" i="16"/>
  <c r="P28" i="16" s="1"/>
  <c r="G30" i="16"/>
  <c r="V27" i="16"/>
  <c r="R30" i="16"/>
  <c r="N30" i="16"/>
  <c r="Q30" i="16"/>
  <c r="P30" i="16" s="1"/>
  <c r="A32" i="16"/>
  <c r="G32" i="16" s="1"/>
  <c r="G28" i="16"/>
  <c r="A31" i="16"/>
  <c r="Q31" i="16" s="1"/>
  <c r="P31" i="16" s="1"/>
  <c r="N28" i="16"/>
  <c r="S28" i="16"/>
  <c r="T28" i="16" s="1"/>
  <c r="A29" i="16"/>
  <c r="S29" i="16" s="1"/>
  <c r="T29" i="16" s="1"/>
  <c r="U28" i="16"/>
  <c r="M28" i="16"/>
  <c r="I28" i="16" l="1"/>
  <c r="O28" i="16" s="1"/>
  <c r="K30" i="16"/>
  <c r="K28" i="16"/>
  <c r="G31" i="16"/>
  <c r="U31" i="16"/>
  <c r="J29" i="16"/>
  <c r="N31" i="16"/>
  <c r="R31" i="16"/>
  <c r="S31" i="16"/>
  <c r="T31" i="16" s="1"/>
  <c r="M31" i="16"/>
  <c r="A33" i="16"/>
  <c r="Q33" i="16" s="1"/>
  <c r="P33" i="16" s="1"/>
  <c r="M32" i="16"/>
  <c r="R32" i="16"/>
  <c r="Q32" i="16"/>
  <c r="P32" i="16" s="1"/>
  <c r="Q29" i="16"/>
  <c r="P29" i="16" s="1"/>
  <c r="U29" i="16"/>
  <c r="V29" i="16" s="1"/>
  <c r="M29" i="16"/>
  <c r="N29" i="16"/>
  <c r="R29" i="16"/>
  <c r="V28" i="16"/>
  <c r="S32" i="16"/>
  <c r="T32" i="16" s="1"/>
  <c r="N32" i="16"/>
  <c r="U32" i="16"/>
  <c r="G29" i="16"/>
  <c r="I29" i="16" l="1"/>
  <c r="U33" i="16"/>
  <c r="K31" i="16"/>
  <c r="K29" i="16"/>
  <c r="K32" i="16"/>
  <c r="J33" i="16"/>
  <c r="V31" i="16"/>
  <c r="N33" i="16"/>
  <c r="G33" i="16"/>
  <c r="R33" i="16"/>
  <c r="M33" i="16"/>
  <c r="S33" i="16"/>
  <c r="T33" i="16" s="1"/>
  <c r="A34" i="16"/>
  <c r="S34" i="16" s="1"/>
  <c r="T34" i="16" s="1"/>
  <c r="V32" i="16"/>
  <c r="J27" i="16"/>
  <c r="J28" i="16"/>
  <c r="I30" i="16" l="1"/>
  <c r="O29" i="16"/>
  <c r="I33" i="16"/>
  <c r="O33" i="16" s="1"/>
  <c r="K33" i="16"/>
  <c r="V33" i="16"/>
  <c r="A35" i="16"/>
  <c r="R35" i="16" s="1"/>
  <c r="G34" i="16"/>
  <c r="U34" i="16"/>
  <c r="V34" i="16" s="1"/>
  <c r="N34" i="16"/>
  <c r="Q34" i="16"/>
  <c r="P34" i="16" s="1"/>
  <c r="R34" i="16"/>
  <c r="M34" i="16"/>
  <c r="I31" i="16" l="1"/>
  <c r="O30" i="16"/>
  <c r="I34" i="16"/>
  <c r="O34" i="16" s="1"/>
  <c r="K34" i="16"/>
  <c r="Q35" i="16"/>
  <c r="P35" i="16" s="1"/>
  <c r="M35" i="16"/>
  <c r="S35" i="16"/>
  <c r="T35" i="16" s="1"/>
  <c r="A36" i="16"/>
  <c r="R36" i="16" s="1"/>
  <c r="N35" i="16"/>
  <c r="U35" i="16"/>
  <c r="G35" i="16"/>
  <c r="I32" i="16" l="1"/>
  <c r="O32" i="16" s="1"/>
  <c r="O31" i="16"/>
  <c r="I35" i="16"/>
  <c r="O35" i="16" s="1"/>
  <c r="K35" i="16"/>
  <c r="V35" i="16"/>
  <c r="A37" i="16"/>
  <c r="U37" i="16" s="1"/>
  <c r="U36" i="16"/>
  <c r="J36" i="16"/>
  <c r="S36" i="16"/>
  <c r="T36" i="16" s="1"/>
  <c r="M36" i="16"/>
  <c r="G36" i="16"/>
  <c r="Q36" i="16"/>
  <c r="P36" i="16" s="1"/>
  <c r="N36" i="16"/>
  <c r="J31" i="16"/>
  <c r="I36" i="16" l="1"/>
  <c r="O36" i="16" s="1"/>
  <c r="K36" i="16"/>
  <c r="J37" i="16"/>
  <c r="M37" i="16"/>
  <c r="R37" i="16"/>
  <c r="S37" i="16"/>
  <c r="T37" i="16" s="1"/>
  <c r="A38" i="16"/>
  <c r="U38" i="16" s="1"/>
  <c r="N37" i="16"/>
  <c r="Q37" i="16"/>
  <c r="P37" i="16" s="1"/>
  <c r="G37" i="16"/>
  <c r="V36" i="16"/>
  <c r="J32" i="16"/>
  <c r="I37" i="16" l="1"/>
  <c r="O37" i="16" s="1"/>
  <c r="K37" i="16"/>
  <c r="V37" i="16"/>
  <c r="Q38" i="16"/>
  <c r="P38" i="16" s="1"/>
  <c r="G38" i="16"/>
  <c r="S38" i="16"/>
  <c r="T38" i="16" s="1"/>
  <c r="N38" i="16"/>
  <c r="A39" i="16"/>
  <c r="R39" i="16" s="1"/>
  <c r="R38" i="16"/>
  <c r="M38" i="16"/>
  <c r="I38" i="16" l="1"/>
  <c r="O38" i="16" s="1"/>
  <c r="K38" i="16"/>
  <c r="V38" i="16"/>
  <c r="G39" i="16"/>
  <c r="Q39" i="16"/>
  <c r="P39" i="16" s="1"/>
  <c r="M39" i="16"/>
  <c r="U39" i="16"/>
  <c r="N39" i="16"/>
  <c r="S39" i="16"/>
  <c r="T39" i="16" s="1"/>
  <c r="A40" i="16"/>
  <c r="Q40" i="16" s="1"/>
  <c r="P40" i="16" s="1"/>
  <c r="I39" i="16" l="1"/>
  <c r="O39" i="16" s="1"/>
  <c r="K39" i="16"/>
  <c r="R40" i="16"/>
  <c r="S40" i="16"/>
  <c r="T40" i="16" s="1"/>
  <c r="V39" i="16"/>
  <c r="G40" i="16"/>
  <c r="J40" i="16"/>
  <c r="M40" i="16"/>
  <c r="U40" i="16"/>
  <c r="A41" i="16"/>
  <c r="M41" i="16" s="1"/>
  <c r="N40" i="16"/>
  <c r="J34" i="16"/>
  <c r="J35" i="16"/>
  <c r="I40" i="16" l="1"/>
  <c r="O40" i="16" s="1"/>
  <c r="K40" i="16"/>
  <c r="V40" i="16"/>
  <c r="Q41" i="16"/>
  <c r="P41" i="16" s="1"/>
  <c r="A42" i="16"/>
  <c r="U42" i="16" s="1"/>
  <c r="R41" i="16"/>
  <c r="G41" i="16"/>
  <c r="S41" i="16"/>
  <c r="T41" i="16" s="1"/>
  <c r="N41" i="16"/>
  <c r="U41" i="16"/>
  <c r="I41" i="16" l="1"/>
  <c r="O41" i="16" s="1"/>
  <c r="K41" i="16"/>
  <c r="V41" i="16"/>
  <c r="S42" i="16"/>
  <c r="T42" i="16" s="1"/>
  <c r="G42" i="16"/>
  <c r="N42" i="16"/>
  <c r="A43" i="16"/>
  <c r="S43" i="16" s="1"/>
  <c r="T43" i="16" s="1"/>
  <c r="M42" i="16"/>
  <c r="R42" i="16"/>
  <c r="Q42" i="16"/>
  <c r="P42" i="16" s="1"/>
  <c r="I42" i="16" l="1"/>
  <c r="O42" i="16" s="1"/>
  <c r="K42" i="16"/>
  <c r="V42" i="16"/>
  <c r="G43" i="16"/>
  <c r="R43" i="16"/>
  <c r="Q43" i="16"/>
  <c r="P43" i="16" s="1"/>
  <c r="A44" i="16"/>
  <c r="Q44" i="16" s="1"/>
  <c r="P44" i="16" s="1"/>
  <c r="M43" i="16"/>
  <c r="U43" i="16"/>
  <c r="V43" i="16" s="1"/>
  <c r="J43" i="16"/>
  <c r="N43" i="16"/>
  <c r="J38" i="16"/>
  <c r="I43" i="16" l="1"/>
  <c r="O43" i="16" s="1"/>
  <c r="K43" i="16"/>
  <c r="G44" i="16"/>
  <c r="S44" i="16"/>
  <c r="T44" i="16" s="1"/>
  <c r="J44" i="16"/>
  <c r="N44" i="16"/>
  <c r="U44" i="16"/>
  <c r="A45" i="16"/>
  <c r="R45" i="16" s="1"/>
  <c r="M44" i="16"/>
  <c r="R44" i="16"/>
  <c r="J39" i="16"/>
  <c r="I44" i="16" l="1"/>
  <c r="O44" i="16" s="1"/>
  <c r="K44" i="16"/>
  <c r="V44" i="16"/>
  <c r="S45" i="16"/>
  <c r="T45" i="16" s="1"/>
  <c r="Q45" i="16"/>
  <c r="P45" i="16" s="1"/>
  <c r="G45" i="16"/>
  <c r="N45" i="16"/>
  <c r="M45" i="16"/>
  <c r="U45" i="16"/>
  <c r="A46" i="16"/>
  <c r="U46" i="16" s="1"/>
  <c r="I45" i="16" l="1"/>
  <c r="O45" i="16" s="1"/>
  <c r="K45" i="16"/>
  <c r="V45" i="16"/>
  <c r="R46" i="16"/>
  <c r="A47" i="16"/>
  <c r="R47" i="16" s="1"/>
  <c r="Q46" i="16"/>
  <c r="P46" i="16" s="1"/>
  <c r="N46" i="16"/>
  <c r="S46" i="16"/>
  <c r="T46" i="16" s="1"/>
  <c r="M46" i="16"/>
  <c r="G46" i="16"/>
  <c r="I46" i="16" l="1"/>
  <c r="O46" i="16" s="1"/>
  <c r="K46" i="16"/>
  <c r="V46" i="16"/>
  <c r="G47" i="16"/>
  <c r="S47" i="16"/>
  <c r="T47" i="16" s="1"/>
  <c r="Q47" i="16"/>
  <c r="P47" i="16" s="1"/>
  <c r="M47" i="16"/>
  <c r="N47" i="16"/>
  <c r="A48" i="16"/>
  <c r="S48" i="16" s="1"/>
  <c r="T48" i="16" s="1"/>
  <c r="U47" i="16"/>
  <c r="J47" i="16"/>
  <c r="J41" i="16"/>
  <c r="J42" i="16"/>
  <c r="I47" i="16" l="1"/>
  <c r="O47" i="16" s="1"/>
  <c r="K47" i="16"/>
  <c r="U48" i="16"/>
  <c r="V48" i="16" s="1"/>
  <c r="V47" i="16"/>
  <c r="G48" i="16"/>
  <c r="R48" i="16"/>
  <c r="M48" i="16"/>
  <c r="Q48" i="16"/>
  <c r="P48" i="16" s="1"/>
  <c r="N48" i="16"/>
  <c r="A49" i="16"/>
  <c r="U49" i="16" s="1"/>
  <c r="I48" i="16" l="1"/>
  <c r="O48" i="16" s="1"/>
  <c r="K48" i="16"/>
  <c r="R49" i="16"/>
  <c r="N49" i="16"/>
  <c r="M49" i="16"/>
  <c r="Q49" i="16"/>
  <c r="P49" i="16" s="1"/>
  <c r="A50" i="16"/>
  <c r="R50" i="16" s="1"/>
  <c r="S49" i="16"/>
  <c r="T49" i="16" s="1"/>
  <c r="G49" i="16"/>
  <c r="P64" i="17"/>
  <c r="R81" i="17" s="1"/>
  <c r="A16" i="16" l="1"/>
  <c r="I49" i="16"/>
  <c r="O49" i="16" s="1"/>
  <c r="K49" i="16"/>
  <c r="V49" i="16"/>
  <c r="M50" i="16"/>
  <c r="H49" i="16" s="1"/>
  <c r="G50" i="16"/>
  <c r="U50" i="16"/>
  <c r="T89" i="17"/>
  <c r="Q89" i="17" s="1"/>
  <c r="A20" i="17"/>
  <c r="A21" i="17" s="1"/>
  <c r="Q50" i="16"/>
  <c r="P50" i="16" s="1"/>
  <c r="Q69" i="17"/>
  <c r="Q71" i="17" s="1"/>
  <c r="T78" i="17"/>
  <c r="Q78" i="17" s="1"/>
  <c r="T90" i="17"/>
  <c r="Q90" i="17" s="1"/>
  <c r="Q91" i="17" s="1"/>
  <c r="Q92" i="17" s="1"/>
  <c r="Q93" i="17" s="1"/>
  <c r="J50" i="16"/>
  <c r="N50" i="16"/>
  <c r="N52" i="16" s="1"/>
  <c r="D53" i="16" s="1"/>
  <c r="S50" i="16"/>
  <c r="T50" i="16" s="1"/>
  <c r="Q65" i="17"/>
  <c r="Q68" i="17"/>
  <c r="Q67" i="17"/>
  <c r="H50" i="16"/>
  <c r="T84" i="17"/>
  <c r="Q84" i="17" s="1"/>
  <c r="Q66" i="17"/>
  <c r="H24" i="16"/>
  <c r="H31" i="16"/>
  <c r="H38" i="16"/>
  <c r="H45" i="16"/>
  <c r="J45" i="16"/>
  <c r="G52" i="16" l="1"/>
  <c r="I50" i="16"/>
  <c r="O50" i="16" s="1"/>
  <c r="O55" i="16" s="1"/>
  <c r="H39" i="16"/>
  <c r="H34" i="16"/>
  <c r="K50" i="16"/>
  <c r="H22" i="16"/>
  <c r="H29" i="16"/>
  <c r="H36" i="16"/>
  <c r="H43" i="16"/>
  <c r="H23" i="16"/>
  <c r="H30" i="16"/>
  <c r="H37" i="16"/>
  <c r="H44" i="16"/>
  <c r="H21" i="16"/>
  <c r="H28" i="16"/>
  <c r="H35" i="16"/>
  <c r="H42" i="16"/>
  <c r="H41" i="16"/>
  <c r="H26" i="16"/>
  <c r="H33" i="16"/>
  <c r="H40" i="16"/>
  <c r="H47" i="16"/>
  <c r="H46" i="16"/>
  <c r="H32" i="16"/>
  <c r="H25" i="16"/>
  <c r="H27" i="16"/>
  <c r="H48" i="16"/>
  <c r="H20" i="16"/>
  <c r="V50" i="16"/>
  <c r="V51" i="16" s="1"/>
  <c r="N53" i="16"/>
  <c r="N20" i="17"/>
  <c r="Q70" i="17"/>
  <c r="Q72" i="17" s="1"/>
  <c r="Q73" i="17" s="1"/>
  <c r="Q74" i="17" s="1"/>
  <c r="Q75" i="17" s="1"/>
  <c r="P81" i="17" s="1"/>
  <c r="T82" i="17" s="1"/>
  <c r="S81" i="17" s="1"/>
  <c r="Q20" i="17"/>
  <c r="P20" i="17" s="1"/>
  <c r="G20" i="17"/>
  <c r="U20" i="17"/>
  <c r="M20" i="17"/>
  <c r="R20" i="17"/>
  <c r="J46" i="16"/>
  <c r="R21" i="17"/>
  <c r="Q21" i="17"/>
  <c r="P21" i="17" s="1"/>
  <c r="U21" i="17"/>
  <c r="A22" i="17"/>
  <c r="M21" i="17"/>
  <c r="N21" i="17"/>
  <c r="G21" i="17"/>
  <c r="I20" i="17" l="1"/>
  <c r="I21" i="17" s="1"/>
  <c r="O21" i="17" s="1"/>
  <c r="S82" i="17"/>
  <c r="T81" i="17" s="1"/>
  <c r="Q81" i="17" s="1"/>
  <c r="R22" i="17"/>
  <c r="Q22" i="17"/>
  <c r="P22" i="17" s="1"/>
  <c r="U22" i="17"/>
  <c r="M22" i="17"/>
  <c r="N22" i="17"/>
  <c r="G22" i="17"/>
  <c r="A23" i="17"/>
  <c r="I22" i="17" l="1"/>
  <c r="O22" i="17" s="1"/>
  <c r="O20" i="17"/>
  <c r="Q86" i="17"/>
  <c r="Q87" i="17" s="1"/>
  <c r="Q88" i="17"/>
  <c r="Q80" i="17"/>
  <c r="Q82" i="17"/>
  <c r="Q79" i="17"/>
  <c r="Q85" i="17"/>
  <c r="U23" i="17"/>
  <c r="R23" i="17"/>
  <c r="Q23" i="17"/>
  <c r="P23" i="17" s="1"/>
  <c r="N23" i="17"/>
  <c r="M23" i="17"/>
  <c r="G23" i="17"/>
  <c r="A24" i="17"/>
  <c r="I23" i="17" l="1"/>
  <c r="O23" i="17" s="1"/>
  <c r="S23" i="17"/>
  <c r="T23" i="17" s="1"/>
  <c r="K23" i="17" s="1"/>
  <c r="J49" i="16"/>
  <c r="J48" i="16"/>
  <c r="U24" i="17"/>
  <c r="R24" i="17"/>
  <c r="Q24" i="17"/>
  <c r="P24" i="17" s="1"/>
  <c r="S24" i="17"/>
  <c r="T24" i="17" s="1"/>
  <c r="S20" i="17"/>
  <c r="S21" i="17"/>
  <c r="S22" i="17"/>
  <c r="M24" i="17"/>
  <c r="N24" i="17"/>
  <c r="G24" i="17"/>
  <c r="A25" i="17"/>
  <c r="I24" i="17" l="1"/>
  <c r="O24" i="17" s="1"/>
  <c r="K24" i="17"/>
  <c r="V23" i="17"/>
  <c r="T22" i="17"/>
  <c r="K22" i="17" s="1"/>
  <c r="T20" i="17"/>
  <c r="K20" i="17" s="1"/>
  <c r="T21" i="17"/>
  <c r="K21" i="17" s="1"/>
  <c r="V24" i="17"/>
  <c r="U25" i="17"/>
  <c r="R25" i="17"/>
  <c r="Q25" i="17"/>
  <c r="P25" i="17" s="1"/>
  <c r="S25" i="17"/>
  <c r="T25" i="17" s="1"/>
  <c r="M25" i="17"/>
  <c r="N25" i="17"/>
  <c r="G25" i="17"/>
  <c r="A26" i="17"/>
  <c r="I25" i="17" l="1"/>
  <c r="O25" i="17" s="1"/>
  <c r="K25" i="17"/>
  <c r="V22" i="17"/>
  <c r="V21" i="17"/>
  <c r="V20" i="17"/>
  <c r="H56" i="16"/>
  <c r="E56" i="16" s="1"/>
  <c r="K52" i="16" s="1"/>
  <c r="U26" i="17"/>
  <c r="R26" i="17"/>
  <c r="Q26" i="17"/>
  <c r="P26" i="17" s="1"/>
  <c r="S26" i="17"/>
  <c r="T26" i="17" s="1"/>
  <c r="V25" i="17"/>
  <c r="M26" i="17"/>
  <c r="N26" i="17"/>
  <c r="H26" i="17"/>
  <c r="J26" i="17"/>
  <c r="G26" i="17"/>
  <c r="A27" i="17"/>
  <c r="I26" i="17" l="1"/>
  <c r="O26" i="17" s="1"/>
  <c r="K26" i="17"/>
  <c r="J52" i="16"/>
  <c r="M16" i="17" s="1"/>
  <c r="D55" i="17" s="1"/>
  <c r="N56" i="17" s="1"/>
  <c r="K56" i="16"/>
  <c r="L56" i="16" s="1"/>
  <c r="G56" i="16"/>
  <c r="K54" i="16"/>
  <c r="V26" i="17"/>
  <c r="U27" i="17"/>
  <c r="Q27" i="17"/>
  <c r="P27" i="17" s="1"/>
  <c r="R27" i="17"/>
  <c r="S27" i="17"/>
  <c r="T27" i="17" s="1"/>
  <c r="M27" i="17"/>
  <c r="N27" i="17"/>
  <c r="G27" i="17"/>
  <c r="A30" i="17"/>
  <c r="I30" i="17" s="1"/>
  <c r="O30" i="17" s="1"/>
  <c r="A28" i="17"/>
  <c r="I28" i="17" s="1"/>
  <c r="O28" i="17" s="1"/>
  <c r="I27" i="17" l="1"/>
  <c r="O27" i="17" s="1"/>
  <c r="K27" i="17"/>
  <c r="I56" i="16"/>
  <c r="J56" i="16" s="1"/>
  <c r="H54" i="16" s="1"/>
  <c r="N16" i="17"/>
  <c r="J23" i="17" s="1"/>
  <c r="J24" i="17"/>
  <c r="U28" i="17"/>
  <c r="Q28" i="17"/>
  <c r="P28" i="17" s="1"/>
  <c r="R28" i="17"/>
  <c r="S28" i="17"/>
  <c r="T28" i="17" s="1"/>
  <c r="U30" i="17"/>
  <c r="Q30" i="17"/>
  <c r="P30" i="17" s="1"/>
  <c r="R30" i="17"/>
  <c r="S30" i="17"/>
  <c r="T30" i="17" s="1"/>
  <c r="V27" i="17"/>
  <c r="N30" i="17"/>
  <c r="M30" i="17"/>
  <c r="G30" i="17"/>
  <c r="J30" i="17"/>
  <c r="A32" i="17"/>
  <c r="I32" i="17" s="1"/>
  <c r="O32" i="17" s="1"/>
  <c r="M28" i="17"/>
  <c r="N28" i="17"/>
  <c r="G28" i="17"/>
  <c r="A31" i="17"/>
  <c r="I31" i="17" s="1"/>
  <c r="O31" i="17" s="1"/>
  <c r="A29" i="17"/>
  <c r="I29" i="17" l="1"/>
  <c r="O29" i="17" s="1"/>
  <c r="N29" i="17"/>
  <c r="J22" i="17"/>
  <c r="J25" i="17"/>
  <c r="K30" i="17"/>
  <c r="K28" i="17"/>
  <c r="J21" i="17"/>
  <c r="J20" i="17"/>
  <c r="U29" i="17"/>
  <c r="Q29" i="17"/>
  <c r="P29" i="17" s="1"/>
  <c r="R29" i="17"/>
  <c r="S29" i="17"/>
  <c r="T29" i="17" s="1"/>
  <c r="Q32" i="17"/>
  <c r="P32" i="17" s="1"/>
  <c r="R32" i="17"/>
  <c r="U32" i="17"/>
  <c r="S32" i="17"/>
  <c r="T32" i="17" s="1"/>
  <c r="V30" i="17"/>
  <c r="V28" i="17"/>
  <c r="Q31" i="17"/>
  <c r="P31" i="17" s="1"/>
  <c r="R31" i="17"/>
  <c r="U31" i="17"/>
  <c r="S31" i="17"/>
  <c r="T31" i="17" s="1"/>
  <c r="J27" i="17"/>
  <c r="M29" i="17"/>
  <c r="G29" i="17"/>
  <c r="N31" i="17"/>
  <c r="M31" i="17"/>
  <c r="G31" i="17"/>
  <c r="M32" i="17"/>
  <c r="N32" i="17"/>
  <c r="G32" i="17"/>
  <c r="A33" i="17"/>
  <c r="I33" i="17" s="1"/>
  <c r="O33" i="17" s="1"/>
  <c r="K31" i="17" l="1"/>
  <c r="K32" i="17"/>
  <c r="K29" i="17"/>
  <c r="J28" i="17"/>
  <c r="V32" i="17"/>
  <c r="V29" i="17"/>
  <c r="V31" i="17"/>
  <c r="Q33" i="17"/>
  <c r="P33" i="17" s="1"/>
  <c r="R33" i="17"/>
  <c r="U33" i="17"/>
  <c r="S33" i="17"/>
  <c r="T33" i="17" s="1"/>
  <c r="N33" i="17"/>
  <c r="M33" i="17"/>
  <c r="H33" i="17"/>
  <c r="G33" i="17"/>
  <c r="J33" i="17"/>
  <c r="A34" i="17"/>
  <c r="I34" i="17" s="1"/>
  <c r="O34" i="17" s="1"/>
  <c r="K33" i="17" l="1"/>
  <c r="J29" i="17"/>
  <c r="V33" i="17"/>
  <c r="Q34" i="17"/>
  <c r="P34" i="17" s="1"/>
  <c r="R34" i="17"/>
  <c r="U34" i="17"/>
  <c r="S34" i="17"/>
  <c r="T34" i="17" s="1"/>
  <c r="M34" i="17"/>
  <c r="N34" i="17"/>
  <c r="G34" i="17"/>
  <c r="A35" i="17"/>
  <c r="I35" i="17" s="1"/>
  <c r="O35" i="17" s="1"/>
  <c r="K34" i="17" l="1"/>
  <c r="V34" i="17"/>
  <c r="S35" i="17"/>
  <c r="T35" i="17" s="1"/>
  <c r="Q35" i="17"/>
  <c r="P35" i="17" s="1"/>
  <c r="R35" i="17"/>
  <c r="U35" i="17"/>
  <c r="M35" i="17"/>
  <c r="N35" i="17"/>
  <c r="G35" i="17"/>
  <c r="A36" i="17"/>
  <c r="I36" i="17" s="1"/>
  <c r="O36" i="17" s="1"/>
  <c r="K35" i="17" l="1"/>
  <c r="J31" i="17"/>
  <c r="V35" i="17"/>
  <c r="S36" i="17"/>
  <c r="T36" i="17" s="1"/>
  <c r="R36" i="17"/>
  <c r="U36" i="17"/>
  <c r="Q36" i="17"/>
  <c r="P36" i="17" s="1"/>
  <c r="M36" i="17"/>
  <c r="N36" i="17"/>
  <c r="G36" i="17"/>
  <c r="A37" i="17"/>
  <c r="I37" i="17" s="1"/>
  <c r="O37" i="17" s="1"/>
  <c r="J32" i="17" l="1"/>
  <c r="K36" i="17"/>
  <c r="V36" i="17"/>
  <c r="U37" i="17"/>
  <c r="Q37" i="17"/>
  <c r="P37" i="17" s="1"/>
  <c r="R37" i="17"/>
  <c r="S37" i="17"/>
  <c r="T37" i="17" s="1"/>
  <c r="M37" i="17"/>
  <c r="N37" i="17"/>
  <c r="J37" i="17"/>
  <c r="G37" i="17"/>
  <c r="A38" i="17"/>
  <c r="I38" i="17" s="1"/>
  <c r="O38" i="17" s="1"/>
  <c r="K37" i="17" l="1"/>
  <c r="R38" i="17"/>
  <c r="U38" i="17"/>
  <c r="Q38" i="17"/>
  <c r="P38" i="17" s="1"/>
  <c r="S38" i="17"/>
  <c r="T38" i="17" s="1"/>
  <c r="V37" i="17"/>
  <c r="M38" i="17"/>
  <c r="N38" i="17"/>
  <c r="G38" i="17"/>
  <c r="A39" i="17"/>
  <c r="I39" i="17" s="1"/>
  <c r="O39" i="17" s="1"/>
  <c r="J34" i="17"/>
  <c r="J35" i="17"/>
  <c r="K38" i="17" l="1"/>
  <c r="V38" i="17"/>
  <c r="S39" i="17"/>
  <c r="T39" i="17" s="1"/>
  <c r="Q39" i="17"/>
  <c r="P39" i="17" s="1"/>
  <c r="R39" i="17"/>
  <c r="U39" i="17"/>
  <c r="J36" i="17"/>
  <c r="M39" i="17"/>
  <c r="N39" i="17"/>
  <c r="G39" i="17"/>
  <c r="A40" i="17"/>
  <c r="I40" i="17" s="1"/>
  <c r="O40" i="17" s="1"/>
  <c r="K39" i="17" l="1"/>
  <c r="V39" i="17"/>
  <c r="S40" i="17"/>
  <c r="T40" i="17" s="1"/>
  <c r="R40" i="17"/>
  <c r="U40" i="17"/>
  <c r="Q40" i="17"/>
  <c r="P40" i="17" s="1"/>
  <c r="H40" i="17"/>
  <c r="M40" i="17"/>
  <c r="N40" i="17"/>
  <c r="G40" i="17"/>
  <c r="J40" i="17"/>
  <c r="A41" i="17"/>
  <c r="I41" i="17" s="1"/>
  <c r="O41" i="17" s="1"/>
  <c r="K40" i="17" l="1"/>
  <c r="V40" i="17"/>
  <c r="U41" i="17"/>
  <c r="Q41" i="17"/>
  <c r="P41" i="17" s="1"/>
  <c r="R41" i="17"/>
  <c r="S41" i="17"/>
  <c r="T41" i="17" s="1"/>
  <c r="J38" i="17"/>
  <c r="N41" i="17"/>
  <c r="M41" i="17"/>
  <c r="G41" i="17"/>
  <c r="A42" i="17"/>
  <c r="I42" i="17" s="1"/>
  <c r="O42" i="17" s="1"/>
  <c r="K41" i="17" l="1"/>
  <c r="V41" i="17"/>
  <c r="R42" i="17"/>
  <c r="U42" i="17"/>
  <c r="Q42" i="17"/>
  <c r="P42" i="17" s="1"/>
  <c r="S42" i="17"/>
  <c r="T42" i="17" s="1"/>
  <c r="J39" i="17"/>
  <c r="N42" i="17"/>
  <c r="M42" i="17"/>
  <c r="G42" i="17"/>
  <c r="A43" i="17"/>
  <c r="I43" i="17" s="1"/>
  <c r="O43" i="17" s="1"/>
  <c r="K42" i="17" l="1"/>
  <c r="V42" i="17"/>
  <c r="S43" i="17"/>
  <c r="T43" i="17" s="1"/>
  <c r="R43" i="17"/>
  <c r="Q43" i="17"/>
  <c r="P43" i="17" s="1"/>
  <c r="U43" i="17"/>
  <c r="N43" i="17"/>
  <c r="M43" i="17"/>
  <c r="G43" i="17"/>
  <c r="A44" i="17"/>
  <c r="I44" i="17" s="1"/>
  <c r="O44" i="17" s="1"/>
  <c r="K43" i="17" l="1"/>
  <c r="V43" i="17"/>
  <c r="R44" i="17"/>
  <c r="S44" i="17"/>
  <c r="T44" i="17" s="1"/>
  <c r="U44" i="17"/>
  <c r="Q44" i="17"/>
  <c r="P44" i="17" s="1"/>
  <c r="M44" i="17"/>
  <c r="N44" i="17"/>
  <c r="J44" i="17"/>
  <c r="G44" i="17"/>
  <c r="A45" i="17"/>
  <c r="I45" i="17" s="1"/>
  <c r="O45" i="17" s="1"/>
  <c r="K44" i="17" l="1"/>
  <c r="V44" i="17"/>
  <c r="U45" i="17"/>
  <c r="Q45" i="17"/>
  <c r="P45" i="17" s="1"/>
  <c r="S45" i="17"/>
  <c r="T45" i="17" s="1"/>
  <c r="R45" i="17"/>
  <c r="J41" i="17"/>
  <c r="J42" i="17"/>
  <c r="M45" i="17"/>
  <c r="N45" i="17"/>
  <c r="G45" i="17"/>
  <c r="A46" i="17"/>
  <c r="I46" i="17" s="1"/>
  <c r="O46" i="17" s="1"/>
  <c r="K45" i="17" l="1"/>
  <c r="R46" i="17"/>
  <c r="U46" i="17"/>
  <c r="Q46" i="17"/>
  <c r="P46" i="17" s="1"/>
  <c r="S46" i="17"/>
  <c r="T46" i="17" s="1"/>
  <c r="V45" i="17"/>
  <c r="J43" i="17"/>
  <c r="N46" i="17"/>
  <c r="M46" i="17"/>
  <c r="G46" i="17"/>
  <c r="A47" i="17"/>
  <c r="I47" i="17" s="1"/>
  <c r="O47" i="17" s="1"/>
  <c r="K46" i="17" l="1"/>
  <c r="V46" i="17"/>
  <c r="S47" i="17"/>
  <c r="T47" i="17" s="1"/>
  <c r="U47" i="17"/>
  <c r="R47" i="17"/>
  <c r="Q47" i="17"/>
  <c r="P47" i="17" s="1"/>
  <c r="H47" i="17"/>
  <c r="N47" i="17"/>
  <c r="M47" i="17"/>
  <c r="G47" i="17"/>
  <c r="J47" i="17"/>
  <c r="A48" i="17"/>
  <c r="I48" i="17" s="1"/>
  <c r="O48" i="17" s="1"/>
  <c r="K47" i="17" l="1"/>
  <c r="V47" i="17"/>
  <c r="S48" i="17"/>
  <c r="T48" i="17" s="1"/>
  <c r="U48" i="17"/>
  <c r="Q48" i="17"/>
  <c r="P48" i="17" s="1"/>
  <c r="R48" i="17"/>
  <c r="J45" i="17"/>
  <c r="N48" i="17"/>
  <c r="M48" i="17"/>
  <c r="G48" i="17"/>
  <c r="A49" i="17"/>
  <c r="I49" i="17" s="1"/>
  <c r="O49" i="17" s="1"/>
  <c r="K48" i="17" l="1"/>
  <c r="V48" i="17"/>
  <c r="U49" i="17"/>
  <c r="Q49" i="17"/>
  <c r="P49" i="17" s="1"/>
  <c r="S49" i="17"/>
  <c r="T49" i="17" s="1"/>
  <c r="R49" i="17"/>
  <c r="J46" i="17"/>
  <c r="M49" i="17"/>
  <c r="N49" i="17"/>
  <c r="G49" i="17"/>
  <c r="A50" i="17"/>
  <c r="K49" i="17" l="1"/>
  <c r="R50" i="17"/>
  <c r="A16" i="17" s="1"/>
  <c r="U50" i="17"/>
  <c r="Q50" i="17"/>
  <c r="P50" i="17" s="1"/>
  <c r="S50" i="17"/>
  <c r="T50" i="17" s="1"/>
  <c r="V49" i="17"/>
  <c r="G50" i="17"/>
  <c r="M50" i="17"/>
  <c r="N50" i="17"/>
  <c r="I50" i="17" l="1"/>
  <c r="O50" i="17" s="1"/>
  <c r="O55" i="17" s="1"/>
  <c r="K50" i="17"/>
  <c r="H25" i="17"/>
  <c r="H32" i="17"/>
  <c r="H39" i="17"/>
  <c r="H46" i="17"/>
  <c r="H23" i="17"/>
  <c r="H30" i="17"/>
  <c r="H37" i="17"/>
  <c r="H44" i="17"/>
  <c r="G53" i="17"/>
  <c r="H50" i="17"/>
  <c r="H22" i="17"/>
  <c r="H29" i="17"/>
  <c r="H36" i="17"/>
  <c r="H43" i="17"/>
  <c r="H24" i="17"/>
  <c r="H31" i="17"/>
  <c r="H38" i="17"/>
  <c r="H45" i="17"/>
  <c r="H21" i="17"/>
  <c r="H28" i="17"/>
  <c r="H35" i="17"/>
  <c r="H42" i="17"/>
  <c r="H49" i="17"/>
  <c r="V50" i="17"/>
  <c r="V51" i="17" s="1"/>
  <c r="A58" i="17" s="1"/>
  <c r="N54" i="17"/>
  <c r="N53" i="17"/>
  <c r="D54" i="17" s="1"/>
  <c r="H20" i="17"/>
  <c r="H27" i="17"/>
  <c r="H34" i="17"/>
  <c r="H41" i="17"/>
  <c r="H48" i="17"/>
  <c r="J48" i="17" l="1"/>
  <c r="J49" i="17"/>
  <c r="K53" i="17" l="1"/>
  <c r="J50" i="17"/>
  <c r="K57" i="17" l="1"/>
  <c r="L57" i="17" s="1"/>
  <c r="K55" i="17" s="1"/>
  <c r="J53" i="17"/>
  <c r="I57" i="17" s="1"/>
  <c r="J57" i="17" s="1"/>
  <c r="H55" i="17" s="1"/>
  <c r="G57" i="17"/>
  <c r="A57" i="7" l="1"/>
  <c r="A57" i="1"/>
  <c r="A57" i="10"/>
  <c r="A57" i="15"/>
  <c r="A57" i="12"/>
  <c r="A57" i="14"/>
  <c r="A57" i="13"/>
  <c r="A57" i="16"/>
  <c r="A57" i="11"/>
  <c r="A57" i="9"/>
</calcChain>
</file>

<file path=xl/comments1.xml><?xml version="1.0" encoding="utf-8"?>
<comments xmlns="http://schemas.openxmlformats.org/spreadsheetml/2006/main">
  <authors>
    <author>Witowski, Sarah</author>
  </authors>
  <commentList>
    <comment ref="H56" authorId="0" shapeId="0">
      <text>
        <r>
          <rPr>
            <b/>
            <sz val="9"/>
            <color indexed="81"/>
            <rFont val="Segoe UI"/>
            <family val="2"/>
          </rPr>
          <t>Witowski, Sarah:</t>
        </r>
        <r>
          <rPr>
            <sz val="9"/>
            <color indexed="81"/>
            <rFont val="Segoe UI"/>
            <family val="2"/>
          </rPr>
          <t xml:space="preserve">
letzte zahl aus Spalte O
</t>
        </r>
      </text>
    </comment>
  </commentList>
</comments>
</file>

<file path=xl/comments10.xml><?xml version="1.0" encoding="utf-8"?>
<comments xmlns="http://schemas.openxmlformats.org/spreadsheetml/2006/main">
  <authors>
    <author>Witowski, Sarah</author>
  </authors>
  <commentList>
    <comment ref="O16" authorId="0" shapeId="0">
      <text>
        <r>
          <rPr>
            <b/>
            <sz val="9"/>
            <color indexed="81"/>
            <rFont val="Segoe UI"/>
            <family val="2"/>
          </rPr>
          <t>Witowski, Sarah:</t>
        </r>
        <r>
          <rPr>
            <sz val="9"/>
            <color indexed="81"/>
            <rFont val="Segoe UI"/>
            <family val="2"/>
          </rPr>
          <t xml:space="preserve">
prüft ob Stundennachweis unterbrochen wurde
</t>
        </r>
      </text>
    </comment>
  </commentList>
</comments>
</file>

<file path=xl/comments11.xml><?xml version="1.0" encoding="utf-8"?>
<comments xmlns="http://schemas.openxmlformats.org/spreadsheetml/2006/main">
  <authors>
    <author>Witowski, Sarah</author>
  </authors>
  <commentList>
    <comment ref="O16" authorId="0" shapeId="0">
      <text>
        <r>
          <rPr>
            <b/>
            <sz val="9"/>
            <color indexed="81"/>
            <rFont val="Segoe UI"/>
            <family val="2"/>
          </rPr>
          <t>Witowski, Sarah:</t>
        </r>
        <r>
          <rPr>
            <sz val="9"/>
            <color indexed="81"/>
            <rFont val="Segoe UI"/>
            <family val="2"/>
          </rPr>
          <t xml:space="preserve">
prüft ob Stundennachweis unterbrochen wurde
</t>
        </r>
      </text>
    </comment>
  </commentList>
</comments>
</file>

<file path=xl/comments2.xml><?xml version="1.0" encoding="utf-8"?>
<comments xmlns="http://schemas.openxmlformats.org/spreadsheetml/2006/main">
  <authors>
    <author>Witowski, Sarah</author>
  </authors>
  <commentList>
    <comment ref="O16" authorId="0" shapeId="0">
      <text>
        <r>
          <rPr>
            <b/>
            <sz val="9"/>
            <color indexed="81"/>
            <rFont val="Segoe UI"/>
            <family val="2"/>
          </rPr>
          <t>Witowski, Sarah:</t>
        </r>
        <r>
          <rPr>
            <sz val="9"/>
            <color indexed="81"/>
            <rFont val="Segoe UI"/>
            <family val="2"/>
          </rPr>
          <t xml:space="preserve">
prüft ob Stundennachweis unterbrochen wurde
</t>
        </r>
      </text>
    </comment>
  </commentList>
</comments>
</file>

<file path=xl/comments3.xml><?xml version="1.0" encoding="utf-8"?>
<comments xmlns="http://schemas.openxmlformats.org/spreadsheetml/2006/main">
  <authors>
    <author>Witowski, Sarah</author>
  </authors>
  <commentList>
    <comment ref="O16" authorId="0" shapeId="0">
      <text>
        <r>
          <rPr>
            <b/>
            <sz val="9"/>
            <color indexed="81"/>
            <rFont val="Segoe UI"/>
            <family val="2"/>
          </rPr>
          <t>Witowski, Sarah:</t>
        </r>
        <r>
          <rPr>
            <sz val="9"/>
            <color indexed="81"/>
            <rFont val="Segoe UI"/>
            <family val="2"/>
          </rPr>
          <t xml:space="preserve">
prüft ob Stundennachweis unterbrochen wurde
</t>
        </r>
      </text>
    </comment>
  </commentList>
</comments>
</file>

<file path=xl/comments4.xml><?xml version="1.0" encoding="utf-8"?>
<comments xmlns="http://schemas.openxmlformats.org/spreadsheetml/2006/main">
  <authors>
    <author>Witowski, Sarah</author>
  </authors>
  <commentList>
    <comment ref="O16" authorId="0" shapeId="0">
      <text>
        <r>
          <rPr>
            <b/>
            <sz val="9"/>
            <color indexed="81"/>
            <rFont val="Segoe UI"/>
            <family val="2"/>
          </rPr>
          <t>Witowski, Sarah:</t>
        </r>
        <r>
          <rPr>
            <sz val="9"/>
            <color indexed="81"/>
            <rFont val="Segoe UI"/>
            <family val="2"/>
          </rPr>
          <t xml:space="preserve">
prüft ob Stundennachweis unterbrochen wurde
</t>
        </r>
      </text>
    </comment>
  </commentList>
</comments>
</file>

<file path=xl/comments5.xml><?xml version="1.0" encoding="utf-8"?>
<comments xmlns="http://schemas.openxmlformats.org/spreadsheetml/2006/main">
  <authors>
    <author>Witowski, Sarah</author>
  </authors>
  <commentList>
    <comment ref="O16" authorId="0" shapeId="0">
      <text>
        <r>
          <rPr>
            <b/>
            <sz val="9"/>
            <color indexed="81"/>
            <rFont val="Segoe UI"/>
            <family val="2"/>
          </rPr>
          <t>Witowski, Sarah:</t>
        </r>
        <r>
          <rPr>
            <sz val="9"/>
            <color indexed="81"/>
            <rFont val="Segoe UI"/>
            <family val="2"/>
          </rPr>
          <t xml:space="preserve">
prüft ob Stundennachweis unterbrochen wurde
</t>
        </r>
      </text>
    </comment>
  </commentList>
</comments>
</file>

<file path=xl/comments6.xml><?xml version="1.0" encoding="utf-8"?>
<comments xmlns="http://schemas.openxmlformats.org/spreadsheetml/2006/main">
  <authors>
    <author>Witowski, Sarah</author>
  </authors>
  <commentList>
    <comment ref="O16" authorId="0" shapeId="0">
      <text>
        <r>
          <rPr>
            <b/>
            <sz val="9"/>
            <color indexed="81"/>
            <rFont val="Segoe UI"/>
            <family val="2"/>
          </rPr>
          <t>Witowski, Sarah:</t>
        </r>
        <r>
          <rPr>
            <sz val="9"/>
            <color indexed="81"/>
            <rFont val="Segoe UI"/>
            <family val="2"/>
          </rPr>
          <t xml:space="preserve">
prüft ob Stundennachweis unterbrochen wurde
</t>
        </r>
      </text>
    </comment>
  </commentList>
</comments>
</file>

<file path=xl/comments7.xml><?xml version="1.0" encoding="utf-8"?>
<comments xmlns="http://schemas.openxmlformats.org/spreadsheetml/2006/main">
  <authors>
    <author>Witowski, Sarah</author>
  </authors>
  <commentList>
    <comment ref="O16" authorId="0" shapeId="0">
      <text>
        <r>
          <rPr>
            <b/>
            <sz val="9"/>
            <color indexed="81"/>
            <rFont val="Segoe UI"/>
            <family val="2"/>
          </rPr>
          <t>Witowski, Sarah:</t>
        </r>
        <r>
          <rPr>
            <sz val="9"/>
            <color indexed="81"/>
            <rFont val="Segoe UI"/>
            <family val="2"/>
          </rPr>
          <t xml:space="preserve">
prüft ob Stundennachweis unterbrochen wurde
</t>
        </r>
      </text>
    </comment>
  </commentList>
</comments>
</file>

<file path=xl/comments8.xml><?xml version="1.0" encoding="utf-8"?>
<comments xmlns="http://schemas.openxmlformats.org/spreadsheetml/2006/main">
  <authors>
    <author>Witowski, Sarah</author>
  </authors>
  <commentList>
    <comment ref="O16" authorId="0" shapeId="0">
      <text>
        <r>
          <rPr>
            <b/>
            <sz val="9"/>
            <color indexed="81"/>
            <rFont val="Segoe UI"/>
            <family val="2"/>
          </rPr>
          <t>Witowski, Sarah:</t>
        </r>
        <r>
          <rPr>
            <sz val="9"/>
            <color indexed="81"/>
            <rFont val="Segoe UI"/>
            <family val="2"/>
          </rPr>
          <t xml:space="preserve">
prüft ob Stundennachweis unterbrochen wurde
</t>
        </r>
      </text>
    </comment>
  </commentList>
</comments>
</file>

<file path=xl/comments9.xml><?xml version="1.0" encoding="utf-8"?>
<comments xmlns="http://schemas.openxmlformats.org/spreadsheetml/2006/main">
  <authors>
    <author>Witowski, Sarah</author>
  </authors>
  <commentList>
    <comment ref="O16" authorId="0" shapeId="0">
      <text>
        <r>
          <rPr>
            <b/>
            <sz val="9"/>
            <color indexed="81"/>
            <rFont val="Segoe UI"/>
            <family val="2"/>
          </rPr>
          <t>Witowski, Sarah:</t>
        </r>
        <r>
          <rPr>
            <sz val="9"/>
            <color indexed="81"/>
            <rFont val="Segoe UI"/>
            <family val="2"/>
          </rPr>
          <t xml:space="preserve">
prüft ob Stundennachweis unterbrochen wurde
</t>
        </r>
      </text>
    </comment>
  </commentList>
</comments>
</file>

<file path=xl/sharedStrings.xml><?xml version="1.0" encoding="utf-8"?>
<sst xmlns="http://schemas.openxmlformats.org/spreadsheetml/2006/main" count="733" uniqueCount="148">
  <si>
    <t>Name:</t>
  </si>
  <si>
    <t>Arbeitstage:</t>
  </si>
  <si>
    <t>Stunden:</t>
  </si>
  <si>
    <t>Hilfsformeln</t>
  </si>
  <si>
    <t>Vorname:</t>
  </si>
  <si>
    <t>Bereich:</t>
  </si>
  <si>
    <t>Fachvorgesetzter:</t>
  </si>
  <si>
    <t>bis:</t>
  </si>
  <si>
    <t>Wöchentl.  Arbeitszeit:</t>
  </si>
  <si>
    <t>Stunden</t>
  </si>
  <si>
    <t>Tag</t>
  </si>
  <si>
    <t>Arbeitsbeginn</t>
  </si>
  <si>
    <t>Arbeitsende</t>
  </si>
  <si>
    <t>Dauer</t>
  </si>
  <si>
    <t>Wochen-
summe
Stunden</t>
  </si>
  <si>
    <t>Mehr-/
Minderstunden</t>
  </si>
  <si>
    <t>Bemerkung</t>
  </si>
  <si>
    <t>KW</t>
  </si>
  <si>
    <t>Datum</t>
  </si>
  <si>
    <t>Unterschrift Arbeitnehmer/in</t>
  </si>
  <si>
    <t>Unterschrift Fachvorgesetzte/r</t>
  </si>
  <si>
    <t>Vormonat</t>
  </si>
  <si>
    <t>Maximal zulässige Plusstunden</t>
  </si>
  <si>
    <t>im aktuellen Monat:</t>
  </si>
  <si>
    <t>Spalte I
mit 0=""</t>
  </si>
  <si>
    <t>Mehr-/Minderstunden Vormonate:</t>
  </si>
  <si>
    <t>Max. zulässige +Std. im aktuellen Monat:</t>
  </si>
  <si>
    <t>Zeitabzug:
Pause / 
Unterbrechung</t>
  </si>
  <si>
    <t>Abfrage</t>
  </si>
  <si>
    <t>Geleistete Std.</t>
  </si>
  <si>
    <r>
      <rPr>
        <b/>
        <sz val="11"/>
        <color theme="0"/>
        <rFont val="Calibri"/>
        <family val="2"/>
        <scheme val="minor"/>
      </rPr>
      <t>`</t>
    </r>
    <r>
      <rPr>
        <b/>
        <sz val="11"/>
        <rFont val="Calibri"/>
        <family val="2"/>
        <scheme val="minor"/>
      </rPr>
      <t>+/- Std.:</t>
    </r>
  </si>
  <si>
    <t>A</t>
  </si>
  <si>
    <t>Tage zählen für 12 Monatskappung:</t>
  </si>
  <si>
    <t>erforderlich für Datenmitnahme in nächstes Tabellenblatt</t>
  </si>
  <si>
    <t>Gaußsche Osterformel!</t>
  </si>
  <si>
    <t>Neujahr</t>
  </si>
  <si>
    <t>Karfreitag</t>
  </si>
  <si>
    <t>Ostersamstag</t>
  </si>
  <si>
    <t>Ostermontag</t>
  </si>
  <si>
    <t>Maifeiertag</t>
  </si>
  <si>
    <t>Christi Himmelfahrt</t>
  </si>
  <si>
    <t>Pfingstsonntag</t>
  </si>
  <si>
    <t>Pfingstmontag</t>
  </si>
  <si>
    <t>Fronleichnam</t>
  </si>
  <si>
    <t>Tag der deutschen Einheit</t>
  </si>
  <si>
    <t>Heiligabend</t>
  </si>
  <si>
    <t>1. Weihnachtstag</t>
  </si>
  <si>
    <t>2. Weihnachtstag</t>
  </si>
  <si>
    <t>Silvester</t>
  </si>
  <si>
    <t>Abfrage Feiertage</t>
  </si>
  <si>
    <t>Reformationstag</t>
  </si>
  <si>
    <t>Leitfaden zum Arbeitszeitkonto für Studentische Hilfskräfte (SHK), Wissenschaftliche Hilfskräfte (WHK), studentische Aushilfskräfte TV-L und geringfügig Beschäftigte</t>
  </si>
  <si>
    <t>Zum 01.01.2015 ist das Mindestlohngesetz in Kraft getreten. Aus diesem Anlass wurde zwischen der Hochschulleitung und den Personalräten eine Dienstvereinbarung zur Einführung und Ausgestaltung eines Arbeitszeitkontos für Studentische Hilfskräfte (SHK), Wissenschaftliche Hilfskräfte (WHK), studentische Aushilfskräfte TV-L und geringfügig Beschäftigte an der Hochschule Bochum abgeschlossen.</t>
  </si>
  <si>
    <r>
      <t>1.</t>
    </r>
    <r>
      <rPr>
        <b/>
        <sz val="7"/>
        <color theme="1"/>
        <rFont val="Times New Roman"/>
        <family val="1"/>
      </rPr>
      <t xml:space="preserve">       </t>
    </r>
    <r>
      <rPr>
        <b/>
        <sz val="11"/>
        <color theme="1"/>
        <rFont val="Calibri"/>
        <family val="2"/>
        <scheme val="minor"/>
      </rPr>
      <t>Wer ist zum Führen des Arbeitszeitkontos verpflichtet?</t>
    </r>
  </si>
  <si>
    <t>Alle Studentischen Hilfskräfte, Wissenschaftlichen Hilfskräfte, studentischen Aushilfskräfte TV-L  und geringfügig Beschäftigten, deren Beschäftigungsverhältnis länger als einen Monat dauert. Die Fachvorgesetzten sind verpflichtet, das Führen der Arbeitszeitkonten durch die Beschäftigten sicherzustellen.</t>
  </si>
  <si>
    <r>
      <t>2.</t>
    </r>
    <r>
      <rPr>
        <b/>
        <sz val="7"/>
        <color theme="1"/>
        <rFont val="Times New Roman"/>
        <family val="1"/>
      </rPr>
      <t xml:space="preserve">       </t>
    </r>
    <r>
      <rPr>
        <b/>
        <sz val="11"/>
        <color theme="1"/>
        <rFont val="Calibri"/>
        <family val="2"/>
        <scheme val="minor"/>
      </rPr>
      <t>Wie ist das Arbeitszeitkonto zu führen?</t>
    </r>
  </si>
  <si>
    <r>
      <t>3.</t>
    </r>
    <r>
      <rPr>
        <b/>
        <sz val="7"/>
        <color theme="1"/>
        <rFont val="Times New Roman"/>
        <family val="1"/>
      </rPr>
      <t xml:space="preserve">       </t>
    </r>
    <r>
      <rPr>
        <b/>
        <sz val="11"/>
        <color theme="1"/>
        <rFont val="Calibri"/>
        <family val="2"/>
        <scheme val="minor"/>
      </rPr>
      <t>Wer ist verpflichtet das Excelformular auszufüllen?</t>
    </r>
  </si>
  <si>
    <t>Das Excelformular ist von der jeweiligen Hilfskraft/Aushilfe bzw. dem geringfügigen Beschäftigten auszufüllen</t>
  </si>
  <si>
    <r>
      <t>4.</t>
    </r>
    <r>
      <rPr>
        <b/>
        <sz val="7"/>
        <color theme="1"/>
        <rFont val="Times New Roman"/>
        <family val="1"/>
      </rPr>
      <t xml:space="preserve">       </t>
    </r>
    <r>
      <rPr>
        <b/>
        <sz val="11"/>
        <color theme="1"/>
        <rFont val="Calibri"/>
        <family val="2"/>
        <scheme val="minor"/>
      </rPr>
      <t>Wie ist das Excelformular auszufüllen?</t>
    </r>
  </si>
  <si>
    <r>
      <t>·</t>
    </r>
    <r>
      <rPr>
        <sz val="7"/>
        <color theme="1"/>
        <rFont val="Times New Roman"/>
        <family val="1"/>
      </rPr>
      <t xml:space="preserve">         </t>
    </r>
    <r>
      <rPr>
        <b/>
        <sz val="11"/>
        <color theme="1"/>
        <rFont val="Calibri"/>
        <family val="2"/>
        <scheme val="minor"/>
      </rPr>
      <t>Felder „Name“, “ Vorname“:</t>
    </r>
    <r>
      <rPr>
        <sz val="11"/>
        <color theme="1"/>
        <rFont val="Calibri"/>
        <family val="2"/>
        <scheme val="minor"/>
      </rPr>
      <t xml:space="preserve"> Die Felder sind mit dem Namen bzw. Vornamen der SHK, WHK, studentischen Aushilfe, des geringfügig Beschäftigten zu füllen.</t>
    </r>
  </si>
  <si>
    <r>
      <t>·</t>
    </r>
    <r>
      <rPr>
        <sz val="7"/>
        <color theme="1"/>
        <rFont val="Times New Roman"/>
        <family val="1"/>
      </rPr>
      <t xml:space="preserve">         </t>
    </r>
    <r>
      <rPr>
        <b/>
        <sz val="11"/>
        <color theme="1"/>
        <rFont val="Calibri"/>
        <family val="2"/>
        <scheme val="minor"/>
      </rPr>
      <t>Feld „Bereich“:</t>
    </r>
    <r>
      <rPr>
        <sz val="11"/>
        <color theme="1"/>
        <rFont val="Calibri"/>
        <family val="2"/>
        <scheme val="minor"/>
      </rPr>
      <t xml:space="preserve"> Hier ist die Organisationseinheit zu der die Hilfskraft zugeordnet ist einzupflegen, z.B.: Fachbereich Architektur, IBKN, Bibliothek, Dezernat 3 etc.</t>
    </r>
  </si>
  <si>
    <r>
      <t>·</t>
    </r>
    <r>
      <rPr>
        <sz val="7"/>
        <color theme="1"/>
        <rFont val="Times New Roman"/>
        <family val="1"/>
      </rPr>
      <t xml:space="preserve">         </t>
    </r>
    <r>
      <rPr>
        <b/>
        <sz val="11"/>
        <color theme="1"/>
        <rFont val="Calibri"/>
        <family val="2"/>
        <scheme val="minor"/>
      </rPr>
      <t>Feld „Fachvorgesetzte/r“</t>
    </r>
    <r>
      <rPr>
        <sz val="11"/>
        <color theme="1"/>
        <rFont val="Calibri"/>
        <family val="2"/>
        <scheme val="minor"/>
      </rPr>
      <t>: Hier ist der Name der/des jeweilig vorgesetzten Professorin/Professors, der/des wissenschaftlichen Leiterin/Leiters, der/des Dezernentin/Dezernent einzutragen.</t>
    </r>
  </si>
  <si>
    <r>
      <t>·</t>
    </r>
    <r>
      <rPr>
        <sz val="7"/>
        <color theme="1"/>
        <rFont val="Times New Roman"/>
        <family val="1"/>
      </rPr>
      <t xml:space="preserve">         </t>
    </r>
    <r>
      <rPr>
        <b/>
        <sz val="11"/>
        <color theme="1"/>
        <rFont val="Calibri"/>
        <family val="2"/>
        <scheme val="minor"/>
      </rPr>
      <t>Feld „Wöch. Arb.zeit“:</t>
    </r>
    <r>
      <rPr>
        <sz val="11"/>
        <color theme="1"/>
        <rFont val="Calibri"/>
        <family val="2"/>
        <scheme val="minor"/>
      </rPr>
      <t xml:space="preserve"> Hier ist die vertraglich vereinbarte wöchentliche Arbeitszeit einzutragen.</t>
    </r>
  </si>
  <si>
    <t>Blatt 1 für  den Monat Mai: Gültig vom: 07.05.2016 bis: 31.05.2016</t>
  </si>
  <si>
    <t>Blatt 2 für den Monat Juni: Gültig vom: 01.06.2016 bis: 30.06.2016</t>
  </si>
  <si>
    <t>Blatt 3 für den Monat Juli: Gültig vom: 01.07.2016 bis: 31.07.2016</t>
  </si>
  <si>
    <t>Blatt 4 für den Monat August: Gültig vom: 01.08.2016 bis: 04.08.2016</t>
  </si>
  <si>
    <t>Beispiele:</t>
  </si>
  <si>
    <t xml:space="preserve">Beispiele: </t>
  </si>
  <si>
    <t>Sie planen Ihre Arbeit um 08:00 Uhr aufzunehmen und um 15:00 Uhr zu beenden. Da Sie über 6 Stunden tätig sind, sind Sie gesetzlich verpflichtet eine 30-minütige Pause einzulegen. Diese Pause ist in das Feld „Pause/Arbeitsunterbrechung“ einzutragen.</t>
  </si>
  <si>
    <t>Sie beginnen Ihre Arbeit um 07:00 Uhr. Von 10 bis 11 Uhr unterbrechen Sie Ihre Arbeit weil Sie eine Vorlesung besuchen. Sie arbeiten nach der Vorlesung  weiter, legen um 14 Uhr ihre vorgeschriebene 30-minütige Pause ein und beenden die Arbeit um 15:30. In das Feld „Pause/Arbeitsunterbrechung“ tragen Sie die Summe aus Arbeitsunterbrechung und Pause ein hier also 01:30 Stunden</t>
  </si>
  <si>
    <t>Die Pausenzeiten sind mit Trennzeichen in Stunden und Minuten einzutragen.</t>
  </si>
  <si>
    <t>30 Minuten Pause -&gt; Eingabe 00:30</t>
  </si>
  <si>
    <t>1 Stunde Pause -&gt; Eingabe 01:00</t>
  </si>
  <si>
    <t>1 Stunde 30 Minuten Pause -&gt; Eingabe 01:30</t>
  </si>
  <si>
    <r>
      <t>·</t>
    </r>
    <r>
      <rPr>
        <sz val="7"/>
        <color theme="1"/>
        <rFont val="Times New Roman"/>
        <family val="1"/>
      </rPr>
      <t xml:space="preserve">         </t>
    </r>
    <r>
      <rPr>
        <b/>
        <sz val="11"/>
        <color theme="1"/>
        <rFont val="Calibri"/>
        <family val="2"/>
        <scheme val="minor"/>
      </rPr>
      <t>Tabelle Feld „Bemerkungen“:</t>
    </r>
  </si>
  <si>
    <t>Das Feld „Bemerkungen“ ist nur bei Besonderheiten, z.B. bei Urlaub oder Krankheit zu füllen.</t>
  </si>
  <si>
    <r>
      <t>5.</t>
    </r>
    <r>
      <rPr>
        <b/>
        <sz val="7"/>
        <color theme="1"/>
        <rFont val="Times New Roman"/>
        <family val="1"/>
      </rPr>
      <t xml:space="preserve">       </t>
    </r>
    <r>
      <rPr>
        <b/>
        <sz val="11"/>
        <color theme="1"/>
        <rFont val="Calibri"/>
        <family val="2"/>
        <scheme val="minor"/>
      </rPr>
      <t>Wie trage ich Urlaub, Krankheit, Feiertage oder Freizeitausgleich in das Arbeitszeitkonto ein?</t>
    </r>
  </si>
  <si>
    <t>Beispiel:</t>
  </si>
  <si>
    <t>Es wurde ein Dienstvertrag mit einer wöchentlichen Arbeitszeit von 15 Stunden abgeschlossen. Als Arbeitstage wurde zu Beginn des Beschäftigungsverhältnisses vom Fachvorgesetzten im Benehmen mit der Hilfskraft  die Tage Montag, Mittwoch und Donnerstag festgelegt. Die Stunden wurden zu Beginn des Beschäftigungsverhältnisses von dem Fachvorgesetzten mit Einverständnis der Hilfskraft wie folgt verteilt:</t>
  </si>
  <si>
    <t>Montag:  4 Stunden, Mittwoch: 7 Stunden, Donnerstag: 4 Stunden</t>
  </si>
  <si>
    <t>Bei Urlaub am Donnerstag, den 11.02.2016, wäre die Tabelle beispielsweise wie folgt auszufüllen: Beginn: 08:00, Ende: 12:00, Bemerkungen: Urlaub</t>
  </si>
  <si>
    <t>Bei einem Vertrag mit einer wöchentlichen Arbeitszeit von 15 Stunden und einer Verteilung der Arbeitszeit auf 2 Tage Montag (7,5 Stunden) und Donnerstag (7,5 Stunden), wäre bei einer Erkrankung am Montag die Tabelle beispielweise wie folgt zu füllen: Beginn: 08:00, Ende 15:30, Bemerkungen: Krankheit</t>
  </si>
  <si>
    <r>
      <t>·</t>
    </r>
    <r>
      <rPr>
        <sz val="7"/>
        <color theme="1"/>
        <rFont val="Times New Roman"/>
        <family val="1"/>
      </rPr>
      <t xml:space="preserve">         </t>
    </r>
    <r>
      <rPr>
        <b/>
        <sz val="11"/>
        <color theme="1"/>
        <rFont val="Calibri"/>
        <family val="2"/>
        <scheme val="minor"/>
      </rPr>
      <t>Freizeitausgleich</t>
    </r>
  </si>
  <si>
    <t>Bei ganztägigem Freizeitausgleich ist nur das Feld „Bemerkungen“ mit dem Hinweis Freizeitausgleich zu füllen. Alle anderen Felder werden leer gelassen.</t>
  </si>
  <si>
    <t>Bei stundenweisem Freizeitausgleich ist nichts zu beachten. Es ist lediglich der spätere Arbeitsbeginn oder das frühere Arbeitsende korrekt zu dokumentieren.</t>
  </si>
  <si>
    <r>
      <t>6.</t>
    </r>
    <r>
      <rPr>
        <b/>
        <sz val="7"/>
        <color theme="1"/>
        <rFont val="Times New Roman"/>
        <family val="1"/>
      </rPr>
      <t xml:space="preserve">       </t>
    </r>
    <r>
      <rPr>
        <b/>
        <sz val="11"/>
        <color theme="1"/>
        <rFont val="Calibri"/>
        <family val="2"/>
        <scheme val="minor"/>
      </rPr>
      <t>Wie entstehen Plusstunden?</t>
    </r>
  </si>
  <si>
    <t>Plusstunden entstehen, wenn im Einvernehmen mit der/dem Fachvorgesetzten Stunden über die jeweilige monatliche Soll-Arbeitszeit hinaus geleistet werden.</t>
  </si>
  <si>
    <r>
      <t>7.</t>
    </r>
    <r>
      <rPr>
        <b/>
        <sz val="7"/>
        <color theme="1"/>
        <rFont val="Times New Roman"/>
        <family val="1"/>
      </rPr>
      <t xml:space="preserve">       </t>
    </r>
    <r>
      <rPr>
        <b/>
        <sz val="11"/>
        <color theme="1"/>
        <rFont val="Calibri"/>
        <family val="2"/>
        <scheme val="minor"/>
      </rPr>
      <t>Wie entstehen Minusstunden?</t>
    </r>
  </si>
  <si>
    <t>Minusstunden entstehen, wenn im Einvernehmen mit dem/der Fachvorgesetzten weniger Stunden als die vereinbarte monatliche Arbeitszeit geleistet werden.</t>
  </si>
  <si>
    <r>
      <t>8.</t>
    </r>
    <r>
      <rPr>
        <b/>
        <sz val="7"/>
        <color theme="1"/>
        <rFont val="Times New Roman"/>
        <family val="1"/>
      </rPr>
      <t xml:space="preserve">       </t>
    </r>
    <r>
      <rPr>
        <b/>
        <sz val="11"/>
        <color theme="1"/>
        <rFont val="Calibri"/>
        <family val="2"/>
        <scheme val="minor"/>
      </rPr>
      <t>Dürfen im Einvernehmen mit der/dem Fachvorgesetzten beliebig viele Plusstunden geleistet werden?</t>
    </r>
  </si>
  <si>
    <t>Nein. Es dürfen monatlich maximal Plusstunden in Höhe von 50 Prozent der vertraglich vereinbarten Arbeitszeit geleistet werden. Die maximal erlaubte Höhe wird unterhalb des Tabellenblatts unter dem Feld „maximal zulässig:“ angezeigt, sobald das Feld „Wöch.-Arb.zeit“ gefüllt wurde. Der Fachvorgesetzte darf keine hierüber hinausgehenden Stunden anordnen und der Beschäftigte keine hierüber hinausgehenden Stunden leisten. Sollten unerlaubt mehr Stunden erbracht worden sein, werden diese automatisch gekappt und nicht als Plusstunden auf dem Arbeitszeitkonto verbucht.</t>
  </si>
  <si>
    <t>Es ist zudem dafür Sorge zu tragen, dass alle Plusstunden bis zur Beendigung des Beschäftigungsverhältnisses durch Freizeitausgleich ausgeglichen werden. Läuft der Vertrag länger als 12 Monate ist sicherzustellen, dass Plusstunden spätestens 12 Monate nach ihrer Erfassung im Arbeitszeitkonto durch Freizeitausgleich ausgeglichen werden. Die/der Fachvorgesetzte muss dies durch Weisungen zur Arbeitszeit und Freizeitausgleich gewährleisten.</t>
  </si>
  <si>
    <t xml:space="preserve">  </t>
  </si>
  <si>
    <r>
      <t>9.</t>
    </r>
    <r>
      <rPr>
        <b/>
        <sz val="7"/>
        <color theme="1"/>
        <rFont val="Times New Roman"/>
        <family val="1"/>
      </rPr>
      <t xml:space="preserve">       </t>
    </r>
    <r>
      <rPr>
        <b/>
        <sz val="11"/>
        <color theme="1"/>
        <rFont val="Calibri"/>
        <family val="2"/>
        <scheme val="minor"/>
      </rPr>
      <t>Wie ist am Ende des Monats zu verfahren (Unterschrift, Kontrolle, Aufbewahrung)?</t>
    </r>
  </si>
  <si>
    <t xml:space="preserve">Am Ende des Monats ist das Arbeitszeitkonto von der Hilfskraft oder der/dem (geringfügig) </t>
  </si>
  <si>
    <t xml:space="preserve">Beschäftigten auszudrucken, zu unterschreiben und der/dem Fachvorgesetzten zur Kontrolle </t>
  </si>
  <si>
    <t xml:space="preserve">und Unterschrift vorzulegen. Der unterschriebene Ausdruck ist von den </t>
  </si>
  <si>
    <t xml:space="preserve">Fachvorgesetzten, die organisatorisch zu einem Fachbereich gehören,  bis zum 05. eines </t>
  </si>
  <si>
    <t xml:space="preserve">jeden Folgemonats im Dekanat </t>
  </si>
  <si>
    <t xml:space="preserve">zur Aufbewahrung  abzugeben. In den Dezernaten und </t>
  </si>
  <si>
    <r>
      <t>10.</t>
    </r>
    <r>
      <rPr>
        <b/>
        <sz val="7"/>
        <color theme="1"/>
        <rFont val="Times New Roman"/>
        <family val="1"/>
      </rPr>
      <t xml:space="preserve">   </t>
    </r>
    <r>
      <rPr>
        <b/>
        <sz val="11"/>
        <color theme="1"/>
        <rFont val="Calibri"/>
        <family val="2"/>
        <scheme val="minor"/>
      </rPr>
      <t>Wann und wie erfolgt ein Arbeitszeitausgleich?</t>
    </r>
  </si>
  <si>
    <t>Plus- und Minusstunden können jederzeit im Einvernehmen mit der/dem Fachvorgesetzten durch Freizeitausgleich oder Nacharbeit ausgeglichen werden (es ist jedoch zu beachten, dass das Nacharbeiten monatlich nicht 50 Prozent der vertraglich vereinbarten Arbeitszeit übersteigt).</t>
  </si>
  <si>
    <r>
      <t xml:space="preserve">Plus- und Minusstunden </t>
    </r>
    <r>
      <rPr>
        <u/>
        <sz val="11"/>
        <color theme="1"/>
        <rFont val="Calibri"/>
        <family val="2"/>
        <scheme val="minor"/>
      </rPr>
      <t>sind</t>
    </r>
    <r>
      <rPr>
        <sz val="11"/>
        <color theme="1"/>
        <rFont val="Calibri"/>
        <family val="2"/>
        <scheme val="minor"/>
      </rPr>
      <t xml:space="preserve"> innerhalb der Laufzeit des Arbeitsvertrages, spätestens jedoch innerhalb von zwölf Kalendermonaten nach ihrer  Erfassung auszugleichen. Dies hat der jeweilige Fachvorgesetzte durch Weisungen zu Arbeitszeit und Freizeitausgleich sicherzustellen. Eine Abgeltung von Plusstunden zum Ende der Vertragslaufzeit erfolgt nicht. Ausgenommen hiervon ist die Zahlung des Mindestlohns, soweit dieser nicht bereits durch Zahlung des verstetigten Arbeitsentgelts erfüllt ist. Der/Die Beschäftigte ist verpflichtet der Hochschule Bochum Bezüge zurück zu erstatten, wenn das Arbeitszeitkonto bei Vertragsende Minusstunden aufweist, die auf Veranlassung der/des Beschäftigten entstanden sind. Die/der Fachvorgesetzte ist verpflichte, diese zwecks Rückforderung dem Personaldezernat zu melden. Minusstunden, die dienstlich veranlasst waren verfallen bei Beendigung des Beschäftigungsverhältnisses.</t>
    </r>
  </si>
  <si>
    <r>
      <t>11.</t>
    </r>
    <r>
      <rPr>
        <b/>
        <sz val="7"/>
        <color theme="1"/>
        <rFont val="Times New Roman"/>
        <family val="1"/>
      </rPr>
      <t xml:space="preserve">   </t>
    </r>
    <r>
      <rPr>
        <b/>
        <sz val="11"/>
        <color theme="1"/>
        <rFont val="Calibri"/>
        <family val="2"/>
        <scheme val="minor"/>
      </rPr>
      <t>Können Plus- oder Minusstunden auf eine weitere Vertragslaufzeit übertragen werden?</t>
    </r>
  </si>
  <si>
    <t>Eine Übertragung auf eine weitere Vertragslaufzeit z.B. bei Verlängerung des Beschäftigungsverhältnisses ist nur möglich wenn sich die Verlängerung nahtlos an das vorherige Beschäftigungsverhältnis anschließt. Das Arbeitszeitkonto ist bis zum Ende des Beschäftigungsverhältnisses spätestens jedoch nach 12 Monaten nach Erfassung von Plusstunden auszugleichen.</t>
  </si>
  <si>
    <r>
      <t>12.</t>
    </r>
    <r>
      <rPr>
        <b/>
        <sz val="7"/>
        <color theme="1"/>
        <rFont val="Times New Roman"/>
        <family val="1"/>
      </rPr>
      <t xml:space="preserve">   </t>
    </r>
    <r>
      <rPr>
        <b/>
        <sz val="11"/>
        <color theme="1"/>
        <rFont val="Calibri"/>
        <family val="2"/>
        <scheme val="minor"/>
      </rPr>
      <t>Welche gesetzlichen Einschränkungen ergeben sich bei der Führung des Arbeitszeitkontos?</t>
    </r>
  </si>
  <si>
    <r>
      <t>·</t>
    </r>
    <r>
      <rPr>
        <sz val="7"/>
        <color theme="1"/>
        <rFont val="Times New Roman"/>
        <family val="1"/>
      </rPr>
      <t xml:space="preserve">         </t>
    </r>
    <r>
      <rPr>
        <b/>
        <sz val="11"/>
        <color theme="1"/>
        <rFont val="Calibri"/>
        <family val="2"/>
        <scheme val="minor"/>
      </rPr>
      <t>Plusstunden</t>
    </r>
    <r>
      <rPr>
        <sz val="11"/>
        <color theme="1"/>
        <rFont val="Calibri"/>
        <family val="2"/>
        <scheme val="minor"/>
      </rPr>
      <t>: Die Plusstunden dürfen  monatlich jeweils 50 Prozent der vertraglich vereinbarten Arbeitszeit nicht übersteigen.</t>
    </r>
  </si>
  <si>
    <r>
      <t>·</t>
    </r>
    <r>
      <rPr>
        <sz val="7"/>
        <color theme="1"/>
        <rFont val="Times New Roman"/>
        <family val="1"/>
      </rPr>
      <t xml:space="preserve">         </t>
    </r>
    <r>
      <rPr>
        <b/>
        <sz val="11"/>
        <color theme="1"/>
        <rFont val="Calibri"/>
        <family val="2"/>
        <scheme val="minor"/>
      </rPr>
      <t>Arbeitszeit</t>
    </r>
    <r>
      <rPr>
        <sz val="11"/>
        <color theme="1"/>
        <rFont val="Calibri"/>
        <family val="2"/>
        <scheme val="minor"/>
      </rPr>
      <t>: Die tägliche Arbeitszeit darf 10 Stunden nicht überschreiten. Die wöchentliche Arbeitszeit darf 48 Stunden nicht überschreiten.</t>
    </r>
  </si>
  <si>
    <r>
      <t>·</t>
    </r>
    <r>
      <rPr>
        <sz val="7"/>
        <color theme="1"/>
        <rFont val="Times New Roman"/>
        <family val="1"/>
      </rPr>
      <t xml:space="preserve">         </t>
    </r>
    <r>
      <rPr>
        <b/>
        <sz val="11"/>
        <color theme="1"/>
        <rFont val="Calibri"/>
        <family val="2"/>
        <scheme val="minor"/>
      </rPr>
      <t>Ruhepausen</t>
    </r>
    <r>
      <rPr>
        <sz val="11"/>
        <color theme="1"/>
        <rFont val="Calibri"/>
        <family val="2"/>
        <scheme val="minor"/>
      </rPr>
      <t>: Bei einer Arbeitszeit von 6 bis zu 9 Stunden ist eine Ruhepause von mindestens 30 Minuten, bei einer Arbeitszeit von mehr als 9 Stunden ist eine weitere Pause von 15 Minuten einzulegen.</t>
    </r>
  </si>
  <si>
    <r>
      <t>·</t>
    </r>
    <r>
      <rPr>
        <sz val="7"/>
        <color theme="1"/>
        <rFont val="Times New Roman"/>
        <family val="1"/>
      </rPr>
      <t xml:space="preserve">         </t>
    </r>
    <r>
      <rPr>
        <b/>
        <sz val="11"/>
        <color theme="1"/>
        <rFont val="Calibri"/>
        <family val="2"/>
        <scheme val="minor"/>
      </rPr>
      <t>Ruhezeit</t>
    </r>
    <r>
      <rPr>
        <sz val="11"/>
        <color theme="1"/>
        <rFont val="Calibri"/>
        <family val="2"/>
        <scheme val="minor"/>
      </rPr>
      <t>: Nach Beendigung der täglichen Arbeitszeit ist eine Ruhezeit von mindestens 11 Stunden vor Beginn der nächsten Arbeitszeit einzuhalten.</t>
    </r>
  </si>
  <si>
    <r>
      <t>13.</t>
    </r>
    <r>
      <rPr>
        <b/>
        <sz val="7"/>
        <color theme="1"/>
        <rFont val="Times New Roman"/>
        <family val="1"/>
      </rPr>
      <t xml:space="preserve">   </t>
    </r>
    <r>
      <rPr>
        <b/>
        <sz val="11"/>
        <color theme="1"/>
        <rFont val="Calibri"/>
        <family val="2"/>
        <scheme val="minor"/>
      </rPr>
      <t>Was passiert bei Verfehlungen im Zusammenhang mit dem Arbeitszeitkonto?</t>
    </r>
  </si>
  <si>
    <t>Verfehlungen im Zusammenhang mit dem Arbeitszeitkonto sind: z.B. Arbeitszeitbetrug, Verstöße gegen das Arbeitszeitgesetz, Unterlassen der Dokumentation der Arbeitszeit oder verspätete Abgabe der Ausdrucke im Dekanat. Bei Verfehlungen im Zusammenhang mit dem Arbeitszeitkonto drohen arbeits- und disziplinarrechtliche Konsequenzen bis hin zur Kündigung.</t>
  </si>
  <si>
    <r>
      <t>·</t>
    </r>
    <r>
      <rPr>
        <sz val="7"/>
        <color theme="1"/>
        <rFont val="Times New Roman"/>
        <family val="1"/>
      </rPr>
      <t xml:space="preserve">         </t>
    </r>
    <r>
      <rPr>
        <b/>
        <sz val="11"/>
        <color theme="1"/>
        <rFont val="Calibri"/>
        <family val="2"/>
        <scheme val="minor"/>
      </rPr>
      <t>Urlaub</t>
    </r>
    <r>
      <rPr>
        <sz val="11"/>
        <color theme="1"/>
        <rFont val="Calibri"/>
        <family val="2"/>
        <scheme val="minor"/>
      </rPr>
      <t>: 
An den Tagen an denen Urlaub beantragt worden ist, ist im Feld „Bemerkungen“ Urlaub einzutragen und die Tabelle an dem Tag so zu füllen, dass die an diesem Tag festgelegte Arbeitszeit generiert wird (vgl. die Angabe unter Feld „Stunden“ zu dem jeweiligen Arbeitstag).</t>
    </r>
  </si>
  <si>
    <r>
      <t>·</t>
    </r>
    <r>
      <rPr>
        <sz val="7"/>
        <color theme="1"/>
        <rFont val="Times New Roman"/>
        <family val="1"/>
      </rPr>
      <t xml:space="preserve">         </t>
    </r>
    <r>
      <rPr>
        <b/>
        <sz val="11"/>
        <color theme="1"/>
        <rFont val="Calibri"/>
        <family val="2"/>
        <scheme val="minor"/>
      </rPr>
      <t>Krankheit</t>
    </r>
    <r>
      <rPr>
        <sz val="11"/>
        <color theme="1"/>
        <rFont val="Calibri"/>
        <family val="2"/>
        <scheme val="minor"/>
      </rPr>
      <t>:
 Bei Krankheit ist diese im Feld „Bemerkungen“ zu vermerken und die Tabelle so zu befüllen, als ob die regelmäßige Arbeitszeit an diesem Tag erbracht worden wäre.</t>
    </r>
  </si>
  <si>
    <r>
      <t>·</t>
    </r>
    <r>
      <rPr>
        <sz val="7"/>
        <color theme="1"/>
        <rFont val="Times New Roman"/>
        <family val="1"/>
      </rPr>
      <t xml:space="preserve">         </t>
    </r>
    <r>
      <rPr>
        <b/>
        <sz val="11"/>
        <color theme="1"/>
        <rFont val="Calibri"/>
        <family val="2"/>
        <scheme val="minor"/>
      </rPr>
      <t>Feld „Vertragslaufzeit“:</t>
    </r>
    <r>
      <rPr>
        <sz val="11"/>
        <color theme="1"/>
        <rFont val="Calibri"/>
        <family val="2"/>
        <scheme val="minor"/>
      </rPr>
      <t xml:space="preserve"> Hier ist die Laufzeit des Dienstvertrages anzugeben, d.h. Vertragsbeginn 
          und Vertragsende.</t>
    </r>
  </si>
  <si>
    <r>
      <t>·</t>
    </r>
    <r>
      <rPr>
        <sz val="7"/>
        <color theme="1"/>
        <rFont val="Times New Roman"/>
        <family val="1"/>
      </rPr>
      <t xml:space="preserve">         </t>
    </r>
    <r>
      <rPr>
        <b/>
        <sz val="11"/>
        <color theme="1"/>
        <rFont val="Calibri"/>
        <family val="2"/>
        <scheme val="minor"/>
      </rPr>
      <t>Feld „Arbeitstage“:</t>
    </r>
    <r>
      <rPr>
        <sz val="11"/>
        <color theme="1"/>
        <rFont val="Calibri"/>
        <family val="2"/>
        <scheme val="minor"/>
      </rPr>
      <t xml:space="preserve"> 
Zu Beginn des Beschäftigungsverhältnisses verteilt die/der Fachvorgesetzte die vereinbarte wöchentliche Arbeitszeit auf die einzelnen Arbeitstage. Es sind die Arbeitstage anzukreuzen, auf die die Arbeitszeit verteilt worden ist. Bei einer 5-Tage Woche sind alle Tage anzukreuzen. Ist die Arbeitszeit beispielsweise auf Dienstag und Donnerstag verteilt worden, sind die beiden Tage entsprechend auszuwählen.</t>
    </r>
  </si>
  <si>
    <r>
      <t>·</t>
    </r>
    <r>
      <rPr>
        <sz val="7"/>
        <color theme="1"/>
        <rFont val="Times New Roman"/>
        <family val="1"/>
      </rPr>
      <t xml:space="preserve">         </t>
    </r>
    <r>
      <rPr>
        <b/>
        <sz val="11"/>
        <color theme="1"/>
        <rFont val="Calibri"/>
        <family val="2"/>
        <scheme val="minor"/>
      </rPr>
      <t>Tabelle Feld „Tag“:</t>
    </r>
    <r>
      <rPr>
        <sz val="11"/>
        <color theme="1"/>
        <rFont val="Calibri"/>
        <family val="2"/>
        <scheme val="minor"/>
      </rPr>
      <t xml:space="preserve"> 
Wenn die Felder „gültig von“, „bis“ korrekt ausgefüllt wurden, wird das Feld „Tag“ automatisch mit dem korrekten Datum gefüllt.</t>
    </r>
  </si>
  <si>
    <t>Am Ende des Monats ist das Arbeitszeitkonto von der Hilfskraft oder der/dem (geringfügig)  Beschäftigten auszudrucken, zu unterschreiben und der/dem Fachvorgesetzten zur Kontrolle  und Unterschrift vorzulegen. Der unterschriebene Ausdruck ist von den  Fachvorgesetzten, die organisatorisch zu einem Fachbereich gehören,  bis zum 05. eines  jeden Folgemonats im Dekanat  zur Aufbewahrung  abzugeben. In den Dezernaten und  Zentralen Wissenschaftlichen Einrichtungen wird der Ausdruck von den Dezernentinnen und  Dezernenten, den Leiterinnen und Leitern der Zentralen Wissenschaftlichen Einrichtung  aufbewahrt. Die Ausdrucke sind zwei Jahre in den oben genannten Bereichen  aufzubewahren und für Prüfzwecke bereitzuhalten.</t>
  </si>
  <si>
    <t xml:space="preserve"> Als Arbeitstage wurde zu Beginn des Beschäftigungsverhältnisses von dem Fachvorgesetzten im Benehmen mit der Hilfskraft  die Tage Montag, Mittwoch und Donnerstag festgelegt. Die Stunden wurden zu Beginn des Beschäftigungsverhältnisses vom Fachvorgesetzten mit Einverständnis der Hilfskraft wie folgt verteilt:</t>
  </si>
  <si>
    <t>Es wurde ein Dienstvertrag mit einer wöchentlichen Arbeitszeit von 15 Stunden abgeschlossen.</t>
  </si>
  <si>
    <r>
      <t>·</t>
    </r>
    <r>
      <rPr>
        <sz val="7"/>
        <color theme="1"/>
        <rFont val="Times New Roman"/>
        <family val="1"/>
      </rPr>
      <t xml:space="preserve">         </t>
    </r>
    <r>
      <rPr>
        <b/>
        <sz val="11"/>
        <color theme="1"/>
        <rFont val="Calibri"/>
        <family val="2"/>
        <scheme val="minor"/>
      </rPr>
      <t xml:space="preserve">Tabelle Feld „Zeitabzug/Pause/Unterbrechung“:
</t>
    </r>
    <r>
      <rPr>
        <sz val="11"/>
        <color theme="1"/>
        <rFont val="Calibri"/>
        <family val="2"/>
        <scheme val="minor"/>
      </rPr>
      <t>In dem Tabellenfeld sind die Pausenzeiten bzw. Zeiten der Arbeitsunterbrechung in Summe einzutragen. Bitte beachten Sie, dass Sie aufgrund des Arbeitszeitgesetzes verpflichtet sind bei einer Arbeitszeit von mehr als 6 Stunden bis zu 9 Stunden eine Pause von 30 Minuten und bei einer Arbeitszeit von mehr als 9 Stunden weitere 15 Minuten Pause ein zulegen. Diese Pausen sind in das Tabellenfeld zwingend einzutragen genauso wie Arbeitsunterbrechungen.</t>
    </r>
  </si>
  <si>
    <r>
      <t>·</t>
    </r>
    <r>
      <rPr>
        <sz val="7"/>
        <color theme="1"/>
        <rFont val="Times New Roman"/>
        <family val="1"/>
      </rPr>
      <t xml:space="preserve">         </t>
    </r>
    <r>
      <rPr>
        <b/>
        <sz val="11"/>
        <color theme="1"/>
        <rFont val="Calibri"/>
        <family val="2"/>
        <scheme val="minor"/>
      </rPr>
      <t>Feld „Stunden“:</t>
    </r>
    <r>
      <rPr>
        <sz val="11"/>
        <color theme="1"/>
        <rFont val="Calibri"/>
        <family val="2"/>
        <scheme val="minor"/>
      </rPr>
      <t xml:space="preserve"> Zu Beginn des Beschäftigungsverhältnisses legt die/der Fachvorgesetzte  im Benehmen mit der/dem Beschäftigten auch fest, wieviel Stunden an den einzelnen Arbeitstagen zu arbeiten ist. In dem Feld „Stunden“ ist einzutragen wieviel Stunden an den einzelnen festgelegten Arbeitstagen zu arbeiten ist. Wenn 5 Stunden an dem jeweiligen Tag zu arbeiten ist, sind diese an dem jeweils festgelegten Arbeitstag wie folgt einzutragen „Stunden: 05:00".</t>
    </r>
  </si>
  <si>
    <t>Einführung des Arbeitszeitkontos</t>
  </si>
  <si>
    <t>Vertragslaufzeit</t>
  </si>
  <si>
    <t>Wöchentliche Arbeitszeit</t>
  </si>
  <si>
    <t>Monatsnachweis vom -bis</t>
  </si>
  <si>
    <t>Arbeitstage</t>
  </si>
  <si>
    <t>Bemerkungen</t>
  </si>
  <si>
    <t>Urlaub</t>
  </si>
  <si>
    <t>Krankheit</t>
  </si>
  <si>
    <t xml:space="preserve">Feiertage </t>
  </si>
  <si>
    <t>Freizeitausgleich</t>
  </si>
  <si>
    <t>Plusstunden</t>
  </si>
  <si>
    <t>Minusstunden</t>
  </si>
  <si>
    <t>Aufbewahrung</t>
  </si>
  <si>
    <t>Arbeitszeitausgleich</t>
  </si>
  <si>
    <t>Zeitabzug/Pause/Unterbrechung</t>
  </si>
  <si>
    <t>Arbeitsbeginn und Arbeitsende</t>
  </si>
  <si>
    <r>
      <t>·</t>
    </r>
    <r>
      <rPr>
        <sz val="7"/>
        <color theme="1"/>
        <rFont val="Times New Roman"/>
        <family val="1"/>
      </rPr>
      <t xml:space="preserve">         </t>
    </r>
    <r>
      <rPr>
        <b/>
        <sz val="11"/>
        <color theme="1"/>
        <rFont val="Calibri"/>
        <family val="2"/>
        <scheme val="minor"/>
      </rPr>
      <t xml:space="preserve">Tabelle Feld „Arbeitsbeginn“:
</t>
    </r>
    <r>
      <rPr>
        <sz val="11"/>
        <color theme="1"/>
        <rFont val="Calibri"/>
        <family val="2"/>
        <scheme val="minor"/>
      </rPr>
      <t xml:space="preserve"> In dem Tabellenfeld die genaue Uhrzeit des Arbeitsbeginns an diesem Tag einzutragen. 
Bitte beachten Sie, dass die Uhrzeit mit Trennzeichen anzugeben ist, Die ersten beiden Zahlen stehen dabei für die Stunden, die letzten beiden für die Minuten.
Beispiele:
Arbeitsbeginn 08:05 
Arbeitsbeginn 14:25 
• </t>
    </r>
    <r>
      <rPr>
        <b/>
        <sz val="11"/>
        <color theme="1"/>
        <rFont val="Calibri"/>
        <family val="2"/>
        <scheme val="minor"/>
      </rPr>
      <t>Tabelle Feld „Arbeitsende“:</t>
    </r>
    <r>
      <rPr>
        <sz val="11"/>
        <color theme="1"/>
        <rFont val="Calibri"/>
        <family val="2"/>
        <scheme val="minor"/>
      </rPr>
      <t xml:space="preserve">
In dem Tabellenfeld ist die genaue Uhrzeit des Zeitpunkts der Beendigung der Arbeit einzutragen. Bitte beachten Sie, dass die Uhrzeit mit Trennzeichen anzugeben ist. Die ersten beiden Zahlen stehen dabei für die Stunden, die letzten beiden für die Minuten.
Beispiele
Arbeitsende 09:05 
Arbeitsende 16:55 
</t>
    </r>
  </si>
  <si>
    <t>Hilfethemen:</t>
  </si>
  <si>
    <t>Monat gültig vom:</t>
  </si>
  <si>
    <t>Nur dieses Excelformular, welches auf 12 Monate ausgelegt ist, ist zur Führung des Arbeitszeitkontos zu verwenden. Wenn alle 12 Tabellenblätter ausgefüllt sind, ist eine neue Datei zu verwenden, welche im Intranet zur Verfügung steht.</t>
  </si>
  <si>
    <r>
      <t>·</t>
    </r>
    <r>
      <rPr>
        <sz val="7"/>
        <color theme="1"/>
        <rFont val="Times New Roman"/>
        <family val="1"/>
      </rPr>
      <t xml:space="preserve">         </t>
    </r>
    <r>
      <rPr>
        <b/>
        <sz val="11"/>
        <color theme="1"/>
        <rFont val="Calibri"/>
        <family val="2"/>
        <scheme val="minor"/>
      </rPr>
      <t xml:space="preserve">Felder „Monat gültig vom“, „bis“:  
</t>
    </r>
    <r>
      <rPr>
        <sz val="11"/>
        <color theme="1"/>
        <rFont val="Calibri"/>
        <family val="2"/>
        <scheme val="minor"/>
      </rPr>
      <t>Die Angabe ist in jedem Monat des laufenden Vertrages anzupassen. Wenn im kompletten Monat ein Vertrag besteht, wären dort der Erste und der Letzte des jeweiligen Monats einzutragen. Bei einem Vertrag vom 07.05.2016 bis zum 04.08.2016 wären die Felder monatlich wie folgt zu befüllen:</t>
    </r>
  </si>
  <si>
    <r>
      <t>·</t>
    </r>
    <r>
      <rPr>
        <sz val="7"/>
        <color theme="1"/>
        <rFont val="Times New Roman"/>
        <family val="1"/>
      </rPr>
      <t xml:space="preserve">         </t>
    </r>
    <r>
      <rPr>
        <b/>
        <sz val="11"/>
        <color theme="1"/>
        <rFont val="Calibri"/>
        <family val="2"/>
        <scheme val="minor"/>
      </rPr>
      <t>Feiertag</t>
    </r>
    <r>
      <rPr>
        <sz val="11"/>
        <color theme="1"/>
        <rFont val="Calibri"/>
        <family val="2"/>
        <scheme val="minor"/>
      </rPr>
      <t>: 
An Feiertagen, ist die Tabelle an dem Tag so zu füllen, dass die an diesem Tag festgelegte Arbeitszeit generiert wird (vgl. die Angabe unter Feld „Stunden“ zu dem jeweiligen Arbeitstag).</t>
    </r>
  </si>
  <si>
    <t>Bei einem Feiertag an einem Donnerstag wäre die Tabelle beispielsweise wie folgt auszufüllen: Beginn: 08:00, Ende: 12:00</t>
  </si>
  <si>
    <t>Vertragslaufzeit ab:</t>
  </si>
  <si>
    <t>Um die Bezahlung des Mindestlohns und die Dokumentations- und Aufbewahrungspflichten nach dem Mindestlohngesetz zu gewährleisten, wird für die Studentischen Hilfskräfte (SHK), Wissenschaftlichen Hilfskräfte (WHK), die studentischen Aushilfskräfte TV-L und die geringfügig Beschäftigten ein Arbeitszeitkonto verbindlich eingeführt. Dieser Leitfaden erläutert die Dienstvereinbarung und soll dem betroffenen Personenkreis als Hilfestellung dienen.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</si>
</sst>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 _€_-;\-* #,##0.00\ _€_-;_-* &quot;-&quot;??\ _€_-;_-@_-"/>
    <numFmt numFmtId="164" formatCode="h:mm;@"/>
    <numFmt numFmtId="165" formatCode="0.0000"/>
    <numFmt numFmtId="166" formatCode="mmmm\ yyyy"/>
    <numFmt numFmtId="167" formatCode="#,##0.00\ &quot;€&quot;"/>
    <numFmt numFmtId="168" formatCode="ddd&quot;, &quot;dd&quot;.&quot;mm&quot;.&quot;;;"/>
    <numFmt numFmtId="169" formatCode="[h]:mm"/>
    <numFmt numFmtId="170" formatCode="0.0"/>
    <numFmt numFmtId="171" formatCode="####"/>
    <numFmt numFmtId="172" formatCode="dd\-mm\-yy;@"/>
    <numFmt numFmtId="173" formatCode="dd/mm/yy;@"/>
  </numFmts>
  <fonts count="62">
    <font>
      <sz val="11"/>
      <color theme="1"/>
      <name val="Calibri"/>
      <family val="2"/>
      <scheme val="minor"/>
    </font>
    <font>
      <sz val="10"/>
      <color rgb="FF000000"/>
      <name val="Geneva"/>
    </font>
    <font>
      <sz val="10"/>
      <color theme="1"/>
      <name val="Calibri"/>
      <family val="2"/>
      <scheme val="minor"/>
    </font>
    <font>
      <sz val="10"/>
      <color theme="0"/>
      <name val="Calibri"/>
      <family val="2"/>
      <scheme val="minor"/>
    </font>
    <font>
      <i/>
      <sz val="8"/>
      <color rgb="FF00B0F0"/>
      <name val="Calibri"/>
      <family val="2"/>
      <scheme val="minor"/>
    </font>
    <font>
      <sz val="8"/>
      <color rgb="FF00B0F0"/>
      <name val="Calibri"/>
      <family val="2"/>
      <scheme val="minor"/>
    </font>
    <font>
      <sz val="9"/>
      <color theme="0"/>
      <name val="Calibri"/>
      <family val="2"/>
      <scheme val="minor"/>
    </font>
    <font>
      <sz val="12"/>
      <color theme="0"/>
      <name val="Calibri"/>
      <family val="2"/>
      <scheme val="minor"/>
    </font>
    <font>
      <b/>
      <sz val="14"/>
      <color theme="1"/>
      <name val="Calibri"/>
      <family val="2"/>
      <scheme val="minor"/>
    </font>
    <font>
      <b/>
      <i/>
      <sz val="8"/>
      <color rgb="FF00B0F0"/>
      <name val="Calibri"/>
      <family val="2"/>
      <scheme val="minor"/>
    </font>
    <font>
      <b/>
      <i/>
      <sz val="9"/>
      <color theme="1"/>
      <name val="Calibri"/>
      <family val="2"/>
      <scheme val="minor"/>
    </font>
    <font>
      <sz val="9"/>
      <color theme="1"/>
      <name val="Calibri"/>
      <family val="2"/>
      <scheme val="minor"/>
    </font>
    <font>
      <sz val="9"/>
      <name val="Calibri"/>
      <family val="2"/>
      <scheme val="minor"/>
    </font>
    <font>
      <b/>
      <sz val="10"/>
      <color rgb="FF800000"/>
      <name val="Calibri"/>
      <family val="2"/>
      <scheme val="minor"/>
    </font>
    <font>
      <sz val="10"/>
      <name val="Calibri"/>
      <family val="2"/>
      <scheme val="minor"/>
    </font>
    <font>
      <sz val="10"/>
      <color theme="0" tint="-0.14999847407452621"/>
      <name val="Calibri"/>
      <family val="2"/>
      <scheme val="minor"/>
    </font>
    <font>
      <b/>
      <sz val="10"/>
      <name val="Calibri"/>
      <family val="2"/>
      <scheme val="minor"/>
    </font>
    <font>
      <i/>
      <sz val="9"/>
      <color rgb="FF00B0F0"/>
      <name val="Calibri"/>
      <family val="2"/>
      <scheme val="minor"/>
    </font>
    <font>
      <i/>
      <sz val="8"/>
      <color theme="1"/>
      <name val="Calibri"/>
      <family val="2"/>
      <scheme val="minor"/>
    </font>
    <font>
      <i/>
      <sz val="9"/>
      <color theme="1"/>
      <name val="Calibri"/>
      <family val="2"/>
      <scheme val="minor"/>
    </font>
    <font>
      <sz val="8"/>
      <color theme="1"/>
      <name val="Calibri"/>
      <family val="2"/>
      <scheme val="minor"/>
    </font>
    <font>
      <b/>
      <i/>
      <sz val="10"/>
      <color theme="1"/>
      <name val="Calibri"/>
      <family val="2"/>
      <scheme val="minor"/>
    </font>
    <font>
      <sz val="8"/>
      <name val="Calibri"/>
      <family val="2"/>
      <scheme val="minor"/>
    </font>
    <font>
      <i/>
      <sz val="8"/>
      <color rgb="FFC00000"/>
      <name val="Calibri"/>
      <family val="2"/>
      <scheme val="minor"/>
    </font>
    <font>
      <b/>
      <sz val="11"/>
      <color theme="1"/>
      <name val="Calibri"/>
      <family val="2"/>
      <scheme val="minor"/>
    </font>
    <font>
      <b/>
      <sz val="12"/>
      <color theme="1"/>
      <name val="Calibri"/>
      <family val="2"/>
      <scheme val="minor"/>
    </font>
    <font>
      <sz val="11"/>
      <color theme="0" tint="-0.24994659260841701"/>
      <name val="Calibri"/>
      <family val="2"/>
      <scheme val="minor"/>
    </font>
    <font>
      <sz val="8"/>
      <color rgb="FFFF0000"/>
      <name val="Calibri"/>
      <family val="2"/>
      <scheme val="minor"/>
    </font>
    <font>
      <sz val="9"/>
      <color rgb="FF00B0F0"/>
      <name val="Calibri"/>
      <family val="2"/>
      <scheme val="minor"/>
    </font>
    <font>
      <sz val="8"/>
      <color rgb="FFC00000"/>
      <name val="Calibri"/>
      <family val="2"/>
      <scheme val="minor"/>
    </font>
    <font>
      <b/>
      <sz val="11"/>
      <name val="Calibri"/>
      <family val="2"/>
      <scheme val="minor"/>
    </font>
    <font>
      <sz val="12"/>
      <color theme="1"/>
      <name val="Calibri"/>
      <family val="2"/>
      <scheme val="minor"/>
    </font>
    <font>
      <sz val="12"/>
      <name val="Calibri"/>
      <family val="2"/>
      <scheme val="minor"/>
    </font>
    <font>
      <b/>
      <i/>
      <sz val="9"/>
      <color theme="0"/>
      <name val="Calibri"/>
      <family val="2"/>
      <scheme val="minor"/>
    </font>
    <font>
      <b/>
      <sz val="12"/>
      <color theme="0"/>
      <name val="Calibri"/>
      <family val="2"/>
      <scheme val="minor"/>
    </font>
    <font>
      <sz val="10"/>
      <color rgb="FF00B0F0"/>
      <name val="Calibri"/>
      <family val="2"/>
      <scheme val="minor"/>
    </font>
    <font>
      <i/>
      <sz val="10"/>
      <color rgb="FF00B0F0"/>
      <name val="Calibri"/>
      <family val="2"/>
      <scheme val="minor"/>
    </font>
    <font>
      <b/>
      <sz val="10"/>
      <color rgb="FFC00000"/>
      <name val="Calibri"/>
      <family val="2"/>
      <scheme val="minor"/>
    </font>
    <font>
      <b/>
      <sz val="9"/>
      <color rgb="FF00B0F0"/>
      <name val="Calibri"/>
      <family val="2"/>
      <scheme val="minor"/>
    </font>
    <font>
      <sz val="9"/>
      <color theme="4"/>
      <name val="Calibri"/>
      <family val="2"/>
      <scheme val="minor"/>
    </font>
    <font>
      <b/>
      <i/>
      <sz val="9"/>
      <color theme="4"/>
      <name val="Calibri"/>
      <family val="2"/>
      <scheme val="minor"/>
    </font>
    <font>
      <b/>
      <sz val="10"/>
      <color rgb="FFA50021"/>
      <name val="Calibri"/>
      <family val="2"/>
      <scheme val="minor"/>
    </font>
    <font>
      <sz val="10"/>
      <color rgb="FFA50021"/>
      <name val="Calibri"/>
      <family val="2"/>
      <scheme val="minor"/>
    </font>
    <font>
      <b/>
      <sz val="11"/>
      <color theme="0"/>
      <name val="Calibri"/>
      <family val="2"/>
      <scheme val="minor"/>
    </font>
    <font>
      <b/>
      <sz val="10.5"/>
      <name val="Calibri"/>
      <family val="2"/>
      <scheme val="minor"/>
    </font>
    <font>
      <b/>
      <sz val="9"/>
      <color rgb="FFC00000"/>
      <name val="Calibri"/>
      <family val="2"/>
      <scheme val="minor"/>
    </font>
    <font>
      <sz val="9"/>
      <color rgb="FFA50021"/>
      <name val="Calibri"/>
      <family val="2"/>
      <scheme val="minor"/>
    </font>
    <font>
      <sz val="9"/>
      <color indexed="81"/>
      <name val="Segoe UI"/>
      <family val="2"/>
    </font>
    <font>
      <b/>
      <sz val="9"/>
      <color indexed="81"/>
      <name val="Segoe UI"/>
      <family val="2"/>
    </font>
    <font>
      <b/>
      <sz val="12"/>
      <color rgb="FFFF0000"/>
      <name val="Helv"/>
    </font>
    <font>
      <b/>
      <sz val="10"/>
      <color indexed="10"/>
      <name val="Helv"/>
    </font>
    <font>
      <sz val="11"/>
      <color rgb="FF0070C0"/>
      <name val="Calibri"/>
      <family val="2"/>
      <scheme val="minor"/>
    </font>
    <font>
      <b/>
      <sz val="10"/>
      <color theme="1"/>
      <name val="Helv"/>
    </font>
    <font>
      <sz val="8"/>
      <color theme="0" tint="-0.34998626667073579"/>
      <name val="Calibri"/>
      <family val="2"/>
      <scheme val="minor"/>
    </font>
    <font>
      <b/>
      <sz val="10"/>
      <color rgb="FFFF0000"/>
      <name val="Calibri"/>
      <family val="2"/>
      <scheme val="minor"/>
    </font>
    <font>
      <i/>
      <sz val="8"/>
      <name val="Calibri"/>
      <family val="2"/>
      <scheme val="minor"/>
    </font>
    <font>
      <b/>
      <sz val="12"/>
      <color rgb="FFC00000"/>
      <name val="Calibri"/>
      <family val="2"/>
      <scheme val="minor"/>
    </font>
    <font>
      <b/>
      <sz val="7"/>
      <color theme="1"/>
      <name val="Times New Roman"/>
      <family val="1"/>
    </font>
    <font>
      <sz val="7"/>
      <color theme="1"/>
      <name val="Times New Roman"/>
      <family val="1"/>
    </font>
    <font>
      <u/>
      <sz val="11"/>
      <color theme="1"/>
      <name val="Calibri"/>
      <family val="2"/>
      <scheme val="minor"/>
    </font>
    <font>
      <b/>
      <u/>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theme="2"/>
        <bgColor indexed="64"/>
      </patternFill>
    </fill>
    <fill>
      <patternFill patternType="solid">
        <fgColor theme="0" tint="-0.14999847407452621"/>
        <bgColor indexed="64"/>
      </patternFill>
    </fill>
    <fill>
      <patternFill patternType="solid">
        <fgColor rgb="FFFFFF00"/>
        <bgColor indexed="64"/>
      </patternFill>
    </fill>
  </fills>
  <borders count="41">
    <border>
      <left/>
      <right/>
      <top/>
      <bottom/>
      <diagonal/>
    </border>
    <border>
      <left/>
      <right/>
      <top/>
      <bottom style="thin">
        <color indexed="64"/>
      </bottom>
      <diagonal/>
    </border>
    <border>
      <left/>
      <right/>
      <top/>
      <bottom style="hair">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right style="medium">
        <color auto="1"/>
      </right>
      <top style="medium">
        <color auto="1"/>
      </top>
      <bottom style="medium">
        <color indexed="64"/>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diagonal/>
    </border>
    <border>
      <left/>
      <right style="thin">
        <color auto="1"/>
      </right>
      <top style="hair">
        <color auto="1"/>
      </top>
      <bottom/>
      <diagonal/>
    </border>
    <border>
      <left style="thin">
        <color auto="1"/>
      </left>
      <right style="thin">
        <color auto="1"/>
      </right>
      <top style="hair">
        <color auto="1"/>
      </top>
      <bottom/>
      <diagonal/>
    </border>
    <border>
      <left/>
      <right/>
      <top style="thin">
        <color indexed="8"/>
      </top>
      <bottom/>
      <diagonal/>
    </border>
    <border>
      <left/>
      <right/>
      <top style="hair">
        <color auto="1"/>
      </top>
      <bottom/>
      <diagonal/>
    </border>
    <border>
      <left/>
      <right/>
      <top style="hair">
        <color auto="1"/>
      </top>
      <bottom style="hair">
        <color auto="1"/>
      </bottom>
      <diagonal/>
    </border>
    <border>
      <left style="thin">
        <color auto="1"/>
      </left>
      <right style="thin">
        <color indexed="8"/>
      </right>
      <top style="hair">
        <color auto="1"/>
      </top>
      <bottom style="hair">
        <color auto="1"/>
      </bottom>
      <diagonal/>
    </border>
    <border>
      <left/>
      <right/>
      <top/>
      <bottom style="hair">
        <color indexed="64"/>
      </bottom>
      <diagonal/>
    </border>
    <border>
      <left style="thin">
        <color indexed="64"/>
      </left>
      <right style="thin">
        <color auto="1"/>
      </right>
      <top/>
      <bottom style="hair">
        <color indexed="8"/>
      </bottom>
      <diagonal/>
    </border>
    <border>
      <left/>
      <right/>
      <top/>
      <bottom style="hair">
        <color indexed="8"/>
      </bottom>
      <diagonal/>
    </border>
    <border>
      <left/>
      <right/>
      <top/>
      <bottom style="hair">
        <color auto="1"/>
      </bottom>
      <diagonal/>
    </border>
    <border>
      <left style="thin">
        <color auto="1"/>
      </left>
      <right style="thin">
        <color auto="1"/>
      </right>
      <top/>
      <bottom style="hair">
        <color auto="1"/>
      </bottom>
      <diagonal/>
    </border>
    <border>
      <left style="thin">
        <color indexed="8"/>
      </left>
      <right style="thin">
        <color indexed="8"/>
      </right>
      <top/>
      <bottom style="hair">
        <color indexed="8"/>
      </bottom>
      <diagonal/>
    </border>
    <border>
      <left style="thin">
        <color auto="1"/>
      </left>
      <right/>
      <top/>
      <bottom style="hair">
        <color auto="1"/>
      </bottom>
      <diagonal/>
    </border>
    <border>
      <left/>
      <right style="thin">
        <color auto="1"/>
      </right>
      <top/>
      <bottom style="hair">
        <color auto="1"/>
      </bottom>
      <diagonal/>
    </border>
    <border>
      <left style="thin">
        <color auto="1"/>
      </left>
      <right style="thin">
        <color auto="1"/>
      </right>
      <top style="hair">
        <color auto="1"/>
      </top>
      <bottom style="thin">
        <color indexed="64"/>
      </bottom>
      <diagonal/>
    </border>
    <border>
      <left style="thin">
        <color auto="1"/>
      </left>
      <right/>
      <top style="hair">
        <color auto="1"/>
      </top>
      <bottom style="thin">
        <color indexed="64"/>
      </bottom>
      <diagonal/>
    </border>
    <border>
      <left/>
      <right style="thin">
        <color auto="1"/>
      </right>
      <top style="hair">
        <color auto="1"/>
      </top>
      <bottom style="thin">
        <color indexed="64"/>
      </bottom>
      <diagonal/>
    </border>
    <border>
      <left style="thin">
        <color indexed="8"/>
      </left>
      <right style="thin">
        <color indexed="8"/>
      </right>
      <top/>
      <bottom style="thin">
        <color indexed="64"/>
      </bottom>
      <diagonal/>
    </border>
    <border>
      <left style="thin">
        <color indexed="64"/>
      </left>
      <right style="thin">
        <color auto="1"/>
      </right>
      <top/>
      <bottom style="thin">
        <color indexed="64"/>
      </bottom>
      <diagonal/>
    </border>
    <border>
      <left style="thin">
        <color auto="1"/>
      </left>
      <right style="thin">
        <color auto="1"/>
      </right>
      <top style="medium">
        <color auto="1"/>
      </top>
      <bottom style="hair">
        <color indexed="8"/>
      </bottom>
      <diagonal/>
    </border>
    <border>
      <left style="thick">
        <color indexed="17"/>
      </left>
      <right style="thick">
        <color indexed="17"/>
      </right>
      <top style="thick">
        <color indexed="17"/>
      </top>
      <bottom style="thick">
        <color indexed="17"/>
      </bottom>
      <diagonal/>
    </border>
    <border>
      <left style="medium">
        <color auto="1"/>
      </left>
      <right/>
      <top style="medium">
        <color auto="1"/>
      </top>
      <bottom style="medium">
        <color auto="1"/>
      </bottom>
      <diagonal/>
    </border>
    <border>
      <left style="medium">
        <color auto="1"/>
      </left>
      <right/>
      <top/>
      <bottom style="hair">
        <color auto="1"/>
      </bottom>
      <diagonal/>
    </border>
    <border>
      <left style="medium">
        <color auto="1"/>
      </left>
      <right/>
      <top style="hair">
        <color auto="1"/>
      </top>
      <bottom style="hair">
        <color auto="1"/>
      </bottom>
      <diagonal/>
    </border>
    <border>
      <left style="medium">
        <color auto="1"/>
      </left>
      <right/>
      <top style="hair">
        <color auto="1"/>
      </top>
      <bottom/>
      <diagonal/>
    </border>
    <border>
      <left style="medium">
        <color auto="1"/>
      </left>
      <right/>
      <top style="hair">
        <color auto="1"/>
      </top>
      <bottom style="thin">
        <color indexed="64"/>
      </bottom>
      <diagonal/>
    </border>
    <border>
      <left/>
      <right/>
      <top/>
      <bottom style="medium">
        <color indexed="64"/>
      </bottom>
      <diagonal/>
    </border>
    <border>
      <left style="medium">
        <color indexed="64"/>
      </left>
      <right style="medium">
        <color indexed="64"/>
      </right>
      <top style="medium">
        <color indexed="64"/>
      </top>
      <bottom style="hair">
        <color auto="1"/>
      </bottom>
      <diagonal/>
    </border>
    <border>
      <left style="medium">
        <color indexed="64"/>
      </left>
      <right style="medium">
        <color indexed="64"/>
      </right>
      <top/>
      <bottom style="hair">
        <color auto="1"/>
      </bottom>
      <diagonal/>
    </border>
    <border>
      <left style="medium">
        <color indexed="64"/>
      </left>
      <right style="medium">
        <color indexed="64"/>
      </right>
      <top/>
      <bottom style="medium">
        <color indexed="64"/>
      </bottom>
      <diagonal/>
    </border>
  </borders>
  <cellStyleXfs count="2">
    <xf numFmtId="0" fontId="0" fillId="0" borderId="0"/>
    <xf numFmtId="0" fontId="61" fillId="0" borderId="0" applyNumberFormat="0" applyFill="0" applyBorder="0" applyAlignment="0" applyProtection="0"/>
  </cellStyleXfs>
  <cellXfs count="333">
    <xf numFmtId="0" fontId="0" fillId="0" borderId="0" xfId="0"/>
    <xf numFmtId="20" fontId="3" fillId="0" borderId="0" xfId="0" applyNumberFormat="1" applyFont="1" applyProtection="1">
      <protection hidden="1"/>
    </xf>
    <xf numFmtId="0" fontId="2" fillId="0" borderId="0" xfId="0" applyFont="1"/>
    <xf numFmtId="0" fontId="0" fillId="0" borderId="0" xfId="0" applyProtection="1">
      <protection hidden="1"/>
    </xf>
    <xf numFmtId="0" fontId="5" fillId="0" borderId="0" xfId="0" applyFont="1" applyAlignment="1">
      <alignment horizontal="center"/>
    </xf>
    <xf numFmtId="0" fontId="4" fillId="0" borderId="0" xfId="0" applyFont="1" applyAlignment="1">
      <alignment horizontal="center"/>
    </xf>
    <xf numFmtId="0" fontId="3" fillId="0" borderId="0" xfId="0" applyFont="1" applyProtection="1">
      <protection locked="0" hidden="1"/>
    </xf>
    <xf numFmtId="0" fontId="0" fillId="0" borderId="0" xfId="0" applyAlignment="1" applyProtection="1">
      <protection hidden="1"/>
    </xf>
    <xf numFmtId="0" fontId="2" fillId="0" borderId="0" xfId="0" applyFont="1" applyBorder="1" applyAlignment="1" applyProtection="1">
      <protection hidden="1"/>
    </xf>
    <xf numFmtId="164" fontId="5" fillId="0" borderId="0" xfId="0" applyNumberFormat="1" applyFont="1" applyFill="1" applyAlignment="1" applyProtection="1">
      <alignment horizontal="center"/>
      <protection hidden="1"/>
    </xf>
    <xf numFmtId="0" fontId="4" fillId="0" borderId="0" xfId="0" applyFont="1" applyFill="1" applyAlignment="1" applyProtection="1">
      <alignment horizontal="center"/>
      <protection hidden="1"/>
    </xf>
    <xf numFmtId="0" fontId="2" fillId="0" borderId="0" xfId="0" applyFont="1" applyProtection="1">
      <protection hidden="1"/>
    </xf>
    <xf numFmtId="0" fontId="6" fillId="0" borderId="0" xfId="0" applyFont="1" applyProtection="1">
      <protection locked="0" hidden="1"/>
    </xf>
    <xf numFmtId="0" fontId="2" fillId="0" borderId="0" xfId="0" applyFont="1" applyAlignment="1" applyProtection="1">
      <protection hidden="1"/>
    </xf>
    <xf numFmtId="166" fontId="0" fillId="0" borderId="0" xfId="0" applyNumberFormat="1" applyBorder="1" applyAlignment="1" applyProtection="1">
      <alignment horizontal="center" vertical="center"/>
      <protection locked="0" hidden="1"/>
    </xf>
    <xf numFmtId="164" fontId="5" fillId="0" borderId="0" xfId="0" applyNumberFormat="1" applyFont="1" applyAlignment="1">
      <alignment horizontal="center"/>
    </xf>
    <xf numFmtId="0" fontId="9" fillId="0" borderId="0" xfId="0" applyFont="1" applyAlignment="1">
      <alignment horizontal="center" vertical="center"/>
    </xf>
    <xf numFmtId="0" fontId="10" fillId="0" borderId="0" xfId="0" applyFont="1" applyAlignment="1">
      <alignment horizontal="center" vertical="center"/>
    </xf>
    <xf numFmtId="0" fontId="13" fillId="0" borderId="0" xfId="0" applyFont="1" applyFill="1" applyBorder="1"/>
    <xf numFmtId="168" fontId="12" fillId="0" borderId="0" xfId="0" applyNumberFormat="1" applyFont="1" applyFill="1" applyBorder="1" applyAlignment="1" applyProtection="1">
      <alignment horizontal="center" vertical="center"/>
      <protection hidden="1"/>
    </xf>
    <xf numFmtId="0" fontId="14" fillId="0" borderId="0" xfId="0" applyFont="1" applyFill="1" applyBorder="1" applyProtection="1">
      <protection hidden="1"/>
    </xf>
    <xf numFmtId="0" fontId="14" fillId="0" borderId="0" xfId="0" applyFont="1" applyAlignment="1" applyProtection="1">
      <alignment horizontal="center" vertical="center"/>
      <protection hidden="1"/>
    </xf>
    <xf numFmtId="0" fontId="14" fillId="0" borderId="0" xfId="0" applyFont="1" applyAlignment="1" applyProtection="1">
      <protection hidden="1"/>
    </xf>
    <xf numFmtId="0" fontId="14" fillId="0" borderId="0" xfId="0" applyFont="1" applyAlignment="1" applyProtection="1">
      <alignment horizontal="right" vertical="center"/>
      <protection hidden="1"/>
    </xf>
    <xf numFmtId="0" fontId="16" fillId="0" borderId="0" xfId="0" applyFont="1" applyAlignment="1" applyProtection="1">
      <alignment horizontal="center" vertical="center"/>
      <protection hidden="1"/>
    </xf>
    <xf numFmtId="0" fontId="4" fillId="0" borderId="0" xfId="0" applyFont="1" applyProtection="1">
      <protection hidden="1"/>
    </xf>
    <xf numFmtId="0" fontId="2" fillId="0" borderId="0" xfId="0" applyFont="1" applyFill="1" applyBorder="1" applyAlignment="1" applyProtection="1">
      <protection hidden="1"/>
    </xf>
    <xf numFmtId="0" fontId="2" fillId="0" borderId="0" xfId="0" applyFont="1" applyFill="1" applyBorder="1" applyProtection="1">
      <protection hidden="1"/>
    </xf>
    <xf numFmtId="0" fontId="17" fillId="0" borderId="0" xfId="0" applyFont="1"/>
    <xf numFmtId="0" fontId="0" fillId="0" borderId="0" xfId="0" applyNumberFormat="1" applyProtection="1">
      <protection hidden="1"/>
    </xf>
    <xf numFmtId="0" fontId="2" fillId="0" borderId="0" xfId="0" applyFont="1" applyBorder="1" applyProtection="1">
      <protection hidden="1"/>
    </xf>
    <xf numFmtId="0" fontId="0" fillId="0" borderId="0" xfId="0" applyBorder="1"/>
    <xf numFmtId="0" fontId="18" fillId="0" borderId="0" xfId="0" applyFont="1" applyAlignment="1">
      <alignment horizontal="center"/>
    </xf>
    <xf numFmtId="0" fontId="19" fillId="0" borderId="0" xfId="0" applyFont="1"/>
    <xf numFmtId="0" fontId="2" fillId="0" borderId="1" xfId="0" applyFont="1" applyBorder="1" applyProtection="1">
      <protection hidden="1"/>
    </xf>
    <xf numFmtId="0" fontId="0" fillId="0" borderId="1" xfId="0" applyBorder="1"/>
    <xf numFmtId="0" fontId="20" fillId="0" borderId="13" xfId="0" applyFont="1" applyBorder="1" applyAlignment="1" applyProtection="1">
      <alignment horizontal="right" vertical="top"/>
      <protection hidden="1"/>
    </xf>
    <xf numFmtId="0" fontId="20" fillId="0" borderId="0" xfId="0" applyFont="1" applyAlignment="1">
      <alignment horizontal="center"/>
    </xf>
    <xf numFmtId="169" fontId="4" fillId="0" borderId="0" xfId="0" applyNumberFormat="1" applyFont="1" applyAlignment="1">
      <alignment horizontal="center"/>
    </xf>
    <xf numFmtId="14" fontId="21" fillId="0" borderId="0" xfId="0" applyNumberFormat="1" applyFont="1" applyBorder="1" applyAlignment="1" applyProtection="1">
      <alignment horizontal="center" vertical="center"/>
      <protection hidden="1"/>
    </xf>
    <xf numFmtId="167" fontId="7" fillId="3" borderId="0" xfId="0" applyNumberFormat="1" applyFont="1" applyFill="1" applyProtection="1">
      <protection hidden="1"/>
    </xf>
    <xf numFmtId="0" fontId="0" fillId="3" borderId="0" xfId="0" applyFill="1" applyProtection="1">
      <protection hidden="1"/>
    </xf>
    <xf numFmtId="169" fontId="11" fillId="0" borderId="0" xfId="0" applyNumberFormat="1" applyFont="1" applyBorder="1" applyAlignment="1" applyProtection="1">
      <alignment horizontal="right" vertical="center"/>
      <protection hidden="1"/>
    </xf>
    <xf numFmtId="0" fontId="2" fillId="0" borderId="0" xfId="0" applyFont="1" applyAlignment="1" applyProtection="1">
      <protection hidden="1"/>
    </xf>
    <xf numFmtId="0" fontId="4" fillId="0" borderId="0" xfId="0" applyFont="1" applyAlignment="1">
      <alignment horizontal="center"/>
    </xf>
    <xf numFmtId="0" fontId="0" fillId="0" borderId="0" xfId="0" applyAlignment="1" applyProtection="1">
      <protection hidden="1"/>
    </xf>
    <xf numFmtId="0" fontId="20" fillId="0" borderId="13" xfId="0" applyFont="1" applyBorder="1" applyAlignment="1" applyProtection="1">
      <alignment horizontal="center" vertical="top"/>
      <protection hidden="1"/>
    </xf>
    <xf numFmtId="0" fontId="0" fillId="0" borderId="0" xfId="0" applyAlignment="1" applyProtection="1">
      <protection hidden="1"/>
    </xf>
    <xf numFmtId="0" fontId="20" fillId="0" borderId="0" xfId="0" applyFont="1" applyBorder="1" applyAlignment="1" applyProtection="1">
      <alignment vertical="top"/>
      <protection hidden="1"/>
    </xf>
    <xf numFmtId="0" fontId="20" fillId="0" borderId="0" xfId="0" applyFont="1" applyBorder="1" applyAlignment="1" applyProtection="1">
      <alignment horizontal="right" vertical="top"/>
      <protection hidden="1"/>
    </xf>
    <xf numFmtId="0" fontId="0" fillId="0" borderId="0" xfId="0" applyProtection="1"/>
    <xf numFmtId="165" fontId="0" fillId="0" borderId="0" xfId="0" applyNumberFormat="1" applyFont="1" applyBorder="1" applyAlignment="1" applyProtection="1">
      <alignment horizontal="left"/>
      <protection hidden="1"/>
    </xf>
    <xf numFmtId="0" fontId="6" fillId="0" borderId="0" xfId="0" applyFont="1" applyProtection="1">
      <protection hidden="1"/>
    </xf>
    <xf numFmtId="0" fontId="5" fillId="0" borderId="0" xfId="0" applyFont="1" applyAlignment="1" applyProtection="1">
      <alignment horizontal="center"/>
    </xf>
    <xf numFmtId="0" fontId="4" fillId="0" borderId="0" xfId="0" applyFont="1" applyAlignment="1" applyProtection="1">
      <alignment horizontal="center"/>
    </xf>
    <xf numFmtId="0" fontId="0" fillId="0" borderId="0" xfId="0" applyProtection="1">
      <protection locked="0" hidden="1"/>
    </xf>
    <xf numFmtId="0" fontId="24" fillId="0" borderId="0" xfId="0" applyFont="1" applyAlignment="1">
      <alignment horizontal="center"/>
    </xf>
    <xf numFmtId="169" fontId="2" fillId="0" borderId="0" xfId="0" applyNumberFormat="1" applyFont="1" applyProtection="1">
      <protection hidden="1"/>
    </xf>
    <xf numFmtId="0" fontId="9" fillId="0" borderId="0" xfId="0" applyFont="1" applyAlignment="1">
      <alignment horizontal="center" vertical="center" wrapText="1"/>
    </xf>
    <xf numFmtId="169" fontId="0" fillId="0" borderId="0" xfId="0" applyNumberFormat="1" applyBorder="1"/>
    <xf numFmtId="169" fontId="0" fillId="0" borderId="0" xfId="0" applyNumberFormat="1"/>
    <xf numFmtId="0" fontId="0" fillId="0" borderId="0" xfId="0" applyFont="1" applyProtection="1"/>
    <xf numFmtId="0" fontId="0" fillId="0" borderId="0" xfId="0" applyFont="1" applyProtection="1">
      <protection hidden="1"/>
    </xf>
    <xf numFmtId="14" fontId="0" fillId="0" borderId="2" xfId="0" applyNumberFormat="1" applyFont="1" applyBorder="1" applyAlignment="1" applyProtection="1">
      <alignment horizontal="center" vertical="center"/>
      <protection locked="0" hidden="1"/>
    </xf>
    <xf numFmtId="0" fontId="0" fillId="0" borderId="0" xfId="0" applyFont="1" applyBorder="1" applyAlignment="1" applyProtection="1">
      <protection hidden="1"/>
    </xf>
    <xf numFmtId="0" fontId="0" fillId="0" borderId="0" xfId="0" applyFont="1" applyAlignment="1" applyProtection="1">
      <protection hidden="1"/>
    </xf>
    <xf numFmtId="14" fontId="24" fillId="0" borderId="2" xfId="0" applyNumberFormat="1" applyFont="1" applyBorder="1" applyAlignment="1" applyProtection="1">
      <alignment horizontal="center" vertical="center"/>
      <protection locked="0" hidden="1"/>
    </xf>
    <xf numFmtId="0" fontId="26" fillId="0" borderId="0" xfId="0" applyFont="1"/>
    <xf numFmtId="0" fontId="5" fillId="0" borderId="0" xfId="0" applyFont="1" applyAlignment="1">
      <alignment horizontal="center"/>
    </xf>
    <xf numFmtId="169" fontId="22" fillId="0" borderId="0" xfId="0" applyNumberFormat="1" applyFont="1" applyFill="1" applyBorder="1" applyAlignment="1" applyProtection="1">
      <alignment horizontal="center"/>
      <protection hidden="1"/>
    </xf>
    <xf numFmtId="168" fontId="15" fillId="0" borderId="2" xfId="0" applyNumberFormat="1" applyFont="1" applyFill="1" applyBorder="1" applyAlignment="1" applyProtection="1">
      <alignment horizontal="right" vertical="center"/>
      <protection hidden="1"/>
    </xf>
    <xf numFmtId="170" fontId="2" fillId="0" borderId="0" xfId="0" applyNumberFormat="1" applyFont="1"/>
    <xf numFmtId="170" fontId="4" fillId="0" borderId="0" xfId="0" applyNumberFormat="1" applyFont="1" applyFill="1" applyAlignment="1" applyProtection="1">
      <alignment horizontal="center"/>
      <protection hidden="1"/>
    </xf>
    <xf numFmtId="43" fontId="0" fillId="0" borderId="0" xfId="0" applyNumberFormat="1" applyProtection="1">
      <protection hidden="1"/>
    </xf>
    <xf numFmtId="43" fontId="0" fillId="0" borderId="0" xfId="0" applyNumberFormat="1"/>
    <xf numFmtId="20" fontId="7" fillId="0" borderId="0" xfId="0" applyNumberFormat="1" applyFont="1" applyProtection="1">
      <protection hidden="1"/>
    </xf>
    <xf numFmtId="0" fontId="31" fillId="0" borderId="0" xfId="0" applyFont="1" applyProtection="1"/>
    <xf numFmtId="0" fontId="31" fillId="0" borderId="0" xfId="0" applyFont="1"/>
    <xf numFmtId="0" fontId="31" fillId="0" borderId="0" xfId="0" applyFont="1" applyAlignment="1" applyProtection="1">
      <protection hidden="1"/>
    </xf>
    <xf numFmtId="0" fontId="31" fillId="0" borderId="0" xfId="0" applyFont="1" applyBorder="1" applyAlignment="1" applyProtection="1">
      <protection hidden="1"/>
    </xf>
    <xf numFmtId="0" fontId="31" fillId="0" borderId="0" xfId="0" applyFont="1" applyProtection="1">
      <protection hidden="1"/>
    </xf>
    <xf numFmtId="43" fontId="31" fillId="0" borderId="0" xfId="0" applyNumberFormat="1" applyFont="1" applyProtection="1">
      <protection hidden="1"/>
    </xf>
    <xf numFmtId="0" fontId="31" fillId="0" borderId="0" xfId="0" applyFont="1" applyAlignment="1">
      <alignment horizontal="center" vertical="center"/>
    </xf>
    <xf numFmtId="0" fontId="31" fillId="0" borderId="0" xfId="0" applyFont="1" applyBorder="1" applyAlignment="1" applyProtection="1">
      <alignment horizontal="center"/>
      <protection hidden="1"/>
    </xf>
    <xf numFmtId="165" fontId="31" fillId="0" borderId="0" xfId="0" applyNumberFormat="1" applyFont="1" applyBorder="1" applyAlignment="1" applyProtection="1">
      <alignment horizontal="left"/>
      <protection hidden="1"/>
    </xf>
    <xf numFmtId="170" fontId="31" fillId="0" borderId="0" xfId="0" applyNumberFormat="1" applyFont="1" applyProtection="1"/>
    <xf numFmtId="0" fontId="33" fillId="2" borderId="3" xfId="0" applyFont="1" applyFill="1" applyBorder="1" applyAlignment="1" applyProtection="1">
      <alignment horizontal="center" vertical="center" wrapText="1"/>
      <protection hidden="1"/>
    </xf>
    <xf numFmtId="0" fontId="33" fillId="2" borderId="3" xfId="0" applyFont="1" applyFill="1" applyBorder="1" applyAlignment="1" applyProtection="1">
      <alignment horizontal="center" vertical="center"/>
      <protection hidden="1"/>
    </xf>
    <xf numFmtId="20" fontId="33" fillId="2" borderId="3" xfId="0" applyNumberFormat="1" applyFont="1" applyFill="1" applyBorder="1" applyAlignment="1" applyProtection="1">
      <alignment horizontal="center" vertical="center" wrapText="1"/>
      <protection hidden="1"/>
    </xf>
    <xf numFmtId="0" fontId="33" fillId="2" borderId="5" xfId="0" applyFont="1" applyFill="1" applyBorder="1" applyAlignment="1" applyProtection="1">
      <alignment horizontal="center" vertical="center" wrapText="1"/>
      <protection hidden="1"/>
    </xf>
    <xf numFmtId="0" fontId="34" fillId="0" borderId="0" xfId="0" applyFont="1" applyProtection="1">
      <protection locked="0" hidden="1"/>
    </xf>
    <xf numFmtId="0" fontId="25" fillId="0" borderId="0" xfId="0" applyFont="1" applyProtection="1">
      <protection hidden="1"/>
    </xf>
    <xf numFmtId="0" fontId="25" fillId="0" borderId="0" xfId="0" applyFont="1"/>
    <xf numFmtId="0" fontId="35" fillId="0" borderId="0" xfId="0" applyFont="1" applyAlignment="1">
      <alignment horizontal="center"/>
    </xf>
    <xf numFmtId="164" fontId="36" fillId="0" borderId="0" xfId="0" applyNumberFormat="1" applyFont="1" applyAlignment="1">
      <alignment horizontal="center"/>
    </xf>
    <xf numFmtId="169" fontId="36" fillId="0" borderId="0" xfId="0" applyNumberFormat="1" applyFont="1" applyAlignment="1">
      <alignment horizontal="center"/>
    </xf>
    <xf numFmtId="169" fontId="24" fillId="0" borderId="0" xfId="0" applyNumberFormat="1" applyFont="1" applyBorder="1" applyAlignment="1" applyProtection="1">
      <alignment horizontal="center"/>
      <protection hidden="1"/>
    </xf>
    <xf numFmtId="169" fontId="30" fillId="0" borderId="0" xfId="0" applyNumberFormat="1" applyFont="1" applyFill="1" applyBorder="1" applyAlignment="1" applyProtection="1">
      <alignment horizontal="center"/>
      <protection hidden="1"/>
    </xf>
    <xf numFmtId="0" fontId="18" fillId="3" borderId="0" xfId="0" applyFont="1" applyFill="1" applyBorder="1" applyAlignment="1">
      <alignment horizontal="left"/>
    </xf>
    <xf numFmtId="0" fontId="14" fillId="3" borderId="0" xfId="0" applyFont="1" applyFill="1" applyBorder="1" applyAlignment="1" applyProtection="1">
      <alignment horizontal="right" vertical="center"/>
      <protection hidden="1"/>
    </xf>
    <xf numFmtId="164" fontId="18" fillId="3" borderId="15" xfId="0" applyNumberFormat="1" applyFont="1" applyFill="1" applyBorder="1" applyAlignment="1" applyProtection="1">
      <protection hidden="1"/>
    </xf>
    <xf numFmtId="169" fontId="22" fillId="3" borderId="2" xfId="0" applyNumberFormat="1" applyFont="1" applyFill="1" applyBorder="1" applyAlignment="1" applyProtection="1">
      <alignment horizontal="center"/>
      <protection hidden="1"/>
    </xf>
    <xf numFmtId="169" fontId="22" fillId="3" borderId="15" xfId="0" applyNumberFormat="1" applyFont="1" applyFill="1" applyBorder="1" applyAlignment="1">
      <alignment horizontal="center"/>
    </xf>
    <xf numFmtId="0" fontId="22" fillId="3" borderId="2" xfId="0" applyFont="1" applyFill="1" applyBorder="1" applyAlignment="1" applyProtection="1">
      <protection hidden="1"/>
    </xf>
    <xf numFmtId="168" fontId="15" fillId="0" borderId="17" xfId="0" applyNumberFormat="1" applyFont="1" applyFill="1" applyBorder="1" applyAlignment="1" applyProtection="1">
      <alignment horizontal="right" vertical="center"/>
      <protection hidden="1"/>
    </xf>
    <xf numFmtId="14" fontId="0" fillId="0" borderId="2" xfId="0" applyNumberFormat="1" applyFont="1" applyBorder="1" applyAlignment="1" applyProtection="1">
      <alignment horizontal="center" vertical="center"/>
      <protection locked="0" hidden="1"/>
    </xf>
    <xf numFmtId="0" fontId="27" fillId="0" borderId="0" xfId="0" applyFont="1" applyAlignment="1"/>
    <xf numFmtId="14" fontId="24" fillId="0" borderId="2" xfId="0" applyNumberFormat="1" applyFont="1" applyBorder="1" applyAlignment="1" applyProtection="1">
      <alignment horizontal="center" vertical="center"/>
      <protection locked="0" hidden="1"/>
    </xf>
    <xf numFmtId="0" fontId="27" fillId="0" borderId="0" xfId="0" applyFont="1" applyFill="1" applyBorder="1" applyAlignment="1" applyProtection="1">
      <protection hidden="1"/>
    </xf>
    <xf numFmtId="0" fontId="20" fillId="0" borderId="21" xfId="0" applyFont="1" applyFill="1" applyBorder="1" applyAlignment="1" applyProtection="1">
      <alignment horizontal="center" vertical="center"/>
      <protection locked="0" hidden="1"/>
    </xf>
    <xf numFmtId="164" fontId="20" fillId="0" borderId="22" xfId="0" applyNumberFormat="1" applyFont="1" applyBorder="1" applyAlignment="1" applyProtection="1">
      <alignment horizontal="center" vertical="center"/>
      <protection hidden="1"/>
    </xf>
    <xf numFmtId="164" fontId="20" fillId="0" borderId="18" xfId="0" applyNumberFormat="1" applyFont="1" applyBorder="1" applyAlignment="1" applyProtection="1">
      <alignment horizontal="center" vertical="center"/>
      <protection hidden="1"/>
    </xf>
    <xf numFmtId="169" fontId="20" fillId="0" borderId="18" xfId="0" applyNumberFormat="1" applyFont="1" applyBorder="1" applyAlignment="1" applyProtection="1">
      <alignment horizontal="right" vertical="center"/>
      <protection hidden="1"/>
    </xf>
    <xf numFmtId="164" fontId="20" fillId="0" borderId="19" xfId="0" applyNumberFormat="1" applyFont="1" applyBorder="1" applyAlignment="1" applyProtection="1">
      <alignment horizontal="center" vertical="center"/>
    </xf>
    <xf numFmtId="0" fontId="20" fillId="0" borderId="9" xfId="0" applyFont="1" applyFill="1" applyBorder="1" applyAlignment="1" applyProtection="1">
      <alignment horizontal="center" vertical="center"/>
      <protection locked="0" hidden="1"/>
    </xf>
    <xf numFmtId="0" fontId="20" fillId="0" borderId="12" xfId="0" applyFont="1" applyFill="1" applyBorder="1" applyAlignment="1" applyProtection="1">
      <alignment horizontal="center" vertical="center"/>
      <protection locked="0" hidden="1"/>
    </xf>
    <xf numFmtId="20" fontId="20" fillId="0" borderId="12" xfId="0" applyNumberFormat="1" applyFont="1" applyFill="1" applyBorder="1" applyAlignment="1" applyProtection="1">
      <alignment horizontal="center" vertical="center"/>
      <protection locked="0" hidden="1"/>
    </xf>
    <xf numFmtId="20" fontId="20" fillId="0" borderId="16" xfId="0" applyNumberFormat="1" applyFont="1" applyFill="1" applyBorder="1" applyAlignment="1" applyProtection="1">
      <alignment horizontal="center" vertical="center"/>
      <protection locked="0" hidden="1"/>
    </xf>
    <xf numFmtId="0" fontId="22" fillId="0" borderId="21" xfId="0" applyFont="1" applyFill="1" applyBorder="1" applyAlignment="1" applyProtection="1">
      <alignment horizontal="center" vertical="center"/>
      <protection locked="0" hidden="1"/>
    </xf>
    <xf numFmtId="0" fontId="22" fillId="0" borderId="9" xfId="0" applyFont="1" applyFill="1" applyBorder="1" applyAlignment="1" applyProtection="1">
      <alignment horizontal="center" vertical="center"/>
      <protection locked="0" hidden="1"/>
    </xf>
    <xf numFmtId="0" fontId="35" fillId="0" borderId="0" xfId="0" applyFont="1"/>
    <xf numFmtId="20" fontId="20" fillId="0" borderId="9" xfId="0" applyNumberFormat="1" applyFont="1" applyFill="1" applyBorder="1" applyAlignment="1" applyProtection="1">
      <alignment horizontal="center" vertical="center"/>
      <protection locked="0" hidden="1"/>
    </xf>
    <xf numFmtId="20" fontId="22" fillId="0" borderId="9" xfId="0" applyNumberFormat="1" applyFont="1" applyFill="1" applyBorder="1" applyAlignment="1" applyProtection="1">
      <alignment horizontal="center" vertical="center"/>
      <protection locked="0" hidden="1"/>
    </xf>
    <xf numFmtId="169" fontId="35" fillId="0" borderId="0" xfId="0" applyNumberFormat="1" applyFont="1"/>
    <xf numFmtId="169" fontId="17" fillId="0" borderId="0" xfId="0" applyNumberFormat="1" applyFont="1"/>
    <xf numFmtId="20" fontId="22" fillId="0" borderId="9" xfId="0" applyNumberFormat="1" applyFont="1" applyFill="1" applyBorder="1" applyAlignment="1" applyProtection="1">
      <alignment horizontal="center" vertical="center"/>
      <protection locked="0" hidden="1"/>
    </xf>
    <xf numFmtId="0" fontId="40" fillId="0" borderId="0" xfId="0" applyFont="1" applyAlignment="1">
      <alignment horizontal="center" vertical="center"/>
    </xf>
    <xf numFmtId="0" fontId="23" fillId="0" borderId="0" xfId="0" applyFont="1" applyFill="1" applyBorder="1" applyAlignment="1" applyProtection="1">
      <alignment horizontal="left"/>
      <protection hidden="1"/>
    </xf>
    <xf numFmtId="0" fontId="5" fillId="0" borderId="0" xfId="0" applyFont="1" applyAlignment="1">
      <alignment horizontal="center"/>
    </xf>
    <xf numFmtId="20" fontId="20" fillId="0" borderId="9" xfId="0" applyNumberFormat="1" applyFont="1" applyFill="1" applyBorder="1" applyAlignment="1" applyProtection="1">
      <alignment horizontal="center" vertical="center"/>
      <protection locked="0" hidden="1"/>
    </xf>
    <xf numFmtId="169" fontId="30" fillId="0" borderId="0" xfId="0" applyNumberFormat="1" applyFont="1" applyFill="1" applyBorder="1" applyAlignment="1" applyProtection="1">
      <alignment horizontal="right" vertical="top"/>
      <protection hidden="1"/>
    </xf>
    <xf numFmtId="0" fontId="23" fillId="0" borderId="0" xfId="0" applyFont="1" applyFill="1" applyBorder="1" applyAlignment="1" applyProtection="1">
      <protection hidden="1"/>
    </xf>
    <xf numFmtId="0" fontId="0" fillId="0" borderId="0" xfId="0" applyAlignment="1">
      <alignment wrapText="1"/>
    </xf>
    <xf numFmtId="169" fontId="20" fillId="0" borderId="19" xfId="0" applyNumberFormat="1" applyFont="1" applyBorder="1" applyAlignment="1" applyProtection="1">
      <alignment horizontal="center" vertical="center"/>
    </xf>
    <xf numFmtId="0" fontId="22" fillId="0" borderId="25" xfId="0" applyFont="1" applyFill="1" applyBorder="1" applyAlignment="1" applyProtection="1">
      <alignment horizontal="center" vertical="center"/>
      <protection locked="0" hidden="1"/>
    </xf>
    <xf numFmtId="164" fontId="20" fillId="0" borderId="28" xfId="0" applyNumberFormat="1" applyFont="1" applyBorder="1" applyAlignment="1" applyProtection="1">
      <alignment horizontal="center" vertical="center"/>
      <protection hidden="1"/>
    </xf>
    <xf numFmtId="164" fontId="20" fillId="0" borderId="29" xfId="0" applyNumberFormat="1" applyFont="1" applyBorder="1" applyAlignment="1" applyProtection="1">
      <alignment horizontal="center" vertical="center"/>
      <protection hidden="1"/>
    </xf>
    <xf numFmtId="169" fontId="20" fillId="0" borderId="29" xfId="0" applyNumberFormat="1" applyFont="1" applyBorder="1" applyAlignment="1" applyProtection="1">
      <alignment horizontal="right" vertical="center"/>
      <protection hidden="1"/>
    </xf>
    <xf numFmtId="164" fontId="20" fillId="0" borderId="1" xfId="0" applyNumberFormat="1" applyFont="1" applyBorder="1" applyAlignment="1" applyProtection="1">
      <alignment horizontal="center" vertical="center"/>
    </xf>
    <xf numFmtId="169" fontId="30" fillId="0" borderId="20" xfId="0" applyNumberFormat="1" applyFont="1" applyFill="1" applyBorder="1" applyAlignment="1" applyProtection="1">
      <alignment horizontal="center"/>
      <protection hidden="1"/>
    </xf>
    <xf numFmtId="169" fontId="44" fillId="0" borderId="0" xfId="0" applyNumberFormat="1" applyFont="1" applyFill="1" applyBorder="1" applyAlignment="1" applyProtection="1">
      <alignment horizontal="center" vertical="top"/>
      <protection hidden="1"/>
    </xf>
    <xf numFmtId="169" fontId="30" fillId="0" borderId="20" xfId="0" applyNumberFormat="1" applyFont="1" applyFill="1" applyBorder="1" applyAlignment="1" applyProtection="1">
      <alignment horizontal="center" vertical="center"/>
      <protection hidden="1"/>
    </xf>
    <xf numFmtId="169" fontId="30" fillId="0" borderId="20" xfId="0" applyNumberFormat="1" applyFont="1" applyFill="1" applyBorder="1" applyAlignment="1" applyProtection="1">
      <alignment horizontal="center" vertical="top"/>
      <protection hidden="1"/>
    </xf>
    <xf numFmtId="0" fontId="5" fillId="0" borderId="0" xfId="0" applyFont="1" applyAlignment="1">
      <alignment horizontal="center"/>
    </xf>
    <xf numFmtId="14" fontId="2" fillId="0" borderId="0" xfId="0" applyNumberFormat="1" applyFont="1"/>
    <xf numFmtId="2" fontId="4" fillId="0" borderId="0" xfId="0" applyNumberFormat="1" applyFont="1" applyAlignment="1">
      <alignment horizontal="center"/>
    </xf>
    <xf numFmtId="14" fontId="0" fillId="0" borderId="0" xfId="0" applyNumberFormat="1"/>
    <xf numFmtId="0" fontId="0" fillId="5" borderId="0" xfId="0" applyFill="1"/>
    <xf numFmtId="0" fontId="5" fillId="5" borderId="0" xfId="0" applyFont="1" applyFill="1" applyAlignment="1">
      <alignment horizontal="center"/>
    </xf>
    <xf numFmtId="0" fontId="4" fillId="5" borderId="0" xfId="0" applyFont="1" applyFill="1" applyAlignment="1">
      <alignment horizontal="center"/>
    </xf>
    <xf numFmtId="169" fontId="5" fillId="5" borderId="0" xfId="0" applyNumberFormat="1" applyFont="1" applyFill="1" applyAlignment="1" applyProtection="1">
      <alignment horizontal="center"/>
    </xf>
    <xf numFmtId="169" fontId="4" fillId="5" borderId="0" xfId="0" applyNumberFormat="1" applyFont="1" applyFill="1" applyAlignment="1" applyProtection="1">
      <alignment horizontal="center"/>
    </xf>
    <xf numFmtId="14" fontId="28" fillId="5" borderId="0" xfId="0" applyNumberFormat="1" applyFont="1" applyFill="1" applyAlignment="1">
      <alignment horizontal="center"/>
    </xf>
    <xf numFmtId="169" fontId="5" fillId="5" borderId="0" xfId="0" applyNumberFormat="1" applyFont="1" applyFill="1" applyAlignment="1">
      <alignment horizontal="center"/>
    </xf>
    <xf numFmtId="169" fontId="4" fillId="5" borderId="0" xfId="0" applyNumberFormat="1" applyFont="1" applyFill="1" applyAlignment="1">
      <alignment horizontal="center"/>
    </xf>
    <xf numFmtId="14" fontId="5" fillId="5" borderId="0" xfId="0" applyNumberFormat="1" applyFont="1" applyFill="1" applyAlignment="1">
      <alignment horizontal="center"/>
    </xf>
    <xf numFmtId="164" fontId="20" fillId="0" borderId="30" xfId="0" applyNumberFormat="1" applyFont="1" applyBorder="1" applyAlignment="1" applyProtection="1">
      <alignment horizontal="center" vertical="center"/>
    </xf>
    <xf numFmtId="164" fontId="20" fillId="0" borderId="18" xfId="0" applyNumberFormat="1" applyFont="1" applyBorder="1" applyAlignment="1" applyProtection="1">
      <alignment horizontal="center" vertical="center"/>
    </xf>
    <xf numFmtId="164" fontId="20" fillId="0" borderId="29" xfId="0" applyNumberFormat="1" applyFont="1" applyBorder="1" applyAlignment="1" applyProtection="1">
      <alignment horizontal="center" vertical="center"/>
    </xf>
    <xf numFmtId="46" fontId="20" fillId="0" borderId="21" xfId="0" applyNumberFormat="1" applyFont="1" applyFill="1" applyBorder="1" applyAlignment="1" applyProtection="1">
      <alignment horizontal="center" vertical="center"/>
      <protection locked="0" hidden="1"/>
    </xf>
    <xf numFmtId="171" fontId="49" fillId="0" borderId="31" xfId="0" applyNumberFormat="1" applyFont="1" applyBorder="1" applyAlignment="1" applyProtection="1">
      <alignment horizontal="center"/>
      <protection locked="0"/>
    </xf>
    <xf numFmtId="0" fontId="0" fillId="0" borderId="0" xfId="0" applyBorder="1" applyProtection="1">
      <protection hidden="1"/>
    </xf>
    <xf numFmtId="0" fontId="50" fillId="0" borderId="0" xfId="0" applyFont="1" applyAlignment="1" applyProtection="1">
      <alignment horizontal="left"/>
      <protection hidden="1"/>
    </xf>
    <xf numFmtId="0" fontId="0" fillId="0" borderId="0" xfId="0" applyAlignment="1" applyProtection="1">
      <alignment horizontal="left"/>
      <protection hidden="1"/>
    </xf>
    <xf numFmtId="0" fontId="0" fillId="0" borderId="0" xfId="0" applyAlignment="1">
      <alignment horizontal="left"/>
    </xf>
    <xf numFmtId="0" fontId="51" fillId="0" borderId="0" xfId="0" applyFont="1" applyProtection="1">
      <protection hidden="1"/>
    </xf>
    <xf numFmtId="0" fontId="4" fillId="0" borderId="0" xfId="0" applyFont="1" applyAlignment="1">
      <alignment horizontal="center"/>
    </xf>
    <xf numFmtId="0" fontId="31" fillId="0" borderId="0" xfId="0" applyFont="1" applyAlignment="1" applyProtection="1">
      <protection hidden="1"/>
    </xf>
    <xf numFmtId="14" fontId="24" fillId="0" borderId="2" xfId="0" applyNumberFormat="1" applyFont="1" applyBorder="1" applyAlignment="1" applyProtection="1">
      <alignment horizontal="center" vertical="center"/>
      <protection locked="0" hidden="1"/>
    </xf>
    <xf numFmtId="0" fontId="33" fillId="2" borderId="3" xfId="0" applyFont="1" applyFill="1" applyBorder="1" applyAlignment="1" applyProtection="1">
      <alignment horizontal="center" vertical="center"/>
      <protection hidden="1"/>
    </xf>
    <xf numFmtId="0" fontId="20" fillId="0" borderId="9" xfId="0" applyFont="1" applyFill="1" applyBorder="1" applyAlignment="1" applyProtection="1">
      <alignment horizontal="center" vertical="center"/>
      <protection locked="0" hidden="1"/>
    </xf>
    <xf numFmtId="0" fontId="20" fillId="0" borderId="21" xfId="0" applyFont="1" applyFill="1" applyBorder="1" applyAlignment="1" applyProtection="1">
      <alignment horizontal="center" vertical="center"/>
      <protection locked="0" hidden="1"/>
    </xf>
    <xf numFmtId="20" fontId="20" fillId="0" borderId="12" xfId="0" applyNumberFormat="1" applyFont="1" applyFill="1" applyBorder="1" applyAlignment="1" applyProtection="1">
      <alignment horizontal="center" vertical="center"/>
      <protection locked="0" hidden="1"/>
    </xf>
    <xf numFmtId="0" fontId="20" fillId="0" borderId="12" xfId="0" applyFont="1" applyFill="1" applyBorder="1" applyAlignment="1" applyProtection="1">
      <alignment horizontal="center" vertical="center"/>
      <protection locked="0" hidden="1"/>
    </xf>
    <xf numFmtId="0" fontId="22" fillId="0" borderId="9" xfId="0" applyFont="1" applyFill="1" applyBorder="1" applyAlignment="1" applyProtection="1">
      <alignment horizontal="center" vertical="center"/>
      <protection locked="0" hidden="1"/>
    </xf>
    <xf numFmtId="0" fontId="22" fillId="0" borderId="25" xfId="0" applyFont="1" applyFill="1" applyBorder="1" applyAlignment="1" applyProtection="1">
      <alignment horizontal="center" vertical="center"/>
      <protection locked="0" hidden="1"/>
    </xf>
    <xf numFmtId="0" fontId="22" fillId="0" borderId="21" xfId="0" applyFont="1" applyFill="1" applyBorder="1" applyAlignment="1" applyProtection="1">
      <alignment horizontal="center" vertical="center"/>
      <protection locked="0" hidden="1"/>
    </xf>
    <xf numFmtId="0" fontId="5" fillId="5" borderId="0" xfId="0" applyFont="1" applyFill="1" applyAlignment="1">
      <alignment horizontal="center"/>
    </xf>
    <xf numFmtId="0" fontId="22" fillId="3" borderId="2" xfId="0" applyFont="1" applyFill="1" applyBorder="1" applyAlignment="1" applyProtection="1">
      <protection hidden="1"/>
    </xf>
    <xf numFmtId="168" fontId="20" fillId="0" borderId="0" xfId="0" applyNumberFormat="1" applyFont="1" applyFill="1" applyBorder="1" applyAlignment="1" applyProtection="1">
      <alignment horizontal="center" vertical="center"/>
      <protection hidden="1"/>
    </xf>
    <xf numFmtId="0" fontId="0" fillId="0" borderId="0" xfId="0" applyFont="1" applyBorder="1"/>
    <xf numFmtId="0" fontId="52" fillId="0" borderId="0" xfId="0" applyFont="1" applyBorder="1" applyAlignment="1" applyProtection="1">
      <alignment horizontal="left"/>
      <protection hidden="1"/>
    </xf>
    <xf numFmtId="0" fontId="52" fillId="0" borderId="0" xfId="0" applyFont="1" applyBorder="1" applyAlignment="1" applyProtection="1">
      <protection hidden="1"/>
    </xf>
    <xf numFmtId="172" fontId="2" fillId="0" borderId="0" xfId="0" applyNumberFormat="1" applyFont="1"/>
    <xf numFmtId="0" fontId="39" fillId="5" borderId="0" xfId="0" applyFont="1" applyFill="1"/>
    <xf numFmtId="172" fontId="2" fillId="5" borderId="0" xfId="0" applyNumberFormat="1" applyFont="1" applyFill="1"/>
    <xf numFmtId="0" fontId="2" fillId="5" borderId="0" xfId="0" applyFont="1" applyFill="1"/>
    <xf numFmtId="0" fontId="33" fillId="2" borderId="32" xfId="0" applyFont="1" applyFill="1" applyBorder="1" applyAlignment="1" applyProtection="1">
      <alignment horizontal="center" vertical="center"/>
      <protection hidden="1"/>
    </xf>
    <xf numFmtId="168" fontId="20" fillId="0" borderId="33" xfId="0" applyNumberFormat="1" applyFont="1" applyFill="1" applyBorder="1" applyAlignment="1" applyProtection="1">
      <alignment horizontal="center" vertical="center"/>
      <protection hidden="1"/>
    </xf>
    <xf numFmtId="168" fontId="20" fillId="0" borderId="34" xfId="0" applyNumberFormat="1" applyFont="1" applyFill="1" applyBorder="1" applyAlignment="1" applyProtection="1">
      <alignment horizontal="center" vertical="center"/>
      <protection hidden="1"/>
    </xf>
    <xf numFmtId="168" fontId="20" fillId="0" borderId="35" xfId="0" applyNumberFormat="1" applyFont="1" applyFill="1" applyBorder="1" applyAlignment="1" applyProtection="1">
      <alignment horizontal="center" vertical="center"/>
      <protection hidden="1"/>
    </xf>
    <xf numFmtId="168" fontId="20" fillId="0" borderId="36" xfId="0" applyNumberFormat="1" applyFont="1" applyFill="1" applyBorder="1" applyAlignment="1" applyProtection="1">
      <alignment horizontal="center" vertical="center"/>
      <protection hidden="1"/>
    </xf>
    <xf numFmtId="0" fontId="0" fillId="0" borderId="37" xfId="0" applyBorder="1" applyProtection="1">
      <protection hidden="1"/>
    </xf>
    <xf numFmtId="168" fontId="53" fillId="0" borderId="38" xfId="0" applyNumberFormat="1" applyFont="1" applyFill="1" applyBorder="1" applyAlignment="1" applyProtection="1">
      <alignment horizontal="center" vertical="center" wrapText="1"/>
      <protection hidden="1"/>
    </xf>
    <xf numFmtId="168" fontId="53" fillId="0" borderId="39" xfId="0" applyNumberFormat="1" applyFont="1" applyFill="1" applyBorder="1" applyAlignment="1" applyProtection="1">
      <alignment horizontal="center" vertical="center" wrapText="1"/>
      <protection hidden="1"/>
    </xf>
    <xf numFmtId="168" fontId="53" fillId="0" borderId="40" xfId="0" applyNumberFormat="1" applyFont="1" applyFill="1" applyBorder="1" applyAlignment="1" applyProtection="1">
      <alignment horizontal="center" vertical="center" wrapText="1"/>
      <protection hidden="1"/>
    </xf>
    <xf numFmtId="14" fontId="31" fillId="0" borderId="0" xfId="0" applyNumberFormat="1" applyFont="1" applyAlignment="1">
      <alignment horizontal="center" vertical="center"/>
    </xf>
    <xf numFmtId="168" fontId="54" fillId="0" borderId="0" xfId="0" applyNumberFormat="1" applyFont="1"/>
    <xf numFmtId="0" fontId="54" fillId="0" borderId="0" xfId="0" applyNumberFormat="1" applyFont="1"/>
    <xf numFmtId="0" fontId="55" fillId="0" borderId="0" xfId="0" applyFont="1" applyFill="1" applyAlignment="1" applyProtection="1">
      <protection hidden="1"/>
    </xf>
    <xf numFmtId="0" fontId="55" fillId="0" borderId="0" xfId="0" applyFont="1" applyFill="1"/>
    <xf numFmtId="0" fontId="5" fillId="0" borderId="0" xfId="0" applyFont="1" applyAlignment="1">
      <alignment horizontal="left"/>
    </xf>
    <xf numFmtId="0" fontId="19" fillId="0" borderId="0" xfId="0" applyFont="1" applyAlignment="1">
      <alignment horizontal="left"/>
    </xf>
    <xf numFmtId="0" fontId="20" fillId="0" borderId="0" xfId="0" applyFont="1" applyBorder="1" applyAlignment="1" applyProtection="1">
      <alignment horizontal="center" vertical="top"/>
      <protection hidden="1"/>
    </xf>
    <xf numFmtId="0" fontId="22" fillId="0" borderId="25" xfId="0" applyFont="1" applyFill="1" applyBorder="1" applyAlignment="1" applyProtection="1">
      <alignment horizontal="center" vertical="center"/>
      <protection locked="0" hidden="1"/>
    </xf>
    <xf numFmtId="0" fontId="20" fillId="0" borderId="9" xfId="0" applyFont="1" applyFill="1" applyBorder="1" applyAlignment="1" applyProtection="1">
      <alignment horizontal="center" vertical="center"/>
      <protection locked="0" hidden="1"/>
    </xf>
    <xf numFmtId="0" fontId="22" fillId="0" borderId="9" xfId="0" applyFont="1" applyFill="1" applyBorder="1" applyAlignment="1" applyProtection="1">
      <alignment horizontal="center" vertical="center"/>
      <protection locked="0" hidden="1"/>
    </xf>
    <xf numFmtId="20" fontId="20" fillId="0" borderId="12" xfId="0" applyNumberFormat="1" applyFont="1" applyFill="1" applyBorder="1" applyAlignment="1" applyProtection="1">
      <alignment horizontal="center" vertical="center"/>
      <protection locked="0" hidden="1"/>
    </xf>
    <xf numFmtId="0" fontId="20" fillId="0" borderId="12" xfId="0" applyFont="1" applyFill="1" applyBorder="1" applyAlignment="1" applyProtection="1">
      <alignment horizontal="center" vertical="center"/>
      <protection locked="0" hidden="1"/>
    </xf>
    <xf numFmtId="0" fontId="20" fillId="0" borderId="21" xfId="0" applyFont="1" applyFill="1" applyBorder="1" applyAlignment="1" applyProtection="1">
      <alignment horizontal="center" vertical="center"/>
      <protection locked="0" hidden="1"/>
    </xf>
    <xf numFmtId="0" fontId="33" fillId="2" borderId="3" xfId="0" applyFont="1" applyFill="1" applyBorder="1" applyAlignment="1" applyProtection="1">
      <alignment horizontal="center" vertical="center"/>
      <protection hidden="1"/>
    </xf>
    <xf numFmtId="0" fontId="31" fillId="0" borderId="0" xfId="0" applyFont="1" applyAlignment="1" applyProtection="1">
      <protection hidden="1"/>
    </xf>
    <xf numFmtId="0" fontId="4" fillId="0" borderId="0" xfId="0" applyFont="1" applyAlignment="1">
      <alignment horizontal="center"/>
    </xf>
    <xf numFmtId="14" fontId="24" fillId="0" borderId="2" xfId="0" applyNumberFormat="1" applyFont="1" applyBorder="1" applyAlignment="1" applyProtection="1">
      <alignment horizontal="center" vertical="center"/>
      <protection locked="0" hidden="1"/>
    </xf>
    <xf numFmtId="0" fontId="0" fillId="0" borderId="0" xfId="0" applyAlignment="1">
      <alignment horizontal="center"/>
    </xf>
    <xf numFmtId="0" fontId="22" fillId="3" borderId="2" xfId="0" applyFont="1" applyFill="1" applyBorder="1" applyAlignment="1" applyProtection="1">
      <protection hidden="1"/>
    </xf>
    <xf numFmtId="0" fontId="5" fillId="5" borderId="0" xfId="0" applyFont="1" applyFill="1" applyAlignment="1">
      <alignment horizontal="center"/>
    </xf>
    <xf numFmtId="0" fontId="22" fillId="0" borderId="21" xfId="0" applyFont="1" applyFill="1" applyBorder="1" applyAlignment="1" applyProtection="1">
      <alignment horizontal="center" vertical="center"/>
      <protection locked="0" hidden="1"/>
    </xf>
    <xf numFmtId="166" fontId="0" fillId="0" borderId="0" xfId="0" applyNumberFormat="1"/>
    <xf numFmtId="0" fontId="28" fillId="0" borderId="0" xfId="0" applyFont="1" applyBorder="1" applyAlignment="1"/>
    <xf numFmtId="172" fontId="2" fillId="0" borderId="0" xfId="0" applyNumberFormat="1" applyFont="1" applyFill="1" applyBorder="1" applyAlignment="1" applyProtection="1">
      <alignment horizontal="center" vertical="center"/>
      <protection hidden="1"/>
    </xf>
    <xf numFmtId="0" fontId="2" fillId="0" borderId="0" xfId="0" applyFont="1" applyBorder="1"/>
    <xf numFmtId="168" fontId="2" fillId="0" borderId="0" xfId="0" applyNumberFormat="1" applyFont="1" applyFill="1" applyBorder="1" applyAlignment="1" applyProtection="1">
      <alignment horizontal="center" vertical="center"/>
      <protection hidden="1"/>
    </xf>
    <xf numFmtId="0" fontId="2" fillId="0" borderId="0" xfId="0" applyFont="1" applyBorder="1" applyAlignment="1" applyProtection="1">
      <alignment horizontal="left"/>
      <protection hidden="1"/>
    </xf>
    <xf numFmtId="0" fontId="2" fillId="0" borderId="0" xfId="0" applyFont="1" applyBorder="1" applyAlignment="1">
      <alignment horizontal="left"/>
    </xf>
    <xf numFmtId="43" fontId="31" fillId="0" borderId="0" xfId="0" applyNumberFormat="1" applyFont="1" applyAlignment="1" applyProtection="1">
      <alignment horizontal="left"/>
      <protection hidden="1"/>
    </xf>
    <xf numFmtId="0" fontId="0" fillId="0" borderId="1" xfId="0" applyNumberFormat="1" applyBorder="1" applyProtection="1">
      <protection hidden="1"/>
    </xf>
    <xf numFmtId="0" fontId="31" fillId="0" borderId="0" xfId="0" applyFont="1" applyBorder="1" applyAlignment="1" applyProtection="1">
      <alignment horizontal="center"/>
    </xf>
    <xf numFmtId="173" fontId="2" fillId="0" borderId="0" xfId="0" applyNumberFormat="1" applyFont="1" applyFill="1" applyBorder="1" applyAlignment="1" applyProtection="1">
      <alignment horizontal="center" vertical="center"/>
      <protection hidden="1"/>
    </xf>
    <xf numFmtId="14" fontId="2" fillId="0" borderId="0" xfId="0" applyNumberFormat="1" applyFont="1" applyBorder="1"/>
    <xf numFmtId="0" fontId="4" fillId="0" borderId="0" xfId="0" applyFont="1" applyAlignment="1">
      <alignment horizontal="center"/>
    </xf>
    <xf numFmtId="0" fontId="0" fillId="0" borderId="0" xfId="0" applyAlignment="1">
      <alignment horizontal="center"/>
    </xf>
    <xf numFmtId="169" fontId="2" fillId="0" borderId="0" xfId="0" applyNumberFormat="1" applyFont="1"/>
    <xf numFmtId="170" fontId="0" fillId="0" borderId="0" xfId="0" applyNumberFormat="1"/>
    <xf numFmtId="20" fontId="20" fillId="0" borderId="9" xfId="0" applyNumberFormat="1" applyFont="1" applyFill="1" applyBorder="1" applyAlignment="1" applyProtection="1">
      <alignment horizontal="center" vertical="center"/>
      <protection locked="0" hidden="1"/>
    </xf>
    <xf numFmtId="0" fontId="0" fillId="0" borderId="0" xfId="0" applyAlignment="1">
      <alignment vertical="center"/>
    </xf>
    <xf numFmtId="0" fontId="0" fillId="0" borderId="0" xfId="0" applyAlignment="1"/>
    <xf numFmtId="0" fontId="0" fillId="0" borderId="0" xfId="0" applyAlignment="1">
      <alignment horizontal="left" vertical="center"/>
    </xf>
    <xf numFmtId="0" fontId="24" fillId="0" borderId="0" xfId="0" applyFont="1" applyAlignment="1">
      <alignment vertical="center"/>
    </xf>
    <xf numFmtId="20" fontId="0" fillId="0" borderId="0" xfId="0" applyNumberFormat="1"/>
    <xf numFmtId="43" fontId="31" fillId="0" borderId="0" xfId="0" applyNumberFormat="1" applyFont="1" applyAlignment="1" applyProtection="1">
      <alignment horizontal="left"/>
    </xf>
    <xf numFmtId="43" fontId="31" fillId="0" borderId="0" xfId="0" applyNumberFormat="1" applyFont="1" applyProtection="1"/>
    <xf numFmtId="14" fontId="24" fillId="0" borderId="2" xfId="0" applyNumberFormat="1" applyFont="1" applyBorder="1" applyAlignment="1" applyProtection="1">
      <alignment horizontal="center" vertical="center"/>
      <protection locked="0"/>
    </xf>
    <xf numFmtId="0" fontId="7" fillId="0" borderId="0" xfId="0" applyFont="1" applyProtection="1">
      <protection locked="0" hidden="1"/>
    </xf>
    <xf numFmtId="0" fontId="31" fillId="0" borderId="0" xfId="0" applyFont="1" applyProtection="1">
      <protection locked="0" hidden="1"/>
    </xf>
    <xf numFmtId="0" fontId="4" fillId="0" borderId="0" xfId="0" applyFont="1" applyAlignment="1">
      <alignment horizontal="center"/>
    </xf>
    <xf numFmtId="20" fontId="20" fillId="0" borderId="0" xfId="0" applyNumberFormat="1" applyFont="1" applyFill="1" applyBorder="1" applyAlignment="1" applyProtection="1">
      <alignment horizontal="center" vertical="center"/>
      <protection locked="0" hidden="1"/>
    </xf>
    <xf numFmtId="0" fontId="20" fillId="0" borderId="0" xfId="0" applyFont="1" applyFill="1" applyBorder="1" applyAlignment="1" applyProtection="1">
      <alignment horizontal="center" vertical="center"/>
      <protection locked="0" hidden="1"/>
    </xf>
    <xf numFmtId="20" fontId="22" fillId="0" borderId="20" xfId="0" applyNumberFormat="1" applyFont="1" applyFill="1" applyBorder="1" applyAlignment="1" applyProtection="1">
      <alignment horizontal="center" vertical="center"/>
      <protection locked="0" hidden="1"/>
    </xf>
    <xf numFmtId="0" fontId="22" fillId="0" borderId="0" xfId="0" applyFont="1" applyFill="1" applyBorder="1" applyAlignment="1" applyProtection="1">
      <alignment horizontal="center" vertical="center"/>
      <protection locked="0" hidden="1"/>
    </xf>
    <xf numFmtId="1" fontId="38" fillId="5" borderId="0" xfId="0" applyNumberFormat="1" applyFont="1" applyFill="1" applyBorder="1" applyAlignment="1">
      <alignment horizontal="left"/>
    </xf>
    <xf numFmtId="0" fontId="28" fillId="0" borderId="0" xfId="0" applyFont="1" applyBorder="1" applyAlignment="1">
      <alignment horizontal="center"/>
    </xf>
    <xf numFmtId="0" fontId="29" fillId="5" borderId="0" xfId="0" applyFont="1" applyFill="1" applyAlignment="1">
      <alignment horizontal="center"/>
    </xf>
    <xf numFmtId="0" fontId="4" fillId="0" borderId="0" xfId="0" applyFont="1" applyAlignment="1">
      <alignment horizontal="center"/>
    </xf>
    <xf numFmtId="0" fontId="31" fillId="0" borderId="0" xfId="0" applyFont="1" applyAlignment="1" applyProtection="1">
      <protection hidden="1"/>
    </xf>
    <xf numFmtId="0" fontId="25" fillId="0" borderId="1" xfId="0" applyFont="1" applyBorder="1" applyAlignment="1" applyProtection="1">
      <alignment horizontal="left"/>
      <protection locked="0" hidden="1"/>
    </xf>
    <xf numFmtId="17" fontId="25" fillId="0" borderId="1" xfId="0" applyNumberFormat="1" applyFont="1" applyBorder="1" applyAlignment="1" applyProtection="1">
      <alignment horizontal="left"/>
      <protection locked="0" hidden="1"/>
    </xf>
    <xf numFmtId="43" fontId="31" fillId="0" borderId="0" xfId="0" applyNumberFormat="1" applyFont="1" applyBorder="1" applyAlignment="1" applyProtection="1">
      <alignment horizontal="left"/>
      <protection locked="0" hidden="1"/>
    </xf>
    <xf numFmtId="0" fontId="25" fillId="0" borderId="1" xfId="0" applyNumberFormat="1" applyFont="1" applyBorder="1" applyAlignment="1" applyProtection="1">
      <alignment horizontal="left"/>
      <protection locked="0"/>
    </xf>
    <xf numFmtId="0" fontId="25" fillId="4" borderId="0" xfId="0" applyFont="1" applyFill="1" applyBorder="1" applyAlignment="1" applyProtection="1">
      <alignment horizontal="center" vertical="center"/>
      <protection hidden="1"/>
    </xf>
    <xf numFmtId="0" fontId="25" fillId="4" borderId="0" xfId="0" applyFont="1" applyFill="1" applyAlignment="1" applyProtection="1">
      <alignment horizontal="center" vertical="center"/>
      <protection hidden="1"/>
    </xf>
    <xf numFmtId="14" fontId="24" fillId="0" borderId="2" xfId="0" applyNumberFormat="1" applyFont="1" applyBorder="1" applyAlignment="1" applyProtection="1">
      <alignment horizontal="center" vertical="center"/>
      <protection locked="0"/>
    </xf>
    <xf numFmtId="14" fontId="21" fillId="0" borderId="14" xfId="0" applyNumberFormat="1" applyFont="1" applyBorder="1" applyAlignment="1" applyProtection="1">
      <alignment horizontal="center"/>
      <protection hidden="1"/>
    </xf>
    <xf numFmtId="0" fontId="0" fillId="0" borderId="0" xfId="0" applyFont="1" applyBorder="1" applyAlignment="1" applyProtection="1">
      <alignment horizontal="center"/>
      <protection locked="0" hidden="1"/>
    </xf>
    <xf numFmtId="166" fontId="8" fillId="3" borderId="0" xfId="0" applyNumberFormat="1" applyFont="1" applyFill="1" applyBorder="1" applyAlignment="1" applyProtection="1">
      <alignment horizontal="center" vertical="center"/>
      <protection hidden="1"/>
    </xf>
    <xf numFmtId="14" fontId="0" fillId="0" borderId="20" xfId="0" applyNumberFormat="1" applyFont="1" applyBorder="1" applyAlignment="1" applyProtection="1">
      <alignment horizontal="center" vertical="center"/>
      <protection locked="0" hidden="1"/>
    </xf>
    <xf numFmtId="43" fontId="31" fillId="0" borderId="0" xfId="0" applyNumberFormat="1" applyFont="1" applyBorder="1" applyAlignment="1" applyProtection="1">
      <alignment horizontal="center"/>
      <protection locked="0" hidden="1"/>
    </xf>
    <xf numFmtId="0" fontId="24" fillId="0" borderId="2" xfId="0" applyFont="1" applyBorder="1" applyAlignment="1" applyProtection="1">
      <alignment horizontal="center"/>
      <protection locked="0" hidden="1"/>
    </xf>
    <xf numFmtId="0" fontId="32" fillId="0" borderId="0" xfId="0" applyFont="1" applyAlignment="1" applyProtection="1">
      <alignment horizontal="left" wrapText="1"/>
      <protection hidden="1"/>
    </xf>
    <xf numFmtId="0" fontId="37" fillId="0" borderId="0" xfId="0" applyFont="1" applyAlignment="1">
      <alignment horizontal="center" vertical="center"/>
    </xf>
    <xf numFmtId="0" fontId="41" fillId="0" borderId="0" xfId="0" applyFont="1" applyAlignment="1" applyProtection="1">
      <alignment horizontal="right" vertical="top" wrapText="1"/>
      <protection hidden="1"/>
    </xf>
    <xf numFmtId="20" fontId="20" fillId="0" borderId="21" xfId="0" applyNumberFormat="1" applyFont="1" applyFill="1" applyBorder="1" applyAlignment="1" applyProtection="1">
      <alignment horizontal="center" vertical="center"/>
      <protection locked="0" hidden="1"/>
    </xf>
    <xf numFmtId="0" fontId="20" fillId="0" borderId="21" xfId="0" applyFont="1" applyFill="1" applyBorder="1" applyAlignment="1" applyProtection="1">
      <alignment horizontal="center" vertical="center"/>
      <protection locked="0" hidden="1"/>
    </xf>
    <xf numFmtId="20" fontId="22" fillId="0" borderId="7" xfId="0" applyNumberFormat="1" applyFont="1" applyFill="1" applyBorder="1" applyAlignment="1" applyProtection="1">
      <alignment horizontal="center" vertical="center"/>
      <protection locked="0" hidden="1"/>
    </xf>
    <xf numFmtId="0" fontId="22" fillId="0" borderId="8" xfId="0" applyFont="1" applyFill="1" applyBorder="1" applyAlignment="1" applyProtection="1">
      <alignment horizontal="center" vertical="center"/>
      <protection locked="0" hidden="1"/>
    </xf>
    <xf numFmtId="0" fontId="20" fillId="0" borderId="7" xfId="0" applyNumberFormat="1" applyFont="1" applyFill="1" applyBorder="1" applyAlignment="1" applyProtection="1">
      <alignment horizontal="center" vertical="center"/>
      <protection locked="0" hidden="1"/>
    </xf>
    <xf numFmtId="0" fontId="20" fillId="0" borderId="8" xfId="0" applyFont="1" applyFill="1" applyBorder="1" applyAlignment="1" applyProtection="1">
      <alignment horizontal="center" vertical="center"/>
      <protection locked="0" hidden="1"/>
    </xf>
    <xf numFmtId="0" fontId="33" fillId="2" borderId="3" xfId="0" applyFont="1" applyFill="1" applyBorder="1" applyAlignment="1" applyProtection="1">
      <alignment horizontal="center" vertical="center"/>
      <protection hidden="1"/>
    </xf>
    <xf numFmtId="0" fontId="33" fillId="2" borderId="4" xfId="0" applyFont="1" applyFill="1" applyBorder="1" applyAlignment="1" applyProtection="1">
      <alignment horizontal="center" vertical="center"/>
      <protection hidden="1"/>
    </xf>
    <xf numFmtId="0" fontId="33" fillId="2" borderId="5" xfId="0" applyFont="1" applyFill="1" applyBorder="1" applyAlignment="1" applyProtection="1">
      <alignment horizontal="center" vertical="center"/>
      <protection hidden="1"/>
    </xf>
    <xf numFmtId="0" fontId="33" fillId="2" borderId="6" xfId="0" applyFont="1" applyFill="1" applyBorder="1" applyAlignment="1" applyProtection="1">
      <alignment horizontal="center" vertical="center"/>
      <protection hidden="1"/>
    </xf>
    <xf numFmtId="20" fontId="20" fillId="0" borderId="12" xfId="0" applyNumberFormat="1" applyFont="1" applyFill="1" applyBorder="1" applyAlignment="1" applyProtection="1">
      <alignment horizontal="center" vertical="center"/>
      <protection locked="0" hidden="1"/>
    </xf>
    <xf numFmtId="0" fontId="20" fillId="0" borderId="12" xfId="0" applyFont="1" applyFill="1" applyBorder="1" applyAlignment="1" applyProtection="1">
      <alignment horizontal="center" vertical="center"/>
      <protection locked="0" hidden="1"/>
    </xf>
    <xf numFmtId="20" fontId="20" fillId="0" borderId="23" xfId="0" applyNumberFormat="1" applyFont="1" applyFill="1" applyBorder="1" applyAlignment="1" applyProtection="1">
      <alignment horizontal="center" vertical="center"/>
      <protection locked="0" hidden="1"/>
    </xf>
    <xf numFmtId="0" fontId="20" fillId="0" borderId="24" xfId="0" applyFont="1" applyFill="1" applyBorder="1" applyAlignment="1" applyProtection="1">
      <alignment horizontal="center" vertical="center"/>
      <protection locked="0" hidden="1"/>
    </xf>
    <xf numFmtId="20" fontId="20" fillId="0" borderId="9" xfId="0" applyNumberFormat="1" applyFont="1" applyFill="1" applyBorder="1" applyAlignment="1" applyProtection="1">
      <alignment horizontal="center" vertical="center"/>
      <protection locked="0" hidden="1"/>
    </xf>
    <xf numFmtId="0" fontId="20" fillId="0" borderId="9" xfId="0" applyFont="1" applyFill="1" applyBorder="1" applyAlignment="1" applyProtection="1">
      <alignment horizontal="center" vertical="center"/>
      <protection locked="0" hidden="1"/>
    </xf>
    <xf numFmtId="0" fontId="0" fillId="0" borderId="0" xfId="0" applyAlignment="1">
      <alignment horizontal="center"/>
    </xf>
    <xf numFmtId="0" fontId="2" fillId="0" borderId="0" xfId="0" applyFont="1" applyFill="1" applyBorder="1" applyAlignment="1" applyProtection="1">
      <alignment horizontal="left"/>
      <protection hidden="1"/>
    </xf>
    <xf numFmtId="0" fontId="40" fillId="5" borderId="0" xfId="0" applyFont="1" applyFill="1" applyAlignment="1">
      <alignment horizontal="center" vertical="center"/>
    </xf>
    <xf numFmtId="0" fontId="45" fillId="0" borderId="0" xfId="0" applyFont="1" applyFill="1" applyBorder="1" applyAlignment="1" applyProtection="1">
      <alignment horizontal="left"/>
      <protection hidden="1"/>
    </xf>
    <xf numFmtId="0" fontId="20" fillId="0" borderId="13" xfId="0" applyFont="1" applyBorder="1" applyAlignment="1" applyProtection="1">
      <alignment horizontal="center" vertical="top"/>
      <protection hidden="1"/>
    </xf>
    <xf numFmtId="0" fontId="20" fillId="0" borderId="0" xfId="0" applyFont="1" applyBorder="1" applyAlignment="1" applyProtection="1">
      <alignment horizontal="center" vertical="top"/>
      <protection hidden="1"/>
    </xf>
    <xf numFmtId="20" fontId="22" fillId="0" borderId="25" xfId="0" applyNumberFormat="1" applyFont="1" applyFill="1" applyBorder="1" applyAlignment="1" applyProtection="1">
      <alignment horizontal="center" vertical="center"/>
      <protection locked="0" hidden="1"/>
    </xf>
    <xf numFmtId="0" fontId="22" fillId="0" borderId="25" xfId="0" applyFont="1" applyFill="1" applyBorder="1" applyAlignment="1" applyProtection="1">
      <alignment horizontal="center" vertical="center"/>
      <protection locked="0" hidden="1"/>
    </xf>
    <xf numFmtId="0" fontId="20" fillId="0" borderId="26" xfId="0" applyFont="1" applyFill="1" applyBorder="1" applyAlignment="1" applyProtection="1">
      <alignment horizontal="center" vertical="center"/>
      <protection locked="0" hidden="1"/>
    </xf>
    <xf numFmtId="0" fontId="20" fillId="0" borderId="27" xfId="0" applyFont="1" applyFill="1" applyBorder="1" applyAlignment="1" applyProtection="1">
      <alignment horizontal="center" vertical="center"/>
      <protection locked="0" hidden="1"/>
    </xf>
    <xf numFmtId="164" fontId="18" fillId="3" borderId="0" xfId="0" applyNumberFormat="1" applyFont="1" applyFill="1" applyBorder="1" applyAlignment="1" applyProtection="1">
      <alignment horizontal="left" vertical="top"/>
      <protection hidden="1"/>
    </xf>
    <xf numFmtId="169" fontId="22" fillId="3" borderId="0" xfId="0" applyNumberFormat="1" applyFont="1" applyFill="1" applyBorder="1" applyAlignment="1" applyProtection="1">
      <alignment horizontal="center" vertical="top"/>
      <protection hidden="1"/>
    </xf>
    <xf numFmtId="0" fontId="23" fillId="0" borderId="0" xfId="0" applyFont="1" applyFill="1" applyBorder="1" applyAlignment="1" applyProtection="1">
      <alignment horizontal="right"/>
      <protection hidden="1"/>
    </xf>
    <xf numFmtId="43" fontId="0" fillId="0" borderId="0" xfId="0" applyNumberFormat="1" applyFont="1" applyBorder="1" applyAlignment="1" applyProtection="1">
      <alignment horizontal="center"/>
      <protection locked="0" hidden="1"/>
    </xf>
    <xf numFmtId="20" fontId="20" fillId="0" borderId="7" xfId="0" applyNumberFormat="1" applyFont="1" applyFill="1" applyBorder="1" applyAlignment="1" applyProtection="1">
      <alignment horizontal="center" vertical="center"/>
      <protection locked="0" hidden="1"/>
    </xf>
    <xf numFmtId="0" fontId="42" fillId="0" borderId="0" xfId="0" applyFont="1" applyAlignment="1" applyProtection="1">
      <alignment horizontal="right" vertical="top"/>
      <protection hidden="1"/>
    </xf>
    <xf numFmtId="0" fontId="56" fillId="0" borderId="0" xfId="0" applyFont="1" applyAlignment="1" applyProtection="1">
      <alignment horizontal="center" vertical="center" wrapText="1"/>
      <protection hidden="1"/>
    </xf>
    <xf numFmtId="0" fontId="5" fillId="5" borderId="0" xfId="0" applyFont="1" applyFill="1" applyAlignment="1">
      <alignment horizontal="center"/>
    </xf>
    <xf numFmtId="0" fontId="31" fillId="0" borderId="0" xfId="0" applyFont="1" applyAlignment="1" applyProtection="1">
      <alignment horizontal="left" wrapText="1"/>
      <protection hidden="1"/>
    </xf>
    <xf numFmtId="14" fontId="24" fillId="0" borderId="2" xfId="0" applyNumberFormat="1" applyFont="1" applyBorder="1" applyAlignment="1" applyProtection="1">
      <alignment horizontal="center" vertical="center"/>
      <protection locked="0" hidden="1"/>
    </xf>
    <xf numFmtId="0" fontId="46" fillId="0" borderId="0" xfId="0" applyFont="1" applyAlignment="1" applyProtection="1">
      <alignment horizontal="center"/>
      <protection hidden="1"/>
    </xf>
    <xf numFmtId="20" fontId="22" fillId="0" borderId="9" xfId="0" applyNumberFormat="1" applyFont="1" applyFill="1" applyBorder="1" applyAlignment="1" applyProtection="1">
      <alignment horizontal="center" vertical="center"/>
      <protection locked="0" hidden="1"/>
    </xf>
    <xf numFmtId="0" fontId="22" fillId="0" borderId="9" xfId="0" applyFont="1" applyFill="1" applyBorder="1" applyAlignment="1" applyProtection="1">
      <alignment horizontal="center" vertical="center"/>
      <protection locked="0" hidden="1"/>
    </xf>
    <xf numFmtId="0" fontId="22" fillId="3" borderId="2" xfId="0" applyFont="1" applyFill="1" applyBorder="1" applyAlignment="1" applyProtection="1">
      <protection hidden="1"/>
    </xf>
    <xf numFmtId="0" fontId="27" fillId="0" borderId="0" xfId="0" applyFont="1" applyFill="1" applyBorder="1" applyAlignment="1" applyProtection="1">
      <alignment horizontal="left"/>
      <protection hidden="1"/>
    </xf>
    <xf numFmtId="0" fontId="55" fillId="0" borderId="0" xfId="0" applyFont="1" applyFill="1" applyAlignment="1" applyProtection="1">
      <alignment horizontal="center"/>
      <protection hidden="1"/>
    </xf>
    <xf numFmtId="20" fontId="20" fillId="0" borderId="10" xfId="0" applyNumberFormat="1" applyFont="1" applyFill="1" applyBorder="1" applyAlignment="1" applyProtection="1">
      <alignment horizontal="center" vertical="center"/>
      <protection locked="0" hidden="1"/>
    </xf>
    <xf numFmtId="0" fontId="20" fillId="0" borderId="11" xfId="0" applyFont="1" applyFill="1" applyBorder="1" applyAlignment="1" applyProtection="1">
      <alignment horizontal="center" vertical="center"/>
      <protection locked="0" hidden="1"/>
    </xf>
    <xf numFmtId="20" fontId="20" fillId="0" borderId="25" xfId="0" applyNumberFormat="1" applyFont="1" applyFill="1" applyBorder="1" applyAlignment="1" applyProtection="1">
      <alignment horizontal="center" vertical="center"/>
      <protection locked="0" hidden="1"/>
    </xf>
    <xf numFmtId="0" fontId="20" fillId="0" borderId="25" xfId="0" applyFont="1" applyFill="1" applyBorder="1" applyAlignment="1" applyProtection="1">
      <alignment horizontal="center" vertical="center"/>
      <protection locked="0" hidden="1"/>
    </xf>
    <xf numFmtId="20" fontId="20" fillId="0" borderId="26" xfId="0" applyNumberFormat="1" applyFont="1" applyFill="1" applyBorder="1" applyAlignment="1" applyProtection="1">
      <alignment horizontal="center" vertical="center"/>
      <protection locked="0" hidden="1"/>
    </xf>
    <xf numFmtId="0" fontId="20" fillId="0" borderId="26" xfId="0" applyNumberFormat="1" applyFont="1" applyFill="1" applyBorder="1" applyAlignment="1" applyProtection="1">
      <alignment horizontal="center" vertical="center"/>
      <protection locked="0" hidden="1"/>
    </xf>
    <xf numFmtId="0" fontId="27" fillId="0" borderId="0" xfId="0" applyFont="1" applyAlignment="1">
      <alignment horizontal="left"/>
    </xf>
    <xf numFmtId="0" fontId="46" fillId="0" borderId="0" xfId="0" applyFont="1" applyAlignment="1" applyProtection="1">
      <alignment horizontal="left"/>
      <protection hidden="1"/>
    </xf>
    <xf numFmtId="0" fontId="42" fillId="0" borderId="0" xfId="0" applyFont="1" applyAlignment="1" applyProtection="1">
      <alignment horizontal="center" vertical="top"/>
      <protection hidden="1"/>
    </xf>
    <xf numFmtId="0" fontId="55" fillId="0" borderId="0" xfId="0" applyFont="1" applyFill="1" applyAlignment="1" applyProtection="1">
      <alignment horizontal="left"/>
      <protection hidden="1"/>
    </xf>
    <xf numFmtId="43" fontId="0" fillId="0" borderId="0" xfId="0" applyNumberFormat="1" applyFont="1" applyBorder="1" applyAlignment="1" applyProtection="1">
      <alignment vertical="center"/>
      <protection locked="0" hidden="1"/>
    </xf>
    <xf numFmtId="20" fontId="20" fillId="0" borderId="8" xfId="0" applyNumberFormat="1" applyFont="1" applyFill="1" applyBorder="1" applyAlignment="1" applyProtection="1">
      <alignment horizontal="center" vertical="center"/>
      <protection locked="0" hidden="1"/>
    </xf>
    <xf numFmtId="20" fontId="22" fillId="0" borderId="8" xfId="0" applyNumberFormat="1" applyFont="1" applyFill="1" applyBorder="1" applyAlignment="1" applyProtection="1">
      <alignment horizontal="center" vertical="center"/>
      <protection locked="0" hidden="1"/>
    </xf>
    <xf numFmtId="0" fontId="24" fillId="0" borderId="20" xfId="0" applyFont="1" applyBorder="1" applyAlignment="1" applyProtection="1">
      <alignment horizontal="center"/>
      <protection locked="0" hidden="1"/>
    </xf>
    <xf numFmtId="14" fontId="24" fillId="0" borderId="20" xfId="0" applyNumberFormat="1" applyFont="1" applyBorder="1" applyAlignment="1" applyProtection="1">
      <alignment horizontal="center" vertical="center"/>
      <protection locked="0" hidden="1"/>
    </xf>
    <xf numFmtId="0" fontId="8" fillId="0" borderId="0" xfId="0" applyFont="1" applyAlignment="1">
      <alignment horizontal="left" vertical="center" wrapText="1"/>
    </xf>
    <xf numFmtId="0" fontId="0" fillId="0" borderId="0" xfId="0" applyAlignment="1">
      <alignment horizontal="left" vertical="center" wrapText="1"/>
    </xf>
    <xf numFmtId="0" fontId="61" fillId="0" borderId="0" xfId="1" applyAlignment="1">
      <alignment horizontal="left" vertical="center"/>
    </xf>
    <xf numFmtId="0" fontId="60" fillId="0" borderId="0" xfId="0" applyFont="1" applyAlignment="1">
      <alignment horizontal="center"/>
    </xf>
    <xf numFmtId="0" fontId="24" fillId="0" borderId="0" xfId="0" applyFont="1" applyAlignment="1">
      <alignment horizontal="left" vertical="center" wrapText="1"/>
    </xf>
  </cellXfs>
  <cellStyles count="2">
    <cellStyle name="Link" xfId="1" builtinId="8"/>
    <cellStyle name="Standard" xfId="0" builtinId="0"/>
  </cellStyles>
  <dxfs count="2030">
    <dxf>
      <font>
        <b/>
        <i val="0"/>
        <color rgb="FFA50021"/>
      </font>
    </dxf>
    <dxf>
      <font>
        <color rgb="FFE7E6E6"/>
      </font>
    </dxf>
    <dxf>
      <font>
        <b/>
        <i val="0"/>
        <color rgb="FF9C0006"/>
      </font>
      <fill>
        <patternFill patternType="solid">
          <fgColor indexed="64"/>
          <bgColor theme="0" tint="-0.14999847407452621"/>
        </patternFill>
      </fill>
      <border>
        <top style="thin">
          <color auto="1"/>
        </top>
        <bottom style="thin">
          <color auto="1"/>
        </bottom>
      </border>
    </dxf>
    <dxf>
      <font>
        <b/>
        <i val="0"/>
      </font>
      <numFmt numFmtId="169"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color rgb="FFC00000"/>
      </font>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A50021"/>
      </font>
    </dxf>
    <dxf>
      <font>
        <b/>
        <i val="0"/>
        <color rgb="FFA50021"/>
      </font>
    </dxf>
    <dxf>
      <font>
        <b/>
        <i val="0"/>
        <color rgb="FFA50021"/>
      </font>
      <fill>
        <patternFill>
          <bgColor theme="8" tint="0.79998168889431442"/>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C00000"/>
      </font>
      <fill>
        <patternFill patternType="solid">
          <fgColor rgb="FFFFCCCC"/>
          <bgColor rgb="FFFFCCCC"/>
        </patternFill>
      </fill>
    </dxf>
    <dxf>
      <fill>
        <patternFill>
          <bgColor rgb="FFFFCCCC"/>
        </patternFill>
      </fill>
    </dxf>
    <dxf>
      <fill>
        <patternFill>
          <bgColor rgb="FFFFCCCC"/>
        </patternFill>
      </fill>
    </dxf>
    <dxf>
      <fill>
        <patternFill>
          <bgColor rgb="FFFFCCCC"/>
        </patternFill>
      </fill>
    </dxf>
    <dxf>
      <font>
        <color auto="1"/>
      </font>
      <fill>
        <patternFill>
          <bgColor rgb="FFFFCCCC"/>
        </patternFill>
      </fill>
    </dxf>
    <dxf>
      <font>
        <color auto="1"/>
      </font>
      <fill>
        <patternFill>
          <bgColor rgb="FFFFCCCC"/>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dxf>
    <dxf>
      <font>
        <strike/>
        <color theme="0" tint="-0.14996795556505021"/>
      </font>
      <fill>
        <patternFill>
          <bgColor theme="0" tint="-0.14996795556505021"/>
        </patternFill>
      </fill>
    </dxf>
    <dxf>
      <font>
        <b/>
        <i val="0"/>
        <color rgb="FF9C0006"/>
      </font>
      <fill>
        <patternFill patternType="solid">
          <fgColor indexed="64"/>
          <bgColor theme="0" tint="-0.14999847407452621"/>
        </patternFill>
      </fill>
      <border>
        <top style="thin">
          <color auto="1"/>
        </top>
        <bottom style="thin">
          <color auto="1"/>
        </bottom>
      </border>
    </dxf>
    <dxf>
      <font>
        <color rgb="FFC00000"/>
      </font>
      <fill>
        <patternFill patternType="solid">
          <fgColor auto="1"/>
          <bgColor rgb="FFFFCCCC"/>
        </patternFill>
      </fill>
    </dxf>
    <dxf>
      <font>
        <color rgb="FFFF0000"/>
      </font>
      <numFmt numFmtId="174" formatCode="\-[h]:mm"/>
    </dxf>
    <dxf>
      <font>
        <b/>
        <i val="0"/>
      </font>
      <numFmt numFmtId="169" formatCode="[h]:mm"/>
      <fill>
        <patternFill>
          <bgColor theme="0" tint="-0.14996795556505021"/>
        </patternFill>
      </fill>
      <border>
        <top style="thin">
          <color auto="1"/>
        </top>
        <bottom style="thin">
          <color auto="1"/>
        </bottom>
        <vertical/>
        <horizontal/>
      </border>
    </dxf>
    <dxf>
      <font>
        <color rgb="FFFF0000"/>
      </font>
      <fill>
        <patternFill patternType="none">
          <bgColor auto="1"/>
        </patternFill>
      </fill>
    </dxf>
    <dxf>
      <font>
        <b/>
        <i val="0"/>
      </font>
      <numFmt numFmtId="169"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font>
        <color rgb="FFFF0000"/>
      </font>
      <fill>
        <patternFill patternType="none">
          <fgColor indexed="64"/>
          <bgColor auto="1"/>
        </patternFill>
      </fill>
    </dxf>
    <dxf>
      <border>
        <bottom style="hair">
          <color auto="1"/>
        </bottom>
        <vertical/>
        <horizontal/>
      </border>
    </dxf>
    <dxf>
      <font>
        <color rgb="FFA50021"/>
      </font>
      <fill>
        <patternFill>
          <bgColor rgb="FFFFCCCC"/>
        </patternFill>
      </fill>
    </dxf>
    <dxf>
      <font>
        <b val="0"/>
        <i val="0"/>
        <strike val="0"/>
        <color rgb="FFA50021"/>
      </font>
    </dxf>
    <dxf>
      <font>
        <color rgb="FFA50021"/>
      </font>
      <fill>
        <patternFill patternType="none">
          <fgColor indexed="64"/>
          <bgColor auto="1"/>
        </patternFill>
      </fill>
    </dxf>
    <dxf>
      <font>
        <u val="none"/>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fill>
        <patternFill patternType="none">
          <fgColor indexed="64"/>
          <bgColor auto="1"/>
        </patternFill>
      </fill>
    </dxf>
    <dxf>
      <font>
        <b/>
        <i val="0"/>
        <color rgb="FFC00000"/>
      </font>
      <fill>
        <patternFill>
          <fgColor rgb="FFFFCCCC"/>
          <bgColor rgb="FFFFCCCC"/>
        </patternFill>
      </fill>
    </dxf>
    <dxf>
      <font>
        <b/>
        <i val="0"/>
        <color rgb="FFC00000"/>
      </font>
      <fill>
        <patternFill>
          <bgColor rgb="FFFFCCCC"/>
        </patternFill>
      </fill>
    </dxf>
    <dxf>
      <font>
        <b/>
        <i val="0"/>
        <color rgb="FFC00000"/>
      </font>
      <fill>
        <patternFill>
          <bgColor rgb="FFFFCCCC"/>
        </patternFill>
      </fill>
    </dxf>
    <dxf>
      <font>
        <b/>
        <i val="0"/>
        <color rgb="FFC00000"/>
      </font>
      <fill>
        <patternFill>
          <bgColor rgb="FFFFCCCC"/>
        </patternFill>
      </fill>
    </dxf>
    <dxf>
      <font>
        <color rgb="FFFF0000"/>
      </font>
      <fill>
        <patternFill patternType="none">
          <bgColor auto="1"/>
        </patternFill>
      </fill>
    </dxf>
    <dxf>
      <font>
        <b/>
        <i val="0"/>
      </font>
      <numFmt numFmtId="169" formatCode="[h]:mm"/>
      <fill>
        <patternFill>
          <bgColor theme="0" tint="-0.14996795556505021"/>
        </patternFill>
      </fill>
      <border>
        <top style="thin">
          <color auto="1"/>
        </top>
        <bottom style="thin">
          <color auto="1"/>
        </bottom>
        <vertical/>
        <horizontal/>
      </border>
    </dxf>
    <dxf>
      <font>
        <color rgb="FF9C0006"/>
      </font>
      <fill>
        <patternFill>
          <bgColor rgb="FFFFC7CE"/>
        </patternFill>
      </fill>
    </dxf>
    <dxf>
      <font>
        <color rgb="FFC00000"/>
      </font>
      <fill>
        <patternFill>
          <bgColor rgb="FFFFCCCC"/>
        </patternFill>
      </fill>
    </dxf>
    <dxf>
      <font>
        <color rgb="FF9C0006"/>
      </font>
      <fill>
        <patternFill>
          <bgColor rgb="FFFFC7CE"/>
        </patternFill>
      </fill>
    </dxf>
    <dxf>
      <font>
        <color rgb="FF9C0006"/>
      </font>
      <fill>
        <patternFill>
          <bgColor rgb="FFFFCCCC"/>
        </patternFill>
      </fill>
    </dxf>
    <dxf>
      <font>
        <color rgb="FFC00000"/>
      </font>
      <fill>
        <patternFill>
          <bgColor rgb="FFFFCCCC"/>
        </patternFill>
      </fill>
    </dxf>
    <dxf>
      <font>
        <color rgb="FFA50021"/>
      </font>
      <fill>
        <patternFill>
          <bgColor rgb="FFFFCCCC"/>
        </patternFill>
      </fill>
    </dxf>
    <dxf>
      <font>
        <b/>
        <i val="0"/>
        <color rgb="FFA50021"/>
      </font>
    </dxf>
    <dxf>
      <font>
        <color rgb="FFE7E6E6"/>
      </font>
    </dxf>
    <dxf>
      <font>
        <b/>
        <i val="0"/>
        <color rgb="FF9C0006"/>
      </font>
      <fill>
        <patternFill patternType="solid">
          <fgColor indexed="64"/>
          <bgColor theme="0" tint="-0.14999847407452621"/>
        </patternFill>
      </fill>
      <border>
        <top style="thin">
          <color auto="1"/>
        </top>
        <bottom style="thin">
          <color auto="1"/>
        </bottom>
      </border>
    </dxf>
    <dxf>
      <font>
        <b/>
        <i val="0"/>
      </font>
      <numFmt numFmtId="169"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color rgb="FFC00000"/>
      </font>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A50021"/>
      </font>
    </dxf>
    <dxf>
      <font>
        <b/>
        <i val="0"/>
        <color rgb="FFA50021"/>
      </font>
    </dxf>
    <dxf>
      <font>
        <b/>
        <i val="0"/>
        <color rgb="FFA50021"/>
      </font>
      <fill>
        <patternFill>
          <bgColor theme="8" tint="0.79998168889431442"/>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C00000"/>
      </font>
      <fill>
        <patternFill patternType="solid">
          <fgColor rgb="FFFFCCCC"/>
          <bgColor rgb="FFFFCCCC"/>
        </patternFill>
      </fill>
    </dxf>
    <dxf>
      <fill>
        <patternFill>
          <bgColor rgb="FFFFCCCC"/>
        </patternFill>
      </fill>
    </dxf>
    <dxf>
      <fill>
        <patternFill>
          <bgColor rgb="FFFFCCCC"/>
        </patternFill>
      </fill>
    </dxf>
    <dxf>
      <fill>
        <patternFill>
          <bgColor rgb="FFFFCCCC"/>
        </patternFill>
      </fill>
    </dxf>
    <dxf>
      <font>
        <color auto="1"/>
      </font>
      <fill>
        <patternFill>
          <bgColor rgb="FFFFCCCC"/>
        </patternFill>
      </fill>
    </dxf>
    <dxf>
      <font>
        <color auto="1"/>
      </font>
      <fill>
        <patternFill>
          <bgColor rgb="FFFFCCCC"/>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dxf>
    <dxf>
      <font>
        <strike/>
        <color theme="0" tint="-0.14996795556505021"/>
      </font>
      <fill>
        <patternFill>
          <bgColor theme="0" tint="-0.14996795556505021"/>
        </patternFill>
      </fill>
    </dxf>
    <dxf>
      <font>
        <b/>
        <i val="0"/>
        <color rgb="FF9C0006"/>
      </font>
      <fill>
        <patternFill patternType="solid">
          <fgColor indexed="64"/>
          <bgColor theme="0" tint="-0.14999847407452621"/>
        </patternFill>
      </fill>
      <border>
        <top style="thin">
          <color auto="1"/>
        </top>
        <bottom style="thin">
          <color auto="1"/>
        </bottom>
      </border>
    </dxf>
    <dxf>
      <font>
        <color rgb="FFC00000"/>
      </font>
      <fill>
        <patternFill patternType="solid">
          <fgColor auto="1"/>
          <bgColor rgb="FFFFCCCC"/>
        </patternFill>
      </fill>
    </dxf>
    <dxf>
      <font>
        <color rgb="FFFF0000"/>
      </font>
      <numFmt numFmtId="174" formatCode="\-[h]:mm"/>
    </dxf>
    <dxf>
      <font>
        <b/>
        <i val="0"/>
      </font>
      <numFmt numFmtId="169" formatCode="[h]:mm"/>
      <fill>
        <patternFill>
          <bgColor theme="0" tint="-0.14996795556505021"/>
        </patternFill>
      </fill>
      <border>
        <top style="thin">
          <color auto="1"/>
        </top>
        <bottom style="thin">
          <color auto="1"/>
        </bottom>
        <vertical/>
        <horizontal/>
      </border>
    </dxf>
    <dxf>
      <font>
        <color rgb="FFFF0000"/>
      </font>
      <fill>
        <patternFill patternType="none">
          <bgColor auto="1"/>
        </patternFill>
      </fill>
    </dxf>
    <dxf>
      <font>
        <b/>
        <i val="0"/>
      </font>
      <numFmt numFmtId="169"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font>
        <color rgb="FFFF0000"/>
      </font>
      <fill>
        <patternFill patternType="none">
          <fgColor indexed="64"/>
          <bgColor auto="1"/>
        </patternFill>
      </fill>
    </dxf>
    <dxf>
      <border>
        <bottom style="hair">
          <color auto="1"/>
        </bottom>
        <vertical/>
        <horizontal/>
      </border>
    </dxf>
    <dxf>
      <font>
        <color rgb="FFA50021"/>
      </font>
      <fill>
        <patternFill>
          <bgColor rgb="FFFFCCCC"/>
        </patternFill>
      </fill>
    </dxf>
    <dxf>
      <font>
        <b val="0"/>
        <i val="0"/>
        <strike val="0"/>
        <color rgb="FFA50021"/>
      </font>
    </dxf>
    <dxf>
      <font>
        <color rgb="FFA50021"/>
      </font>
      <fill>
        <patternFill patternType="none">
          <fgColor indexed="64"/>
          <bgColor auto="1"/>
        </patternFill>
      </fill>
    </dxf>
    <dxf>
      <font>
        <u val="none"/>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fill>
        <patternFill patternType="none">
          <fgColor indexed="64"/>
          <bgColor auto="1"/>
        </patternFill>
      </fill>
    </dxf>
    <dxf>
      <font>
        <b/>
        <i val="0"/>
        <color rgb="FFC00000"/>
      </font>
      <fill>
        <patternFill>
          <fgColor rgb="FFFFCCCC"/>
          <bgColor rgb="FFFFCCCC"/>
        </patternFill>
      </fill>
    </dxf>
    <dxf>
      <font>
        <b/>
        <i val="0"/>
        <color rgb="FFC00000"/>
      </font>
      <fill>
        <patternFill>
          <bgColor rgb="FFFFCCCC"/>
        </patternFill>
      </fill>
    </dxf>
    <dxf>
      <font>
        <b/>
        <i val="0"/>
        <color rgb="FFC00000"/>
      </font>
      <fill>
        <patternFill>
          <bgColor rgb="FFFFCCCC"/>
        </patternFill>
      </fill>
    </dxf>
    <dxf>
      <font>
        <b/>
        <i val="0"/>
        <color rgb="FFC00000"/>
      </font>
      <fill>
        <patternFill>
          <bgColor rgb="FFFFCCCC"/>
        </patternFill>
      </fill>
    </dxf>
    <dxf>
      <font>
        <color rgb="FFFF0000"/>
      </font>
      <fill>
        <patternFill patternType="none">
          <bgColor auto="1"/>
        </patternFill>
      </fill>
    </dxf>
    <dxf>
      <font>
        <b/>
        <i val="0"/>
      </font>
      <numFmt numFmtId="169" formatCode="[h]:mm"/>
      <fill>
        <patternFill>
          <bgColor theme="0" tint="-0.14996795556505021"/>
        </patternFill>
      </fill>
      <border>
        <top style="thin">
          <color auto="1"/>
        </top>
        <bottom style="thin">
          <color auto="1"/>
        </bottom>
        <vertical/>
        <horizontal/>
      </border>
    </dxf>
    <dxf>
      <font>
        <color rgb="FF9C0006"/>
      </font>
      <fill>
        <patternFill>
          <bgColor rgb="FFFFC7CE"/>
        </patternFill>
      </fill>
    </dxf>
    <dxf>
      <font>
        <color rgb="FFC00000"/>
      </font>
      <fill>
        <patternFill>
          <bgColor rgb="FFFFCCCC"/>
        </patternFill>
      </fill>
    </dxf>
    <dxf>
      <font>
        <color rgb="FF9C0006"/>
      </font>
      <fill>
        <patternFill>
          <bgColor rgb="FFFFC7CE"/>
        </patternFill>
      </fill>
    </dxf>
    <dxf>
      <font>
        <color rgb="FF9C0006"/>
      </font>
      <fill>
        <patternFill>
          <bgColor rgb="FFFFCCCC"/>
        </patternFill>
      </fill>
    </dxf>
    <dxf>
      <font>
        <color rgb="FFC00000"/>
      </font>
      <fill>
        <patternFill>
          <bgColor rgb="FFFFCCCC"/>
        </patternFill>
      </fill>
    </dxf>
    <dxf>
      <font>
        <color rgb="FFA50021"/>
      </font>
      <fill>
        <patternFill>
          <bgColor rgb="FFFFCCCC"/>
        </patternFill>
      </fill>
    </dxf>
    <dxf>
      <font>
        <b/>
        <i val="0"/>
        <color rgb="FFA50021"/>
      </font>
    </dxf>
    <dxf>
      <font>
        <color rgb="FFE7E6E6"/>
      </font>
    </dxf>
    <dxf>
      <font>
        <b/>
        <i val="0"/>
        <color rgb="FF9C0006"/>
      </font>
      <fill>
        <patternFill patternType="solid">
          <fgColor indexed="64"/>
          <bgColor theme="0" tint="-0.14999847407452621"/>
        </patternFill>
      </fill>
      <border>
        <top style="thin">
          <color auto="1"/>
        </top>
        <bottom style="thin">
          <color auto="1"/>
        </bottom>
      </border>
    </dxf>
    <dxf>
      <font>
        <b/>
        <i val="0"/>
      </font>
      <numFmt numFmtId="169"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color rgb="FFC00000"/>
      </font>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A50021"/>
      </font>
    </dxf>
    <dxf>
      <font>
        <b/>
        <i val="0"/>
        <color rgb="FFA50021"/>
      </font>
    </dxf>
    <dxf>
      <font>
        <b/>
        <i val="0"/>
        <color rgb="FFA50021"/>
      </font>
      <fill>
        <patternFill>
          <bgColor theme="8" tint="0.79998168889431442"/>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C00000"/>
      </font>
      <fill>
        <patternFill patternType="solid">
          <fgColor rgb="FFFFCCCC"/>
          <bgColor rgb="FFFFCCCC"/>
        </patternFill>
      </fill>
    </dxf>
    <dxf>
      <fill>
        <patternFill>
          <bgColor rgb="FFFFCCCC"/>
        </patternFill>
      </fill>
    </dxf>
    <dxf>
      <fill>
        <patternFill>
          <bgColor rgb="FFFFCCCC"/>
        </patternFill>
      </fill>
    </dxf>
    <dxf>
      <fill>
        <patternFill>
          <bgColor rgb="FFFFCCCC"/>
        </patternFill>
      </fill>
    </dxf>
    <dxf>
      <font>
        <color auto="1"/>
      </font>
      <fill>
        <patternFill>
          <bgColor rgb="FFFFCCCC"/>
        </patternFill>
      </fill>
    </dxf>
    <dxf>
      <font>
        <color auto="1"/>
      </font>
      <fill>
        <patternFill>
          <bgColor rgb="FFFFCCCC"/>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dxf>
    <dxf>
      <font>
        <strike/>
        <color theme="0" tint="-0.14996795556505021"/>
      </font>
      <fill>
        <patternFill>
          <bgColor theme="0" tint="-0.14996795556505021"/>
        </patternFill>
      </fill>
    </dxf>
    <dxf>
      <font>
        <b/>
        <i val="0"/>
        <color rgb="FF9C0006"/>
      </font>
      <fill>
        <patternFill patternType="solid">
          <fgColor indexed="64"/>
          <bgColor theme="0" tint="-0.14999847407452621"/>
        </patternFill>
      </fill>
      <border>
        <top style="thin">
          <color auto="1"/>
        </top>
        <bottom style="thin">
          <color auto="1"/>
        </bottom>
      </border>
    </dxf>
    <dxf>
      <font>
        <color rgb="FFC00000"/>
      </font>
      <fill>
        <patternFill patternType="solid">
          <fgColor auto="1"/>
          <bgColor rgb="FFFFCCCC"/>
        </patternFill>
      </fill>
    </dxf>
    <dxf>
      <font>
        <color rgb="FFFF0000"/>
      </font>
      <numFmt numFmtId="174" formatCode="\-[h]:mm"/>
    </dxf>
    <dxf>
      <font>
        <b/>
        <i val="0"/>
      </font>
      <numFmt numFmtId="169" formatCode="[h]:mm"/>
      <fill>
        <patternFill>
          <bgColor theme="0" tint="-0.14996795556505021"/>
        </patternFill>
      </fill>
      <border>
        <top style="thin">
          <color auto="1"/>
        </top>
        <bottom style="thin">
          <color auto="1"/>
        </bottom>
        <vertical/>
        <horizontal/>
      </border>
    </dxf>
    <dxf>
      <font>
        <color rgb="FFFF0000"/>
      </font>
      <fill>
        <patternFill patternType="none">
          <bgColor auto="1"/>
        </patternFill>
      </fill>
    </dxf>
    <dxf>
      <font>
        <b/>
        <i val="0"/>
      </font>
      <numFmt numFmtId="169"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font>
        <color rgb="FFFF0000"/>
      </font>
      <fill>
        <patternFill patternType="none">
          <fgColor indexed="64"/>
          <bgColor auto="1"/>
        </patternFill>
      </fill>
    </dxf>
    <dxf>
      <border>
        <bottom style="hair">
          <color auto="1"/>
        </bottom>
        <vertical/>
        <horizontal/>
      </border>
    </dxf>
    <dxf>
      <font>
        <color rgb="FFA50021"/>
      </font>
      <fill>
        <patternFill>
          <bgColor rgb="FFFFCCCC"/>
        </patternFill>
      </fill>
    </dxf>
    <dxf>
      <font>
        <b val="0"/>
        <i val="0"/>
        <strike val="0"/>
        <color rgb="FFA50021"/>
      </font>
    </dxf>
    <dxf>
      <font>
        <color rgb="FFA50021"/>
      </font>
      <fill>
        <patternFill patternType="none">
          <fgColor indexed="64"/>
          <bgColor auto="1"/>
        </patternFill>
      </fill>
    </dxf>
    <dxf>
      <font>
        <u val="none"/>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fill>
        <patternFill patternType="none">
          <fgColor indexed="64"/>
          <bgColor auto="1"/>
        </patternFill>
      </fill>
    </dxf>
    <dxf>
      <font>
        <b/>
        <i val="0"/>
        <color rgb="FFC00000"/>
      </font>
      <fill>
        <patternFill>
          <fgColor rgb="FFFFCCCC"/>
          <bgColor rgb="FFFFCCCC"/>
        </patternFill>
      </fill>
    </dxf>
    <dxf>
      <font>
        <b/>
        <i val="0"/>
        <color rgb="FFC00000"/>
      </font>
      <fill>
        <patternFill>
          <bgColor rgb="FFFFCCCC"/>
        </patternFill>
      </fill>
    </dxf>
    <dxf>
      <font>
        <b/>
        <i val="0"/>
        <color rgb="FFC00000"/>
      </font>
      <fill>
        <patternFill>
          <bgColor rgb="FFFFCCCC"/>
        </patternFill>
      </fill>
    </dxf>
    <dxf>
      <font>
        <b/>
        <i val="0"/>
        <color rgb="FFC00000"/>
      </font>
      <fill>
        <patternFill>
          <bgColor rgb="FFFFCCCC"/>
        </patternFill>
      </fill>
    </dxf>
    <dxf>
      <font>
        <color rgb="FFFF0000"/>
      </font>
      <fill>
        <patternFill patternType="none">
          <bgColor auto="1"/>
        </patternFill>
      </fill>
    </dxf>
    <dxf>
      <font>
        <b/>
        <i val="0"/>
      </font>
      <numFmt numFmtId="169" formatCode="[h]:mm"/>
      <fill>
        <patternFill>
          <bgColor theme="0" tint="-0.14996795556505021"/>
        </patternFill>
      </fill>
      <border>
        <top style="thin">
          <color auto="1"/>
        </top>
        <bottom style="thin">
          <color auto="1"/>
        </bottom>
        <vertical/>
        <horizontal/>
      </border>
    </dxf>
    <dxf>
      <font>
        <color rgb="FF9C0006"/>
      </font>
      <fill>
        <patternFill>
          <bgColor rgb="FFFFC7CE"/>
        </patternFill>
      </fill>
    </dxf>
    <dxf>
      <font>
        <color rgb="FFC00000"/>
      </font>
      <fill>
        <patternFill>
          <bgColor rgb="FFFFCCCC"/>
        </patternFill>
      </fill>
    </dxf>
    <dxf>
      <font>
        <color rgb="FF9C0006"/>
      </font>
      <fill>
        <patternFill>
          <bgColor rgb="FFFFC7CE"/>
        </patternFill>
      </fill>
    </dxf>
    <dxf>
      <font>
        <color rgb="FF9C0006"/>
      </font>
      <fill>
        <patternFill>
          <bgColor rgb="FFFFCCCC"/>
        </patternFill>
      </fill>
    </dxf>
    <dxf>
      <font>
        <color rgb="FFC00000"/>
      </font>
      <fill>
        <patternFill>
          <bgColor rgb="FFFFCCCC"/>
        </patternFill>
      </fill>
    </dxf>
    <dxf>
      <font>
        <color rgb="FFA50021"/>
      </font>
      <fill>
        <patternFill>
          <bgColor rgb="FFFFCCCC"/>
        </patternFill>
      </fill>
    </dxf>
    <dxf>
      <font>
        <b/>
        <i val="0"/>
        <color rgb="FFA50021"/>
      </font>
    </dxf>
    <dxf>
      <font>
        <color rgb="FFE7E6E6"/>
      </font>
    </dxf>
    <dxf>
      <font>
        <b/>
        <i val="0"/>
        <color rgb="FF9C0006"/>
      </font>
      <fill>
        <patternFill patternType="solid">
          <fgColor indexed="64"/>
          <bgColor theme="0" tint="-0.14999847407452621"/>
        </patternFill>
      </fill>
      <border>
        <top style="thin">
          <color auto="1"/>
        </top>
        <bottom style="thin">
          <color auto="1"/>
        </bottom>
      </border>
    </dxf>
    <dxf>
      <font>
        <b/>
        <i val="0"/>
      </font>
      <numFmt numFmtId="169"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color rgb="FFC00000"/>
      </font>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A50021"/>
      </font>
    </dxf>
    <dxf>
      <font>
        <b/>
        <i val="0"/>
        <color rgb="FFA50021"/>
      </font>
    </dxf>
    <dxf>
      <font>
        <b/>
        <i val="0"/>
        <color rgb="FFA50021"/>
      </font>
      <fill>
        <patternFill>
          <bgColor theme="8" tint="0.79998168889431442"/>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C00000"/>
      </font>
      <fill>
        <patternFill patternType="solid">
          <fgColor rgb="FFFFCCCC"/>
          <bgColor rgb="FFFFCCCC"/>
        </patternFill>
      </fill>
    </dxf>
    <dxf>
      <fill>
        <patternFill>
          <bgColor rgb="FFFFCCCC"/>
        </patternFill>
      </fill>
    </dxf>
    <dxf>
      <fill>
        <patternFill>
          <bgColor rgb="FFFFCCCC"/>
        </patternFill>
      </fill>
    </dxf>
    <dxf>
      <fill>
        <patternFill>
          <bgColor rgb="FFFFCCCC"/>
        </patternFill>
      </fill>
    </dxf>
    <dxf>
      <font>
        <color auto="1"/>
      </font>
      <fill>
        <patternFill>
          <bgColor rgb="FFFFCCCC"/>
        </patternFill>
      </fill>
    </dxf>
    <dxf>
      <font>
        <color auto="1"/>
      </font>
      <fill>
        <patternFill>
          <bgColor rgb="FFFFCCCC"/>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dxf>
    <dxf>
      <font>
        <strike/>
        <color theme="0" tint="-0.14996795556505021"/>
      </font>
      <fill>
        <patternFill>
          <bgColor theme="0" tint="-0.14996795556505021"/>
        </patternFill>
      </fill>
    </dxf>
    <dxf>
      <font>
        <b/>
        <i val="0"/>
        <color rgb="FF9C0006"/>
      </font>
      <fill>
        <patternFill patternType="solid">
          <fgColor indexed="64"/>
          <bgColor theme="0" tint="-0.14999847407452621"/>
        </patternFill>
      </fill>
      <border>
        <top style="thin">
          <color auto="1"/>
        </top>
        <bottom style="thin">
          <color auto="1"/>
        </bottom>
      </border>
    </dxf>
    <dxf>
      <font>
        <color rgb="FFC00000"/>
      </font>
      <fill>
        <patternFill patternType="solid">
          <fgColor auto="1"/>
          <bgColor rgb="FFFFCCCC"/>
        </patternFill>
      </fill>
    </dxf>
    <dxf>
      <font>
        <color rgb="FFFF0000"/>
      </font>
      <numFmt numFmtId="174" formatCode="\-[h]:mm"/>
    </dxf>
    <dxf>
      <font>
        <b/>
        <i val="0"/>
      </font>
      <numFmt numFmtId="169" formatCode="[h]:mm"/>
      <fill>
        <patternFill>
          <bgColor theme="0" tint="-0.14996795556505021"/>
        </patternFill>
      </fill>
      <border>
        <top style="thin">
          <color auto="1"/>
        </top>
        <bottom style="thin">
          <color auto="1"/>
        </bottom>
        <vertical/>
        <horizontal/>
      </border>
    </dxf>
    <dxf>
      <font>
        <color rgb="FFFF0000"/>
      </font>
      <fill>
        <patternFill patternType="none">
          <bgColor auto="1"/>
        </patternFill>
      </fill>
    </dxf>
    <dxf>
      <font>
        <b/>
        <i val="0"/>
      </font>
      <numFmt numFmtId="169"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font>
        <color rgb="FFFF0000"/>
      </font>
      <fill>
        <patternFill patternType="none">
          <fgColor indexed="64"/>
          <bgColor auto="1"/>
        </patternFill>
      </fill>
    </dxf>
    <dxf>
      <border>
        <bottom style="hair">
          <color auto="1"/>
        </bottom>
        <vertical/>
        <horizontal/>
      </border>
    </dxf>
    <dxf>
      <font>
        <color rgb="FFA50021"/>
      </font>
      <fill>
        <patternFill>
          <bgColor rgb="FFFFCCCC"/>
        </patternFill>
      </fill>
    </dxf>
    <dxf>
      <font>
        <b val="0"/>
        <i val="0"/>
        <strike val="0"/>
        <color rgb="FFA50021"/>
      </font>
    </dxf>
    <dxf>
      <font>
        <color rgb="FFA50021"/>
      </font>
      <fill>
        <patternFill patternType="none">
          <fgColor indexed="64"/>
          <bgColor auto="1"/>
        </patternFill>
      </fill>
    </dxf>
    <dxf>
      <font>
        <u val="none"/>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fill>
        <patternFill patternType="none">
          <fgColor indexed="64"/>
          <bgColor auto="1"/>
        </patternFill>
      </fill>
    </dxf>
    <dxf>
      <font>
        <b/>
        <i val="0"/>
        <color rgb="FFC00000"/>
      </font>
      <fill>
        <patternFill>
          <fgColor rgb="FFFFCCCC"/>
          <bgColor rgb="FFFFCCCC"/>
        </patternFill>
      </fill>
    </dxf>
    <dxf>
      <font>
        <b/>
        <i val="0"/>
        <color rgb="FFC00000"/>
      </font>
      <fill>
        <patternFill>
          <bgColor rgb="FFFFCCCC"/>
        </patternFill>
      </fill>
    </dxf>
    <dxf>
      <font>
        <b/>
        <i val="0"/>
        <color rgb="FFC00000"/>
      </font>
      <fill>
        <patternFill>
          <bgColor rgb="FFFFCCCC"/>
        </patternFill>
      </fill>
    </dxf>
    <dxf>
      <font>
        <b/>
        <i val="0"/>
        <color rgb="FFC00000"/>
      </font>
      <fill>
        <patternFill>
          <bgColor rgb="FFFFCCCC"/>
        </patternFill>
      </fill>
    </dxf>
    <dxf>
      <font>
        <color rgb="FFFF0000"/>
      </font>
      <fill>
        <patternFill patternType="none">
          <bgColor auto="1"/>
        </patternFill>
      </fill>
    </dxf>
    <dxf>
      <font>
        <b/>
        <i val="0"/>
      </font>
      <numFmt numFmtId="169" formatCode="[h]:mm"/>
      <fill>
        <patternFill>
          <bgColor theme="0" tint="-0.14996795556505021"/>
        </patternFill>
      </fill>
      <border>
        <top style="thin">
          <color auto="1"/>
        </top>
        <bottom style="thin">
          <color auto="1"/>
        </bottom>
        <vertical/>
        <horizontal/>
      </border>
    </dxf>
    <dxf>
      <font>
        <color rgb="FF9C0006"/>
      </font>
      <fill>
        <patternFill>
          <bgColor rgb="FFFFC7CE"/>
        </patternFill>
      </fill>
    </dxf>
    <dxf>
      <font>
        <color rgb="FFC00000"/>
      </font>
      <fill>
        <patternFill>
          <bgColor rgb="FFFFCCCC"/>
        </patternFill>
      </fill>
    </dxf>
    <dxf>
      <font>
        <color rgb="FF9C0006"/>
      </font>
      <fill>
        <patternFill>
          <bgColor rgb="FFFFC7CE"/>
        </patternFill>
      </fill>
    </dxf>
    <dxf>
      <font>
        <color rgb="FF9C0006"/>
      </font>
      <fill>
        <patternFill>
          <bgColor rgb="FFFFCCCC"/>
        </patternFill>
      </fill>
    </dxf>
    <dxf>
      <font>
        <color rgb="FFC00000"/>
      </font>
      <fill>
        <patternFill>
          <bgColor rgb="FFFFCCCC"/>
        </patternFill>
      </fill>
    </dxf>
    <dxf>
      <font>
        <color rgb="FFA50021"/>
      </font>
      <fill>
        <patternFill>
          <bgColor rgb="FFFFCCCC"/>
        </patternFill>
      </fill>
    </dxf>
    <dxf>
      <font>
        <b/>
        <i val="0"/>
        <color rgb="FFA50021"/>
      </font>
    </dxf>
    <dxf>
      <font>
        <color rgb="FFE7E6E6"/>
      </font>
    </dxf>
    <dxf>
      <font>
        <b/>
        <i val="0"/>
        <color rgb="FF9C0006"/>
      </font>
      <fill>
        <patternFill patternType="solid">
          <fgColor indexed="64"/>
          <bgColor theme="0" tint="-0.14999847407452621"/>
        </patternFill>
      </fill>
      <border>
        <top style="thin">
          <color auto="1"/>
        </top>
        <bottom style="thin">
          <color auto="1"/>
        </bottom>
      </border>
    </dxf>
    <dxf>
      <font>
        <b/>
        <i val="0"/>
      </font>
      <numFmt numFmtId="169"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color rgb="FFC00000"/>
      </font>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A50021"/>
      </font>
    </dxf>
    <dxf>
      <font>
        <b/>
        <i val="0"/>
        <color rgb="FFA50021"/>
      </font>
    </dxf>
    <dxf>
      <font>
        <b/>
        <i val="0"/>
        <color rgb="FFA50021"/>
      </font>
      <fill>
        <patternFill>
          <bgColor theme="8" tint="0.79998168889431442"/>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C00000"/>
      </font>
      <fill>
        <patternFill patternType="solid">
          <fgColor rgb="FFFFCCCC"/>
          <bgColor rgb="FFFFCCCC"/>
        </patternFill>
      </fill>
    </dxf>
    <dxf>
      <fill>
        <patternFill>
          <bgColor rgb="FFFFCCCC"/>
        </patternFill>
      </fill>
    </dxf>
    <dxf>
      <fill>
        <patternFill>
          <bgColor rgb="FFFFCCCC"/>
        </patternFill>
      </fill>
    </dxf>
    <dxf>
      <fill>
        <patternFill>
          <bgColor rgb="FFFFCCCC"/>
        </patternFill>
      </fill>
    </dxf>
    <dxf>
      <font>
        <color auto="1"/>
      </font>
      <fill>
        <patternFill>
          <bgColor rgb="FFFFCCCC"/>
        </patternFill>
      </fill>
    </dxf>
    <dxf>
      <font>
        <color auto="1"/>
      </font>
      <fill>
        <patternFill>
          <bgColor rgb="FFFFCCCC"/>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dxf>
    <dxf>
      <font>
        <strike/>
        <color theme="0" tint="-0.14996795556505021"/>
      </font>
      <fill>
        <patternFill>
          <bgColor theme="0" tint="-0.14996795556505021"/>
        </patternFill>
      </fill>
    </dxf>
    <dxf>
      <font>
        <b/>
        <i val="0"/>
        <color rgb="FF9C0006"/>
      </font>
      <fill>
        <patternFill patternType="solid">
          <fgColor indexed="64"/>
          <bgColor theme="0" tint="-0.14999847407452621"/>
        </patternFill>
      </fill>
      <border>
        <top style="thin">
          <color auto="1"/>
        </top>
        <bottom style="thin">
          <color auto="1"/>
        </bottom>
      </border>
    </dxf>
    <dxf>
      <font>
        <color rgb="FFC00000"/>
      </font>
      <fill>
        <patternFill patternType="solid">
          <fgColor auto="1"/>
          <bgColor rgb="FFFFCCCC"/>
        </patternFill>
      </fill>
    </dxf>
    <dxf>
      <font>
        <color rgb="FFFF0000"/>
      </font>
      <numFmt numFmtId="174" formatCode="\-[h]:mm"/>
    </dxf>
    <dxf>
      <font>
        <b/>
        <i val="0"/>
      </font>
      <numFmt numFmtId="169" formatCode="[h]:mm"/>
      <fill>
        <patternFill>
          <bgColor theme="0" tint="-0.14996795556505021"/>
        </patternFill>
      </fill>
      <border>
        <top style="thin">
          <color auto="1"/>
        </top>
        <bottom style="thin">
          <color auto="1"/>
        </bottom>
        <vertical/>
        <horizontal/>
      </border>
    </dxf>
    <dxf>
      <font>
        <color rgb="FFFF0000"/>
      </font>
      <fill>
        <patternFill patternType="none">
          <bgColor auto="1"/>
        </patternFill>
      </fill>
    </dxf>
    <dxf>
      <font>
        <b/>
        <i val="0"/>
      </font>
      <numFmt numFmtId="169"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font>
        <color rgb="FFFF0000"/>
      </font>
      <fill>
        <patternFill patternType="none">
          <fgColor indexed="64"/>
          <bgColor auto="1"/>
        </patternFill>
      </fill>
    </dxf>
    <dxf>
      <border>
        <bottom style="hair">
          <color auto="1"/>
        </bottom>
        <vertical/>
        <horizontal/>
      </border>
    </dxf>
    <dxf>
      <font>
        <color rgb="FFA50021"/>
      </font>
      <fill>
        <patternFill>
          <bgColor rgb="FFFFCCCC"/>
        </patternFill>
      </fill>
    </dxf>
    <dxf>
      <font>
        <b val="0"/>
        <i val="0"/>
        <strike val="0"/>
        <color rgb="FFA50021"/>
      </font>
    </dxf>
    <dxf>
      <font>
        <color rgb="FFA50021"/>
      </font>
      <fill>
        <patternFill patternType="none">
          <fgColor indexed="64"/>
          <bgColor auto="1"/>
        </patternFill>
      </fill>
    </dxf>
    <dxf>
      <font>
        <u val="none"/>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fill>
        <patternFill patternType="none">
          <fgColor indexed="64"/>
          <bgColor auto="1"/>
        </patternFill>
      </fill>
    </dxf>
    <dxf>
      <font>
        <b/>
        <i val="0"/>
        <color rgb="FFC00000"/>
      </font>
      <fill>
        <patternFill>
          <fgColor rgb="FFFFCCCC"/>
          <bgColor rgb="FFFFCCCC"/>
        </patternFill>
      </fill>
    </dxf>
    <dxf>
      <font>
        <b/>
        <i val="0"/>
        <color rgb="FFC00000"/>
      </font>
      <fill>
        <patternFill>
          <bgColor rgb="FFFFCCCC"/>
        </patternFill>
      </fill>
    </dxf>
    <dxf>
      <font>
        <b/>
        <i val="0"/>
        <color rgb="FFC00000"/>
      </font>
      <fill>
        <patternFill>
          <bgColor rgb="FFFFCCCC"/>
        </patternFill>
      </fill>
    </dxf>
    <dxf>
      <font>
        <b/>
        <i val="0"/>
        <color rgb="FFC00000"/>
      </font>
      <fill>
        <patternFill>
          <bgColor rgb="FFFFCCCC"/>
        </patternFill>
      </fill>
    </dxf>
    <dxf>
      <font>
        <color rgb="FFFF0000"/>
      </font>
      <fill>
        <patternFill patternType="none">
          <bgColor auto="1"/>
        </patternFill>
      </fill>
    </dxf>
    <dxf>
      <font>
        <b/>
        <i val="0"/>
      </font>
      <numFmt numFmtId="169" formatCode="[h]:mm"/>
      <fill>
        <patternFill>
          <bgColor theme="0" tint="-0.14996795556505021"/>
        </patternFill>
      </fill>
      <border>
        <top style="thin">
          <color auto="1"/>
        </top>
        <bottom style="thin">
          <color auto="1"/>
        </bottom>
        <vertical/>
        <horizontal/>
      </border>
    </dxf>
    <dxf>
      <font>
        <color rgb="FF9C0006"/>
      </font>
      <fill>
        <patternFill>
          <bgColor rgb="FFFFC7CE"/>
        </patternFill>
      </fill>
    </dxf>
    <dxf>
      <font>
        <color rgb="FFC00000"/>
      </font>
      <fill>
        <patternFill>
          <bgColor rgb="FFFFCCCC"/>
        </patternFill>
      </fill>
    </dxf>
    <dxf>
      <font>
        <color rgb="FF9C0006"/>
      </font>
      <fill>
        <patternFill>
          <bgColor rgb="FFFFC7CE"/>
        </patternFill>
      </fill>
    </dxf>
    <dxf>
      <font>
        <color rgb="FF9C0006"/>
      </font>
      <fill>
        <patternFill>
          <bgColor rgb="FFFFCCCC"/>
        </patternFill>
      </fill>
    </dxf>
    <dxf>
      <font>
        <color rgb="FFC00000"/>
      </font>
      <fill>
        <patternFill>
          <bgColor rgb="FFFFCCCC"/>
        </patternFill>
      </fill>
    </dxf>
    <dxf>
      <font>
        <color rgb="FFA50021"/>
      </font>
      <fill>
        <patternFill>
          <bgColor rgb="FFFFCCCC"/>
        </patternFill>
      </fill>
    </dxf>
    <dxf>
      <font>
        <b/>
        <i val="0"/>
        <color rgb="FFA50021"/>
      </font>
    </dxf>
    <dxf>
      <font>
        <color rgb="FFE7E6E6"/>
      </font>
    </dxf>
    <dxf>
      <font>
        <b/>
        <i val="0"/>
        <color rgb="FF9C0006"/>
      </font>
      <fill>
        <patternFill patternType="solid">
          <fgColor indexed="64"/>
          <bgColor theme="0" tint="-0.14999847407452621"/>
        </patternFill>
      </fill>
      <border>
        <top style="thin">
          <color auto="1"/>
        </top>
        <bottom style="thin">
          <color auto="1"/>
        </bottom>
      </border>
    </dxf>
    <dxf>
      <font>
        <b/>
        <i val="0"/>
      </font>
      <numFmt numFmtId="169"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color rgb="FFC00000"/>
      </font>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A50021"/>
      </font>
    </dxf>
    <dxf>
      <font>
        <b/>
        <i val="0"/>
        <color rgb="FFA50021"/>
      </font>
    </dxf>
    <dxf>
      <font>
        <b/>
        <i val="0"/>
        <color rgb="FFA50021"/>
      </font>
      <fill>
        <patternFill>
          <bgColor theme="8" tint="0.79998168889431442"/>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C00000"/>
      </font>
      <fill>
        <patternFill patternType="solid">
          <fgColor rgb="FFFFCCCC"/>
          <bgColor rgb="FFFFCCCC"/>
        </patternFill>
      </fill>
    </dxf>
    <dxf>
      <fill>
        <patternFill>
          <bgColor rgb="FFFFCCCC"/>
        </patternFill>
      </fill>
    </dxf>
    <dxf>
      <fill>
        <patternFill>
          <bgColor rgb="FFFFCCCC"/>
        </patternFill>
      </fill>
    </dxf>
    <dxf>
      <fill>
        <patternFill>
          <bgColor rgb="FFFFCCCC"/>
        </patternFill>
      </fill>
    </dxf>
    <dxf>
      <font>
        <color auto="1"/>
      </font>
      <fill>
        <patternFill>
          <bgColor rgb="FFFFCCCC"/>
        </patternFill>
      </fill>
    </dxf>
    <dxf>
      <font>
        <color auto="1"/>
      </font>
      <fill>
        <patternFill>
          <bgColor rgb="FFFFCCCC"/>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dxf>
    <dxf>
      <font>
        <strike/>
        <color theme="0" tint="-0.14996795556505021"/>
      </font>
      <fill>
        <patternFill>
          <bgColor theme="0" tint="-0.14996795556505021"/>
        </patternFill>
      </fill>
    </dxf>
    <dxf>
      <font>
        <b/>
        <i val="0"/>
        <color rgb="FF9C0006"/>
      </font>
      <fill>
        <patternFill patternType="solid">
          <fgColor indexed="64"/>
          <bgColor theme="0" tint="-0.14999847407452621"/>
        </patternFill>
      </fill>
      <border>
        <top style="thin">
          <color auto="1"/>
        </top>
        <bottom style="thin">
          <color auto="1"/>
        </bottom>
      </border>
    </dxf>
    <dxf>
      <font>
        <color rgb="FFC00000"/>
      </font>
      <fill>
        <patternFill patternType="solid">
          <fgColor auto="1"/>
          <bgColor rgb="FFFFCCCC"/>
        </patternFill>
      </fill>
    </dxf>
    <dxf>
      <font>
        <color rgb="FFFF0000"/>
      </font>
      <numFmt numFmtId="174" formatCode="\-[h]:mm"/>
    </dxf>
    <dxf>
      <font>
        <b/>
        <i val="0"/>
      </font>
      <numFmt numFmtId="169" formatCode="[h]:mm"/>
      <fill>
        <patternFill>
          <bgColor theme="0" tint="-0.14996795556505021"/>
        </patternFill>
      </fill>
      <border>
        <top style="thin">
          <color auto="1"/>
        </top>
        <bottom style="thin">
          <color auto="1"/>
        </bottom>
        <vertical/>
        <horizontal/>
      </border>
    </dxf>
    <dxf>
      <font>
        <color rgb="FFFF0000"/>
      </font>
      <fill>
        <patternFill patternType="none">
          <bgColor auto="1"/>
        </patternFill>
      </fill>
    </dxf>
    <dxf>
      <font>
        <b/>
        <i val="0"/>
      </font>
      <numFmt numFmtId="169"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font>
        <color rgb="FFFF0000"/>
      </font>
      <fill>
        <patternFill patternType="none">
          <fgColor indexed="64"/>
          <bgColor auto="1"/>
        </patternFill>
      </fill>
    </dxf>
    <dxf>
      <border>
        <bottom style="hair">
          <color auto="1"/>
        </bottom>
        <vertical/>
        <horizontal/>
      </border>
    </dxf>
    <dxf>
      <font>
        <color rgb="FFA50021"/>
      </font>
      <fill>
        <patternFill>
          <bgColor rgb="FFFFCCCC"/>
        </patternFill>
      </fill>
    </dxf>
    <dxf>
      <font>
        <b val="0"/>
        <i val="0"/>
        <strike val="0"/>
        <color rgb="FFA50021"/>
      </font>
    </dxf>
    <dxf>
      <font>
        <color rgb="FFA50021"/>
      </font>
      <fill>
        <patternFill patternType="none">
          <fgColor indexed="64"/>
          <bgColor auto="1"/>
        </patternFill>
      </fill>
    </dxf>
    <dxf>
      <font>
        <u val="none"/>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fill>
        <patternFill patternType="none">
          <fgColor indexed="64"/>
          <bgColor auto="1"/>
        </patternFill>
      </fill>
    </dxf>
    <dxf>
      <font>
        <b/>
        <i val="0"/>
        <color rgb="FFC00000"/>
      </font>
      <fill>
        <patternFill>
          <fgColor rgb="FFFFCCCC"/>
          <bgColor rgb="FFFFCCCC"/>
        </patternFill>
      </fill>
    </dxf>
    <dxf>
      <font>
        <b/>
        <i val="0"/>
        <color rgb="FFC00000"/>
      </font>
      <fill>
        <patternFill>
          <bgColor rgb="FFFFCCCC"/>
        </patternFill>
      </fill>
    </dxf>
    <dxf>
      <font>
        <b/>
        <i val="0"/>
        <color rgb="FFC00000"/>
      </font>
      <fill>
        <patternFill>
          <bgColor rgb="FFFFCCCC"/>
        </patternFill>
      </fill>
    </dxf>
    <dxf>
      <font>
        <b/>
        <i val="0"/>
        <color rgb="FFC00000"/>
      </font>
      <fill>
        <patternFill>
          <bgColor rgb="FFFFCCCC"/>
        </patternFill>
      </fill>
    </dxf>
    <dxf>
      <font>
        <color rgb="FFFF0000"/>
      </font>
      <fill>
        <patternFill patternType="none">
          <bgColor auto="1"/>
        </patternFill>
      </fill>
    </dxf>
    <dxf>
      <font>
        <b/>
        <i val="0"/>
      </font>
      <numFmt numFmtId="169" formatCode="[h]:mm"/>
      <fill>
        <patternFill>
          <bgColor theme="0" tint="-0.14996795556505021"/>
        </patternFill>
      </fill>
      <border>
        <top style="thin">
          <color auto="1"/>
        </top>
        <bottom style="thin">
          <color auto="1"/>
        </bottom>
        <vertical/>
        <horizontal/>
      </border>
    </dxf>
    <dxf>
      <font>
        <color rgb="FF9C0006"/>
      </font>
      <fill>
        <patternFill>
          <bgColor rgb="FFFFC7CE"/>
        </patternFill>
      </fill>
    </dxf>
    <dxf>
      <font>
        <color rgb="FFC00000"/>
      </font>
      <fill>
        <patternFill>
          <bgColor rgb="FFFFCCCC"/>
        </patternFill>
      </fill>
    </dxf>
    <dxf>
      <font>
        <color rgb="FF9C0006"/>
      </font>
      <fill>
        <patternFill>
          <bgColor rgb="FFFFC7CE"/>
        </patternFill>
      </fill>
    </dxf>
    <dxf>
      <font>
        <color rgb="FF9C0006"/>
      </font>
      <fill>
        <patternFill>
          <bgColor rgb="FFFFCCCC"/>
        </patternFill>
      </fill>
    </dxf>
    <dxf>
      <font>
        <color rgb="FFC00000"/>
      </font>
      <fill>
        <patternFill>
          <bgColor rgb="FFFFCCCC"/>
        </patternFill>
      </fill>
    </dxf>
    <dxf>
      <font>
        <color rgb="FFA50021"/>
      </font>
      <fill>
        <patternFill>
          <bgColor rgb="FFFFCCCC"/>
        </patternFill>
      </fill>
    </dxf>
    <dxf>
      <font>
        <b/>
        <i val="0"/>
        <color rgb="FFA50021"/>
      </font>
    </dxf>
    <dxf>
      <font>
        <color rgb="FFE7E6E6"/>
      </font>
    </dxf>
    <dxf>
      <font>
        <b/>
        <i val="0"/>
        <color rgb="FF9C0006"/>
      </font>
      <fill>
        <patternFill patternType="solid">
          <fgColor indexed="64"/>
          <bgColor theme="0" tint="-0.14999847407452621"/>
        </patternFill>
      </fill>
      <border>
        <top style="thin">
          <color auto="1"/>
        </top>
        <bottom style="thin">
          <color auto="1"/>
        </bottom>
      </border>
    </dxf>
    <dxf>
      <font>
        <b/>
        <i val="0"/>
      </font>
      <numFmt numFmtId="169"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color rgb="FFC00000"/>
      </font>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A50021"/>
      </font>
    </dxf>
    <dxf>
      <font>
        <b/>
        <i val="0"/>
        <color rgb="FFA50021"/>
      </font>
    </dxf>
    <dxf>
      <font>
        <b/>
        <i val="0"/>
        <color rgb="FFA50021"/>
      </font>
      <fill>
        <patternFill>
          <bgColor theme="8" tint="0.79998168889431442"/>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C00000"/>
      </font>
      <fill>
        <patternFill patternType="solid">
          <fgColor rgb="FFFFCCCC"/>
          <bgColor rgb="FFFFCCCC"/>
        </patternFill>
      </fill>
    </dxf>
    <dxf>
      <fill>
        <patternFill>
          <bgColor rgb="FFFFCCCC"/>
        </patternFill>
      </fill>
    </dxf>
    <dxf>
      <fill>
        <patternFill>
          <bgColor rgb="FFFFCCCC"/>
        </patternFill>
      </fill>
    </dxf>
    <dxf>
      <fill>
        <patternFill>
          <bgColor rgb="FFFFCCCC"/>
        </patternFill>
      </fill>
    </dxf>
    <dxf>
      <font>
        <color auto="1"/>
      </font>
      <fill>
        <patternFill>
          <bgColor rgb="FFFFCCCC"/>
        </patternFill>
      </fill>
    </dxf>
    <dxf>
      <font>
        <color auto="1"/>
      </font>
      <fill>
        <patternFill>
          <bgColor rgb="FFFFCCCC"/>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dxf>
    <dxf>
      <font>
        <strike/>
        <color theme="0" tint="-0.14996795556505021"/>
      </font>
      <fill>
        <patternFill>
          <bgColor theme="0" tint="-0.14996795556505021"/>
        </patternFill>
      </fill>
    </dxf>
    <dxf>
      <font>
        <b/>
        <i val="0"/>
        <color rgb="FF9C0006"/>
      </font>
      <fill>
        <patternFill patternType="solid">
          <fgColor indexed="64"/>
          <bgColor theme="0" tint="-0.14999847407452621"/>
        </patternFill>
      </fill>
      <border>
        <top style="thin">
          <color auto="1"/>
        </top>
        <bottom style="thin">
          <color auto="1"/>
        </bottom>
      </border>
    </dxf>
    <dxf>
      <font>
        <color rgb="FFC00000"/>
      </font>
      <fill>
        <patternFill patternType="solid">
          <fgColor auto="1"/>
          <bgColor rgb="FFFFCCCC"/>
        </patternFill>
      </fill>
    </dxf>
    <dxf>
      <font>
        <color rgb="FFFF0000"/>
      </font>
      <numFmt numFmtId="174" formatCode="\-[h]:mm"/>
    </dxf>
    <dxf>
      <font>
        <b/>
        <i val="0"/>
      </font>
      <numFmt numFmtId="169" formatCode="[h]:mm"/>
      <fill>
        <patternFill>
          <bgColor theme="0" tint="-0.14996795556505021"/>
        </patternFill>
      </fill>
      <border>
        <top style="thin">
          <color auto="1"/>
        </top>
        <bottom style="thin">
          <color auto="1"/>
        </bottom>
        <vertical/>
        <horizontal/>
      </border>
    </dxf>
    <dxf>
      <font>
        <color rgb="FFFF0000"/>
      </font>
      <fill>
        <patternFill patternType="none">
          <bgColor auto="1"/>
        </patternFill>
      </fill>
    </dxf>
    <dxf>
      <font>
        <b/>
        <i val="0"/>
      </font>
      <numFmt numFmtId="169"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font>
        <color rgb="FFFF0000"/>
      </font>
      <fill>
        <patternFill patternType="none">
          <fgColor indexed="64"/>
          <bgColor auto="1"/>
        </patternFill>
      </fill>
    </dxf>
    <dxf>
      <border>
        <bottom style="hair">
          <color auto="1"/>
        </bottom>
        <vertical/>
        <horizontal/>
      </border>
    </dxf>
    <dxf>
      <font>
        <color rgb="FFA50021"/>
      </font>
      <fill>
        <patternFill>
          <bgColor rgb="FFFFCCCC"/>
        </patternFill>
      </fill>
    </dxf>
    <dxf>
      <font>
        <b val="0"/>
        <i val="0"/>
        <strike val="0"/>
        <color rgb="FFA50021"/>
      </font>
    </dxf>
    <dxf>
      <font>
        <color rgb="FFA50021"/>
      </font>
      <fill>
        <patternFill patternType="none">
          <fgColor indexed="64"/>
          <bgColor auto="1"/>
        </patternFill>
      </fill>
    </dxf>
    <dxf>
      <font>
        <u val="none"/>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fill>
        <patternFill patternType="none">
          <fgColor indexed="64"/>
          <bgColor auto="1"/>
        </patternFill>
      </fill>
    </dxf>
    <dxf>
      <font>
        <b/>
        <i val="0"/>
        <color rgb="FFC00000"/>
      </font>
      <fill>
        <patternFill>
          <fgColor rgb="FFFFCCCC"/>
          <bgColor rgb="FFFFCCCC"/>
        </patternFill>
      </fill>
    </dxf>
    <dxf>
      <font>
        <b/>
        <i val="0"/>
        <color rgb="FFC00000"/>
      </font>
      <fill>
        <patternFill>
          <bgColor rgb="FFFFCCCC"/>
        </patternFill>
      </fill>
    </dxf>
    <dxf>
      <font>
        <b/>
        <i val="0"/>
        <color rgb="FFC00000"/>
      </font>
      <fill>
        <patternFill>
          <bgColor rgb="FFFFCCCC"/>
        </patternFill>
      </fill>
    </dxf>
    <dxf>
      <font>
        <b/>
        <i val="0"/>
        <color rgb="FFC00000"/>
      </font>
      <fill>
        <patternFill>
          <bgColor rgb="FFFFCCCC"/>
        </patternFill>
      </fill>
    </dxf>
    <dxf>
      <font>
        <color rgb="FFFF0000"/>
      </font>
      <fill>
        <patternFill patternType="none">
          <bgColor auto="1"/>
        </patternFill>
      </fill>
    </dxf>
    <dxf>
      <font>
        <b/>
        <i val="0"/>
      </font>
      <numFmt numFmtId="169" formatCode="[h]:mm"/>
      <fill>
        <patternFill>
          <bgColor theme="0" tint="-0.14996795556505021"/>
        </patternFill>
      </fill>
      <border>
        <top style="thin">
          <color auto="1"/>
        </top>
        <bottom style="thin">
          <color auto="1"/>
        </bottom>
        <vertical/>
        <horizontal/>
      </border>
    </dxf>
    <dxf>
      <font>
        <color rgb="FF9C0006"/>
      </font>
      <fill>
        <patternFill>
          <bgColor rgb="FFFFC7CE"/>
        </patternFill>
      </fill>
    </dxf>
    <dxf>
      <font>
        <color rgb="FFC00000"/>
      </font>
      <fill>
        <patternFill>
          <bgColor rgb="FFFFCCCC"/>
        </patternFill>
      </fill>
    </dxf>
    <dxf>
      <font>
        <color rgb="FF9C0006"/>
      </font>
      <fill>
        <patternFill>
          <bgColor rgb="FFFFC7CE"/>
        </patternFill>
      </fill>
    </dxf>
    <dxf>
      <font>
        <color rgb="FF9C0006"/>
      </font>
      <fill>
        <patternFill>
          <bgColor rgb="FFFFCCCC"/>
        </patternFill>
      </fill>
    </dxf>
    <dxf>
      <font>
        <color rgb="FFC00000"/>
      </font>
      <fill>
        <patternFill>
          <bgColor rgb="FFFFCCCC"/>
        </patternFill>
      </fill>
    </dxf>
    <dxf>
      <font>
        <color rgb="FFA50021"/>
      </font>
      <fill>
        <patternFill>
          <bgColor rgb="FFFFCCCC"/>
        </patternFill>
      </fill>
    </dxf>
    <dxf>
      <font>
        <b/>
        <i val="0"/>
        <color rgb="FFA50021"/>
      </font>
    </dxf>
    <dxf>
      <font>
        <color rgb="FFE7E6E6"/>
      </font>
    </dxf>
    <dxf>
      <font>
        <b/>
        <i val="0"/>
        <color rgb="FF9C0006"/>
      </font>
      <fill>
        <patternFill patternType="solid">
          <fgColor indexed="64"/>
          <bgColor theme="0" tint="-0.14999847407452621"/>
        </patternFill>
      </fill>
      <border>
        <top style="thin">
          <color auto="1"/>
        </top>
        <bottom style="thin">
          <color auto="1"/>
        </bottom>
      </border>
    </dxf>
    <dxf>
      <font>
        <b/>
        <i val="0"/>
      </font>
      <numFmt numFmtId="169"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color rgb="FFC00000"/>
      </font>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A50021"/>
      </font>
    </dxf>
    <dxf>
      <font>
        <b/>
        <i val="0"/>
        <color rgb="FFA50021"/>
      </font>
    </dxf>
    <dxf>
      <font>
        <b/>
        <i val="0"/>
        <color rgb="FFA50021"/>
      </font>
      <fill>
        <patternFill>
          <bgColor theme="8" tint="0.79998168889431442"/>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C00000"/>
      </font>
      <fill>
        <patternFill patternType="solid">
          <fgColor rgb="FFFFCCCC"/>
          <bgColor rgb="FFFFCCCC"/>
        </patternFill>
      </fill>
    </dxf>
    <dxf>
      <fill>
        <patternFill>
          <bgColor rgb="FFFFCCCC"/>
        </patternFill>
      </fill>
    </dxf>
    <dxf>
      <fill>
        <patternFill>
          <bgColor rgb="FFFFCCCC"/>
        </patternFill>
      </fill>
    </dxf>
    <dxf>
      <fill>
        <patternFill>
          <bgColor rgb="FFFFCCCC"/>
        </patternFill>
      </fill>
    </dxf>
    <dxf>
      <font>
        <color auto="1"/>
      </font>
      <fill>
        <patternFill>
          <bgColor rgb="FFFFCCCC"/>
        </patternFill>
      </fill>
    </dxf>
    <dxf>
      <font>
        <color auto="1"/>
      </font>
      <fill>
        <patternFill>
          <bgColor rgb="FFFFCCCC"/>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dxf>
    <dxf>
      <font>
        <strike/>
        <color theme="0" tint="-0.14996795556505021"/>
      </font>
      <fill>
        <patternFill>
          <bgColor theme="0" tint="-0.14996795556505021"/>
        </patternFill>
      </fill>
    </dxf>
    <dxf>
      <font>
        <b/>
        <i val="0"/>
        <color rgb="FF9C0006"/>
      </font>
      <fill>
        <patternFill patternType="solid">
          <fgColor indexed="64"/>
          <bgColor theme="0" tint="-0.14999847407452621"/>
        </patternFill>
      </fill>
      <border>
        <top style="thin">
          <color auto="1"/>
        </top>
        <bottom style="thin">
          <color auto="1"/>
        </bottom>
      </border>
    </dxf>
    <dxf>
      <font>
        <color rgb="FFC00000"/>
      </font>
      <fill>
        <patternFill patternType="solid">
          <fgColor auto="1"/>
          <bgColor rgb="FFFFCCCC"/>
        </patternFill>
      </fill>
    </dxf>
    <dxf>
      <font>
        <color rgb="FFFF0000"/>
      </font>
      <numFmt numFmtId="174" formatCode="\-[h]:mm"/>
    </dxf>
    <dxf>
      <font>
        <b/>
        <i val="0"/>
      </font>
      <numFmt numFmtId="169" formatCode="[h]:mm"/>
      <fill>
        <patternFill>
          <bgColor theme="0" tint="-0.14996795556505021"/>
        </patternFill>
      </fill>
      <border>
        <top style="thin">
          <color auto="1"/>
        </top>
        <bottom style="thin">
          <color auto="1"/>
        </bottom>
        <vertical/>
        <horizontal/>
      </border>
    </dxf>
    <dxf>
      <font>
        <color rgb="FFFF0000"/>
      </font>
      <fill>
        <patternFill patternType="none">
          <bgColor auto="1"/>
        </patternFill>
      </fill>
    </dxf>
    <dxf>
      <font>
        <b/>
        <i val="0"/>
      </font>
      <numFmt numFmtId="169"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font>
        <color rgb="FFFF0000"/>
      </font>
      <fill>
        <patternFill patternType="none">
          <fgColor indexed="64"/>
          <bgColor auto="1"/>
        </patternFill>
      </fill>
    </dxf>
    <dxf>
      <border>
        <bottom style="hair">
          <color auto="1"/>
        </bottom>
        <vertical/>
        <horizontal/>
      </border>
    </dxf>
    <dxf>
      <font>
        <color rgb="FFA50021"/>
      </font>
      <fill>
        <patternFill>
          <bgColor rgb="FFFFCCCC"/>
        </patternFill>
      </fill>
    </dxf>
    <dxf>
      <font>
        <b val="0"/>
        <i val="0"/>
        <strike val="0"/>
        <color rgb="FFA50021"/>
      </font>
    </dxf>
    <dxf>
      <font>
        <color rgb="FFA50021"/>
      </font>
      <fill>
        <patternFill patternType="none">
          <fgColor indexed="64"/>
          <bgColor auto="1"/>
        </patternFill>
      </fill>
    </dxf>
    <dxf>
      <font>
        <u val="none"/>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fill>
        <patternFill patternType="none">
          <fgColor indexed="64"/>
          <bgColor auto="1"/>
        </patternFill>
      </fill>
    </dxf>
    <dxf>
      <font>
        <b/>
        <i val="0"/>
        <color rgb="FFC00000"/>
      </font>
      <fill>
        <patternFill>
          <fgColor rgb="FFFFCCCC"/>
          <bgColor rgb="FFFFCCCC"/>
        </patternFill>
      </fill>
    </dxf>
    <dxf>
      <font>
        <b/>
        <i val="0"/>
        <color rgb="FFC00000"/>
      </font>
      <fill>
        <patternFill>
          <bgColor rgb="FFFFCCCC"/>
        </patternFill>
      </fill>
    </dxf>
    <dxf>
      <font>
        <b/>
        <i val="0"/>
        <color rgb="FFC00000"/>
      </font>
      <fill>
        <patternFill>
          <bgColor rgb="FFFFCCCC"/>
        </patternFill>
      </fill>
    </dxf>
    <dxf>
      <font>
        <b/>
        <i val="0"/>
        <color rgb="FFC00000"/>
      </font>
      <fill>
        <patternFill>
          <bgColor rgb="FFFFCCCC"/>
        </patternFill>
      </fill>
    </dxf>
    <dxf>
      <font>
        <color rgb="FFFF0000"/>
      </font>
      <fill>
        <patternFill patternType="none">
          <bgColor auto="1"/>
        </patternFill>
      </fill>
    </dxf>
    <dxf>
      <font>
        <b/>
        <i val="0"/>
      </font>
      <numFmt numFmtId="169" formatCode="[h]:mm"/>
      <fill>
        <patternFill>
          <bgColor theme="0" tint="-0.14996795556505021"/>
        </patternFill>
      </fill>
      <border>
        <top style="thin">
          <color auto="1"/>
        </top>
        <bottom style="thin">
          <color auto="1"/>
        </bottom>
        <vertical/>
        <horizontal/>
      </border>
    </dxf>
    <dxf>
      <font>
        <color rgb="FF9C0006"/>
      </font>
      <fill>
        <patternFill>
          <bgColor rgb="FFFFC7CE"/>
        </patternFill>
      </fill>
    </dxf>
    <dxf>
      <font>
        <color rgb="FFC00000"/>
      </font>
      <fill>
        <patternFill>
          <bgColor rgb="FFFFCCCC"/>
        </patternFill>
      </fill>
    </dxf>
    <dxf>
      <font>
        <color rgb="FF9C0006"/>
      </font>
      <fill>
        <patternFill>
          <bgColor rgb="FFFFC7CE"/>
        </patternFill>
      </fill>
    </dxf>
    <dxf>
      <font>
        <color rgb="FF9C0006"/>
      </font>
      <fill>
        <patternFill>
          <bgColor rgb="FFFFCCCC"/>
        </patternFill>
      </fill>
    </dxf>
    <dxf>
      <font>
        <color rgb="FFC00000"/>
      </font>
      <fill>
        <patternFill>
          <bgColor rgb="FFFFCCCC"/>
        </patternFill>
      </fill>
    </dxf>
    <dxf>
      <font>
        <color rgb="FFA50021"/>
      </font>
      <fill>
        <patternFill>
          <bgColor rgb="FFFFCCCC"/>
        </patternFill>
      </fill>
    </dxf>
    <dxf>
      <font>
        <b/>
        <i val="0"/>
        <color rgb="FFA50021"/>
      </font>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C00000"/>
      </font>
      <fill>
        <patternFill patternType="solid">
          <fgColor rgb="FFFFCCCC"/>
          <bgColor rgb="FFFFCCCC"/>
        </patternFill>
      </fill>
    </dxf>
    <dxf>
      <fill>
        <patternFill>
          <bgColor rgb="FFFFCCCC"/>
        </patternFill>
      </fill>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E7E6E6"/>
      </font>
    </dxf>
    <dxf>
      <font>
        <b/>
        <i val="0"/>
        <color rgb="FF9C0006"/>
      </font>
      <fill>
        <patternFill patternType="solid">
          <fgColor indexed="64"/>
          <bgColor theme="0" tint="-0.14999847407452621"/>
        </patternFill>
      </fill>
      <border>
        <top style="thin">
          <color auto="1"/>
        </top>
        <bottom style="thin">
          <color auto="1"/>
        </bottom>
      </border>
    </dxf>
    <dxf>
      <font>
        <b/>
        <i val="0"/>
      </font>
      <numFmt numFmtId="169"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color rgb="FFC00000"/>
      </font>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A50021"/>
      </font>
    </dxf>
    <dxf>
      <font>
        <b/>
        <i val="0"/>
        <color rgb="FFA50021"/>
      </font>
    </dxf>
    <dxf>
      <font>
        <b/>
        <i val="0"/>
        <color rgb="FFA50021"/>
      </font>
      <fill>
        <patternFill>
          <bgColor theme="8" tint="0.79998168889431442"/>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ill>
        <patternFill>
          <bgColor rgb="FFFFCCCC"/>
        </patternFill>
      </fill>
    </dxf>
    <dxf>
      <fill>
        <patternFill>
          <bgColor rgb="FFFFCCCC"/>
        </patternFill>
      </fill>
    </dxf>
    <dxf>
      <font>
        <color auto="1"/>
      </font>
      <fill>
        <patternFill>
          <bgColor rgb="FFFFCCCC"/>
        </patternFill>
      </fill>
    </dxf>
    <dxf>
      <font>
        <color auto="1"/>
      </font>
      <fill>
        <patternFill>
          <bgColor rgb="FFFFCCCC"/>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dxf>
    <dxf>
      <font>
        <strike/>
        <color theme="0" tint="-0.14996795556505021"/>
      </font>
      <fill>
        <patternFill>
          <bgColor theme="0" tint="-0.14996795556505021"/>
        </patternFill>
      </fill>
    </dxf>
    <dxf>
      <font>
        <b/>
        <i val="0"/>
        <color rgb="FF9C0006"/>
      </font>
      <fill>
        <patternFill patternType="solid">
          <fgColor indexed="64"/>
          <bgColor theme="0" tint="-0.14999847407452621"/>
        </patternFill>
      </fill>
      <border>
        <top style="thin">
          <color auto="1"/>
        </top>
        <bottom style="thin">
          <color auto="1"/>
        </bottom>
      </border>
    </dxf>
    <dxf>
      <font>
        <color rgb="FFC00000"/>
      </font>
      <fill>
        <patternFill patternType="solid">
          <fgColor auto="1"/>
          <bgColor rgb="FFFFCCCC"/>
        </patternFill>
      </fill>
    </dxf>
    <dxf>
      <font>
        <color rgb="FFFF0000"/>
      </font>
      <numFmt numFmtId="174" formatCode="\-[h]:mm"/>
    </dxf>
    <dxf>
      <font>
        <b/>
        <i val="0"/>
      </font>
      <numFmt numFmtId="169" formatCode="[h]:mm"/>
      <fill>
        <patternFill>
          <bgColor theme="0" tint="-0.14996795556505021"/>
        </patternFill>
      </fill>
      <border>
        <top style="thin">
          <color auto="1"/>
        </top>
        <bottom style="thin">
          <color auto="1"/>
        </bottom>
        <vertical/>
        <horizontal/>
      </border>
    </dxf>
    <dxf>
      <font>
        <color rgb="FFFF0000"/>
      </font>
      <fill>
        <patternFill patternType="none">
          <bgColor auto="1"/>
        </patternFill>
      </fill>
    </dxf>
    <dxf>
      <font>
        <b/>
        <i val="0"/>
      </font>
      <numFmt numFmtId="169"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font>
        <color rgb="FFFF0000"/>
      </font>
      <fill>
        <patternFill patternType="none">
          <fgColor indexed="64"/>
          <bgColor auto="1"/>
        </patternFill>
      </fill>
    </dxf>
    <dxf>
      <border>
        <bottom style="hair">
          <color auto="1"/>
        </bottom>
        <vertical/>
        <horizontal/>
      </border>
    </dxf>
    <dxf>
      <font>
        <color rgb="FFA50021"/>
      </font>
      <fill>
        <patternFill>
          <bgColor rgb="FFFFCCCC"/>
        </patternFill>
      </fill>
    </dxf>
    <dxf>
      <font>
        <b val="0"/>
        <i val="0"/>
        <strike val="0"/>
        <color rgb="FFA50021"/>
      </font>
    </dxf>
    <dxf>
      <font>
        <color rgb="FFA50021"/>
      </font>
      <fill>
        <patternFill patternType="none">
          <fgColor indexed="64"/>
          <bgColor auto="1"/>
        </patternFill>
      </fill>
    </dxf>
    <dxf>
      <font>
        <u val="none"/>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fill>
        <patternFill patternType="none">
          <fgColor indexed="64"/>
          <bgColor auto="1"/>
        </patternFill>
      </fill>
    </dxf>
    <dxf>
      <font>
        <b/>
        <i val="0"/>
        <color rgb="FFC00000"/>
      </font>
      <fill>
        <patternFill>
          <fgColor rgb="FFFFCCCC"/>
          <bgColor rgb="FFFFCCCC"/>
        </patternFill>
      </fill>
    </dxf>
    <dxf>
      <font>
        <b/>
        <i val="0"/>
        <color rgb="FFC00000"/>
      </font>
      <fill>
        <patternFill>
          <bgColor rgb="FFFFCCCC"/>
        </patternFill>
      </fill>
    </dxf>
    <dxf>
      <font>
        <b/>
        <i val="0"/>
        <color rgb="FFC00000"/>
      </font>
      <fill>
        <patternFill>
          <bgColor rgb="FFFFCCCC"/>
        </patternFill>
      </fill>
    </dxf>
    <dxf>
      <font>
        <b/>
        <i val="0"/>
        <color rgb="FFC00000"/>
      </font>
      <fill>
        <patternFill>
          <bgColor rgb="FFFFCCCC"/>
        </patternFill>
      </fill>
    </dxf>
    <dxf>
      <font>
        <color rgb="FFFF0000"/>
      </font>
      <fill>
        <patternFill patternType="none">
          <bgColor auto="1"/>
        </patternFill>
      </fill>
    </dxf>
    <dxf>
      <font>
        <b/>
        <i val="0"/>
      </font>
      <numFmt numFmtId="169" formatCode="[h]:mm"/>
      <fill>
        <patternFill>
          <bgColor theme="0" tint="-0.14996795556505021"/>
        </patternFill>
      </fill>
      <border>
        <top style="thin">
          <color auto="1"/>
        </top>
        <bottom style="thin">
          <color auto="1"/>
        </bottom>
        <vertical/>
        <horizontal/>
      </border>
    </dxf>
    <dxf>
      <font>
        <color rgb="FF9C0006"/>
      </font>
      <fill>
        <patternFill>
          <bgColor rgb="FFFFC7CE"/>
        </patternFill>
      </fill>
    </dxf>
    <dxf>
      <font>
        <color rgb="FFC00000"/>
      </font>
      <fill>
        <patternFill>
          <bgColor rgb="FFFFCCCC"/>
        </patternFill>
      </fill>
    </dxf>
    <dxf>
      <font>
        <color rgb="FF9C0006"/>
      </font>
      <fill>
        <patternFill>
          <bgColor rgb="FFFFC7CE"/>
        </patternFill>
      </fill>
    </dxf>
    <dxf>
      <font>
        <color rgb="FF9C0006"/>
      </font>
      <fill>
        <patternFill>
          <bgColor rgb="FFFFCCCC"/>
        </patternFill>
      </fill>
    </dxf>
    <dxf>
      <font>
        <color rgb="FFC00000"/>
      </font>
      <fill>
        <patternFill>
          <bgColor rgb="FFFFCCCC"/>
        </patternFill>
      </fill>
    </dxf>
    <dxf>
      <font>
        <color rgb="FFA50021"/>
      </font>
      <fill>
        <patternFill>
          <bgColor rgb="FFFFCCCC"/>
        </patternFill>
      </fill>
    </dxf>
    <dxf>
      <font>
        <b/>
        <i val="0"/>
        <color rgb="FFA50021"/>
      </font>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color rgb="FFE7E6E6"/>
      </font>
    </dxf>
    <dxf>
      <font>
        <b/>
        <i val="0"/>
        <color rgb="FF9C0006"/>
      </font>
      <fill>
        <patternFill patternType="solid">
          <fgColor indexed="64"/>
          <bgColor theme="0" tint="-0.14999847407452621"/>
        </patternFill>
      </fill>
      <border>
        <top style="thin">
          <color auto="1"/>
        </top>
        <bottom style="thin">
          <color auto="1"/>
        </bottom>
      </border>
    </dxf>
    <dxf>
      <font>
        <b/>
        <i val="0"/>
      </font>
      <numFmt numFmtId="169"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color rgb="FFC00000"/>
      </font>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A50021"/>
      </font>
    </dxf>
    <dxf>
      <font>
        <b/>
        <i val="0"/>
        <color rgb="FFA50021"/>
      </font>
    </dxf>
    <dxf>
      <font>
        <b/>
        <i val="0"/>
        <color rgb="FFA50021"/>
      </font>
      <fill>
        <patternFill>
          <bgColor theme="8" tint="0.79998168889431442"/>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C00000"/>
      </font>
      <fill>
        <patternFill patternType="solid">
          <fgColor rgb="FFFFCCCC"/>
          <bgColor rgb="FFFFCCCC"/>
        </patternFill>
      </fill>
    </dxf>
    <dxf>
      <fill>
        <patternFill>
          <bgColor rgb="FFFFCCCC"/>
        </patternFill>
      </fill>
    </dxf>
    <dxf>
      <fill>
        <patternFill>
          <bgColor rgb="FFFFCCCC"/>
        </patternFill>
      </fill>
    </dxf>
    <dxf>
      <fill>
        <patternFill>
          <bgColor rgb="FFFFCCCC"/>
        </patternFill>
      </fill>
    </dxf>
    <dxf>
      <font>
        <color auto="1"/>
      </font>
      <fill>
        <patternFill>
          <bgColor rgb="FFFFCCCC"/>
        </patternFill>
      </fill>
    </dxf>
    <dxf>
      <font>
        <color auto="1"/>
      </font>
      <fill>
        <patternFill>
          <bgColor rgb="FFFFCCCC"/>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A50021"/>
      </font>
    </dxf>
    <dxf>
      <font>
        <b/>
        <i val="0"/>
        <color rgb="FFA50021"/>
      </font>
      <fill>
        <patternFill>
          <bgColor theme="4" tint="0.79998168889431442"/>
        </patternFill>
      </fill>
    </dxf>
    <dxf>
      <font>
        <color rgb="FFFF0000"/>
      </font>
    </dxf>
    <dxf>
      <font>
        <strike/>
        <color theme="0" tint="-0.14996795556505021"/>
      </font>
      <fill>
        <patternFill>
          <bgColor theme="0" tint="-0.14996795556505021"/>
        </patternFill>
      </fill>
    </dxf>
    <dxf>
      <font>
        <b/>
        <i val="0"/>
        <color rgb="FF9C0006"/>
      </font>
      <fill>
        <patternFill patternType="solid">
          <fgColor indexed="64"/>
          <bgColor theme="0" tint="-0.14999847407452621"/>
        </patternFill>
      </fill>
      <border>
        <top style="thin">
          <color auto="1"/>
        </top>
        <bottom style="thin">
          <color auto="1"/>
        </bottom>
      </border>
    </dxf>
    <dxf>
      <font>
        <color rgb="FFC00000"/>
      </font>
      <fill>
        <patternFill patternType="solid">
          <fgColor auto="1"/>
          <bgColor rgb="FFFFCCCC"/>
        </patternFill>
      </fill>
    </dxf>
    <dxf>
      <font>
        <color rgb="FFFF0000"/>
      </font>
      <numFmt numFmtId="174" formatCode="\-[h]:mm"/>
    </dxf>
    <dxf>
      <font>
        <b/>
        <i val="0"/>
      </font>
      <numFmt numFmtId="169" formatCode="[h]:mm"/>
      <fill>
        <patternFill>
          <bgColor theme="0" tint="-0.14996795556505021"/>
        </patternFill>
      </fill>
      <border>
        <top style="thin">
          <color auto="1"/>
        </top>
        <bottom style="thin">
          <color auto="1"/>
        </bottom>
        <vertical/>
        <horizontal/>
      </border>
    </dxf>
    <dxf>
      <font>
        <color rgb="FFFF0000"/>
      </font>
      <fill>
        <patternFill patternType="none">
          <bgColor auto="1"/>
        </patternFill>
      </fill>
    </dxf>
    <dxf>
      <font>
        <b/>
        <i val="0"/>
      </font>
      <numFmt numFmtId="169"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font>
        <color rgb="FFFF0000"/>
      </font>
      <fill>
        <patternFill patternType="none">
          <fgColor indexed="64"/>
          <bgColor auto="1"/>
        </patternFill>
      </fill>
    </dxf>
    <dxf>
      <border>
        <bottom style="hair">
          <color auto="1"/>
        </bottom>
        <vertical/>
        <horizontal/>
      </border>
    </dxf>
    <dxf>
      <font>
        <color rgb="FFA50021"/>
      </font>
      <fill>
        <patternFill>
          <bgColor rgb="FFFFCCCC"/>
        </patternFill>
      </fill>
    </dxf>
    <dxf>
      <font>
        <b val="0"/>
        <i val="0"/>
        <strike val="0"/>
        <color rgb="FFA50021"/>
      </font>
    </dxf>
    <dxf>
      <font>
        <color rgb="FFA50021"/>
      </font>
      <fill>
        <patternFill patternType="none">
          <fgColor indexed="64"/>
          <bgColor auto="1"/>
        </patternFill>
      </fill>
    </dxf>
    <dxf>
      <font>
        <u val="none"/>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fill>
        <patternFill patternType="none">
          <fgColor indexed="64"/>
          <bgColor auto="1"/>
        </patternFill>
      </fill>
    </dxf>
    <dxf>
      <font>
        <b/>
        <i val="0"/>
        <color rgb="FFC00000"/>
      </font>
      <fill>
        <patternFill>
          <fgColor rgb="FFFFCCCC"/>
          <bgColor rgb="FFFFCCCC"/>
        </patternFill>
      </fill>
    </dxf>
    <dxf>
      <font>
        <b/>
        <i val="0"/>
        <color rgb="FFC00000"/>
      </font>
      <fill>
        <patternFill>
          <bgColor rgb="FFFFCCCC"/>
        </patternFill>
      </fill>
    </dxf>
    <dxf>
      <font>
        <b/>
        <i val="0"/>
        <color rgb="FFC00000"/>
      </font>
      <fill>
        <patternFill>
          <bgColor rgb="FFFFCCCC"/>
        </patternFill>
      </fill>
    </dxf>
    <dxf>
      <font>
        <b/>
        <i val="0"/>
        <color rgb="FFC00000"/>
      </font>
      <fill>
        <patternFill>
          <bgColor rgb="FFFFCCCC"/>
        </patternFill>
      </fill>
    </dxf>
    <dxf>
      <font>
        <color rgb="FFFF0000"/>
      </font>
      <fill>
        <patternFill patternType="none">
          <bgColor auto="1"/>
        </patternFill>
      </fill>
    </dxf>
    <dxf>
      <font>
        <b/>
        <i val="0"/>
      </font>
      <numFmt numFmtId="169" formatCode="[h]:mm"/>
      <fill>
        <patternFill>
          <bgColor theme="0" tint="-0.14996795556505021"/>
        </patternFill>
      </fill>
      <border>
        <top style="thin">
          <color auto="1"/>
        </top>
        <bottom style="thin">
          <color auto="1"/>
        </bottom>
        <vertical/>
        <horizontal/>
      </border>
    </dxf>
    <dxf>
      <font>
        <color rgb="FFC00000"/>
      </font>
      <fill>
        <patternFill>
          <bgColor rgb="FFFFC7CE"/>
        </patternFill>
      </fill>
    </dxf>
    <dxf>
      <font>
        <color rgb="FFC00000"/>
      </font>
      <fill>
        <patternFill>
          <bgColor rgb="FFFFCCCC"/>
        </patternFill>
      </fill>
    </dxf>
    <dxf>
      <font>
        <color rgb="FFC00000"/>
      </font>
      <fill>
        <patternFill>
          <bgColor rgb="FFFFC7CE"/>
        </patternFill>
      </fill>
    </dxf>
    <dxf>
      <font>
        <color rgb="FFC00000"/>
      </font>
      <fill>
        <patternFill>
          <bgColor rgb="FFFFCCCC"/>
        </patternFill>
      </fill>
    </dxf>
    <dxf>
      <font>
        <color rgb="FFC00000"/>
      </font>
      <fill>
        <patternFill>
          <bgColor rgb="FFFFCCCC"/>
        </patternFill>
      </fill>
    </dxf>
    <dxf>
      <font>
        <color rgb="FFC00000"/>
      </font>
      <fill>
        <patternFill>
          <bgColor rgb="FFFFCCCC"/>
        </patternFill>
      </fill>
    </dxf>
    <dxf>
      <font>
        <b/>
        <i val="0"/>
        <color rgb="FFA50021"/>
      </font>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auto="1"/>
      </font>
      <fill>
        <patternFill>
          <bgColor rgb="FFFFCCCC"/>
        </patternFill>
      </fill>
    </dxf>
    <dxf>
      <font>
        <color rgb="FFE7E6E6"/>
      </font>
    </dxf>
    <dxf>
      <font>
        <b/>
        <i val="0"/>
        <color rgb="FF9C0006"/>
      </font>
      <fill>
        <patternFill patternType="solid">
          <fgColor indexed="64"/>
          <bgColor theme="0" tint="-0.14999847407452621"/>
        </patternFill>
      </fill>
      <border>
        <top style="thin">
          <color auto="1"/>
        </top>
        <bottom style="thin">
          <color auto="1"/>
        </bottom>
      </border>
    </dxf>
    <dxf>
      <font>
        <b/>
        <i val="0"/>
      </font>
      <numFmt numFmtId="169"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color rgb="FFC00000"/>
      </font>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A50021"/>
      </font>
    </dxf>
    <dxf>
      <font>
        <b/>
        <i val="0"/>
        <color rgb="FFA50021"/>
      </font>
    </dxf>
    <dxf>
      <font>
        <b/>
        <i val="0"/>
        <color rgb="FFA50021"/>
      </font>
      <fill>
        <patternFill>
          <bgColor theme="8" tint="0.79998168889431442"/>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C00000"/>
      </font>
      <fill>
        <patternFill patternType="solid">
          <fgColor rgb="FFFFCCCC"/>
          <bgColor rgb="FFFFCCCC"/>
        </patternFill>
      </fill>
    </dxf>
    <dxf>
      <fill>
        <patternFill>
          <bgColor rgb="FFFFCCCC"/>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strike/>
        <color theme="0" tint="-0.14996795556505021"/>
      </font>
      <fill>
        <patternFill>
          <bgColor theme="0" tint="-0.14996795556505021"/>
        </patternFill>
      </fill>
    </dxf>
    <dxf>
      <font>
        <color rgb="FFC00000"/>
      </font>
      <fill>
        <patternFill patternType="solid">
          <fgColor auto="1"/>
          <bgColor rgb="FFFFCCCC"/>
        </patternFill>
      </fill>
    </dxf>
    <dxf>
      <font>
        <b/>
        <i val="0"/>
        <color rgb="FFC00000"/>
      </font>
      <fill>
        <patternFill>
          <fgColor rgb="FFFFCCCC"/>
          <bgColor rgb="FFFFCCCC"/>
        </patternFill>
      </fill>
    </dxf>
    <dxf>
      <font>
        <b/>
        <i val="0"/>
        <color rgb="FFC00000"/>
      </font>
      <fill>
        <patternFill>
          <bgColor rgb="FFFFCCCC"/>
        </patternFill>
      </fill>
    </dxf>
    <dxf>
      <font>
        <b/>
        <i val="0"/>
        <color rgb="FFC00000"/>
      </font>
      <fill>
        <patternFill>
          <bgColor rgb="FFFFCCCC"/>
        </patternFill>
      </fill>
    </dxf>
    <dxf>
      <font>
        <b/>
        <i val="0"/>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A50021"/>
      </font>
      <fill>
        <patternFill>
          <bgColor rgb="FFFFCCCC"/>
        </patternFill>
      </fill>
    </dxf>
    <dxf>
      <font>
        <color rgb="FF9C0006"/>
      </font>
      <fill>
        <patternFill>
          <bgColor rgb="FFFFC7CE"/>
        </patternFill>
      </fill>
    </dxf>
    <dxf>
      <font>
        <color rgb="FFC00000"/>
      </font>
      <fill>
        <patternFill>
          <bgColor rgb="FFFFCCCC"/>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numFmt numFmtId="174" formatCode="\-[h]:mm"/>
    </dxf>
    <dxf>
      <font>
        <b/>
        <i val="0"/>
      </font>
      <numFmt numFmtId="169" formatCode="[h]:mm"/>
      <fill>
        <patternFill>
          <bgColor theme="0" tint="-0.14996795556505021"/>
        </patternFill>
      </fill>
      <border>
        <top style="thin">
          <color auto="1"/>
        </top>
        <bottom style="thin">
          <color auto="1"/>
        </bottom>
        <vertical/>
        <horizontal/>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fill>
        <patternFill patternType="none">
          <bgColor auto="1"/>
        </patternFill>
      </fill>
    </dxf>
    <dxf>
      <font>
        <b/>
        <i val="0"/>
      </font>
      <numFmt numFmtId="169"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border>
        <bottom style="hair">
          <color auto="1"/>
        </bottom>
        <vertical/>
        <horizontal/>
      </border>
    </dxf>
    <dxf>
      <font>
        <color rgb="FFA50021"/>
      </font>
      <fill>
        <patternFill>
          <bgColor rgb="FFFFCCCC"/>
        </patternFill>
      </fill>
    </dxf>
    <dxf>
      <font>
        <b val="0"/>
        <i val="0"/>
        <strike val="0"/>
        <color rgb="FFA50021"/>
      </font>
    </dxf>
    <dxf>
      <font>
        <color rgb="FFA50021"/>
      </font>
      <fill>
        <patternFill patternType="none">
          <fgColor indexed="64"/>
          <bgColor auto="1"/>
        </patternFill>
      </fill>
    </dxf>
    <dxf>
      <font>
        <u val="none"/>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FF0000"/>
      </font>
      <fill>
        <patternFill patternType="none">
          <fgColor indexed="64"/>
          <bgColor auto="1"/>
        </patternFill>
      </fill>
    </dxf>
    <dxf>
      <fill>
        <patternFill>
          <bgColor rgb="FFFFCCCC"/>
        </patternFill>
      </fill>
    </dxf>
    <dxf>
      <fill>
        <patternFill>
          <bgColor rgb="FFFFCCCC"/>
        </patternFill>
      </fill>
    </dxf>
    <dxf>
      <font>
        <color auto="1"/>
      </font>
      <fill>
        <patternFill>
          <bgColor rgb="FFFFCCCC"/>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FF0000"/>
      </font>
      <fill>
        <patternFill patternType="none">
          <fgColor indexed="64"/>
          <bgColor auto="1"/>
        </patternFill>
      </fill>
    </dxf>
    <dxf>
      <font>
        <color rgb="FFFF0000"/>
      </font>
      <fill>
        <patternFill patternType="none">
          <bgColor auto="1"/>
        </patternFill>
      </fill>
    </dxf>
    <dxf>
      <font>
        <b/>
        <i val="0"/>
      </font>
      <numFmt numFmtId="169" formatCode="[h]:mm"/>
      <fill>
        <patternFill>
          <bgColor theme="0" tint="-0.14996795556505021"/>
        </patternFill>
      </fill>
      <border>
        <top style="thin">
          <color auto="1"/>
        </top>
        <bottom style="thin">
          <color auto="1"/>
        </bottom>
        <vertical/>
        <horizontal/>
      </border>
    </dxf>
    <dxf>
      <font>
        <color rgb="FF9C0006"/>
      </font>
      <fill>
        <patternFill>
          <bgColor rgb="FFFFC7CE"/>
        </patternFill>
      </fill>
    </dxf>
    <dxf>
      <font>
        <b/>
        <i val="0"/>
        <color rgb="FFA50021"/>
      </font>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border>
        <bottom style="hair">
          <color auto="1"/>
        </bottom>
        <vertical/>
        <horizontal/>
      </border>
    </dxf>
    <dxf>
      <font>
        <color rgb="FFA50021"/>
      </font>
      <fill>
        <patternFill>
          <bgColor rgb="FFFFCCCC"/>
        </patternFill>
      </fill>
    </dxf>
    <dxf>
      <font>
        <b val="0"/>
        <i val="0"/>
        <strike val="0"/>
        <color rgb="FFA50021"/>
      </font>
    </dxf>
    <dxf>
      <font>
        <color rgb="FFC00000"/>
      </font>
      <fill>
        <patternFill patternType="solid">
          <fgColor auto="1"/>
          <bgColor rgb="FFFFCCCC"/>
        </patternFill>
      </fill>
    </dxf>
    <dxf>
      <font>
        <b/>
        <i val="0"/>
        <color rgb="FFC00000"/>
      </font>
      <fill>
        <patternFill>
          <fgColor rgb="FFFFCCCC"/>
          <bgColor rgb="FFFFCCCC"/>
        </patternFill>
      </fill>
    </dxf>
    <dxf>
      <font>
        <b/>
        <i val="0"/>
        <color rgb="FFC00000"/>
      </font>
      <fill>
        <patternFill>
          <bgColor rgb="FFFFCCCC"/>
        </patternFill>
      </fill>
    </dxf>
    <dxf>
      <font>
        <b/>
        <i val="0"/>
        <color rgb="FFC00000"/>
      </font>
      <fill>
        <patternFill>
          <bgColor rgb="FFFFCCCC"/>
        </patternFill>
      </fill>
    </dxf>
    <dxf>
      <font>
        <b/>
        <i val="0"/>
        <color rgb="FFC00000"/>
      </font>
      <fill>
        <patternFill>
          <bgColor rgb="FFFFCCCC"/>
        </patternFill>
      </fill>
    </dxf>
    <dxf>
      <font>
        <color rgb="FFC00000"/>
      </font>
      <fill>
        <patternFill>
          <bgColor rgb="FFFFCCCC"/>
        </patternFill>
      </fill>
    </dxf>
    <dxf>
      <font>
        <color rgb="FFC00000"/>
      </font>
      <fill>
        <patternFill>
          <bgColor rgb="FFFFCCCC"/>
        </patternFill>
      </fill>
    </dxf>
    <dxf>
      <font>
        <color rgb="FFA50021"/>
      </font>
      <fill>
        <patternFill>
          <bgColor rgb="FFFFCCCC"/>
        </patternFill>
      </fill>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rgb="FFA50021"/>
      </font>
    </dxf>
    <dxf>
      <font>
        <b/>
        <i val="0"/>
        <color rgb="FF9C0006"/>
      </font>
      <fill>
        <patternFill patternType="solid">
          <fgColor indexed="64"/>
          <bgColor theme="0" tint="-0.14999847407452621"/>
        </patternFill>
      </fill>
      <border>
        <top style="thin">
          <color auto="1"/>
        </top>
        <bottom style="thin">
          <color auto="1"/>
        </bottom>
      </border>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E7E6E6"/>
      </font>
    </dxf>
    <dxf>
      <font>
        <b/>
        <i val="0"/>
        <color rgb="FF9C0006"/>
      </font>
      <fill>
        <patternFill patternType="solid">
          <fgColor indexed="64"/>
          <bgColor theme="0" tint="-0.14999847407452621"/>
        </patternFill>
      </fill>
      <border>
        <top style="thin">
          <color auto="1"/>
        </top>
        <bottom style="thin">
          <color auto="1"/>
        </bottom>
      </border>
    </dxf>
    <dxf>
      <font>
        <b/>
        <i val="0"/>
      </font>
      <numFmt numFmtId="169"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color rgb="FFC00000"/>
      </font>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ill>
        <patternFill>
          <bgColor rgb="FFFFCCCC"/>
        </patternFill>
      </fill>
    </dxf>
    <dxf>
      <fill>
        <patternFill>
          <bgColor rgb="FFFFCCCC"/>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color rgb="FFFF0000"/>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A50021"/>
      </font>
    </dxf>
    <dxf>
      <font>
        <b/>
        <i val="0"/>
        <color rgb="FFA50021"/>
      </font>
    </dxf>
    <dxf>
      <font>
        <b/>
        <i val="0"/>
        <color rgb="FFA50021"/>
      </font>
    </dxf>
    <dxf>
      <font>
        <b/>
        <i val="0"/>
        <color rgb="FFA50021"/>
      </font>
    </dxf>
    <dxf>
      <font>
        <b/>
        <i val="0"/>
        <color rgb="FFA50021"/>
      </font>
      <fill>
        <patternFill>
          <bgColor theme="8" tint="0.79998168889431442"/>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font>
        <color rgb="FFFF0000"/>
      </font>
      <fill>
        <patternFill patternType="none">
          <fgColor indexed="64"/>
          <bgColor auto="1"/>
        </patternFill>
      </fill>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b/>
        <i val="0"/>
        <color rgb="FF9C0006"/>
      </font>
      <fill>
        <patternFill patternType="solid">
          <fgColor indexed="64"/>
          <bgColor theme="0" tint="-0.14999847407452621"/>
        </patternFill>
      </fill>
      <border>
        <top style="thin">
          <color auto="1"/>
        </top>
        <bottom style="thin">
          <color auto="1"/>
        </bottom>
      </border>
    </dxf>
    <dxf>
      <font>
        <color rgb="FF9C0006"/>
      </font>
      <fill>
        <patternFill>
          <bgColor rgb="FFFFC7CE"/>
        </patternFill>
      </fill>
    </dxf>
    <dxf>
      <font>
        <color rgb="FFC00000"/>
      </font>
      <fill>
        <patternFill>
          <bgColor rgb="FFFFCCCC"/>
        </patternFill>
      </fill>
    </dxf>
    <dxf>
      <fill>
        <patternFill>
          <bgColor rgb="FFFFCCCC"/>
        </patternFill>
      </fill>
    </dxf>
    <dxf>
      <font>
        <strike/>
        <color theme="0" tint="-0.14996795556505021"/>
      </font>
      <fill>
        <patternFill>
          <bgColor theme="0" tint="-0.14996795556505021"/>
        </patternFill>
      </fill>
    </dxf>
    <dxf>
      <font>
        <color rgb="FFFF0000"/>
      </font>
      <fill>
        <patternFill patternType="none">
          <bgColor auto="1"/>
        </patternFill>
      </fill>
    </dxf>
    <dxf>
      <font>
        <b/>
        <i val="0"/>
        <color rgb="FF9C0006"/>
      </font>
      <fill>
        <patternFill patternType="solid">
          <fgColor indexed="64"/>
          <bgColor theme="0" tint="-0.14999847407452621"/>
        </patternFill>
      </fill>
      <border>
        <top style="thin">
          <color auto="1"/>
        </top>
        <bottom style="thin">
          <color auto="1"/>
        </bottom>
      </border>
    </dxf>
    <dxf>
      <font>
        <color rgb="FFFF0000"/>
      </font>
      <numFmt numFmtId="174" formatCode="\-[h]:mm"/>
    </dxf>
    <dxf>
      <font>
        <b/>
        <i val="0"/>
      </font>
      <numFmt numFmtId="169" formatCode="[h]:mm"/>
      <fill>
        <patternFill>
          <bgColor theme="0" tint="-0.14996795556505021"/>
        </patternFill>
      </fill>
      <border>
        <top style="thin">
          <color auto="1"/>
        </top>
        <bottom style="thin">
          <color auto="1"/>
        </bottom>
        <vertical/>
        <horizontal/>
      </border>
    </dxf>
    <dxf>
      <font>
        <b/>
        <i val="0"/>
        <color rgb="FF9C0006"/>
      </font>
      <fill>
        <patternFill patternType="solid">
          <fgColor indexed="64"/>
          <bgColor theme="0" tint="-0.14999847407452621"/>
        </patternFill>
      </fill>
      <border>
        <top style="thin">
          <color auto="1"/>
        </top>
        <bottom style="thin">
          <color auto="1"/>
        </bottom>
      </border>
    </dxf>
    <dxf>
      <font>
        <color rgb="FFFF0000"/>
      </font>
    </dxf>
    <dxf>
      <border>
        <bottom style="hair">
          <color auto="1"/>
        </bottom>
        <vertical/>
        <horizontal/>
      </border>
    </dxf>
    <dxf>
      <font>
        <color rgb="FFA50021"/>
      </font>
      <fill>
        <patternFill>
          <bgColor rgb="FFFFCCCC"/>
        </patternFill>
      </fill>
    </dxf>
    <dxf>
      <font>
        <b val="0"/>
        <i val="0"/>
        <strike val="0"/>
        <color rgb="FFA50021"/>
      </font>
    </dxf>
    <dxf>
      <font>
        <color rgb="FFA50021"/>
      </font>
      <fill>
        <patternFill patternType="none">
          <fgColor indexed="64"/>
          <bgColor auto="1"/>
        </patternFill>
      </fill>
    </dxf>
    <dxf>
      <font>
        <u val="none"/>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ont>
        <color rgb="FFA50021"/>
      </font>
      <fill>
        <patternFill patternType="none">
          <fgColor indexed="64"/>
          <bgColor auto="1"/>
        </patternFill>
      </fill>
    </dxf>
    <dxf>
      <font>
        <color auto="1"/>
      </font>
      <fill>
        <patternFill patternType="none">
          <fgColor indexed="64"/>
          <bgColor auto="1"/>
        </patternFill>
      </fill>
      <border>
        <bottom style="hair">
          <color auto="1"/>
        </bottom>
      </border>
    </dxf>
    <dxf>
      <font>
        <color rgb="FF9C0006"/>
      </font>
      <fill>
        <patternFill>
          <bgColor rgb="FFFFC7CE"/>
        </patternFill>
      </fill>
    </dxf>
    <dxf>
      <fill>
        <patternFill>
          <bgColor rgb="FFFFCCCC"/>
        </patternFill>
      </fill>
    </dxf>
    <dxf>
      <fill>
        <patternFill>
          <bgColor rgb="FFFFCCCC"/>
        </patternFill>
      </fill>
    </dxf>
    <dxf>
      <font>
        <color auto="1"/>
      </font>
      <fill>
        <patternFill>
          <bgColor rgb="FFFFCCCC"/>
        </patternFill>
      </fill>
    </dxf>
    <dxf>
      <font>
        <color auto="1"/>
      </font>
      <fill>
        <patternFill>
          <bgColor rgb="FFFFCCCC"/>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b/>
        <i val="0"/>
        <color auto="1"/>
      </font>
      <fill>
        <patternFill patternType="none">
          <fgColor indexed="64"/>
          <bgColor auto="1"/>
        </patternFill>
      </fill>
    </dxf>
    <dxf>
      <font>
        <color auto="1"/>
      </font>
      <fill>
        <patternFill patternType="none">
          <fgColor indexed="64"/>
          <bgColor auto="1"/>
        </patternFill>
      </fill>
    </dxf>
    <dxf>
      <font>
        <color rgb="FFC00000"/>
      </font>
      <fill>
        <patternFill patternType="solid">
          <fgColor rgb="FFFFCCCC"/>
          <bgColor rgb="FFFFCCCC"/>
        </patternFill>
      </fill>
    </dxf>
    <dxf>
      <fill>
        <patternFill>
          <bgColor rgb="FFFFCCCC"/>
        </patternFill>
      </fill>
    </dxf>
    <dxf>
      <font>
        <color rgb="FFFF0000"/>
      </font>
      <fill>
        <patternFill patternType="none">
          <bgColor auto="1"/>
        </patternFill>
      </fill>
    </dxf>
    <dxf>
      <font>
        <b/>
        <i val="0"/>
      </font>
      <numFmt numFmtId="169" formatCode="[h]:mm"/>
      <fill>
        <patternFill>
          <bgColor theme="0" tint="-0.14996795556505021"/>
        </patternFill>
      </fill>
      <border>
        <top style="thin">
          <color auto="1"/>
        </top>
        <bottom style="thin">
          <color auto="1"/>
        </bottom>
        <vertical/>
        <horizontal/>
      </border>
    </dxf>
    <dxf>
      <font>
        <color rgb="FF9C0006"/>
      </font>
      <fill>
        <patternFill>
          <bgColor rgb="FFFFC7CE"/>
        </patternFill>
      </fill>
    </dxf>
  </dxfs>
  <tableStyles count="0" defaultTableStyle="TableStyleMedium2" defaultPivotStyle="PivotStyleLight16"/>
  <colors>
    <mruColors>
      <color rgb="FFE7E6E6"/>
      <color rgb="FFD0CECE"/>
      <color rgb="FFFFCCCC"/>
      <color rgb="FFA50021"/>
      <color rgb="FFFFFF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fmlaLink="I4" lockText="1"/>
</file>

<file path=xl/ctrlProps/ctrlProp10.xml><?xml version="1.0" encoding="utf-8"?>
<formControlPr xmlns="http://schemas.microsoft.com/office/spreadsheetml/2009/9/main" objectType="CheckBox" fmlaLink="I10" lockText="1"/>
</file>

<file path=xl/ctrlProps/ctrlProp11.xml><?xml version="1.0" encoding="utf-8"?>
<formControlPr xmlns="http://schemas.microsoft.com/office/spreadsheetml/2009/9/main" objectType="CheckBox" fmlaLink="I2" lockText="1"/>
</file>

<file path=xl/ctrlProps/ctrlProp12.xml><?xml version="1.0" encoding="utf-8"?>
<formControlPr xmlns="http://schemas.microsoft.com/office/spreadsheetml/2009/9/main" objectType="CheckBox" fmlaLink="I4" lockText="1"/>
</file>

<file path=xl/ctrlProps/ctrlProp13.xml><?xml version="1.0" encoding="utf-8"?>
<formControlPr xmlns="http://schemas.microsoft.com/office/spreadsheetml/2009/9/main" objectType="CheckBox" fmlaLink="I6" lockText="1"/>
</file>

<file path=xl/ctrlProps/ctrlProp14.xml><?xml version="1.0" encoding="utf-8"?>
<formControlPr xmlns="http://schemas.microsoft.com/office/spreadsheetml/2009/9/main" objectType="CheckBox" fmlaLink="I8" lockText="1"/>
</file>

<file path=xl/ctrlProps/ctrlProp15.xml><?xml version="1.0" encoding="utf-8"?>
<formControlPr xmlns="http://schemas.microsoft.com/office/spreadsheetml/2009/9/main" objectType="CheckBox" fmlaLink="I10" lockText="1"/>
</file>

<file path=xl/ctrlProps/ctrlProp16.xml><?xml version="1.0" encoding="utf-8"?>
<formControlPr xmlns="http://schemas.microsoft.com/office/spreadsheetml/2009/9/main" objectType="CheckBox" fmlaLink="I2" lockText="1"/>
</file>

<file path=xl/ctrlProps/ctrlProp17.xml><?xml version="1.0" encoding="utf-8"?>
<formControlPr xmlns="http://schemas.microsoft.com/office/spreadsheetml/2009/9/main" objectType="CheckBox" fmlaLink="I4" lockText="1"/>
</file>

<file path=xl/ctrlProps/ctrlProp18.xml><?xml version="1.0" encoding="utf-8"?>
<formControlPr xmlns="http://schemas.microsoft.com/office/spreadsheetml/2009/9/main" objectType="CheckBox" fmlaLink="I6" lockText="1"/>
</file>

<file path=xl/ctrlProps/ctrlProp19.xml><?xml version="1.0" encoding="utf-8"?>
<formControlPr xmlns="http://schemas.microsoft.com/office/spreadsheetml/2009/9/main" objectType="CheckBox" fmlaLink="I8" lockText="1"/>
</file>

<file path=xl/ctrlProps/ctrlProp2.xml><?xml version="1.0" encoding="utf-8"?>
<formControlPr xmlns="http://schemas.microsoft.com/office/spreadsheetml/2009/9/main" objectType="CheckBox" fmlaLink="I6" lockText="1"/>
</file>

<file path=xl/ctrlProps/ctrlProp20.xml><?xml version="1.0" encoding="utf-8"?>
<formControlPr xmlns="http://schemas.microsoft.com/office/spreadsheetml/2009/9/main" objectType="CheckBox" fmlaLink="I10" lockText="1"/>
</file>

<file path=xl/ctrlProps/ctrlProp21.xml><?xml version="1.0" encoding="utf-8"?>
<formControlPr xmlns="http://schemas.microsoft.com/office/spreadsheetml/2009/9/main" objectType="CheckBox" fmlaLink="I2" lockText="1"/>
</file>

<file path=xl/ctrlProps/ctrlProp22.xml><?xml version="1.0" encoding="utf-8"?>
<formControlPr xmlns="http://schemas.microsoft.com/office/spreadsheetml/2009/9/main" objectType="CheckBox" fmlaLink="I4" lockText="1"/>
</file>

<file path=xl/ctrlProps/ctrlProp23.xml><?xml version="1.0" encoding="utf-8"?>
<formControlPr xmlns="http://schemas.microsoft.com/office/spreadsheetml/2009/9/main" objectType="CheckBox" fmlaLink="I6" lockText="1"/>
</file>

<file path=xl/ctrlProps/ctrlProp24.xml><?xml version="1.0" encoding="utf-8"?>
<formControlPr xmlns="http://schemas.microsoft.com/office/spreadsheetml/2009/9/main" objectType="CheckBox" fmlaLink="I8" lockText="1"/>
</file>

<file path=xl/ctrlProps/ctrlProp25.xml><?xml version="1.0" encoding="utf-8"?>
<formControlPr xmlns="http://schemas.microsoft.com/office/spreadsheetml/2009/9/main" objectType="CheckBox" fmlaLink="I10" lockText="1"/>
</file>

<file path=xl/ctrlProps/ctrlProp26.xml><?xml version="1.0" encoding="utf-8"?>
<formControlPr xmlns="http://schemas.microsoft.com/office/spreadsheetml/2009/9/main" objectType="CheckBox" fmlaLink="I2" lockText="1"/>
</file>

<file path=xl/ctrlProps/ctrlProp27.xml><?xml version="1.0" encoding="utf-8"?>
<formControlPr xmlns="http://schemas.microsoft.com/office/spreadsheetml/2009/9/main" objectType="CheckBox" fmlaLink="I4" lockText="1"/>
</file>

<file path=xl/ctrlProps/ctrlProp28.xml><?xml version="1.0" encoding="utf-8"?>
<formControlPr xmlns="http://schemas.microsoft.com/office/spreadsheetml/2009/9/main" objectType="CheckBox" fmlaLink="I6" lockText="1"/>
</file>

<file path=xl/ctrlProps/ctrlProp29.xml><?xml version="1.0" encoding="utf-8"?>
<formControlPr xmlns="http://schemas.microsoft.com/office/spreadsheetml/2009/9/main" objectType="CheckBox" fmlaLink="I8" lockText="1"/>
</file>

<file path=xl/ctrlProps/ctrlProp3.xml><?xml version="1.0" encoding="utf-8"?>
<formControlPr xmlns="http://schemas.microsoft.com/office/spreadsheetml/2009/9/main" objectType="CheckBox" fmlaLink="I8" lockText="1"/>
</file>

<file path=xl/ctrlProps/ctrlProp30.xml><?xml version="1.0" encoding="utf-8"?>
<formControlPr xmlns="http://schemas.microsoft.com/office/spreadsheetml/2009/9/main" objectType="CheckBox" fmlaLink="I10" lockText="1"/>
</file>

<file path=xl/ctrlProps/ctrlProp31.xml><?xml version="1.0" encoding="utf-8"?>
<formControlPr xmlns="http://schemas.microsoft.com/office/spreadsheetml/2009/9/main" objectType="CheckBox" fmlaLink="I2" lockText="1"/>
</file>

<file path=xl/ctrlProps/ctrlProp32.xml><?xml version="1.0" encoding="utf-8"?>
<formControlPr xmlns="http://schemas.microsoft.com/office/spreadsheetml/2009/9/main" objectType="CheckBox" fmlaLink="I4" lockText="1"/>
</file>

<file path=xl/ctrlProps/ctrlProp33.xml><?xml version="1.0" encoding="utf-8"?>
<formControlPr xmlns="http://schemas.microsoft.com/office/spreadsheetml/2009/9/main" objectType="CheckBox" fmlaLink="I6" lockText="1"/>
</file>

<file path=xl/ctrlProps/ctrlProp34.xml><?xml version="1.0" encoding="utf-8"?>
<formControlPr xmlns="http://schemas.microsoft.com/office/spreadsheetml/2009/9/main" objectType="CheckBox" fmlaLink="I8" lockText="1"/>
</file>

<file path=xl/ctrlProps/ctrlProp35.xml><?xml version="1.0" encoding="utf-8"?>
<formControlPr xmlns="http://schemas.microsoft.com/office/spreadsheetml/2009/9/main" objectType="CheckBox" fmlaLink="I10" lockText="1"/>
</file>

<file path=xl/ctrlProps/ctrlProp36.xml><?xml version="1.0" encoding="utf-8"?>
<formControlPr xmlns="http://schemas.microsoft.com/office/spreadsheetml/2009/9/main" objectType="CheckBox" fmlaLink="I2" lockText="1"/>
</file>

<file path=xl/ctrlProps/ctrlProp37.xml><?xml version="1.0" encoding="utf-8"?>
<formControlPr xmlns="http://schemas.microsoft.com/office/spreadsheetml/2009/9/main" objectType="CheckBox" fmlaLink="I4" lockText="1"/>
</file>

<file path=xl/ctrlProps/ctrlProp38.xml><?xml version="1.0" encoding="utf-8"?>
<formControlPr xmlns="http://schemas.microsoft.com/office/spreadsheetml/2009/9/main" objectType="CheckBox" fmlaLink="I6" lockText="1"/>
</file>

<file path=xl/ctrlProps/ctrlProp39.xml><?xml version="1.0" encoding="utf-8"?>
<formControlPr xmlns="http://schemas.microsoft.com/office/spreadsheetml/2009/9/main" objectType="CheckBox" fmlaLink="I8" lockText="1"/>
</file>

<file path=xl/ctrlProps/ctrlProp4.xml><?xml version="1.0" encoding="utf-8"?>
<formControlPr xmlns="http://schemas.microsoft.com/office/spreadsheetml/2009/9/main" objectType="CheckBox" fmlaLink="I10"/>
</file>

<file path=xl/ctrlProps/ctrlProp40.xml><?xml version="1.0" encoding="utf-8"?>
<formControlPr xmlns="http://schemas.microsoft.com/office/spreadsheetml/2009/9/main" objectType="CheckBox" fmlaLink="I10" lockText="1"/>
</file>

<file path=xl/ctrlProps/ctrlProp41.xml><?xml version="1.0" encoding="utf-8"?>
<formControlPr xmlns="http://schemas.microsoft.com/office/spreadsheetml/2009/9/main" objectType="CheckBox" fmlaLink="I2" lockText="1"/>
</file>

<file path=xl/ctrlProps/ctrlProp42.xml><?xml version="1.0" encoding="utf-8"?>
<formControlPr xmlns="http://schemas.microsoft.com/office/spreadsheetml/2009/9/main" objectType="CheckBox" fmlaLink="I4" lockText="1"/>
</file>

<file path=xl/ctrlProps/ctrlProp43.xml><?xml version="1.0" encoding="utf-8"?>
<formControlPr xmlns="http://schemas.microsoft.com/office/spreadsheetml/2009/9/main" objectType="CheckBox" fmlaLink="I6" lockText="1"/>
</file>

<file path=xl/ctrlProps/ctrlProp44.xml><?xml version="1.0" encoding="utf-8"?>
<formControlPr xmlns="http://schemas.microsoft.com/office/spreadsheetml/2009/9/main" objectType="CheckBox" fmlaLink="I8" lockText="1"/>
</file>

<file path=xl/ctrlProps/ctrlProp45.xml><?xml version="1.0" encoding="utf-8"?>
<formControlPr xmlns="http://schemas.microsoft.com/office/spreadsheetml/2009/9/main" objectType="CheckBox" fmlaLink="I10" lockText="1"/>
</file>

<file path=xl/ctrlProps/ctrlProp46.xml><?xml version="1.0" encoding="utf-8"?>
<formControlPr xmlns="http://schemas.microsoft.com/office/spreadsheetml/2009/9/main" objectType="CheckBox" fmlaLink="I2" lockText="1"/>
</file>

<file path=xl/ctrlProps/ctrlProp47.xml><?xml version="1.0" encoding="utf-8"?>
<formControlPr xmlns="http://schemas.microsoft.com/office/spreadsheetml/2009/9/main" objectType="CheckBox" fmlaLink="I4" lockText="1"/>
</file>

<file path=xl/ctrlProps/ctrlProp48.xml><?xml version="1.0" encoding="utf-8"?>
<formControlPr xmlns="http://schemas.microsoft.com/office/spreadsheetml/2009/9/main" objectType="CheckBox" fmlaLink="I6" lockText="1"/>
</file>

<file path=xl/ctrlProps/ctrlProp49.xml><?xml version="1.0" encoding="utf-8"?>
<formControlPr xmlns="http://schemas.microsoft.com/office/spreadsheetml/2009/9/main" objectType="CheckBox" fmlaLink="I8" lockText="1"/>
</file>

<file path=xl/ctrlProps/ctrlProp5.xml><?xml version="1.0" encoding="utf-8"?>
<formControlPr xmlns="http://schemas.microsoft.com/office/spreadsheetml/2009/9/main" objectType="CheckBox" fmlaLink="I2"/>
</file>

<file path=xl/ctrlProps/ctrlProp50.xml><?xml version="1.0" encoding="utf-8"?>
<formControlPr xmlns="http://schemas.microsoft.com/office/spreadsheetml/2009/9/main" objectType="CheckBox" fmlaLink="I10" lockText="1"/>
</file>

<file path=xl/ctrlProps/ctrlProp51.xml><?xml version="1.0" encoding="utf-8"?>
<formControlPr xmlns="http://schemas.microsoft.com/office/spreadsheetml/2009/9/main" objectType="CheckBox" fmlaLink="I2" lockText="1"/>
</file>

<file path=xl/ctrlProps/ctrlProp52.xml><?xml version="1.0" encoding="utf-8"?>
<formControlPr xmlns="http://schemas.microsoft.com/office/spreadsheetml/2009/9/main" objectType="CheckBox" fmlaLink="I4" lockText="1"/>
</file>

<file path=xl/ctrlProps/ctrlProp53.xml><?xml version="1.0" encoding="utf-8"?>
<formControlPr xmlns="http://schemas.microsoft.com/office/spreadsheetml/2009/9/main" objectType="CheckBox" fmlaLink="I6" lockText="1"/>
</file>

<file path=xl/ctrlProps/ctrlProp54.xml><?xml version="1.0" encoding="utf-8"?>
<formControlPr xmlns="http://schemas.microsoft.com/office/spreadsheetml/2009/9/main" objectType="CheckBox" fmlaLink="I8" lockText="1"/>
</file>

<file path=xl/ctrlProps/ctrlProp55.xml><?xml version="1.0" encoding="utf-8"?>
<formControlPr xmlns="http://schemas.microsoft.com/office/spreadsheetml/2009/9/main" objectType="CheckBox" fmlaLink="I10" lockText="1"/>
</file>

<file path=xl/ctrlProps/ctrlProp56.xml><?xml version="1.0" encoding="utf-8"?>
<formControlPr xmlns="http://schemas.microsoft.com/office/spreadsheetml/2009/9/main" objectType="CheckBox" fmlaLink="I2" lockText="1"/>
</file>

<file path=xl/ctrlProps/ctrlProp57.xml><?xml version="1.0" encoding="utf-8"?>
<formControlPr xmlns="http://schemas.microsoft.com/office/spreadsheetml/2009/9/main" objectType="CheckBox" fmlaLink="I4" lockText="1"/>
</file>

<file path=xl/ctrlProps/ctrlProp58.xml><?xml version="1.0" encoding="utf-8"?>
<formControlPr xmlns="http://schemas.microsoft.com/office/spreadsheetml/2009/9/main" objectType="CheckBox" fmlaLink="I6" lockText="1"/>
</file>

<file path=xl/ctrlProps/ctrlProp59.xml><?xml version="1.0" encoding="utf-8"?>
<formControlPr xmlns="http://schemas.microsoft.com/office/spreadsheetml/2009/9/main" objectType="CheckBox" fmlaLink="I8" lockText="1"/>
</file>

<file path=xl/ctrlProps/ctrlProp6.xml><?xml version="1.0" encoding="utf-8"?>
<formControlPr xmlns="http://schemas.microsoft.com/office/spreadsheetml/2009/9/main" objectType="CheckBox" fmlaLink="I2" lockText="1"/>
</file>

<file path=xl/ctrlProps/ctrlProp60.xml><?xml version="1.0" encoding="utf-8"?>
<formControlPr xmlns="http://schemas.microsoft.com/office/spreadsheetml/2009/9/main" objectType="CheckBox" fmlaLink="I10" lockText="1"/>
</file>

<file path=xl/ctrlProps/ctrlProp7.xml><?xml version="1.0" encoding="utf-8"?>
<formControlPr xmlns="http://schemas.microsoft.com/office/spreadsheetml/2009/9/main" objectType="CheckBox" fmlaLink="I4" lockText="1"/>
</file>

<file path=xl/ctrlProps/ctrlProp8.xml><?xml version="1.0" encoding="utf-8"?>
<formControlPr xmlns="http://schemas.microsoft.com/office/spreadsheetml/2009/9/main" objectType="CheckBox" fmlaLink="I6" lockText="1"/>
</file>

<file path=xl/ctrlProps/ctrlProp9.xml><?xml version="1.0" encoding="utf-8"?>
<formControlPr xmlns="http://schemas.microsoft.com/office/spreadsheetml/2009/9/main" objectType="CheckBox" fmlaLink="I8" lockText="1"/>
</file>

<file path=xl/drawings/_rels/drawing1.xml.rels><?xml version="1.0" encoding="UTF-8" standalone="yes"?>
<Relationships xmlns="http://schemas.openxmlformats.org/package/2006/relationships"><Relationship Id="rId1" Type="http://schemas.openxmlformats.org/officeDocument/2006/relationships/hyperlink" Target="#Leitfaden!B1"/></Relationships>
</file>

<file path=xl/drawings/_rels/drawing10.xml.rels><?xml version="1.0" encoding="UTF-8" standalone="yes"?>
<Relationships xmlns="http://schemas.openxmlformats.org/package/2006/relationships"><Relationship Id="rId1" Type="http://schemas.openxmlformats.org/officeDocument/2006/relationships/hyperlink" Target="#Leitfaden!A1"/></Relationships>
</file>

<file path=xl/drawings/_rels/drawing11.xml.rels><?xml version="1.0" encoding="UTF-8" standalone="yes"?>
<Relationships xmlns="http://schemas.openxmlformats.org/package/2006/relationships"><Relationship Id="rId1" Type="http://schemas.openxmlformats.org/officeDocument/2006/relationships/hyperlink" Target="#Leitfaden!A1"/></Relationships>
</file>

<file path=xl/drawings/_rels/drawing12.xml.rels><?xml version="1.0" encoding="UTF-8" standalone="yes"?>
<Relationships xmlns="http://schemas.openxmlformats.org/package/2006/relationships"><Relationship Id="rId1" Type="http://schemas.openxmlformats.org/officeDocument/2006/relationships/hyperlink" Target="#Leitfaden!A1"/></Relationships>
</file>

<file path=xl/drawings/_rels/drawing2.xml.rels><?xml version="1.0" encoding="UTF-8" standalone="yes"?>
<Relationships xmlns="http://schemas.openxmlformats.org/package/2006/relationships"><Relationship Id="rId1" Type="http://schemas.openxmlformats.org/officeDocument/2006/relationships/hyperlink" Target="#Leitfaden!B1"/></Relationships>
</file>

<file path=xl/drawings/_rels/drawing3.xml.rels><?xml version="1.0" encoding="UTF-8" standalone="yes"?>
<Relationships xmlns="http://schemas.openxmlformats.org/package/2006/relationships"><Relationship Id="rId1" Type="http://schemas.openxmlformats.org/officeDocument/2006/relationships/hyperlink" Target="#Leitfaden!A1"/></Relationships>
</file>

<file path=xl/drawings/_rels/drawing4.xml.rels><?xml version="1.0" encoding="UTF-8" standalone="yes"?>
<Relationships xmlns="http://schemas.openxmlformats.org/package/2006/relationships"><Relationship Id="rId1" Type="http://schemas.openxmlformats.org/officeDocument/2006/relationships/hyperlink" Target="#Leitfaden!A1"/></Relationships>
</file>

<file path=xl/drawings/_rels/drawing5.xml.rels><?xml version="1.0" encoding="UTF-8" standalone="yes"?>
<Relationships xmlns="http://schemas.openxmlformats.org/package/2006/relationships"><Relationship Id="rId1" Type="http://schemas.openxmlformats.org/officeDocument/2006/relationships/hyperlink" Target="#Leitfaden!A1"/></Relationships>
</file>

<file path=xl/drawings/_rels/drawing6.xml.rels><?xml version="1.0" encoding="UTF-8" standalone="yes"?>
<Relationships xmlns="http://schemas.openxmlformats.org/package/2006/relationships"><Relationship Id="rId1" Type="http://schemas.openxmlformats.org/officeDocument/2006/relationships/hyperlink" Target="#Leitfaden!A1"/></Relationships>
</file>

<file path=xl/drawings/_rels/drawing7.xml.rels><?xml version="1.0" encoding="UTF-8" standalone="yes"?>
<Relationships xmlns="http://schemas.openxmlformats.org/package/2006/relationships"><Relationship Id="rId1" Type="http://schemas.openxmlformats.org/officeDocument/2006/relationships/hyperlink" Target="#Leitfaden!A1"/></Relationships>
</file>

<file path=xl/drawings/_rels/drawing8.xml.rels><?xml version="1.0" encoding="UTF-8" standalone="yes"?>
<Relationships xmlns="http://schemas.openxmlformats.org/package/2006/relationships"><Relationship Id="rId1" Type="http://schemas.openxmlformats.org/officeDocument/2006/relationships/hyperlink" Target="#Leitfaden!A1"/></Relationships>
</file>

<file path=xl/drawings/_rels/drawing9.xml.rels><?xml version="1.0" encoding="UTF-8" standalone="yes"?>
<Relationships xmlns="http://schemas.openxmlformats.org/package/2006/relationships"><Relationship Id="rId1" Type="http://schemas.openxmlformats.org/officeDocument/2006/relationships/hyperlink" Target="#Leitfaden!A1"/></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314325</xdr:colOff>
          <xdr:row>3</xdr:row>
          <xdr:rowOff>85725</xdr:rowOff>
        </xdr:from>
        <xdr:to>
          <xdr:col>9</xdr:col>
          <xdr:colOff>495300</xdr:colOff>
          <xdr:row>4</xdr:row>
          <xdr:rowOff>190500</xdr:rowOff>
        </xdr:to>
        <xdr:sp macro="" textlink="">
          <xdr:nvSpPr>
            <xdr:cNvPr id="4098" name="Check Box 2"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Dienstag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5</xdr:row>
          <xdr:rowOff>85725</xdr:rowOff>
        </xdr:from>
        <xdr:to>
          <xdr:col>9</xdr:col>
          <xdr:colOff>790575</xdr:colOff>
          <xdr:row>6</xdr:row>
          <xdr:rowOff>180975</xdr:rowOff>
        </xdr:to>
        <xdr:sp macro="" textlink="">
          <xdr:nvSpPr>
            <xdr:cNvPr id="4099" name="Check Box 3"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Mittwoch</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8</xdr:row>
          <xdr:rowOff>0</xdr:rowOff>
        </xdr:from>
        <xdr:to>
          <xdr:col>9</xdr:col>
          <xdr:colOff>447675</xdr:colOff>
          <xdr:row>8</xdr:row>
          <xdr:rowOff>190500</xdr:rowOff>
        </xdr:to>
        <xdr:sp macro="" textlink="">
          <xdr:nvSpPr>
            <xdr:cNvPr id="4100" name="Check Box 4"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Donnerstag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9</xdr:row>
          <xdr:rowOff>66675</xdr:rowOff>
        </xdr:from>
        <xdr:to>
          <xdr:col>9</xdr:col>
          <xdr:colOff>714375</xdr:colOff>
          <xdr:row>10</xdr:row>
          <xdr:rowOff>190500</xdr:rowOff>
        </xdr:to>
        <xdr:sp macro="" textlink="">
          <xdr:nvSpPr>
            <xdr:cNvPr id="4101" name="Check Box 5"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Freitag</a:t>
              </a:r>
            </a:p>
          </xdr:txBody>
        </xdr:sp>
        <xdr:clientData fLocksWithSheet="0"/>
      </xdr:twoCellAnchor>
    </mc:Choice>
    <mc:Fallback/>
  </mc:AlternateContent>
  <xdr:oneCellAnchor>
    <xdr:from>
      <xdr:col>10</xdr:col>
      <xdr:colOff>471487</xdr:colOff>
      <xdr:row>18</xdr:row>
      <xdr:rowOff>94456</xdr:rowOff>
    </xdr:from>
    <xdr:ext cx="65" cy="172227"/>
    <xdr:sp macro="" textlink="">
      <xdr:nvSpPr>
        <xdr:cNvPr id="7" name="Textfeld 6"/>
        <xdr:cNvSpPr txBox="1"/>
      </xdr:nvSpPr>
      <xdr:spPr>
        <a:xfrm>
          <a:off x="5338762" y="286623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twoCellAnchor>
    <xdr:from>
      <xdr:col>0</xdr:col>
      <xdr:colOff>380999</xdr:colOff>
      <xdr:row>16</xdr:row>
      <xdr:rowOff>15875</xdr:rowOff>
    </xdr:from>
    <xdr:to>
      <xdr:col>0</xdr:col>
      <xdr:colOff>611188</xdr:colOff>
      <xdr:row>17</xdr:row>
      <xdr:rowOff>0</xdr:rowOff>
    </xdr:to>
    <xdr:sp macro="" textlink="">
      <xdr:nvSpPr>
        <xdr:cNvPr id="3" name="Flussdiagramm: Verbindungsstelle 2">
          <a:hlinkClick xmlns:r="http://schemas.openxmlformats.org/officeDocument/2006/relationships" r:id="rId1"/>
        </xdr:cNvPr>
        <xdr:cNvSpPr/>
      </xdr:nvSpPr>
      <xdr:spPr>
        <a:xfrm>
          <a:off x="380999" y="2508250"/>
          <a:ext cx="230189" cy="222250"/>
        </a:xfrm>
        <a:prstGeom prst="flowChartConnector">
          <a:avLst/>
        </a:prstGeom>
        <a:ln>
          <a:noFill/>
        </a:ln>
        <a:effectLst/>
        <a:scene3d>
          <a:camera prst="orthographicFront">
            <a:rot lat="0" lon="0" rev="0"/>
          </a:camera>
          <a:lightRig rig="contrasting" dir="t">
            <a:rot lat="0" lon="0" rev="7800000"/>
          </a:lightRig>
        </a:scene3d>
        <a:sp3d>
          <a:bevelT w="139700" h="139700"/>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de-DE" sz="1400"/>
            <a:t>?</a:t>
          </a:r>
        </a:p>
      </xdr:txBody>
    </xdr:sp>
    <xdr:clientData/>
  </xdr:twoCellAnchor>
  <mc:AlternateContent xmlns:mc="http://schemas.openxmlformats.org/markup-compatibility/2006">
    <mc:Choice xmlns:a14="http://schemas.microsoft.com/office/drawing/2010/main" Requires="a14">
      <xdr:twoCellAnchor editAs="oneCell">
        <xdr:from>
          <xdr:col>7</xdr:col>
          <xdr:colOff>314325</xdr:colOff>
          <xdr:row>2</xdr:row>
          <xdr:rowOff>9525</xdr:rowOff>
        </xdr:from>
        <xdr:to>
          <xdr:col>9</xdr:col>
          <xdr:colOff>771525</xdr:colOff>
          <xdr:row>3</xdr:row>
          <xdr:rowOff>9525</xdr:rowOff>
        </xdr:to>
        <xdr:sp macro="" textlink="">
          <xdr:nvSpPr>
            <xdr:cNvPr id="4097" name="Check Box 1"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Montag</a:t>
              </a:r>
            </a:p>
          </xdr:txBody>
        </xdr:sp>
        <xdr:clientData fLocksWithSheet="0"/>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314325</xdr:colOff>
          <xdr:row>1</xdr:row>
          <xdr:rowOff>47625</xdr:rowOff>
        </xdr:from>
        <xdr:to>
          <xdr:col>9</xdr:col>
          <xdr:colOff>685800</xdr:colOff>
          <xdr:row>3</xdr:row>
          <xdr:rowOff>47625</xdr:rowOff>
        </xdr:to>
        <xdr:sp macro="" textlink="">
          <xdr:nvSpPr>
            <xdr:cNvPr id="14337" name="Check Box 1" hidden="1">
              <a:extLst>
                <a:ext uri="{63B3BB69-23CF-44E3-9099-C40C66FF867C}">
                  <a14:compatExt spid="_x0000_s1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Montag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3</xdr:row>
          <xdr:rowOff>57150</xdr:rowOff>
        </xdr:from>
        <xdr:to>
          <xdr:col>9</xdr:col>
          <xdr:colOff>638175</xdr:colOff>
          <xdr:row>5</xdr:row>
          <xdr:rowOff>38100</xdr:rowOff>
        </xdr:to>
        <xdr:sp macro="" textlink="">
          <xdr:nvSpPr>
            <xdr:cNvPr id="14338" name="Check Box 2" hidden="1">
              <a:extLst>
                <a:ext uri="{63B3BB69-23CF-44E3-9099-C40C66FF867C}">
                  <a14:compatExt spid="_x0000_s1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Dienstag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5</xdr:row>
          <xdr:rowOff>57150</xdr:rowOff>
        </xdr:from>
        <xdr:to>
          <xdr:col>9</xdr:col>
          <xdr:colOff>790575</xdr:colOff>
          <xdr:row>7</xdr:row>
          <xdr:rowOff>28575</xdr:rowOff>
        </xdr:to>
        <xdr:sp macro="" textlink="">
          <xdr:nvSpPr>
            <xdr:cNvPr id="14339" name="Check Box 3" hidden="1">
              <a:extLst>
                <a:ext uri="{63B3BB69-23CF-44E3-9099-C40C66FF867C}">
                  <a14:compatExt spid="_x0000_s1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Mittwoch</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7</xdr:row>
          <xdr:rowOff>57150</xdr:rowOff>
        </xdr:from>
        <xdr:to>
          <xdr:col>9</xdr:col>
          <xdr:colOff>676275</xdr:colOff>
          <xdr:row>9</xdr:row>
          <xdr:rowOff>38100</xdr:rowOff>
        </xdr:to>
        <xdr:sp macro="" textlink="">
          <xdr:nvSpPr>
            <xdr:cNvPr id="14340" name="Check Box 4" hidden="1">
              <a:extLst>
                <a:ext uri="{63B3BB69-23CF-44E3-9099-C40C66FF867C}">
                  <a14:compatExt spid="_x0000_s1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Donnerstag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9</xdr:row>
          <xdr:rowOff>57150</xdr:rowOff>
        </xdr:from>
        <xdr:to>
          <xdr:col>9</xdr:col>
          <xdr:colOff>733425</xdr:colOff>
          <xdr:row>11</xdr:row>
          <xdr:rowOff>38100</xdr:rowOff>
        </xdr:to>
        <xdr:sp macro="" textlink="">
          <xdr:nvSpPr>
            <xdr:cNvPr id="14341" name="Check Box 5" hidden="1">
              <a:extLst>
                <a:ext uri="{63B3BB69-23CF-44E3-9099-C40C66FF867C}">
                  <a14:compatExt spid="_x0000_s1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Freitag</a:t>
              </a:r>
            </a:p>
          </xdr:txBody>
        </xdr:sp>
        <xdr:clientData fLocksWithSheet="0"/>
      </xdr:twoCellAnchor>
    </mc:Choice>
    <mc:Fallback/>
  </mc:AlternateContent>
  <xdr:oneCellAnchor>
    <xdr:from>
      <xdr:col>10</xdr:col>
      <xdr:colOff>471487</xdr:colOff>
      <xdr:row>18</xdr:row>
      <xdr:rowOff>94456</xdr:rowOff>
    </xdr:from>
    <xdr:ext cx="65" cy="172227"/>
    <xdr:sp macro="" textlink="">
      <xdr:nvSpPr>
        <xdr:cNvPr id="7" name="Textfeld 6"/>
        <xdr:cNvSpPr txBox="1"/>
      </xdr:nvSpPr>
      <xdr:spPr>
        <a:xfrm>
          <a:off x="6643687" y="3028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twoCellAnchor>
    <xdr:from>
      <xdr:col>0</xdr:col>
      <xdr:colOff>325437</xdr:colOff>
      <xdr:row>16</xdr:row>
      <xdr:rowOff>7938</xdr:rowOff>
    </xdr:from>
    <xdr:to>
      <xdr:col>0</xdr:col>
      <xdr:colOff>555626</xdr:colOff>
      <xdr:row>16</xdr:row>
      <xdr:rowOff>230188</xdr:rowOff>
    </xdr:to>
    <xdr:sp macro="" textlink="">
      <xdr:nvSpPr>
        <xdr:cNvPr id="8" name="Flussdiagramm: Verbindungsstelle 7">
          <a:hlinkClick xmlns:r="http://schemas.openxmlformats.org/officeDocument/2006/relationships" r:id="rId1"/>
        </xdr:cNvPr>
        <xdr:cNvSpPr/>
      </xdr:nvSpPr>
      <xdr:spPr>
        <a:xfrm>
          <a:off x="325437" y="2598738"/>
          <a:ext cx="230189" cy="222250"/>
        </a:xfrm>
        <a:prstGeom prst="flowChartConnector">
          <a:avLst/>
        </a:prstGeom>
        <a:ln>
          <a:noFill/>
        </a:ln>
        <a:effectLst/>
        <a:scene3d>
          <a:camera prst="orthographicFront">
            <a:rot lat="0" lon="0" rev="0"/>
          </a:camera>
          <a:lightRig rig="contrasting" dir="t">
            <a:rot lat="0" lon="0" rev="7800000"/>
          </a:lightRig>
        </a:scene3d>
        <a:sp3d>
          <a:bevelT w="139700" h="139700"/>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de-DE" sz="1400"/>
            <a:t>?</a:t>
          </a:r>
        </a:p>
      </xdr:txBody>
    </xdr:sp>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361950</xdr:colOff>
          <xdr:row>1</xdr:row>
          <xdr:rowOff>28575</xdr:rowOff>
        </xdr:from>
        <xdr:to>
          <xdr:col>10</xdr:col>
          <xdr:colOff>180975</xdr:colOff>
          <xdr:row>3</xdr:row>
          <xdr:rowOff>85725</xdr:rowOff>
        </xdr:to>
        <xdr:sp macro="" textlink="">
          <xdr:nvSpPr>
            <xdr:cNvPr id="15361" name="Check Box 1" hidden="1">
              <a:extLst>
                <a:ext uri="{63B3BB69-23CF-44E3-9099-C40C66FF867C}">
                  <a14:compatExt spid="_x0000_s15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Montag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361950</xdr:colOff>
          <xdr:row>3</xdr:row>
          <xdr:rowOff>38100</xdr:rowOff>
        </xdr:from>
        <xdr:to>
          <xdr:col>9</xdr:col>
          <xdr:colOff>800100</xdr:colOff>
          <xdr:row>5</xdr:row>
          <xdr:rowOff>85725</xdr:rowOff>
        </xdr:to>
        <xdr:sp macro="" textlink="">
          <xdr:nvSpPr>
            <xdr:cNvPr id="15362" name="Check Box 2" hidden="1">
              <a:extLst>
                <a:ext uri="{63B3BB69-23CF-44E3-9099-C40C66FF867C}">
                  <a14:compatExt spid="_x0000_s15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Dienstag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361950</xdr:colOff>
          <xdr:row>5</xdr:row>
          <xdr:rowOff>38100</xdr:rowOff>
        </xdr:from>
        <xdr:to>
          <xdr:col>10</xdr:col>
          <xdr:colOff>38100</xdr:colOff>
          <xdr:row>7</xdr:row>
          <xdr:rowOff>76200</xdr:rowOff>
        </xdr:to>
        <xdr:sp macro="" textlink="">
          <xdr:nvSpPr>
            <xdr:cNvPr id="15363" name="Check Box 3" hidden="1">
              <a:extLst>
                <a:ext uri="{63B3BB69-23CF-44E3-9099-C40C66FF867C}">
                  <a14:compatExt spid="_x0000_s15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Mittwoch</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361950</xdr:colOff>
          <xdr:row>7</xdr:row>
          <xdr:rowOff>38100</xdr:rowOff>
        </xdr:from>
        <xdr:to>
          <xdr:col>10</xdr:col>
          <xdr:colOff>47625</xdr:colOff>
          <xdr:row>9</xdr:row>
          <xdr:rowOff>85725</xdr:rowOff>
        </xdr:to>
        <xdr:sp macro="" textlink="">
          <xdr:nvSpPr>
            <xdr:cNvPr id="15364" name="Check Box 4" hidden="1">
              <a:extLst>
                <a:ext uri="{63B3BB69-23CF-44E3-9099-C40C66FF867C}">
                  <a14:compatExt spid="_x0000_s15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Donnerstag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361950</xdr:colOff>
          <xdr:row>9</xdr:row>
          <xdr:rowOff>38100</xdr:rowOff>
        </xdr:from>
        <xdr:to>
          <xdr:col>10</xdr:col>
          <xdr:colOff>171450</xdr:colOff>
          <xdr:row>11</xdr:row>
          <xdr:rowOff>85725</xdr:rowOff>
        </xdr:to>
        <xdr:sp macro="" textlink="">
          <xdr:nvSpPr>
            <xdr:cNvPr id="15365" name="Check Box 5" hidden="1">
              <a:extLst>
                <a:ext uri="{63B3BB69-23CF-44E3-9099-C40C66FF867C}">
                  <a14:compatExt spid="_x0000_s15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Freitag</a:t>
              </a:r>
            </a:p>
          </xdr:txBody>
        </xdr:sp>
        <xdr:clientData fLocksWithSheet="0"/>
      </xdr:twoCellAnchor>
    </mc:Choice>
    <mc:Fallback/>
  </mc:AlternateContent>
  <xdr:oneCellAnchor>
    <xdr:from>
      <xdr:col>10</xdr:col>
      <xdr:colOff>471487</xdr:colOff>
      <xdr:row>18</xdr:row>
      <xdr:rowOff>94456</xdr:rowOff>
    </xdr:from>
    <xdr:ext cx="65" cy="172227"/>
    <xdr:sp macro="" textlink="">
      <xdr:nvSpPr>
        <xdr:cNvPr id="7" name="Textfeld 6"/>
        <xdr:cNvSpPr txBox="1"/>
      </xdr:nvSpPr>
      <xdr:spPr>
        <a:xfrm>
          <a:off x="6643687" y="3028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twoCellAnchor>
    <xdr:from>
      <xdr:col>0</xdr:col>
      <xdr:colOff>325437</xdr:colOff>
      <xdr:row>16</xdr:row>
      <xdr:rowOff>7938</xdr:rowOff>
    </xdr:from>
    <xdr:to>
      <xdr:col>0</xdr:col>
      <xdr:colOff>555626</xdr:colOff>
      <xdr:row>16</xdr:row>
      <xdr:rowOff>230188</xdr:rowOff>
    </xdr:to>
    <xdr:sp macro="" textlink="">
      <xdr:nvSpPr>
        <xdr:cNvPr id="8" name="Flussdiagramm: Verbindungsstelle 7">
          <a:hlinkClick xmlns:r="http://schemas.openxmlformats.org/officeDocument/2006/relationships" r:id="rId1"/>
        </xdr:cNvPr>
        <xdr:cNvSpPr/>
      </xdr:nvSpPr>
      <xdr:spPr>
        <a:xfrm>
          <a:off x="325437" y="2598738"/>
          <a:ext cx="230189" cy="222250"/>
        </a:xfrm>
        <a:prstGeom prst="flowChartConnector">
          <a:avLst/>
        </a:prstGeom>
        <a:ln>
          <a:noFill/>
        </a:ln>
        <a:effectLst/>
        <a:scene3d>
          <a:camera prst="orthographicFront">
            <a:rot lat="0" lon="0" rev="0"/>
          </a:camera>
          <a:lightRig rig="contrasting" dir="t">
            <a:rot lat="0" lon="0" rev="7800000"/>
          </a:lightRig>
        </a:scene3d>
        <a:sp3d>
          <a:bevelT w="139700" h="139700"/>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de-DE" sz="1400"/>
            <a:t>?</a:t>
          </a:r>
        </a:p>
      </xdr:txBody>
    </xdr:sp>
    <xdr:clientData/>
  </xdr:twoCellAnchor>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342900</xdr:colOff>
          <xdr:row>1</xdr:row>
          <xdr:rowOff>9525</xdr:rowOff>
        </xdr:from>
        <xdr:to>
          <xdr:col>10</xdr:col>
          <xdr:colOff>171450</xdr:colOff>
          <xdr:row>3</xdr:row>
          <xdr:rowOff>85725</xdr:rowOff>
        </xdr:to>
        <xdr:sp macro="" textlink="">
          <xdr:nvSpPr>
            <xdr:cNvPr id="16385" name="Check Box 1" hidden="1">
              <a:extLst>
                <a:ext uri="{63B3BB69-23CF-44E3-9099-C40C66FF867C}">
                  <a14:compatExt spid="_x0000_s16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Montag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342900</xdr:colOff>
          <xdr:row>3</xdr:row>
          <xdr:rowOff>19050</xdr:rowOff>
        </xdr:from>
        <xdr:to>
          <xdr:col>10</xdr:col>
          <xdr:colOff>0</xdr:colOff>
          <xdr:row>5</xdr:row>
          <xdr:rowOff>85725</xdr:rowOff>
        </xdr:to>
        <xdr:sp macro="" textlink="">
          <xdr:nvSpPr>
            <xdr:cNvPr id="16386" name="Check Box 2" hidden="1">
              <a:extLst>
                <a:ext uri="{63B3BB69-23CF-44E3-9099-C40C66FF867C}">
                  <a14:compatExt spid="_x0000_s16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Dienstag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342900</xdr:colOff>
          <xdr:row>5</xdr:row>
          <xdr:rowOff>19050</xdr:rowOff>
        </xdr:from>
        <xdr:to>
          <xdr:col>9</xdr:col>
          <xdr:colOff>781050</xdr:colOff>
          <xdr:row>7</xdr:row>
          <xdr:rowOff>85725</xdr:rowOff>
        </xdr:to>
        <xdr:sp macro="" textlink="">
          <xdr:nvSpPr>
            <xdr:cNvPr id="16387" name="Check Box 3" hidden="1">
              <a:extLst>
                <a:ext uri="{63B3BB69-23CF-44E3-9099-C40C66FF867C}">
                  <a14:compatExt spid="_x0000_s16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Mittwoch</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342900</xdr:colOff>
          <xdr:row>7</xdr:row>
          <xdr:rowOff>19050</xdr:rowOff>
        </xdr:from>
        <xdr:to>
          <xdr:col>9</xdr:col>
          <xdr:colOff>828675</xdr:colOff>
          <xdr:row>9</xdr:row>
          <xdr:rowOff>85725</xdr:rowOff>
        </xdr:to>
        <xdr:sp macro="" textlink="">
          <xdr:nvSpPr>
            <xdr:cNvPr id="16388" name="Check Box 4" hidden="1">
              <a:extLst>
                <a:ext uri="{63B3BB69-23CF-44E3-9099-C40C66FF867C}">
                  <a14:compatExt spid="_x0000_s16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Donnerstag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342900</xdr:colOff>
          <xdr:row>9</xdr:row>
          <xdr:rowOff>28575</xdr:rowOff>
        </xdr:from>
        <xdr:to>
          <xdr:col>9</xdr:col>
          <xdr:colOff>838200</xdr:colOff>
          <xdr:row>11</xdr:row>
          <xdr:rowOff>47625</xdr:rowOff>
        </xdr:to>
        <xdr:sp macro="" textlink="">
          <xdr:nvSpPr>
            <xdr:cNvPr id="16389" name="Check Box 5" hidden="1">
              <a:extLst>
                <a:ext uri="{63B3BB69-23CF-44E3-9099-C40C66FF867C}">
                  <a14:compatExt spid="_x0000_s16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Freitag</a:t>
              </a:r>
            </a:p>
          </xdr:txBody>
        </xdr:sp>
        <xdr:clientData fLocksWithSheet="0"/>
      </xdr:twoCellAnchor>
    </mc:Choice>
    <mc:Fallback/>
  </mc:AlternateContent>
  <xdr:oneCellAnchor>
    <xdr:from>
      <xdr:col>10</xdr:col>
      <xdr:colOff>471487</xdr:colOff>
      <xdr:row>18</xdr:row>
      <xdr:rowOff>94456</xdr:rowOff>
    </xdr:from>
    <xdr:ext cx="65" cy="172227"/>
    <xdr:sp macro="" textlink="">
      <xdr:nvSpPr>
        <xdr:cNvPr id="7" name="Textfeld 6"/>
        <xdr:cNvSpPr txBox="1"/>
      </xdr:nvSpPr>
      <xdr:spPr>
        <a:xfrm>
          <a:off x="6643687" y="3028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twoCellAnchor>
    <xdr:from>
      <xdr:col>0</xdr:col>
      <xdr:colOff>325437</xdr:colOff>
      <xdr:row>16</xdr:row>
      <xdr:rowOff>7938</xdr:rowOff>
    </xdr:from>
    <xdr:to>
      <xdr:col>0</xdr:col>
      <xdr:colOff>555626</xdr:colOff>
      <xdr:row>16</xdr:row>
      <xdr:rowOff>230188</xdr:rowOff>
    </xdr:to>
    <xdr:sp macro="" textlink="">
      <xdr:nvSpPr>
        <xdr:cNvPr id="8" name="Flussdiagramm: Verbindungsstelle 7">
          <a:hlinkClick xmlns:r="http://schemas.openxmlformats.org/officeDocument/2006/relationships" r:id="rId1"/>
        </xdr:cNvPr>
        <xdr:cNvSpPr/>
      </xdr:nvSpPr>
      <xdr:spPr>
        <a:xfrm>
          <a:off x="325437" y="2598738"/>
          <a:ext cx="230189" cy="222250"/>
        </a:xfrm>
        <a:prstGeom prst="flowChartConnector">
          <a:avLst/>
        </a:prstGeom>
        <a:ln>
          <a:noFill/>
        </a:ln>
        <a:effectLst/>
        <a:scene3d>
          <a:camera prst="orthographicFront">
            <a:rot lat="0" lon="0" rev="0"/>
          </a:camera>
          <a:lightRig rig="contrasting" dir="t">
            <a:rot lat="0" lon="0" rev="7800000"/>
          </a:lightRig>
        </a:scene3d>
        <a:sp3d>
          <a:bevelT w="139700" h="139700"/>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de-DE" sz="1400"/>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266700</xdr:colOff>
          <xdr:row>1</xdr:row>
          <xdr:rowOff>76200</xdr:rowOff>
        </xdr:from>
        <xdr:to>
          <xdr:col>10</xdr:col>
          <xdr:colOff>228600</xdr:colOff>
          <xdr:row>3</xdr:row>
          <xdr:rowOff>19050</xdr:rowOff>
        </xdr:to>
        <xdr:sp macro="" textlink="">
          <xdr:nvSpPr>
            <xdr:cNvPr id="5121" name="Check Box 1" hidden="1">
              <a:extLst>
                <a:ext uri="{63B3BB69-23CF-44E3-9099-C40C66FF867C}">
                  <a14:compatExt spid="_x0000_s5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Montag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4</xdr:row>
          <xdr:rowOff>28575</xdr:rowOff>
        </xdr:from>
        <xdr:to>
          <xdr:col>10</xdr:col>
          <xdr:colOff>400050</xdr:colOff>
          <xdr:row>4</xdr:row>
          <xdr:rowOff>190500</xdr:rowOff>
        </xdr:to>
        <xdr:sp macro="" textlink="">
          <xdr:nvSpPr>
            <xdr:cNvPr id="5122" name="Check Box 2" hidden="1">
              <a:extLst>
                <a:ext uri="{63B3BB69-23CF-44E3-9099-C40C66FF867C}">
                  <a14:compatExt spid="_x0000_s5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Dienstag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5</xdr:row>
          <xdr:rowOff>85725</xdr:rowOff>
        </xdr:from>
        <xdr:to>
          <xdr:col>10</xdr:col>
          <xdr:colOff>371475</xdr:colOff>
          <xdr:row>7</xdr:row>
          <xdr:rowOff>0</xdr:rowOff>
        </xdr:to>
        <xdr:sp macro="" textlink="">
          <xdr:nvSpPr>
            <xdr:cNvPr id="5123" name="Check Box 3" hidden="1">
              <a:extLst>
                <a:ext uri="{63B3BB69-23CF-44E3-9099-C40C66FF867C}">
                  <a14:compatExt spid="_x0000_s5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Mittwoch</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7</xdr:row>
          <xdr:rowOff>76200</xdr:rowOff>
        </xdr:from>
        <xdr:to>
          <xdr:col>10</xdr:col>
          <xdr:colOff>333375</xdr:colOff>
          <xdr:row>9</xdr:row>
          <xdr:rowOff>9525</xdr:rowOff>
        </xdr:to>
        <xdr:sp macro="" textlink="">
          <xdr:nvSpPr>
            <xdr:cNvPr id="5124" name="Check Box 4" hidden="1">
              <a:extLst>
                <a:ext uri="{63B3BB69-23CF-44E3-9099-C40C66FF867C}">
                  <a14:compatExt spid="_x0000_s5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Donnerstag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266700</xdr:colOff>
          <xdr:row>10</xdr:row>
          <xdr:rowOff>9525</xdr:rowOff>
        </xdr:from>
        <xdr:to>
          <xdr:col>10</xdr:col>
          <xdr:colOff>457200</xdr:colOff>
          <xdr:row>11</xdr:row>
          <xdr:rowOff>19050</xdr:rowOff>
        </xdr:to>
        <xdr:sp macro="" textlink="">
          <xdr:nvSpPr>
            <xdr:cNvPr id="5125" name="Check Box 5" hidden="1">
              <a:extLst>
                <a:ext uri="{63B3BB69-23CF-44E3-9099-C40C66FF867C}">
                  <a14:compatExt spid="_x0000_s5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Freitag</a:t>
              </a:r>
            </a:p>
          </xdr:txBody>
        </xdr:sp>
        <xdr:clientData fLocksWithSheet="0"/>
      </xdr:twoCellAnchor>
    </mc:Choice>
    <mc:Fallback/>
  </mc:AlternateContent>
  <xdr:oneCellAnchor>
    <xdr:from>
      <xdr:col>10</xdr:col>
      <xdr:colOff>471487</xdr:colOff>
      <xdr:row>18</xdr:row>
      <xdr:rowOff>94456</xdr:rowOff>
    </xdr:from>
    <xdr:ext cx="65" cy="172227"/>
    <xdr:sp macro="" textlink="">
      <xdr:nvSpPr>
        <xdr:cNvPr id="7" name="Textfeld 6"/>
        <xdr:cNvSpPr txBox="1"/>
      </xdr:nvSpPr>
      <xdr:spPr>
        <a:xfrm>
          <a:off x="5691187" y="286623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twoCellAnchor>
    <xdr:from>
      <xdr:col>0</xdr:col>
      <xdr:colOff>333375</xdr:colOff>
      <xdr:row>16</xdr:row>
      <xdr:rowOff>0</xdr:rowOff>
    </xdr:from>
    <xdr:to>
      <xdr:col>0</xdr:col>
      <xdr:colOff>563564</xdr:colOff>
      <xdr:row>16</xdr:row>
      <xdr:rowOff>222250</xdr:rowOff>
    </xdr:to>
    <xdr:sp macro="" textlink="">
      <xdr:nvSpPr>
        <xdr:cNvPr id="15" name="Flussdiagramm: Verbindungsstelle 14">
          <a:hlinkClick xmlns:r="http://schemas.openxmlformats.org/officeDocument/2006/relationships" r:id="rId1"/>
        </xdr:cNvPr>
        <xdr:cNvSpPr/>
      </xdr:nvSpPr>
      <xdr:spPr>
        <a:xfrm>
          <a:off x="333375" y="2563813"/>
          <a:ext cx="230189" cy="222250"/>
        </a:xfrm>
        <a:prstGeom prst="flowChartConnector">
          <a:avLst/>
        </a:prstGeom>
        <a:ln>
          <a:noFill/>
        </a:ln>
        <a:effectLst/>
        <a:scene3d>
          <a:camera prst="orthographicFront">
            <a:rot lat="0" lon="0" rev="0"/>
          </a:camera>
          <a:lightRig rig="contrasting" dir="t">
            <a:rot lat="0" lon="0" rev="7800000"/>
          </a:lightRig>
        </a:scene3d>
        <a:sp3d>
          <a:bevelT w="139700" h="139700"/>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de-DE" sz="1400"/>
            <a:t>?</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238125</xdr:colOff>
          <xdr:row>1</xdr:row>
          <xdr:rowOff>85725</xdr:rowOff>
        </xdr:from>
        <xdr:to>
          <xdr:col>9</xdr:col>
          <xdr:colOff>752475</xdr:colOff>
          <xdr:row>3</xdr:row>
          <xdr:rowOff>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Montag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3</xdr:row>
          <xdr:rowOff>76200</xdr:rowOff>
        </xdr:from>
        <xdr:to>
          <xdr:col>9</xdr:col>
          <xdr:colOff>704850</xdr:colOff>
          <xdr:row>4</xdr:row>
          <xdr:rowOff>190500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Dienstag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5</xdr:row>
          <xdr:rowOff>76200</xdr:rowOff>
        </xdr:from>
        <xdr:to>
          <xdr:col>9</xdr:col>
          <xdr:colOff>704850</xdr:colOff>
          <xdr:row>6</xdr:row>
          <xdr:rowOff>180975</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Mittwoch</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7</xdr:row>
          <xdr:rowOff>76200</xdr:rowOff>
        </xdr:from>
        <xdr:to>
          <xdr:col>9</xdr:col>
          <xdr:colOff>704850</xdr:colOff>
          <xdr:row>8</xdr:row>
          <xdr:rowOff>190500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Donnerstag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238125</xdr:colOff>
          <xdr:row>9</xdr:row>
          <xdr:rowOff>76200</xdr:rowOff>
        </xdr:from>
        <xdr:to>
          <xdr:col>9</xdr:col>
          <xdr:colOff>704850</xdr:colOff>
          <xdr:row>10</xdr:row>
          <xdr:rowOff>190500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Freitag</a:t>
              </a:r>
            </a:p>
          </xdr:txBody>
        </xdr:sp>
        <xdr:clientData fLocksWithSheet="0"/>
      </xdr:twoCellAnchor>
    </mc:Choice>
    <mc:Fallback/>
  </mc:AlternateContent>
  <xdr:oneCellAnchor>
    <xdr:from>
      <xdr:col>10</xdr:col>
      <xdr:colOff>471487</xdr:colOff>
      <xdr:row>18</xdr:row>
      <xdr:rowOff>94456</xdr:rowOff>
    </xdr:from>
    <xdr:ext cx="65" cy="172227"/>
    <xdr:sp macro="" textlink="">
      <xdr:nvSpPr>
        <xdr:cNvPr id="7" name="Textfeld 6"/>
        <xdr:cNvSpPr txBox="1"/>
      </xdr:nvSpPr>
      <xdr:spPr>
        <a:xfrm>
          <a:off x="5738812" y="300910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twoCellAnchor>
    <xdr:from>
      <xdr:col>0</xdr:col>
      <xdr:colOff>325437</xdr:colOff>
      <xdr:row>16</xdr:row>
      <xdr:rowOff>7938</xdr:rowOff>
    </xdr:from>
    <xdr:to>
      <xdr:col>0</xdr:col>
      <xdr:colOff>555626</xdr:colOff>
      <xdr:row>16</xdr:row>
      <xdr:rowOff>230188</xdr:rowOff>
    </xdr:to>
    <xdr:sp macro="" textlink="">
      <xdr:nvSpPr>
        <xdr:cNvPr id="9" name="Flussdiagramm: Verbindungsstelle 8">
          <a:hlinkClick xmlns:r="http://schemas.openxmlformats.org/officeDocument/2006/relationships" r:id="rId1"/>
        </xdr:cNvPr>
        <xdr:cNvSpPr/>
      </xdr:nvSpPr>
      <xdr:spPr>
        <a:xfrm>
          <a:off x="325437" y="2587626"/>
          <a:ext cx="230189" cy="222250"/>
        </a:xfrm>
        <a:prstGeom prst="flowChartConnector">
          <a:avLst/>
        </a:prstGeom>
        <a:ln>
          <a:noFill/>
        </a:ln>
        <a:effectLst/>
        <a:scene3d>
          <a:camera prst="orthographicFront">
            <a:rot lat="0" lon="0" rev="0"/>
          </a:camera>
          <a:lightRig rig="contrasting" dir="t">
            <a:rot lat="0" lon="0" rev="7800000"/>
          </a:lightRig>
        </a:scene3d>
        <a:sp3d>
          <a:bevelT w="139700" h="139700"/>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de-DE" sz="1400"/>
            <a:t>?</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314325</xdr:colOff>
          <xdr:row>1</xdr:row>
          <xdr:rowOff>76200</xdr:rowOff>
        </xdr:from>
        <xdr:to>
          <xdr:col>10</xdr:col>
          <xdr:colOff>133350</xdr:colOff>
          <xdr:row>3</xdr:row>
          <xdr:rowOff>19050</xdr:rowOff>
        </xdr:to>
        <xdr:sp macro="" textlink="">
          <xdr:nvSpPr>
            <xdr:cNvPr id="8193" name="Check Box 1" hidden="1">
              <a:extLst>
                <a:ext uri="{63B3BB69-23CF-44E3-9099-C40C66FF867C}">
                  <a14:compatExt spid="_x0000_s8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Montag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3</xdr:row>
          <xdr:rowOff>85725</xdr:rowOff>
        </xdr:from>
        <xdr:to>
          <xdr:col>10</xdr:col>
          <xdr:colOff>133350</xdr:colOff>
          <xdr:row>5</xdr:row>
          <xdr:rowOff>9525</xdr:rowOff>
        </xdr:to>
        <xdr:sp macro="" textlink="">
          <xdr:nvSpPr>
            <xdr:cNvPr id="8194" name="Check Box 2" hidden="1">
              <a:extLst>
                <a:ext uri="{63B3BB69-23CF-44E3-9099-C40C66FF867C}">
                  <a14:compatExt spid="_x0000_s8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Dienstag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5</xdr:row>
          <xdr:rowOff>85725</xdr:rowOff>
        </xdr:from>
        <xdr:to>
          <xdr:col>10</xdr:col>
          <xdr:colOff>133350</xdr:colOff>
          <xdr:row>7</xdr:row>
          <xdr:rowOff>0</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Mittwoch</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7</xdr:row>
          <xdr:rowOff>85725</xdr:rowOff>
        </xdr:from>
        <xdr:to>
          <xdr:col>10</xdr:col>
          <xdr:colOff>133350</xdr:colOff>
          <xdr:row>9</xdr:row>
          <xdr:rowOff>9525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Donnerstag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9</xdr:row>
          <xdr:rowOff>85725</xdr:rowOff>
        </xdr:from>
        <xdr:to>
          <xdr:col>10</xdr:col>
          <xdr:colOff>133350</xdr:colOff>
          <xdr:row>11</xdr:row>
          <xdr:rowOff>9525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Freitag</a:t>
              </a:r>
            </a:p>
          </xdr:txBody>
        </xdr:sp>
        <xdr:clientData fLocksWithSheet="0"/>
      </xdr:twoCellAnchor>
    </mc:Choice>
    <mc:Fallback/>
  </mc:AlternateContent>
  <xdr:oneCellAnchor>
    <xdr:from>
      <xdr:col>10</xdr:col>
      <xdr:colOff>471487</xdr:colOff>
      <xdr:row>18</xdr:row>
      <xdr:rowOff>94456</xdr:rowOff>
    </xdr:from>
    <xdr:ext cx="65" cy="172227"/>
    <xdr:sp macro="" textlink="">
      <xdr:nvSpPr>
        <xdr:cNvPr id="7" name="Textfeld 6"/>
        <xdr:cNvSpPr txBox="1"/>
      </xdr:nvSpPr>
      <xdr:spPr>
        <a:xfrm>
          <a:off x="6643687" y="3028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twoCellAnchor>
    <xdr:from>
      <xdr:col>0</xdr:col>
      <xdr:colOff>325437</xdr:colOff>
      <xdr:row>16</xdr:row>
      <xdr:rowOff>7938</xdr:rowOff>
    </xdr:from>
    <xdr:to>
      <xdr:col>0</xdr:col>
      <xdr:colOff>555626</xdr:colOff>
      <xdr:row>16</xdr:row>
      <xdr:rowOff>230188</xdr:rowOff>
    </xdr:to>
    <xdr:sp macro="" textlink="">
      <xdr:nvSpPr>
        <xdr:cNvPr id="8" name="Flussdiagramm: Verbindungsstelle 7">
          <a:hlinkClick xmlns:r="http://schemas.openxmlformats.org/officeDocument/2006/relationships" r:id="rId1"/>
        </xdr:cNvPr>
        <xdr:cNvSpPr/>
      </xdr:nvSpPr>
      <xdr:spPr>
        <a:xfrm>
          <a:off x="325437" y="2598738"/>
          <a:ext cx="230189" cy="222250"/>
        </a:xfrm>
        <a:prstGeom prst="flowChartConnector">
          <a:avLst/>
        </a:prstGeom>
        <a:ln>
          <a:noFill/>
        </a:ln>
        <a:effectLst/>
        <a:scene3d>
          <a:camera prst="orthographicFront">
            <a:rot lat="0" lon="0" rev="0"/>
          </a:camera>
          <a:lightRig rig="contrasting" dir="t">
            <a:rot lat="0" lon="0" rev="7800000"/>
          </a:lightRig>
        </a:scene3d>
        <a:sp3d>
          <a:bevelT w="139700" h="139700"/>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de-DE" sz="1400"/>
            <a:t>?</a:t>
          </a:r>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314325</xdr:colOff>
          <xdr:row>1</xdr:row>
          <xdr:rowOff>57150</xdr:rowOff>
        </xdr:from>
        <xdr:to>
          <xdr:col>9</xdr:col>
          <xdr:colOff>819150</xdr:colOff>
          <xdr:row>3</xdr:row>
          <xdr:rowOff>47625</xdr:rowOff>
        </xdr:to>
        <xdr:sp macro="" textlink="">
          <xdr:nvSpPr>
            <xdr:cNvPr id="9223" name="Check Box 7" hidden="1">
              <a:extLst>
                <a:ext uri="{63B3BB69-23CF-44E3-9099-C40C66FF867C}">
                  <a14:compatExt spid="_x0000_s9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Montag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3</xdr:row>
          <xdr:rowOff>76200</xdr:rowOff>
        </xdr:from>
        <xdr:to>
          <xdr:col>10</xdr:col>
          <xdr:colOff>133350</xdr:colOff>
          <xdr:row>5</xdr:row>
          <xdr:rowOff>47625</xdr:rowOff>
        </xdr:to>
        <xdr:sp macro="" textlink="">
          <xdr:nvSpPr>
            <xdr:cNvPr id="9224" name="Check Box 8" hidden="1">
              <a:extLst>
                <a:ext uri="{63B3BB69-23CF-44E3-9099-C40C66FF867C}">
                  <a14:compatExt spid="_x0000_s9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Dienstag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5</xdr:row>
          <xdr:rowOff>76200</xdr:rowOff>
        </xdr:from>
        <xdr:to>
          <xdr:col>10</xdr:col>
          <xdr:colOff>133350</xdr:colOff>
          <xdr:row>7</xdr:row>
          <xdr:rowOff>38100</xdr:rowOff>
        </xdr:to>
        <xdr:sp macro="" textlink="">
          <xdr:nvSpPr>
            <xdr:cNvPr id="9225" name="Check Box 9" hidden="1">
              <a:extLst>
                <a:ext uri="{63B3BB69-23CF-44E3-9099-C40C66FF867C}">
                  <a14:compatExt spid="_x0000_s9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Mittwoch</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7</xdr:row>
          <xdr:rowOff>76200</xdr:rowOff>
        </xdr:from>
        <xdr:to>
          <xdr:col>10</xdr:col>
          <xdr:colOff>133350</xdr:colOff>
          <xdr:row>9</xdr:row>
          <xdr:rowOff>47625</xdr:rowOff>
        </xdr:to>
        <xdr:sp macro="" textlink="">
          <xdr:nvSpPr>
            <xdr:cNvPr id="9226" name="Check Box 10" hidden="1">
              <a:extLst>
                <a:ext uri="{63B3BB69-23CF-44E3-9099-C40C66FF867C}">
                  <a14:compatExt spid="_x0000_s9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Donnerstag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9</xdr:row>
          <xdr:rowOff>76200</xdr:rowOff>
        </xdr:from>
        <xdr:to>
          <xdr:col>10</xdr:col>
          <xdr:colOff>133350</xdr:colOff>
          <xdr:row>11</xdr:row>
          <xdr:rowOff>47625</xdr:rowOff>
        </xdr:to>
        <xdr:sp macro="" textlink="">
          <xdr:nvSpPr>
            <xdr:cNvPr id="9227" name="Check Box 11" hidden="1">
              <a:extLst>
                <a:ext uri="{63B3BB69-23CF-44E3-9099-C40C66FF867C}">
                  <a14:compatExt spid="_x0000_s9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Freitag</a:t>
              </a:r>
            </a:p>
          </xdr:txBody>
        </xdr:sp>
        <xdr:clientData fLocksWithSheet="0"/>
      </xdr:twoCellAnchor>
    </mc:Choice>
    <mc:Fallback/>
  </mc:AlternateContent>
  <xdr:oneCellAnchor>
    <xdr:from>
      <xdr:col>10</xdr:col>
      <xdr:colOff>471487</xdr:colOff>
      <xdr:row>18</xdr:row>
      <xdr:rowOff>94456</xdr:rowOff>
    </xdr:from>
    <xdr:ext cx="65" cy="172227"/>
    <xdr:sp macro="" textlink="">
      <xdr:nvSpPr>
        <xdr:cNvPr id="14" name="Textfeld 13"/>
        <xdr:cNvSpPr txBox="1"/>
      </xdr:nvSpPr>
      <xdr:spPr>
        <a:xfrm>
          <a:off x="6643687" y="3028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twoCellAnchor>
    <xdr:from>
      <xdr:col>0</xdr:col>
      <xdr:colOff>325437</xdr:colOff>
      <xdr:row>16</xdr:row>
      <xdr:rowOff>7938</xdr:rowOff>
    </xdr:from>
    <xdr:to>
      <xdr:col>0</xdr:col>
      <xdr:colOff>555626</xdr:colOff>
      <xdr:row>16</xdr:row>
      <xdr:rowOff>230188</xdr:rowOff>
    </xdr:to>
    <xdr:sp macro="" textlink="">
      <xdr:nvSpPr>
        <xdr:cNvPr id="15" name="Flussdiagramm: Verbindungsstelle 14">
          <a:hlinkClick xmlns:r="http://schemas.openxmlformats.org/officeDocument/2006/relationships" r:id="rId1"/>
        </xdr:cNvPr>
        <xdr:cNvSpPr/>
      </xdr:nvSpPr>
      <xdr:spPr>
        <a:xfrm>
          <a:off x="325437" y="2598738"/>
          <a:ext cx="230189" cy="222250"/>
        </a:xfrm>
        <a:prstGeom prst="flowChartConnector">
          <a:avLst/>
        </a:prstGeom>
        <a:ln>
          <a:noFill/>
        </a:ln>
        <a:effectLst/>
        <a:scene3d>
          <a:camera prst="orthographicFront">
            <a:rot lat="0" lon="0" rev="0"/>
          </a:camera>
          <a:lightRig rig="contrasting" dir="t">
            <a:rot lat="0" lon="0" rev="7800000"/>
          </a:lightRig>
        </a:scene3d>
        <a:sp3d>
          <a:bevelT w="139700" h="139700"/>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de-DE" sz="1400"/>
            <a:t>?</a:t>
          </a:r>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304800</xdr:colOff>
          <xdr:row>1</xdr:row>
          <xdr:rowOff>28575</xdr:rowOff>
        </xdr:from>
        <xdr:to>
          <xdr:col>9</xdr:col>
          <xdr:colOff>638175</xdr:colOff>
          <xdr:row>3</xdr:row>
          <xdr:rowOff>47625</xdr:rowOff>
        </xdr:to>
        <xdr:sp macro="" textlink="">
          <xdr:nvSpPr>
            <xdr:cNvPr id="10241" name="Check Box 1" hidden="1">
              <a:extLst>
                <a:ext uri="{63B3BB69-23CF-44E3-9099-C40C66FF867C}">
                  <a14:compatExt spid="_x0000_s10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Montag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3</xdr:row>
          <xdr:rowOff>38100</xdr:rowOff>
        </xdr:from>
        <xdr:to>
          <xdr:col>9</xdr:col>
          <xdr:colOff>790575</xdr:colOff>
          <xdr:row>5</xdr:row>
          <xdr:rowOff>38100</xdr:rowOff>
        </xdr:to>
        <xdr:sp macro="" textlink="">
          <xdr:nvSpPr>
            <xdr:cNvPr id="10242" name="Check Box 2" hidden="1">
              <a:extLst>
                <a:ext uri="{63B3BB69-23CF-44E3-9099-C40C66FF867C}">
                  <a14:compatExt spid="_x0000_s10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Dienstag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5</xdr:row>
          <xdr:rowOff>38100</xdr:rowOff>
        </xdr:from>
        <xdr:to>
          <xdr:col>9</xdr:col>
          <xdr:colOff>695325</xdr:colOff>
          <xdr:row>7</xdr:row>
          <xdr:rowOff>28575</xdr:rowOff>
        </xdr:to>
        <xdr:sp macro="" textlink="">
          <xdr:nvSpPr>
            <xdr:cNvPr id="10243" name="Check Box 3" hidden="1">
              <a:extLst>
                <a:ext uri="{63B3BB69-23CF-44E3-9099-C40C66FF867C}">
                  <a14:compatExt spid="_x0000_s10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Mittwoch</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7</xdr:row>
          <xdr:rowOff>38100</xdr:rowOff>
        </xdr:from>
        <xdr:to>
          <xdr:col>10</xdr:col>
          <xdr:colOff>228600</xdr:colOff>
          <xdr:row>9</xdr:row>
          <xdr:rowOff>38100</xdr:rowOff>
        </xdr:to>
        <xdr:sp macro="" textlink="">
          <xdr:nvSpPr>
            <xdr:cNvPr id="10244" name="Check Box 4" hidden="1">
              <a:extLst>
                <a:ext uri="{63B3BB69-23CF-44E3-9099-C40C66FF867C}">
                  <a14:compatExt spid="_x0000_s10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Donnerstag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9</xdr:row>
          <xdr:rowOff>38100</xdr:rowOff>
        </xdr:from>
        <xdr:to>
          <xdr:col>9</xdr:col>
          <xdr:colOff>828675</xdr:colOff>
          <xdr:row>11</xdr:row>
          <xdr:rowOff>38100</xdr:rowOff>
        </xdr:to>
        <xdr:sp macro="" textlink="">
          <xdr:nvSpPr>
            <xdr:cNvPr id="10245" name="Check Box 5" hidden="1">
              <a:extLst>
                <a:ext uri="{63B3BB69-23CF-44E3-9099-C40C66FF867C}">
                  <a14:compatExt spid="_x0000_s10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Freitag</a:t>
              </a:r>
            </a:p>
          </xdr:txBody>
        </xdr:sp>
        <xdr:clientData fLocksWithSheet="0"/>
      </xdr:twoCellAnchor>
    </mc:Choice>
    <mc:Fallback/>
  </mc:AlternateContent>
  <xdr:oneCellAnchor>
    <xdr:from>
      <xdr:col>10</xdr:col>
      <xdr:colOff>471487</xdr:colOff>
      <xdr:row>18</xdr:row>
      <xdr:rowOff>94456</xdr:rowOff>
    </xdr:from>
    <xdr:ext cx="65" cy="172227"/>
    <xdr:sp macro="" textlink="">
      <xdr:nvSpPr>
        <xdr:cNvPr id="7" name="Textfeld 6"/>
        <xdr:cNvSpPr txBox="1"/>
      </xdr:nvSpPr>
      <xdr:spPr>
        <a:xfrm>
          <a:off x="6643687" y="3028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twoCellAnchor>
    <xdr:from>
      <xdr:col>0</xdr:col>
      <xdr:colOff>325437</xdr:colOff>
      <xdr:row>16</xdr:row>
      <xdr:rowOff>7938</xdr:rowOff>
    </xdr:from>
    <xdr:to>
      <xdr:col>0</xdr:col>
      <xdr:colOff>555626</xdr:colOff>
      <xdr:row>16</xdr:row>
      <xdr:rowOff>230188</xdr:rowOff>
    </xdr:to>
    <xdr:sp macro="" textlink="">
      <xdr:nvSpPr>
        <xdr:cNvPr id="8" name="Flussdiagramm: Verbindungsstelle 7">
          <a:hlinkClick xmlns:r="http://schemas.openxmlformats.org/officeDocument/2006/relationships" r:id="rId1"/>
        </xdr:cNvPr>
        <xdr:cNvSpPr/>
      </xdr:nvSpPr>
      <xdr:spPr>
        <a:xfrm>
          <a:off x="325437" y="2598738"/>
          <a:ext cx="230189" cy="222250"/>
        </a:xfrm>
        <a:prstGeom prst="flowChartConnector">
          <a:avLst/>
        </a:prstGeom>
        <a:ln>
          <a:noFill/>
        </a:ln>
        <a:effectLst/>
        <a:scene3d>
          <a:camera prst="orthographicFront">
            <a:rot lat="0" lon="0" rev="0"/>
          </a:camera>
          <a:lightRig rig="contrasting" dir="t">
            <a:rot lat="0" lon="0" rev="7800000"/>
          </a:lightRig>
        </a:scene3d>
        <a:sp3d>
          <a:bevelT w="139700" h="139700"/>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de-DE" sz="1400"/>
            <a:t>?</a:t>
          </a:r>
        </a:p>
      </xdr:txBody>
    </xdr:sp>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323850</xdr:colOff>
          <xdr:row>1</xdr:row>
          <xdr:rowOff>47625</xdr:rowOff>
        </xdr:from>
        <xdr:to>
          <xdr:col>9</xdr:col>
          <xdr:colOff>504825</xdr:colOff>
          <xdr:row>3</xdr:row>
          <xdr:rowOff>57150</xdr:rowOff>
        </xdr:to>
        <xdr:sp macro="" textlink="">
          <xdr:nvSpPr>
            <xdr:cNvPr id="11265" name="Check Box 1" hidden="1">
              <a:extLst>
                <a:ext uri="{63B3BB69-23CF-44E3-9099-C40C66FF867C}">
                  <a14:compatExt spid="_x0000_s1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Montag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323850</xdr:colOff>
          <xdr:row>3</xdr:row>
          <xdr:rowOff>57150</xdr:rowOff>
        </xdr:from>
        <xdr:to>
          <xdr:col>9</xdr:col>
          <xdr:colOff>752475</xdr:colOff>
          <xdr:row>5</xdr:row>
          <xdr:rowOff>47625</xdr:rowOff>
        </xdr:to>
        <xdr:sp macro="" textlink="">
          <xdr:nvSpPr>
            <xdr:cNvPr id="11266" name="Check Box 2" hidden="1">
              <a:extLst>
                <a:ext uri="{63B3BB69-23CF-44E3-9099-C40C66FF867C}">
                  <a14:compatExt spid="_x0000_s1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Dienstag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323850</xdr:colOff>
          <xdr:row>5</xdr:row>
          <xdr:rowOff>57150</xdr:rowOff>
        </xdr:from>
        <xdr:to>
          <xdr:col>9</xdr:col>
          <xdr:colOff>790575</xdr:colOff>
          <xdr:row>7</xdr:row>
          <xdr:rowOff>38100</xdr:rowOff>
        </xdr:to>
        <xdr:sp macro="" textlink="">
          <xdr:nvSpPr>
            <xdr:cNvPr id="11267" name="Check Box 3" hidden="1">
              <a:extLst>
                <a:ext uri="{63B3BB69-23CF-44E3-9099-C40C66FF867C}">
                  <a14:compatExt spid="_x0000_s1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Mittwoch</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323850</xdr:colOff>
          <xdr:row>7</xdr:row>
          <xdr:rowOff>57150</xdr:rowOff>
        </xdr:from>
        <xdr:to>
          <xdr:col>9</xdr:col>
          <xdr:colOff>676275</xdr:colOff>
          <xdr:row>9</xdr:row>
          <xdr:rowOff>47625</xdr:rowOff>
        </xdr:to>
        <xdr:sp macro="" textlink="">
          <xdr:nvSpPr>
            <xdr:cNvPr id="11268" name="Check Box 4" hidden="1">
              <a:extLst>
                <a:ext uri="{63B3BB69-23CF-44E3-9099-C40C66FF867C}">
                  <a14:compatExt spid="_x0000_s1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Donnerstag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323850</xdr:colOff>
          <xdr:row>9</xdr:row>
          <xdr:rowOff>57150</xdr:rowOff>
        </xdr:from>
        <xdr:to>
          <xdr:col>10</xdr:col>
          <xdr:colOff>28575</xdr:colOff>
          <xdr:row>11</xdr:row>
          <xdr:rowOff>47625</xdr:rowOff>
        </xdr:to>
        <xdr:sp macro="" textlink="">
          <xdr:nvSpPr>
            <xdr:cNvPr id="11269" name="Check Box 5" hidden="1">
              <a:extLst>
                <a:ext uri="{63B3BB69-23CF-44E3-9099-C40C66FF867C}">
                  <a14:compatExt spid="_x0000_s11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Freitag</a:t>
              </a:r>
            </a:p>
          </xdr:txBody>
        </xdr:sp>
        <xdr:clientData fLocksWithSheet="0"/>
      </xdr:twoCellAnchor>
    </mc:Choice>
    <mc:Fallback/>
  </mc:AlternateContent>
  <xdr:oneCellAnchor>
    <xdr:from>
      <xdr:col>10</xdr:col>
      <xdr:colOff>471487</xdr:colOff>
      <xdr:row>18</xdr:row>
      <xdr:rowOff>94456</xdr:rowOff>
    </xdr:from>
    <xdr:ext cx="65" cy="172227"/>
    <xdr:sp macro="" textlink="">
      <xdr:nvSpPr>
        <xdr:cNvPr id="7" name="Textfeld 6"/>
        <xdr:cNvSpPr txBox="1"/>
      </xdr:nvSpPr>
      <xdr:spPr>
        <a:xfrm>
          <a:off x="6643687" y="3028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twoCellAnchor>
    <xdr:from>
      <xdr:col>0</xdr:col>
      <xdr:colOff>325437</xdr:colOff>
      <xdr:row>16</xdr:row>
      <xdr:rowOff>7938</xdr:rowOff>
    </xdr:from>
    <xdr:to>
      <xdr:col>0</xdr:col>
      <xdr:colOff>555626</xdr:colOff>
      <xdr:row>16</xdr:row>
      <xdr:rowOff>230188</xdr:rowOff>
    </xdr:to>
    <xdr:sp macro="" textlink="">
      <xdr:nvSpPr>
        <xdr:cNvPr id="8" name="Flussdiagramm: Verbindungsstelle 7">
          <a:hlinkClick xmlns:r="http://schemas.openxmlformats.org/officeDocument/2006/relationships" r:id="rId1"/>
        </xdr:cNvPr>
        <xdr:cNvSpPr/>
      </xdr:nvSpPr>
      <xdr:spPr>
        <a:xfrm>
          <a:off x="325437" y="2598738"/>
          <a:ext cx="230189" cy="222250"/>
        </a:xfrm>
        <a:prstGeom prst="flowChartConnector">
          <a:avLst/>
        </a:prstGeom>
        <a:ln>
          <a:noFill/>
        </a:ln>
        <a:effectLst/>
        <a:scene3d>
          <a:camera prst="orthographicFront">
            <a:rot lat="0" lon="0" rev="0"/>
          </a:camera>
          <a:lightRig rig="contrasting" dir="t">
            <a:rot lat="0" lon="0" rev="7800000"/>
          </a:lightRig>
        </a:scene3d>
        <a:sp3d>
          <a:bevelT w="139700" h="139700"/>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de-DE" sz="1400"/>
            <a:t>?</a:t>
          </a:r>
        </a:p>
      </xdr:txBody>
    </xdr:sp>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314325</xdr:colOff>
          <xdr:row>1</xdr:row>
          <xdr:rowOff>19050</xdr:rowOff>
        </xdr:from>
        <xdr:to>
          <xdr:col>10</xdr:col>
          <xdr:colOff>66675</xdr:colOff>
          <xdr:row>3</xdr:row>
          <xdr:rowOff>76200</xdr:rowOff>
        </xdr:to>
        <xdr:sp macro="" textlink="">
          <xdr:nvSpPr>
            <xdr:cNvPr id="12289" name="Check Box 1" hidden="1">
              <a:extLst>
                <a:ext uri="{63B3BB69-23CF-44E3-9099-C40C66FF867C}">
                  <a14:compatExt spid="_x0000_s1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Montag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3</xdr:row>
          <xdr:rowOff>28575</xdr:rowOff>
        </xdr:from>
        <xdr:to>
          <xdr:col>9</xdr:col>
          <xdr:colOff>600075</xdr:colOff>
          <xdr:row>5</xdr:row>
          <xdr:rowOff>66675</xdr:rowOff>
        </xdr:to>
        <xdr:sp macro="" textlink="">
          <xdr:nvSpPr>
            <xdr:cNvPr id="12290" name="Check Box 2" hidden="1">
              <a:extLst>
                <a:ext uri="{63B3BB69-23CF-44E3-9099-C40C66FF867C}">
                  <a14:compatExt spid="_x0000_s1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Dienstag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5</xdr:row>
          <xdr:rowOff>28575</xdr:rowOff>
        </xdr:from>
        <xdr:to>
          <xdr:col>9</xdr:col>
          <xdr:colOff>428625</xdr:colOff>
          <xdr:row>7</xdr:row>
          <xdr:rowOff>57150</xdr:rowOff>
        </xdr:to>
        <xdr:sp macro="" textlink="">
          <xdr:nvSpPr>
            <xdr:cNvPr id="12291" name="Check Box 3" hidden="1">
              <a:extLst>
                <a:ext uri="{63B3BB69-23CF-44E3-9099-C40C66FF867C}">
                  <a14:compatExt spid="_x0000_s1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Mittwoch</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7</xdr:row>
          <xdr:rowOff>28575</xdr:rowOff>
        </xdr:from>
        <xdr:to>
          <xdr:col>9</xdr:col>
          <xdr:colOff>704850</xdr:colOff>
          <xdr:row>9</xdr:row>
          <xdr:rowOff>66675</xdr:rowOff>
        </xdr:to>
        <xdr:sp macro="" textlink="">
          <xdr:nvSpPr>
            <xdr:cNvPr id="12292" name="Check Box 4" hidden="1">
              <a:extLst>
                <a:ext uri="{63B3BB69-23CF-44E3-9099-C40C66FF867C}">
                  <a14:compatExt spid="_x0000_s1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Donnerstag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9</xdr:row>
          <xdr:rowOff>28575</xdr:rowOff>
        </xdr:from>
        <xdr:to>
          <xdr:col>9</xdr:col>
          <xdr:colOff>800100</xdr:colOff>
          <xdr:row>11</xdr:row>
          <xdr:rowOff>66675</xdr:rowOff>
        </xdr:to>
        <xdr:sp macro="" textlink="">
          <xdr:nvSpPr>
            <xdr:cNvPr id="12293" name="Check Box 5" hidden="1">
              <a:extLst>
                <a:ext uri="{63B3BB69-23CF-44E3-9099-C40C66FF867C}">
                  <a14:compatExt spid="_x0000_s1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Freitag</a:t>
              </a:r>
            </a:p>
          </xdr:txBody>
        </xdr:sp>
        <xdr:clientData fLocksWithSheet="0"/>
      </xdr:twoCellAnchor>
    </mc:Choice>
    <mc:Fallback/>
  </mc:AlternateContent>
  <xdr:oneCellAnchor>
    <xdr:from>
      <xdr:col>10</xdr:col>
      <xdr:colOff>471487</xdr:colOff>
      <xdr:row>18</xdr:row>
      <xdr:rowOff>94456</xdr:rowOff>
    </xdr:from>
    <xdr:ext cx="65" cy="172227"/>
    <xdr:sp macro="" textlink="">
      <xdr:nvSpPr>
        <xdr:cNvPr id="7" name="Textfeld 6"/>
        <xdr:cNvSpPr txBox="1"/>
      </xdr:nvSpPr>
      <xdr:spPr>
        <a:xfrm>
          <a:off x="6643687" y="3028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twoCellAnchor>
    <xdr:from>
      <xdr:col>0</xdr:col>
      <xdr:colOff>325437</xdr:colOff>
      <xdr:row>16</xdr:row>
      <xdr:rowOff>7938</xdr:rowOff>
    </xdr:from>
    <xdr:to>
      <xdr:col>0</xdr:col>
      <xdr:colOff>555626</xdr:colOff>
      <xdr:row>16</xdr:row>
      <xdr:rowOff>230188</xdr:rowOff>
    </xdr:to>
    <xdr:sp macro="" textlink="">
      <xdr:nvSpPr>
        <xdr:cNvPr id="8" name="Flussdiagramm: Verbindungsstelle 7">
          <a:hlinkClick xmlns:r="http://schemas.openxmlformats.org/officeDocument/2006/relationships" r:id="rId1"/>
        </xdr:cNvPr>
        <xdr:cNvSpPr/>
      </xdr:nvSpPr>
      <xdr:spPr>
        <a:xfrm>
          <a:off x="325437" y="2598738"/>
          <a:ext cx="230189" cy="222250"/>
        </a:xfrm>
        <a:prstGeom prst="flowChartConnector">
          <a:avLst/>
        </a:prstGeom>
        <a:ln>
          <a:noFill/>
        </a:ln>
        <a:effectLst/>
        <a:scene3d>
          <a:camera prst="orthographicFront">
            <a:rot lat="0" lon="0" rev="0"/>
          </a:camera>
          <a:lightRig rig="contrasting" dir="t">
            <a:rot lat="0" lon="0" rev="7800000"/>
          </a:lightRig>
        </a:scene3d>
        <a:sp3d>
          <a:bevelT w="139700" h="139700"/>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de-DE" sz="1400"/>
            <a:t>?</a:t>
          </a:r>
        </a:p>
      </xdr:txBody>
    </xdr:sp>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314325</xdr:colOff>
          <xdr:row>1</xdr:row>
          <xdr:rowOff>57150</xdr:rowOff>
        </xdr:from>
        <xdr:to>
          <xdr:col>10</xdr:col>
          <xdr:colOff>200025</xdr:colOff>
          <xdr:row>3</xdr:row>
          <xdr:rowOff>47625</xdr:rowOff>
        </xdr:to>
        <xdr:sp macro="" textlink="">
          <xdr:nvSpPr>
            <xdr:cNvPr id="13313" name="Check Box 1" hidden="1">
              <a:extLst>
                <a:ext uri="{63B3BB69-23CF-44E3-9099-C40C66FF867C}">
                  <a14:compatExt spid="_x0000_s13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Montag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3</xdr:row>
          <xdr:rowOff>66675</xdr:rowOff>
        </xdr:from>
        <xdr:to>
          <xdr:col>9</xdr:col>
          <xdr:colOff>685800</xdr:colOff>
          <xdr:row>5</xdr:row>
          <xdr:rowOff>38100</xdr:rowOff>
        </xdr:to>
        <xdr:sp macro="" textlink="">
          <xdr:nvSpPr>
            <xdr:cNvPr id="13314" name="Check Box 2" hidden="1">
              <a:extLst>
                <a:ext uri="{63B3BB69-23CF-44E3-9099-C40C66FF867C}">
                  <a14:compatExt spid="_x0000_s13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Dienstag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5</xdr:row>
          <xdr:rowOff>66675</xdr:rowOff>
        </xdr:from>
        <xdr:to>
          <xdr:col>9</xdr:col>
          <xdr:colOff>742950</xdr:colOff>
          <xdr:row>7</xdr:row>
          <xdr:rowOff>28575</xdr:rowOff>
        </xdr:to>
        <xdr:sp macro="" textlink="">
          <xdr:nvSpPr>
            <xdr:cNvPr id="13315" name="Check Box 3" hidden="1">
              <a:extLst>
                <a:ext uri="{63B3BB69-23CF-44E3-9099-C40C66FF867C}">
                  <a14:compatExt spid="_x0000_s13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Mittwoch</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7</xdr:row>
          <xdr:rowOff>66675</xdr:rowOff>
        </xdr:from>
        <xdr:to>
          <xdr:col>9</xdr:col>
          <xdr:colOff>657225</xdr:colOff>
          <xdr:row>9</xdr:row>
          <xdr:rowOff>38100</xdr:rowOff>
        </xdr:to>
        <xdr:sp macro="" textlink="">
          <xdr:nvSpPr>
            <xdr:cNvPr id="13316" name="Check Box 4" hidden="1">
              <a:extLst>
                <a:ext uri="{63B3BB69-23CF-44E3-9099-C40C66FF867C}">
                  <a14:compatExt spid="_x0000_s13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Donnerstag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9</xdr:row>
          <xdr:rowOff>66675</xdr:rowOff>
        </xdr:from>
        <xdr:to>
          <xdr:col>9</xdr:col>
          <xdr:colOff>657225</xdr:colOff>
          <xdr:row>11</xdr:row>
          <xdr:rowOff>38100</xdr:rowOff>
        </xdr:to>
        <xdr:sp macro="" textlink="">
          <xdr:nvSpPr>
            <xdr:cNvPr id="13317" name="Check Box 5" hidden="1">
              <a:extLst>
                <a:ext uri="{63B3BB69-23CF-44E3-9099-C40C66FF867C}">
                  <a14:compatExt spid="_x0000_s13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de-DE" sz="1000" b="0" i="0" u="none" strike="noStrike" baseline="0">
                  <a:solidFill>
                    <a:srgbClr val="000000"/>
                  </a:solidFill>
                  <a:latin typeface="Geneva"/>
                </a:rPr>
                <a:t>Freitag</a:t>
              </a:r>
            </a:p>
          </xdr:txBody>
        </xdr:sp>
        <xdr:clientData fLocksWithSheet="0"/>
      </xdr:twoCellAnchor>
    </mc:Choice>
    <mc:Fallback/>
  </mc:AlternateContent>
  <xdr:oneCellAnchor>
    <xdr:from>
      <xdr:col>10</xdr:col>
      <xdr:colOff>471487</xdr:colOff>
      <xdr:row>18</xdr:row>
      <xdr:rowOff>94456</xdr:rowOff>
    </xdr:from>
    <xdr:ext cx="65" cy="172227"/>
    <xdr:sp macro="" textlink="">
      <xdr:nvSpPr>
        <xdr:cNvPr id="7" name="Textfeld 6"/>
        <xdr:cNvSpPr txBox="1"/>
      </xdr:nvSpPr>
      <xdr:spPr>
        <a:xfrm>
          <a:off x="6643687" y="302815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twoCellAnchor>
    <xdr:from>
      <xdr:col>0</xdr:col>
      <xdr:colOff>325437</xdr:colOff>
      <xdr:row>16</xdr:row>
      <xdr:rowOff>7938</xdr:rowOff>
    </xdr:from>
    <xdr:to>
      <xdr:col>0</xdr:col>
      <xdr:colOff>555626</xdr:colOff>
      <xdr:row>16</xdr:row>
      <xdr:rowOff>230188</xdr:rowOff>
    </xdr:to>
    <xdr:sp macro="" textlink="">
      <xdr:nvSpPr>
        <xdr:cNvPr id="8" name="Flussdiagramm: Verbindungsstelle 7">
          <a:hlinkClick xmlns:r="http://schemas.openxmlformats.org/officeDocument/2006/relationships" r:id="rId1"/>
        </xdr:cNvPr>
        <xdr:cNvSpPr/>
      </xdr:nvSpPr>
      <xdr:spPr>
        <a:xfrm>
          <a:off x="325437" y="2598738"/>
          <a:ext cx="230189" cy="222250"/>
        </a:xfrm>
        <a:prstGeom prst="flowChartConnector">
          <a:avLst/>
        </a:prstGeom>
        <a:ln>
          <a:noFill/>
        </a:ln>
        <a:effectLst/>
        <a:scene3d>
          <a:camera prst="orthographicFront">
            <a:rot lat="0" lon="0" rev="0"/>
          </a:camera>
          <a:lightRig rig="contrasting" dir="t">
            <a:rot lat="0" lon="0" rev="7800000"/>
          </a:lightRig>
        </a:scene3d>
        <a:sp3d>
          <a:bevelT w="139700" h="139700"/>
        </a:sp3d>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de-DE" sz="1400"/>
            <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drawing" Target="../drawings/drawing1.xml"/><Relationship Id="rId7" Type="http://schemas.openxmlformats.org/officeDocument/2006/relationships/ctrlProp" Target="../ctrlProps/ctrlProp2.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1.xml"/><Relationship Id="rId11" Type="http://schemas.openxmlformats.org/officeDocument/2006/relationships/comments" Target="../comments1.xml"/><Relationship Id="rId5" Type="http://schemas.openxmlformats.org/officeDocument/2006/relationships/vmlDrawing" Target="../drawings/vmlDrawing2.vml"/><Relationship Id="rId10" Type="http://schemas.openxmlformats.org/officeDocument/2006/relationships/ctrlProp" Target="../ctrlProps/ctrlProp5.xml"/><Relationship Id="rId4" Type="http://schemas.openxmlformats.org/officeDocument/2006/relationships/vmlDrawing" Target="../drawings/vmlDrawing1.vml"/><Relationship Id="rId9" Type="http://schemas.openxmlformats.org/officeDocument/2006/relationships/ctrlProp" Target="../ctrlProps/ctrlProp4.xml"/></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49.xml"/><Relationship Id="rId3" Type="http://schemas.openxmlformats.org/officeDocument/2006/relationships/vmlDrawing" Target="../drawings/vmlDrawing19.vml"/><Relationship Id="rId7" Type="http://schemas.openxmlformats.org/officeDocument/2006/relationships/ctrlProp" Target="../ctrlProps/ctrlProp48.xml"/><Relationship Id="rId2" Type="http://schemas.openxmlformats.org/officeDocument/2006/relationships/drawing" Target="../drawings/drawing10.xml"/><Relationship Id="rId1" Type="http://schemas.openxmlformats.org/officeDocument/2006/relationships/printerSettings" Target="../printerSettings/printerSettings13.bin"/><Relationship Id="rId6" Type="http://schemas.openxmlformats.org/officeDocument/2006/relationships/ctrlProp" Target="../ctrlProps/ctrlProp47.xml"/><Relationship Id="rId5" Type="http://schemas.openxmlformats.org/officeDocument/2006/relationships/ctrlProp" Target="../ctrlProps/ctrlProp46.xml"/><Relationship Id="rId10" Type="http://schemas.openxmlformats.org/officeDocument/2006/relationships/comments" Target="../comments9.xml"/><Relationship Id="rId4" Type="http://schemas.openxmlformats.org/officeDocument/2006/relationships/vmlDrawing" Target="../drawings/vmlDrawing20.vml"/><Relationship Id="rId9" Type="http://schemas.openxmlformats.org/officeDocument/2006/relationships/ctrlProp" Target="../ctrlProps/ctrlProp50.xml"/></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54.xml"/><Relationship Id="rId3" Type="http://schemas.openxmlformats.org/officeDocument/2006/relationships/vmlDrawing" Target="../drawings/vmlDrawing21.vml"/><Relationship Id="rId7" Type="http://schemas.openxmlformats.org/officeDocument/2006/relationships/ctrlProp" Target="../ctrlProps/ctrlProp53.xml"/><Relationship Id="rId2" Type="http://schemas.openxmlformats.org/officeDocument/2006/relationships/drawing" Target="../drawings/drawing11.xml"/><Relationship Id="rId1" Type="http://schemas.openxmlformats.org/officeDocument/2006/relationships/printerSettings" Target="../printerSettings/printerSettings14.bin"/><Relationship Id="rId6" Type="http://schemas.openxmlformats.org/officeDocument/2006/relationships/ctrlProp" Target="../ctrlProps/ctrlProp52.xml"/><Relationship Id="rId5" Type="http://schemas.openxmlformats.org/officeDocument/2006/relationships/ctrlProp" Target="../ctrlProps/ctrlProp51.xml"/><Relationship Id="rId10" Type="http://schemas.openxmlformats.org/officeDocument/2006/relationships/comments" Target="../comments10.xml"/><Relationship Id="rId4" Type="http://schemas.openxmlformats.org/officeDocument/2006/relationships/vmlDrawing" Target="../drawings/vmlDrawing22.vml"/><Relationship Id="rId9" Type="http://schemas.openxmlformats.org/officeDocument/2006/relationships/ctrlProp" Target="../ctrlProps/ctrlProp55.xml"/></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59.xml"/><Relationship Id="rId3" Type="http://schemas.openxmlformats.org/officeDocument/2006/relationships/vmlDrawing" Target="../drawings/vmlDrawing23.vml"/><Relationship Id="rId7" Type="http://schemas.openxmlformats.org/officeDocument/2006/relationships/ctrlProp" Target="../ctrlProps/ctrlProp58.xml"/><Relationship Id="rId2" Type="http://schemas.openxmlformats.org/officeDocument/2006/relationships/drawing" Target="../drawings/drawing12.xml"/><Relationship Id="rId1" Type="http://schemas.openxmlformats.org/officeDocument/2006/relationships/printerSettings" Target="../printerSettings/printerSettings15.bin"/><Relationship Id="rId6" Type="http://schemas.openxmlformats.org/officeDocument/2006/relationships/ctrlProp" Target="../ctrlProps/ctrlProp57.xml"/><Relationship Id="rId5" Type="http://schemas.openxmlformats.org/officeDocument/2006/relationships/ctrlProp" Target="../ctrlProps/ctrlProp56.xml"/><Relationship Id="rId10" Type="http://schemas.openxmlformats.org/officeDocument/2006/relationships/comments" Target="../comments11.xml"/><Relationship Id="rId4" Type="http://schemas.openxmlformats.org/officeDocument/2006/relationships/vmlDrawing" Target="../drawings/vmlDrawing24.vml"/><Relationship Id="rId9" Type="http://schemas.openxmlformats.org/officeDocument/2006/relationships/ctrlProp" Target="../ctrlProps/ctrlProp60.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8.xml"/><Relationship Id="rId3" Type="http://schemas.openxmlformats.org/officeDocument/2006/relationships/drawing" Target="../drawings/drawing2.xml"/><Relationship Id="rId7" Type="http://schemas.openxmlformats.org/officeDocument/2006/relationships/ctrlProp" Target="../ctrlProps/ctrlProp7.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ctrlProp" Target="../ctrlProps/ctrlProp6.xml"/><Relationship Id="rId5" Type="http://schemas.openxmlformats.org/officeDocument/2006/relationships/vmlDrawing" Target="../drawings/vmlDrawing4.vml"/><Relationship Id="rId10" Type="http://schemas.openxmlformats.org/officeDocument/2006/relationships/ctrlProp" Target="../ctrlProps/ctrlProp10.xml"/><Relationship Id="rId4" Type="http://schemas.openxmlformats.org/officeDocument/2006/relationships/vmlDrawing" Target="../drawings/vmlDrawing3.vml"/><Relationship Id="rId9" Type="http://schemas.openxmlformats.org/officeDocument/2006/relationships/ctrlProp" Target="../ctrlProps/ctrlProp9.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3.xml"/><Relationship Id="rId3" Type="http://schemas.openxmlformats.org/officeDocument/2006/relationships/drawing" Target="../drawings/drawing3.xml"/><Relationship Id="rId7" Type="http://schemas.openxmlformats.org/officeDocument/2006/relationships/ctrlProp" Target="../ctrlProps/ctrlProp1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trlProp" Target="../ctrlProps/ctrlProp11.xml"/><Relationship Id="rId11" Type="http://schemas.openxmlformats.org/officeDocument/2006/relationships/comments" Target="../comments2.xml"/><Relationship Id="rId5" Type="http://schemas.openxmlformats.org/officeDocument/2006/relationships/vmlDrawing" Target="../drawings/vmlDrawing6.vml"/><Relationship Id="rId10" Type="http://schemas.openxmlformats.org/officeDocument/2006/relationships/ctrlProp" Target="../ctrlProps/ctrlProp15.xml"/><Relationship Id="rId4" Type="http://schemas.openxmlformats.org/officeDocument/2006/relationships/vmlDrawing" Target="../drawings/vmlDrawing5.vml"/><Relationship Id="rId9" Type="http://schemas.openxmlformats.org/officeDocument/2006/relationships/ctrlProp" Target="../ctrlProps/ctrlProp14.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9.xml"/><Relationship Id="rId3" Type="http://schemas.openxmlformats.org/officeDocument/2006/relationships/vmlDrawing" Target="../drawings/vmlDrawing7.vml"/><Relationship Id="rId7" Type="http://schemas.openxmlformats.org/officeDocument/2006/relationships/ctrlProp" Target="../ctrlProps/ctrlProp18.xml"/><Relationship Id="rId2" Type="http://schemas.openxmlformats.org/officeDocument/2006/relationships/drawing" Target="../drawings/drawing4.xml"/><Relationship Id="rId1" Type="http://schemas.openxmlformats.org/officeDocument/2006/relationships/printerSettings" Target="../printerSettings/printerSettings7.bin"/><Relationship Id="rId6" Type="http://schemas.openxmlformats.org/officeDocument/2006/relationships/ctrlProp" Target="../ctrlProps/ctrlProp17.xml"/><Relationship Id="rId5" Type="http://schemas.openxmlformats.org/officeDocument/2006/relationships/ctrlProp" Target="../ctrlProps/ctrlProp16.xml"/><Relationship Id="rId10" Type="http://schemas.openxmlformats.org/officeDocument/2006/relationships/comments" Target="../comments3.xml"/><Relationship Id="rId4" Type="http://schemas.openxmlformats.org/officeDocument/2006/relationships/vmlDrawing" Target="../drawings/vmlDrawing8.vml"/><Relationship Id="rId9" Type="http://schemas.openxmlformats.org/officeDocument/2006/relationships/ctrlProp" Target="../ctrlProps/ctrlProp20.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24.xml"/><Relationship Id="rId3" Type="http://schemas.openxmlformats.org/officeDocument/2006/relationships/vmlDrawing" Target="../drawings/vmlDrawing9.vml"/><Relationship Id="rId7" Type="http://schemas.openxmlformats.org/officeDocument/2006/relationships/ctrlProp" Target="../ctrlProps/ctrlProp23.xml"/><Relationship Id="rId2" Type="http://schemas.openxmlformats.org/officeDocument/2006/relationships/drawing" Target="../drawings/drawing5.xml"/><Relationship Id="rId1" Type="http://schemas.openxmlformats.org/officeDocument/2006/relationships/printerSettings" Target="../printerSettings/printerSettings8.bin"/><Relationship Id="rId6" Type="http://schemas.openxmlformats.org/officeDocument/2006/relationships/ctrlProp" Target="../ctrlProps/ctrlProp22.xml"/><Relationship Id="rId5" Type="http://schemas.openxmlformats.org/officeDocument/2006/relationships/ctrlProp" Target="../ctrlProps/ctrlProp21.xml"/><Relationship Id="rId10" Type="http://schemas.openxmlformats.org/officeDocument/2006/relationships/comments" Target="../comments4.xml"/><Relationship Id="rId4" Type="http://schemas.openxmlformats.org/officeDocument/2006/relationships/vmlDrawing" Target="../drawings/vmlDrawing10.vml"/><Relationship Id="rId9" Type="http://schemas.openxmlformats.org/officeDocument/2006/relationships/ctrlProp" Target="../ctrlProps/ctrlProp25.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29.xml"/><Relationship Id="rId3" Type="http://schemas.openxmlformats.org/officeDocument/2006/relationships/vmlDrawing" Target="../drawings/vmlDrawing11.vml"/><Relationship Id="rId7" Type="http://schemas.openxmlformats.org/officeDocument/2006/relationships/ctrlProp" Target="../ctrlProps/ctrlProp28.xml"/><Relationship Id="rId2" Type="http://schemas.openxmlformats.org/officeDocument/2006/relationships/drawing" Target="../drawings/drawing6.xml"/><Relationship Id="rId1" Type="http://schemas.openxmlformats.org/officeDocument/2006/relationships/printerSettings" Target="../printerSettings/printerSettings9.bin"/><Relationship Id="rId6" Type="http://schemas.openxmlformats.org/officeDocument/2006/relationships/ctrlProp" Target="../ctrlProps/ctrlProp27.xml"/><Relationship Id="rId5" Type="http://schemas.openxmlformats.org/officeDocument/2006/relationships/ctrlProp" Target="../ctrlProps/ctrlProp26.xml"/><Relationship Id="rId10" Type="http://schemas.openxmlformats.org/officeDocument/2006/relationships/comments" Target="../comments5.xml"/><Relationship Id="rId4" Type="http://schemas.openxmlformats.org/officeDocument/2006/relationships/vmlDrawing" Target="../drawings/vmlDrawing12.vml"/><Relationship Id="rId9" Type="http://schemas.openxmlformats.org/officeDocument/2006/relationships/ctrlProp" Target="../ctrlProps/ctrlProp30.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34.xml"/><Relationship Id="rId3" Type="http://schemas.openxmlformats.org/officeDocument/2006/relationships/vmlDrawing" Target="../drawings/vmlDrawing13.vml"/><Relationship Id="rId7" Type="http://schemas.openxmlformats.org/officeDocument/2006/relationships/ctrlProp" Target="../ctrlProps/ctrlProp33.xml"/><Relationship Id="rId2" Type="http://schemas.openxmlformats.org/officeDocument/2006/relationships/drawing" Target="../drawings/drawing7.xml"/><Relationship Id="rId1" Type="http://schemas.openxmlformats.org/officeDocument/2006/relationships/printerSettings" Target="../printerSettings/printerSettings10.bin"/><Relationship Id="rId6" Type="http://schemas.openxmlformats.org/officeDocument/2006/relationships/ctrlProp" Target="../ctrlProps/ctrlProp32.xml"/><Relationship Id="rId5" Type="http://schemas.openxmlformats.org/officeDocument/2006/relationships/ctrlProp" Target="../ctrlProps/ctrlProp31.xml"/><Relationship Id="rId10" Type="http://schemas.openxmlformats.org/officeDocument/2006/relationships/comments" Target="../comments6.xml"/><Relationship Id="rId4" Type="http://schemas.openxmlformats.org/officeDocument/2006/relationships/vmlDrawing" Target="../drawings/vmlDrawing14.vml"/><Relationship Id="rId9" Type="http://schemas.openxmlformats.org/officeDocument/2006/relationships/ctrlProp" Target="../ctrlProps/ctrlProp35.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39.xml"/><Relationship Id="rId3" Type="http://schemas.openxmlformats.org/officeDocument/2006/relationships/vmlDrawing" Target="../drawings/vmlDrawing15.vml"/><Relationship Id="rId7" Type="http://schemas.openxmlformats.org/officeDocument/2006/relationships/ctrlProp" Target="../ctrlProps/ctrlProp38.xml"/><Relationship Id="rId2" Type="http://schemas.openxmlformats.org/officeDocument/2006/relationships/drawing" Target="../drawings/drawing8.xml"/><Relationship Id="rId1" Type="http://schemas.openxmlformats.org/officeDocument/2006/relationships/printerSettings" Target="../printerSettings/printerSettings11.bin"/><Relationship Id="rId6" Type="http://schemas.openxmlformats.org/officeDocument/2006/relationships/ctrlProp" Target="../ctrlProps/ctrlProp37.xml"/><Relationship Id="rId5" Type="http://schemas.openxmlformats.org/officeDocument/2006/relationships/ctrlProp" Target="../ctrlProps/ctrlProp36.xml"/><Relationship Id="rId10" Type="http://schemas.openxmlformats.org/officeDocument/2006/relationships/comments" Target="../comments7.xml"/><Relationship Id="rId4" Type="http://schemas.openxmlformats.org/officeDocument/2006/relationships/vmlDrawing" Target="../drawings/vmlDrawing16.vml"/><Relationship Id="rId9" Type="http://schemas.openxmlformats.org/officeDocument/2006/relationships/ctrlProp" Target="../ctrlProps/ctrlProp40.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44.xml"/><Relationship Id="rId3" Type="http://schemas.openxmlformats.org/officeDocument/2006/relationships/vmlDrawing" Target="../drawings/vmlDrawing17.vml"/><Relationship Id="rId7" Type="http://schemas.openxmlformats.org/officeDocument/2006/relationships/ctrlProp" Target="../ctrlProps/ctrlProp43.xml"/><Relationship Id="rId2" Type="http://schemas.openxmlformats.org/officeDocument/2006/relationships/drawing" Target="../drawings/drawing9.xml"/><Relationship Id="rId1" Type="http://schemas.openxmlformats.org/officeDocument/2006/relationships/printerSettings" Target="../printerSettings/printerSettings12.bin"/><Relationship Id="rId6" Type="http://schemas.openxmlformats.org/officeDocument/2006/relationships/ctrlProp" Target="../ctrlProps/ctrlProp42.xml"/><Relationship Id="rId5" Type="http://schemas.openxmlformats.org/officeDocument/2006/relationships/ctrlProp" Target="../ctrlProps/ctrlProp41.xml"/><Relationship Id="rId10" Type="http://schemas.openxmlformats.org/officeDocument/2006/relationships/comments" Target="../comments8.xml"/><Relationship Id="rId4" Type="http://schemas.openxmlformats.org/officeDocument/2006/relationships/vmlDrawing" Target="../drawings/vmlDrawing18.vml"/><Relationship Id="rId9" Type="http://schemas.openxmlformats.org/officeDocument/2006/relationships/ctrlProp" Target="../ctrlProps/ctrlProp4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pageSetUpPr fitToPage="1"/>
  </sheetPr>
  <dimension ref="A1:V93"/>
  <sheetViews>
    <sheetView showGridLines="0" showRowColHeaders="0" tabSelected="1" view="pageLayout" zoomScaleNormal="100" workbookViewId="0">
      <selection activeCell="C1" sqref="C1:F1"/>
    </sheetView>
  </sheetViews>
  <sheetFormatPr baseColWidth="10" defaultColWidth="12.42578125" defaultRowHeight="15"/>
  <cols>
    <col min="1" max="1" width="13.5703125" customWidth="1"/>
    <col min="2" max="2" width="8.5703125" customWidth="1"/>
    <col min="3" max="3" width="4.85546875" customWidth="1"/>
    <col min="4" max="4" width="6" customWidth="1"/>
    <col min="5" max="5" width="11.28515625" bestFit="1" customWidth="1"/>
    <col min="6" max="6" width="12.140625" customWidth="1"/>
    <col min="7" max="7" width="7.7109375" customWidth="1"/>
    <col min="8" max="8" width="9.7109375" bestFit="1" customWidth="1"/>
    <col min="9" max="9" width="8" hidden="1" customWidth="1"/>
    <col min="10" max="11" width="11.5703125" customWidth="1"/>
    <col min="12" max="12" width="5.28515625" customWidth="1"/>
    <col min="13" max="13" width="7.28515625" style="37" hidden="1" customWidth="1"/>
    <col min="14" max="14" width="5" style="33" hidden="1" customWidth="1"/>
    <col min="15" max="15" width="15.7109375" hidden="1" customWidth="1"/>
    <col min="16" max="16" width="10" hidden="1" customWidth="1"/>
    <col min="17" max="17" width="8.140625" hidden="1" customWidth="1"/>
    <col min="18" max="18" width="24" hidden="1" customWidth="1"/>
    <col min="19" max="19" width="11.85546875" hidden="1" customWidth="1"/>
    <col min="20" max="20" width="12.42578125" hidden="1" customWidth="1"/>
    <col min="21" max="21" width="1.7109375" hidden="1" customWidth="1"/>
    <col min="22" max="22" width="2" hidden="1" customWidth="1"/>
    <col min="23" max="16353" width="12.42578125" customWidth="1"/>
    <col min="16354" max="16354" width="3.7109375" customWidth="1"/>
    <col min="16355" max="16384" width="4.42578125" customWidth="1"/>
  </cols>
  <sheetData>
    <row r="1" spans="1:22" s="2" customFormat="1" ht="18.75" customHeight="1">
      <c r="A1" s="254" t="s">
        <v>0</v>
      </c>
      <c r="B1" s="254"/>
      <c r="C1" s="255"/>
      <c r="D1" s="255"/>
      <c r="E1" s="255"/>
      <c r="F1" s="255"/>
      <c r="G1" s="75"/>
      <c r="H1" s="260" t="s">
        <v>1</v>
      </c>
      <c r="I1" s="260"/>
      <c r="J1" s="260"/>
      <c r="K1" s="259" t="s">
        <v>2</v>
      </c>
      <c r="L1" s="259"/>
      <c r="M1" s="253" t="s">
        <v>3</v>
      </c>
      <c r="N1" s="253"/>
    </row>
    <row r="2" spans="1:22" ht="7.5" customHeight="1">
      <c r="A2" s="76"/>
      <c r="B2" s="76"/>
      <c r="C2" s="76"/>
      <c r="D2" s="76"/>
      <c r="E2" s="76"/>
      <c r="F2" s="76"/>
      <c r="G2" s="76"/>
      <c r="H2" s="76"/>
      <c r="I2" s="243" t="b">
        <v>0</v>
      </c>
      <c r="J2" s="76"/>
      <c r="K2" s="76"/>
      <c r="L2" s="76"/>
      <c r="M2" s="4"/>
      <c r="N2" s="44"/>
    </row>
    <row r="3" spans="1:22" s="2" customFormat="1" ht="15.75">
      <c r="A3" s="254" t="s">
        <v>4</v>
      </c>
      <c r="B3" s="254"/>
      <c r="C3" s="255"/>
      <c r="D3" s="255"/>
      <c r="E3" s="255"/>
      <c r="F3" s="255"/>
      <c r="G3" s="77"/>
      <c r="H3" s="47"/>
      <c r="I3" s="55"/>
      <c r="J3" s="79"/>
      <c r="K3" s="257"/>
      <c r="L3" s="257"/>
      <c r="M3" s="9">
        <f>($K$3+$K$5+$K$7+$K$9+$K$11)/24</f>
        <v>0</v>
      </c>
      <c r="N3" s="72"/>
      <c r="P3" s="71"/>
    </row>
    <row r="4" spans="1:22" ht="7.5" customHeight="1">
      <c r="A4" s="80"/>
      <c r="B4" s="80"/>
      <c r="C4" s="80"/>
      <c r="D4" s="80"/>
      <c r="E4" s="80"/>
      <c r="F4" s="80"/>
      <c r="G4" s="77"/>
      <c r="H4" s="3"/>
      <c r="I4" s="6" t="b">
        <v>0</v>
      </c>
      <c r="J4" s="80"/>
      <c r="K4" s="225"/>
      <c r="L4" s="240"/>
      <c r="M4" s="4"/>
      <c r="N4" s="44"/>
    </row>
    <row r="5" spans="1:22" s="2" customFormat="1" ht="15.75">
      <c r="A5" s="254" t="s">
        <v>5</v>
      </c>
      <c r="B5" s="254"/>
      <c r="C5" s="256"/>
      <c r="D5" s="255"/>
      <c r="E5" s="255"/>
      <c r="F5" s="255"/>
      <c r="G5" s="77"/>
      <c r="H5" s="47"/>
      <c r="I5" s="55"/>
      <c r="J5" s="79"/>
      <c r="K5" s="257"/>
      <c r="L5" s="257"/>
      <c r="M5" s="4"/>
      <c r="N5" s="44"/>
    </row>
    <row r="6" spans="1:22" ht="7.5" customHeight="1">
      <c r="A6" s="80"/>
      <c r="B6" s="80"/>
      <c r="C6" s="80"/>
      <c r="D6" s="80"/>
      <c r="E6" s="80"/>
      <c r="F6" s="80"/>
      <c r="G6" s="77"/>
      <c r="H6" s="3"/>
      <c r="I6" s="6" t="b">
        <v>0</v>
      </c>
      <c r="J6" s="80"/>
      <c r="K6" s="225"/>
      <c r="L6" s="240"/>
      <c r="M6" s="53"/>
      <c r="N6" s="54"/>
      <c r="O6" s="50"/>
      <c r="P6" s="50"/>
      <c r="Q6" s="50"/>
      <c r="R6" s="50"/>
      <c r="S6" s="50"/>
      <c r="T6" s="50"/>
      <c r="U6" s="50"/>
      <c r="V6" s="50"/>
    </row>
    <row r="7" spans="1:22" s="2" customFormat="1" ht="15.75">
      <c r="A7" s="254" t="s">
        <v>6</v>
      </c>
      <c r="B7" s="254"/>
      <c r="C7" s="258"/>
      <c r="D7" s="258"/>
      <c r="E7" s="258"/>
      <c r="F7" s="258"/>
      <c r="G7" s="77"/>
      <c r="H7" s="11"/>
      <c r="I7" s="55"/>
      <c r="J7" s="80"/>
      <c r="K7" s="257"/>
      <c r="L7" s="257"/>
      <c r="M7" s="4"/>
      <c r="N7" s="44"/>
    </row>
    <row r="8" spans="1:22" ht="7.5" customHeight="1">
      <c r="A8" s="80"/>
      <c r="B8" s="80"/>
      <c r="C8" s="80"/>
      <c r="D8" s="80"/>
      <c r="E8" s="80"/>
      <c r="F8" s="80"/>
      <c r="G8" s="77"/>
      <c r="H8" s="3"/>
      <c r="I8" s="6" t="b">
        <v>0</v>
      </c>
      <c r="J8" s="80"/>
      <c r="K8" s="81"/>
      <c r="L8" s="241"/>
      <c r="M8" s="4"/>
      <c r="N8" s="44"/>
    </row>
    <row r="9" spans="1:22" ht="15.75">
      <c r="A9" s="254" t="s">
        <v>146</v>
      </c>
      <c r="B9" s="254"/>
      <c r="C9" s="265"/>
      <c r="D9" s="265"/>
      <c r="E9" s="82" t="s">
        <v>7</v>
      </c>
      <c r="F9" s="105"/>
      <c r="G9" s="77"/>
      <c r="H9" s="3"/>
      <c r="I9" s="55"/>
      <c r="J9" s="80"/>
      <c r="K9" s="266"/>
      <c r="L9" s="266"/>
      <c r="M9" s="4"/>
      <c r="N9" s="44"/>
    </row>
    <row r="10" spans="1:22" ht="7.5" customHeight="1">
      <c r="A10" s="80"/>
      <c r="B10" s="80"/>
      <c r="C10" s="80"/>
      <c r="D10" s="80"/>
      <c r="E10" s="80"/>
      <c r="F10" s="80"/>
      <c r="G10" s="77"/>
      <c r="H10" s="3"/>
      <c r="I10" s="12" t="b">
        <v>0</v>
      </c>
      <c r="J10" s="80"/>
      <c r="K10" s="81"/>
      <c r="L10" s="241"/>
      <c r="M10" s="4"/>
      <c r="N10" s="44"/>
    </row>
    <row r="11" spans="1:22" ht="15.75">
      <c r="A11" s="254" t="s">
        <v>8</v>
      </c>
      <c r="B11" s="254"/>
      <c r="C11" s="267"/>
      <c r="D11" s="267"/>
      <c r="E11" s="227" t="s">
        <v>9</v>
      </c>
      <c r="F11" s="79"/>
      <c r="G11" s="77"/>
      <c r="H11" s="3"/>
      <c r="I11" s="12"/>
      <c r="J11" s="80"/>
      <c r="K11" s="266"/>
      <c r="L11" s="266"/>
      <c r="M11" s="4"/>
      <c r="N11" s="44"/>
    </row>
    <row r="12" spans="1:22" ht="5.25" customHeight="1">
      <c r="A12" s="78"/>
      <c r="B12" s="78"/>
      <c r="C12" s="78"/>
      <c r="D12" s="78"/>
      <c r="E12" s="84"/>
      <c r="F12" s="84"/>
      <c r="G12" s="77"/>
      <c r="H12" s="76"/>
      <c r="I12" s="244"/>
      <c r="J12" s="80"/>
      <c r="K12" s="85"/>
      <c r="L12" s="85"/>
      <c r="M12" s="4"/>
      <c r="N12" s="44"/>
    </row>
    <row r="13" spans="1:22" ht="3" hidden="1" customHeight="1">
      <c r="A13" s="254"/>
      <c r="B13" s="254"/>
      <c r="C13" s="78"/>
      <c r="D13" s="78"/>
      <c r="E13" s="80"/>
      <c r="F13" s="80"/>
      <c r="G13" s="80"/>
      <c r="H13" s="80"/>
      <c r="I13" s="244"/>
      <c r="J13" s="80"/>
      <c r="K13" s="85"/>
      <c r="L13" s="85"/>
      <c r="M13" s="4"/>
      <c r="N13" s="44"/>
    </row>
    <row r="14" spans="1:22" ht="15.75">
      <c r="A14" s="268" t="s">
        <v>141</v>
      </c>
      <c r="B14" s="268"/>
      <c r="C14" s="261"/>
      <c r="D14" s="261"/>
      <c r="E14" s="196" t="s">
        <v>7</v>
      </c>
      <c r="F14" s="242"/>
      <c r="H14" s="80"/>
      <c r="I14" s="244"/>
      <c r="J14" s="50"/>
      <c r="K14" s="50"/>
      <c r="L14" s="50"/>
      <c r="N14" s="44"/>
    </row>
    <row r="15" spans="1:22" hidden="1">
      <c r="A15" s="43"/>
      <c r="B15" s="45"/>
      <c r="C15" s="262"/>
      <c r="D15" s="262"/>
      <c r="E15" s="14"/>
      <c r="F15" s="39"/>
      <c r="G15" s="52"/>
      <c r="H15" s="3"/>
      <c r="I15" s="3"/>
      <c r="J15" s="3"/>
      <c r="K15" s="263"/>
      <c r="L15" s="263"/>
      <c r="M15" s="4"/>
      <c r="N15" s="44"/>
    </row>
    <row r="16" spans="1:22" ht="41.25" customHeight="1">
      <c r="A16" s="270" t="str">
        <f>IF(($C$14+30)&lt;$F$14,"Bitte nur einen Monat angeben! ","")</f>
        <v/>
      </c>
      <c r="B16" s="270"/>
      <c r="C16" s="270"/>
      <c r="D16" s="270"/>
      <c r="E16" s="270"/>
      <c r="F16" s="270"/>
      <c r="G16" s="269" t="str">
        <f ca="1">IF(COUNTIF(R20:R50,1)&gt;0,"Hinweis: Es erfolgt keine Berechnung der Zukunftswerte","")</f>
        <v/>
      </c>
      <c r="H16" s="269"/>
      <c r="I16" s="269"/>
      <c r="J16" s="269"/>
      <c r="K16" s="269"/>
      <c r="L16" s="269"/>
      <c r="M16" s="53"/>
      <c r="N16" s="54"/>
    </row>
    <row r="17" spans="1:22" ht="18.75">
      <c r="A17" s="40"/>
      <c r="B17" s="264">
        <f ca="1">IF(ISBLANK($C$14),EOMONTH(TODAY(),-1)+1,DATE(YEAR($C$14),MONTH($C$14),1))</f>
        <v>42155</v>
      </c>
      <c r="C17" s="264"/>
      <c r="D17" s="264"/>
      <c r="E17" s="264"/>
      <c r="F17" s="264"/>
      <c r="G17" s="264"/>
      <c r="H17" s="264"/>
      <c r="I17" s="264"/>
      <c r="J17" s="264"/>
      <c r="K17" s="264"/>
      <c r="L17" s="41"/>
      <c r="M17" s="15"/>
      <c r="N17" s="44"/>
    </row>
    <row r="18" spans="1:22" ht="8.25" customHeight="1" thickBot="1">
      <c r="A18" s="3"/>
      <c r="B18" s="192"/>
      <c r="C18" s="192"/>
      <c r="D18" s="3"/>
      <c r="E18" s="3"/>
      <c r="F18" s="3"/>
      <c r="G18" s="3"/>
      <c r="H18" s="3"/>
      <c r="I18" s="3"/>
      <c r="J18" s="3"/>
      <c r="K18" s="3"/>
      <c r="L18" s="3"/>
      <c r="M18" s="4"/>
      <c r="N18" s="44"/>
    </row>
    <row r="19" spans="1:22" s="17" customFormat="1" ht="42.75" customHeight="1" thickBot="1">
      <c r="A19" s="187" t="s">
        <v>10</v>
      </c>
      <c r="B19" s="277" t="s">
        <v>11</v>
      </c>
      <c r="C19" s="277"/>
      <c r="D19" s="278" t="s">
        <v>12</v>
      </c>
      <c r="E19" s="279"/>
      <c r="F19" s="86" t="s">
        <v>27</v>
      </c>
      <c r="G19" s="87" t="s">
        <v>13</v>
      </c>
      <c r="H19" s="86" t="s">
        <v>14</v>
      </c>
      <c r="I19" s="88"/>
      <c r="J19" s="89" t="s">
        <v>15</v>
      </c>
      <c r="K19" s="278" t="s">
        <v>16</v>
      </c>
      <c r="L19" s="280"/>
      <c r="M19" s="16" t="s">
        <v>17</v>
      </c>
      <c r="N19" s="16"/>
      <c r="O19" s="58" t="s">
        <v>24</v>
      </c>
      <c r="P19" s="126" t="s">
        <v>28</v>
      </c>
      <c r="Q19" s="126" t="s">
        <v>31</v>
      </c>
      <c r="R19" s="289" t="s">
        <v>49</v>
      </c>
      <c r="S19" s="289"/>
      <c r="T19" s="289"/>
    </row>
    <row r="20" spans="1:22" s="2" customFormat="1" ht="12.6" customHeight="1">
      <c r="A20" s="188">
        <f ca="1">($B$17+ROW(A1)-1)*(MONTH(B17+1)=MONTH($B$17))</f>
        <v>42155</v>
      </c>
      <c r="B20" s="271"/>
      <c r="C20" s="272"/>
      <c r="D20" s="273"/>
      <c r="E20" s="274"/>
      <c r="F20" s="159"/>
      <c r="G20" s="110" t="str">
        <f ca="1">IF(OR(A20&lt;$C$14,A20&gt;$F$14,A20&gt;TODAY()),"0,00",IF(ISBLANK($C$14),"0,00",(D20-B20-F20)))</f>
        <v>0,00</v>
      </c>
      <c r="H20" s="111" t="str">
        <f t="shared" ref="H20:H50" ca="1" si="0">IF(WEEKDAY(A20,2)=7,SUMIF($M$19:$M$50,M20,$G$19:$G$50),"")</f>
        <v/>
      </c>
      <c r="I20" s="112">
        <f ca="1">IF(A20&lt;TODAY(),ROUND(SUM(G20+I19-N20),7),0)</f>
        <v>0</v>
      </c>
      <c r="J20" s="113" t="str">
        <f t="shared" ref="J20:J50" ca="1" si="1">IF(AND(A20&lt;TODAY(),WEEKDAY(A20,2)=7),I20+$M$16,"")</f>
        <v/>
      </c>
      <c r="K20" s="275" t="str">
        <f t="shared" ref="K20:K26" ca="1" si="2">IF(T20&lt;&gt;"",T20,IF(P20="1","Angaben überprüfen",IF(OR(A20&lt;$C$14,A20&gt;$F$14,G20="0,00"),"--------",IF(AND(G20&gt;(6/24),G20&lt;(9/24),F20&lt;0.5/24),"30 min. Pause erforderlich",IF(AND(G20&gt;=(9/24),F20&lt;0.75/24),"45 min. Pause erforderlich ","")))))</f>
        <v>--------</v>
      </c>
      <c r="L20" s="276"/>
      <c r="M20" s="93">
        <f t="shared" ref="M20:M49" ca="1" si="3">WEEKNUM(A20,2)</f>
        <v>22</v>
      </c>
      <c r="N20" s="94">
        <f t="shared" ref="N20:N50" ca="1" si="4">IF(AND(A20&gt;=$C$14,A20&lt;=$F$14),IF(AND(WEEKDAY(A20,2)=1,$K$3&gt;0),$K$3,IF(AND(WEEKDAY(A20,2)=2,$K$5&gt;0),$K$5,IF(AND(WEEKDAY(A20,2)=3,$K$7&gt;0),$K$7,IF(AND(WEEKDAY(A20,2)=4,$K$9&gt;0),$K$9,IF(AND(WEEKDAY(A20,2)=5,$K$11&gt;0),$K$11,IF(WEEKDAY(A20,2)&gt;5,0,0))))))/24,0)</f>
        <v>0</v>
      </c>
      <c r="O20" s="95">
        <f ca="1">IF(I20&lt;&gt;0,I20,0)</f>
        <v>0</v>
      </c>
      <c r="P20" s="120" t="str">
        <f ca="1">IF(AND(Q20="1",B20&gt;0),"1","")</f>
        <v/>
      </c>
      <c r="Q20" s="120" t="str">
        <f ca="1">IF(OR(A20&lt;$C$14,A20&gt;$F$14,A20&lt;$C$9,A20&gt;$F$9),"1","")</f>
        <v>1</v>
      </c>
      <c r="R20" s="184" t="str">
        <f t="shared" ref="R20:R50" ca="1" si="5">IF(AND(A20&gt;TODAY(),B20&gt;0),"1","")</f>
        <v/>
      </c>
      <c r="S20" s="185" t="e">
        <f t="shared" ref="S20:S50" ca="1" si="6">VLOOKUP(A20,$Q$77:$S$92,2,FALSE)</f>
        <v>#N/A</v>
      </c>
      <c r="T20" s="186" t="str">
        <f t="shared" ref="T20:T49" ca="1" si="7">IF(ISNA(S20),"",S20)</f>
        <v/>
      </c>
      <c r="U20" s="193" t="str">
        <f ca="1">IF(AND(WEEKDAY(A20,2)=1,$I$2=TRUE),"X",IF(AND(WEEKDAY(A20,2)=4,$I$8=TRUE),"X",IF(AND(WEEKDAY(A20,2)=5,$I$10=TRUE),"X",IF(AND(WEEKDAY(A20,2)=2,$I$4=TRUE),"X",IF(AND(WEEKDAY(A20,2)=3,$I$6=TRUE),"X","")
))))</f>
        <v/>
      </c>
      <c r="V20" s="197" t="str">
        <f ca="1">IF(AND(U20&lt;&gt;"",T20&lt;&gt;""),"!","")</f>
        <v/>
      </c>
    </row>
    <row r="21" spans="1:22" s="2" customFormat="1" ht="12.6" customHeight="1">
      <c r="A21" s="189">
        <f t="shared" ref="A21:A29" ca="1" si="8">($B$17+ROW(A2)-1)*(MONTH(A20+1)=MONTH($B$17))</f>
        <v>42156</v>
      </c>
      <c r="B21" s="271"/>
      <c r="C21" s="272"/>
      <c r="D21" s="273"/>
      <c r="E21" s="274"/>
      <c r="F21" s="234"/>
      <c r="G21" s="110" t="str">
        <f ca="1">IF(OR(A21&lt;$C$14,A21&gt;$F$14,A21&gt;TODAY()),"0,00",IF(ISBLANK($C$14),"0,00",(D21-B21-F21)))</f>
        <v>0,00</v>
      </c>
      <c r="H21" s="111">
        <f t="shared" ca="1" si="0"/>
        <v>0</v>
      </c>
      <c r="I21" s="112">
        <f ca="1">IF(A21&lt;TODAY(),ROUND(SUM(G21+I20-N21),7),0)</f>
        <v>0</v>
      </c>
      <c r="J21" s="113">
        <f t="shared" ca="1" si="1"/>
        <v>0</v>
      </c>
      <c r="K21" s="275" t="str">
        <f t="shared" ca="1" si="2"/>
        <v>--------</v>
      </c>
      <c r="L21" s="276"/>
      <c r="M21" s="93">
        <f t="shared" ca="1" si="3"/>
        <v>22</v>
      </c>
      <c r="N21" s="94">
        <f t="shared" ca="1" si="4"/>
        <v>0</v>
      </c>
      <c r="O21" s="95">
        <f t="shared" ref="O21:O49" ca="1" si="9">IF(I21&lt;&gt;0,I21,0)</f>
        <v>0</v>
      </c>
      <c r="P21" s="120" t="str">
        <f t="shared" ref="P21:P50" ca="1" si="10">IF(AND(Q21="1",B21&gt;0),"1","")</f>
        <v/>
      </c>
      <c r="Q21" s="120" t="str">
        <f t="shared" ref="Q21:Q50" ca="1" si="11">IF(OR(A21&lt;$C$14,A21&gt;$F$14,A21&lt;$C$9,A21&gt;$F$9),"1","")</f>
        <v>1</v>
      </c>
      <c r="R21" s="184" t="str">
        <f t="shared" ca="1" si="5"/>
        <v/>
      </c>
      <c r="S21" s="185" t="e">
        <f t="shared" ca="1" si="6"/>
        <v>#N/A</v>
      </c>
      <c r="T21" s="186" t="str">
        <f t="shared" ca="1" si="7"/>
        <v/>
      </c>
      <c r="U21" s="194" t="str">
        <f t="shared" ref="U21:U50" ca="1" si="12">IF(AND(WEEKDAY(A21,2)=1,$I$2=TRUE),"X",IF(AND(WEEKDAY(A21,2)=4,$I$8=TRUE),"X",IF(AND(WEEKDAY(A21,2)=5,$I$10=TRUE),"X",IF(AND(WEEKDAY(A21,2)=2,$I$4=TRUE),"X",IF(AND(WEEKDAY(A21,2)=3,$I$6=TRUE),"X","")
))))</f>
        <v/>
      </c>
      <c r="V21" s="197" t="str">
        <f t="shared" ref="V21:V50" ca="1" si="13">IF(AND(U21&lt;&gt;"",T21&lt;&gt;""),"!","")</f>
        <v/>
      </c>
    </row>
    <row r="22" spans="1:22" s="2" customFormat="1" ht="12.6" customHeight="1">
      <c r="A22" s="189">
        <f t="shared" ca="1" si="8"/>
        <v>42157</v>
      </c>
      <c r="B22" s="285"/>
      <c r="C22" s="286"/>
      <c r="D22" s="273"/>
      <c r="E22" s="274"/>
      <c r="F22" s="121"/>
      <c r="G22" s="110" t="str">
        <f t="shared" ref="G22:G50" ca="1" si="14">IF(OR(A22&lt;$C$14,A22&gt;$F$14,A22&gt;TODAY()),"0,00",IF(ISBLANK($C$14),"0,00",(D22-B22-F22)))</f>
        <v>0,00</v>
      </c>
      <c r="H22" s="111" t="str">
        <f t="shared" ca="1" si="0"/>
        <v/>
      </c>
      <c r="I22" s="112">
        <f ca="1">IF(A22&lt;TODAY(),ROUND(SUM(G22+I21-N22),7),0)</f>
        <v>0</v>
      </c>
      <c r="J22" s="113" t="str">
        <f t="shared" ca="1" si="1"/>
        <v/>
      </c>
      <c r="K22" s="275" t="str">
        <f t="shared" ca="1" si="2"/>
        <v>--------</v>
      </c>
      <c r="L22" s="276"/>
      <c r="M22" s="93">
        <f t="shared" ca="1" si="3"/>
        <v>23</v>
      </c>
      <c r="N22" s="94">
        <f t="shared" ca="1" si="4"/>
        <v>0</v>
      </c>
      <c r="O22" s="95">
        <f t="shared" ca="1" si="9"/>
        <v>0</v>
      </c>
      <c r="P22" s="120" t="str">
        <f t="shared" ca="1" si="10"/>
        <v/>
      </c>
      <c r="Q22" s="120" t="str">
        <f t="shared" ca="1" si="11"/>
        <v>1</v>
      </c>
      <c r="R22" s="184" t="str">
        <f t="shared" ca="1" si="5"/>
        <v/>
      </c>
      <c r="S22" s="185" t="e">
        <f t="shared" ca="1" si="6"/>
        <v>#N/A</v>
      </c>
      <c r="T22" s="186" t="str">
        <f t="shared" ca="1" si="7"/>
        <v/>
      </c>
      <c r="U22" s="194" t="str">
        <f t="shared" ca="1" si="12"/>
        <v/>
      </c>
      <c r="V22" s="197" t="str">
        <f t="shared" ca="1" si="13"/>
        <v/>
      </c>
    </row>
    <row r="23" spans="1:22" s="2" customFormat="1" ht="12.6" customHeight="1">
      <c r="A23" s="189">
        <f t="shared" ca="1" si="8"/>
        <v>42158</v>
      </c>
      <c r="B23" s="285"/>
      <c r="C23" s="286"/>
      <c r="D23" s="273"/>
      <c r="E23" s="274"/>
      <c r="F23" s="114"/>
      <c r="G23" s="110" t="str">
        <f t="shared" ca="1" si="14"/>
        <v>0,00</v>
      </c>
      <c r="H23" s="111" t="str">
        <f t="shared" ca="1" si="0"/>
        <v/>
      </c>
      <c r="I23" s="112">
        <f ca="1">IF(A23&lt;TODAY(),ROUND(SUM(G23+I22-N23),7),0)</f>
        <v>0</v>
      </c>
      <c r="J23" s="113" t="str">
        <f t="shared" ca="1" si="1"/>
        <v/>
      </c>
      <c r="K23" s="275" t="str">
        <f t="shared" ca="1" si="2"/>
        <v>--------</v>
      </c>
      <c r="L23" s="276"/>
      <c r="M23" s="93">
        <f t="shared" ca="1" si="3"/>
        <v>23</v>
      </c>
      <c r="N23" s="94">
        <f t="shared" ca="1" si="4"/>
        <v>0</v>
      </c>
      <c r="O23" s="95">
        <f t="shared" ca="1" si="9"/>
        <v>0</v>
      </c>
      <c r="P23" s="120" t="str">
        <f t="shared" ca="1" si="10"/>
        <v/>
      </c>
      <c r="Q23" s="120" t="str">
        <f t="shared" ca="1" si="11"/>
        <v>1</v>
      </c>
      <c r="R23" s="184" t="str">
        <f t="shared" ca="1" si="5"/>
        <v/>
      </c>
      <c r="S23" s="185" t="e">
        <f t="shared" ca="1" si="6"/>
        <v>#N/A</v>
      </c>
      <c r="T23" s="186" t="str">
        <f t="shared" ca="1" si="7"/>
        <v/>
      </c>
      <c r="U23" s="194" t="str">
        <f t="shared" ca="1" si="12"/>
        <v/>
      </c>
      <c r="V23" s="197" t="str">
        <f t="shared" ca="1" si="13"/>
        <v/>
      </c>
    </row>
    <row r="24" spans="1:22" s="2" customFormat="1" ht="12.6" customHeight="1">
      <c r="A24" s="190">
        <f t="shared" ca="1" si="8"/>
        <v>42159</v>
      </c>
      <c r="B24" s="281"/>
      <c r="C24" s="282"/>
      <c r="D24" s="283"/>
      <c r="E24" s="284"/>
      <c r="F24" s="115"/>
      <c r="G24" s="110" t="str">
        <f t="shared" ca="1" si="14"/>
        <v>0,00</v>
      </c>
      <c r="H24" s="111" t="str">
        <f t="shared" ca="1" si="0"/>
        <v/>
      </c>
      <c r="I24" s="112">
        <f ca="1">IF(A24&lt;TODAY(),ROUND(SUM(G24+I23-N24),7),0)</f>
        <v>0</v>
      </c>
      <c r="J24" s="113" t="str">
        <f t="shared" ca="1" si="1"/>
        <v/>
      </c>
      <c r="K24" s="275" t="str">
        <f t="shared" ca="1" si="2"/>
        <v>--------</v>
      </c>
      <c r="L24" s="276"/>
      <c r="M24" s="93">
        <f t="shared" ca="1" si="3"/>
        <v>23</v>
      </c>
      <c r="N24" s="94">
        <f t="shared" ca="1" si="4"/>
        <v>0</v>
      </c>
      <c r="O24" s="95">
        <f t="shared" ca="1" si="9"/>
        <v>0</v>
      </c>
      <c r="P24" s="120" t="str">
        <f ca="1">IF(AND(Q24="1",B24&gt;0),"1","")</f>
        <v/>
      </c>
      <c r="Q24" s="120" t="str">
        <f t="shared" ca="1" si="11"/>
        <v>1</v>
      </c>
      <c r="R24" s="184" t="str">
        <f t="shared" ca="1" si="5"/>
        <v/>
      </c>
      <c r="S24" s="185" t="e">
        <f t="shared" ca="1" si="6"/>
        <v>#N/A</v>
      </c>
      <c r="T24" s="186" t="str">
        <f t="shared" ca="1" si="7"/>
        <v/>
      </c>
      <c r="U24" s="194" t="str">
        <f t="shared" ca="1" si="12"/>
        <v/>
      </c>
      <c r="V24" s="197" t="str">
        <f t="shared" ca="1" si="13"/>
        <v/>
      </c>
    </row>
    <row r="25" spans="1:22" s="18" customFormat="1" ht="12.6" customHeight="1">
      <c r="A25" s="190">
        <f t="shared" ca="1" si="8"/>
        <v>42160</v>
      </c>
      <c r="B25" s="281"/>
      <c r="C25" s="282"/>
      <c r="D25" s="283"/>
      <c r="E25" s="284"/>
      <c r="F25" s="116"/>
      <c r="G25" s="110" t="str">
        <f t="shared" ca="1" si="14"/>
        <v>0,00</v>
      </c>
      <c r="H25" s="111" t="str">
        <f t="shared" ca="1" si="0"/>
        <v/>
      </c>
      <c r="I25" s="112">
        <f t="shared" ref="I25:I50" ca="1" si="15">IF(A25&lt;TODAY(),ROUND(SUM(G25+I24-N25),7),0)</f>
        <v>0</v>
      </c>
      <c r="J25" s="133" t="str">
        <f t="shared" ca="1" si="1"/>
        <v/>
      </c>
      <c r="K25" s="275" t="str">
        <f t="shared" ca="1" si="2"/>
        <v>--------</v>
      </c>
      <c r="L25" s="276"/>
      <c r="M25" s="93">
        <f t="shared" ca="1" si="3"/>
        <v>23</v>
      </c>
      <c r="N25" s="94">
        <f t="shared" ca="1" si="4"/>
        <v>0</v>
      </c>
      <c r="O25" s="95">
        <f t="shared" ca="1" si="9"/>
        <v>0</v>
      </c>
      <c r="P25" s="120" t="str">
        <f t="shared" ca="1" si="10"/>
        <v/>
      </c>
      <c r="Q25" s="120" t="str">
        <f t="shared" ca="1" si="11"/>
        <v>1</v>
      </c>
      <c r="R25" s="184" t="str">
        <f t="shared" ca="1" si="5"/>
        <v/>
      </c>
      <c r="S25" s="185" t="e">
        <f t="shared" ca="1" si="6"/>
        <v>#N/A</v>
      </c>
      <c r="T25" s="186" t="str">
        <f t="shared" ca="1" si="7"/>
        <v/>
      </c>
      <c r="U25" s="194" t="str">
        <f t="shared" ca="1" si="12"/>
        <v/>
      </c>
      <c r="V25" s="197" t="str">
        <f t="shared" ca="1" si="13"/>
        <v/>
      </c>
    </row>
    <row r="26" spans="1:22" s="18" customFormat="1" ht="12.6" customHeight="1">
      <c r="A26" s="190">
        <f t="shared" ca="1" si="8"/>
        <v>42161</v>
      </c>
      <c r="B26" s="281"/>
      <c r="C26" s="282"/>
      <c r="D26" s="283"/>
      <c r="E26" s="284"/>
      <c r="F26" s="117"/>
      <c r="G26" s="110" t="str">
        <f t="shared" ca="1" si="14"/>
        <v>0,00</v>
      </c>
      <c r="H26" s="111" t="str">
        <f t="shared" ca="1" si="0"/>
        <v/>
      </c>
      <c r="I26" s="112">
        <f t="shared" ca="1" si="15"/>
        <v>0</v>
      </c>
      <c r="J26" s="113" t="str">
        <f t="shared" ca="1" si="1"/>
        <v/>
      </c>
      <c r="K26" s="275" t="str">
        <f t="shared" ca="1" si="2"/>
        <v>--------</v>
      </c>
      <c r="L26" s="276"/>
      <c r="M26" s="93">
        <f t="shared" ca="1" si="3"/>
        <v>23</v>
      </c>
      <c r="N26" s="94">
        <f t="shared" ca="1" si="4"/>
        <v>0</v>
      </c>
      <c r="O26" s="95">
        <f t="shared" ca="1" si="9"/>
        <v>0</v>
      </c>
      <c r="P26" s="120" t="str">
        <f t="shared" ca="1" si="10"/>
        <v/>
      </c>
      <c r="Q26" s="120" t="str">
        <f t="shared" ca="1" si="11"/>
        <v>1</v>
      </c>
      <c r="R26" s="184" t="str">
        <f t="shared" ca="1" si="5"/>
        <v/>
      </c>
      <c r="S26" s="185" t="e">
        <f t="shared" ca="1" si="6"/>
        <v>#N/A</v>
      </c>
      <c r="T26" s="186" t="str">
        <f t="shared" ca="1" si="7"/>
        <v/>
      </c>
      <c r="U26" s="194" t="str">
        <f t="shared" ca="1" si="12"/>
        <v/>
      </c>
      <c r="V26" s="197" t="str">
        <f t="shared" ca="1" si="13"/>
        <v/>
      </c>
    </row>
    <row r="27" spans="1:22" ht="12.6" customHeight="1">
      <c r="A27" s="190">
        <f t="shared" ca="1" si="8"/>
        <v>42162</v>
      </c>
      <c r="B27" s="281"/>
      <c r="C27" s="282"/>
      <c r="D27" s="283"/>
      <c r="E27" s="284"/>
      <c r="F27" s="117"/>
      <c r="G27" s="110" t="str">
        <f t="shared" ca="1" si="14"/>
        <v>0,00</v>
      </c>
      <c r="H27" s="111" t="str">
        <f t="shared" ca="1" si="0"/>
        <v/>
      </c>
      <c r="I27" s="112">
        <f t="shared" ca="1" si="15"/>
        <v>0</v>
      </c>
      <c r="J27" s="113" t="str">
        <f t="shared" ca="1" si="1"/>
        <v/>
      </c>
      <c r="K27" s="275" t="str">
        <f ca="1">IF(T27&lt;&gt;"",T27,IF(P27="1","Angaben überprüfen",IF(OR(A27&lt;$C$14,A27&gt;$F$14,G27="0,00"),"--------",IF(AND(G27&gt;(6/24),G27&lt;(9/24),F27&lt;0.5/24),"30 min. Pause erforderlich",IF(AND(G27&gt;=(9/24),F27&lt;0.75/24),"45 min. Pause erforderlich ","")))))</f>
        <v>--------</v>
      </c>
      <c r="L27" s="276"/>
      <c r="M27" s="93">
        <f t="shared" ca="1" si="3"/>
        <v>23</v>
      </c>
      <c r="N27" s="94">
        <f t="shared" ca="1" si="4"/>
        <v>0</v>
      </c>
      <c r="O27" s="95">
        <f t="shared" ca="1" si="9"/>
        <v>0</v>
      </c>
      <c r="P27" s="120" t="str">
        <f t="shared" ca="1" si="10"/>
        <v/>
      </c>
      <c r="Q27" s="120" t="str">
        <f t="shared" ca="1" si="11"/>
        <v>1</v>
      </c>
      <c r="R27" s="184" t="str">
        <f t="shared" ca="1" si="5"/>
        <v/>
      </c>
      <c r="S27" s="185" t="e">
        <f t="shared" ca="1" si="6"/>
        <v>#N/A</v>
      </c>
      <c r="T27" s="186" t="str">
        <f t="shared" ca="1" si="7"/>
        <v/>
      </c>
      <c r="U27" s="194" t="str">
        <f t="shared" ca="1" si="12"/>
        <v/>
      </c>
      <c r="V27" s="197" t="str">
        <f t="shared" ca="1" si="13"/>
        <v/>
      </c>
    </row>
    <row r="28" spans="1:22" ht="12.6" customHeight="1">
      <c r="A28" s="190">
        <f t="shared" ca="1" si="8"/>
        <v>42163</v>
      </c>
      <c r="B28" s="285"/>
      <c r="C28" s="286"/>
      <c r="D28" s="273"/>
      <c r="E28" s="274"/>
      <c r="F28" s="118"/>
      <c r="G28" s="110" t="str">
        <f t="shared" ca="1" si="14"/>
        <v>0,00</v>
      </c>
      <c r="H28" s="111">
        <f t="shared" ca="1" si="0"/>
        <v>0</v>
      </c>
      <c r="I28" s="112">
        <f t="shared" ca="1" si="15"/>
        <v>0</v>
      </c>
      <c r="J28" s="113" t="str">
        <f t="shared" ca="1" si="1"/>
        <v/>
      </c>
      <c r="K28" s="275" t="str">
        <f t="shared" ref="K28:K50" ca="1" si="16">IF(T28&lt;&gt;"",T28,IF(P28="1","Angaben überprüfen",IF(OR(A28&lt;$C$14,A28&gt;$F$14,G28="0,00"),"--------",IF(AND(G28&gt;(6/24),G28&lt;(9/24),F28&lt;0.5/24),"30 min. Pause erforderlich",IF(AND(G28&gt;=(9/24),F28&lt;0.75/24),"45 min. Pause erforderlich ","")))))</f>
        <v>Pfingstsonntag</v>
      </c>
      <c r="L28" s="276"/>
      <c r="M28" s="93">
        <f t="shared" ca="1" si="3"/>
        <v>23</v>
      </c>
      <c r="N28" s="94">
        <f t="shared" ca="1" si="4"/>
        <v>0</v>
      </c>
      <c r="O28" s="95">
        <f t="shared" ca="1" si="9"/>
        <v>0</v>
      </c>
      <c r="P28" s="120" t="str">
        <f t="shared" ca="1" si="10"/>
        <v/>
      </c>
      <c r="Q28" s="120" t="str">
        <f t="shared" ca="1" si="11"/>
        <v>1</v>
      </c>
      <c r="R28" s="184" t="str">
        <f t="shared" ca="1" si="5"/>
        <v/>
      </c>
      <c r="S28" s="185" t="str">
        <f t="shared" ca="1" si="6"/>
        <v>Pfingstsonntag</v>
      </c>
      <c r="T28" s="186" t="str">
        <f t="shared" ca="1" si="7"/>
        <v>Pfingstsonntag</v>
      </c>
      <c r="U28" s="194" t="str">
        <f t="shared" ca="1" si="12"/>
        <v/>
      </c>
      <c r="V28" s="197" t="str">
        <f t="shared" ca="1" si="13"/>
        <v/>
      </c>
    </row>
    <row r="29" spans="1:22" ht="12.6" customHeight="1">
      <c r="A29" s="190">
        <f t="shared" ca="1" si="8"/>
        <v>42164</v>
      </c>
      <c r="B29" s="285"/>
      <c r="C29" s="286"/>
      <c r="D29" s="273"/>
      <c r="E29" s="274"/>
      <c r="F29" s="119"/>
      <c r="G29" s="110" t="str">
        <f t="shared" ca="1" si="14"/>
        <v>0,00</v>
      </c>
      <c r="H29" s="111" t="str">
        <f t="shared" ca="1" si="0"/>
        <v/>
      </c>
      <c r="I29" s="112">
        <f t="shared" ca="1" si="15"/>
        <v>0</v>
      </c>
      <c r="J29" s="113" t="str">
        <f t="shared" ca="1" si="1"/>
        <v/>
      </c>
      <c r="K29" s="275" t="str">
        <f t="shared" ca="1" si="16"/>
        <v>Pfingstmontag</v>
      </c>
      <c r="L29" s="276"/>
      <c r="M29" s="93">
        <f t="shared" ca="1" si="3"/>
        <v>24</v>
      </c>
      <c r="N29" s="94">
        <f t="shared" ca="1" si="4"/>
        <v>0</v>
      </c>
      <c r="O29" s="95">
        <f t="shared" ca="1" si="9"/>
        <v>0</v>
      </c>
      <c r="P29" s="120" t="str">
        <f t="shared" ca="1" si="10"/>
        <v/>
      </c>
      <c r="Q29" s="120" t="str">
        <f t="shared" ca="1" si="11"/>
        <v>1</v>
      </c>
      <c r="R29" s="184" t="str">
        <f t="shared" ca="1" si="5"/>
        <v/>
      </c>
      <c r="S29" s="185" t="str">
        <f t="shared" ca="1" si="6"/>
        <v>Pfingstmontag</v>
      </c>
      <c r="T29" s="186" t="str">
        <f t="shared" ca="1" si="7"/>
        <v>Pfingstmontag</v>
      </c>
      <c r="U29" s="194" t="str">
        <f t="shared" ca="1" si="12"/>
        <v/>
      </c>
      <c r="V29" s="197" t="str">
        <f t="shared" ca="1" si="13"/>
        <v/>
      </c>
    </row>
    <row r="30" spans="1:22" ht="12.6" customHeight="1">
      <c r="A30" s="189">
        <f ca="1">($B$17+ROW(A11)-1)*(MONTH(A27+1)=MONTH($B$17))</f>
        <v>42165</v>
      </c>
      <c r="B30" s="285"/>
      <c r="C30" s="286"/>
      <c r="D30" s="273"/>
      <c r="E30" s="274"/>
      <c r="F30" s="119"/>
      <c r="G30" s="110" t="str">
        <f t="shared" ca="1" si="14"/>
        <v>0,00</v>
      </c>
      <c r="H30" s="111" t="str">
        <f t="shared" ca="1" si="0"/>
        <v/>
      </c>
      <c r="I30" s="112">
        <f t="shared" ca="1" si="15"/>
        <v>0</v>
      </c>
      <c r="J30" s="113" t="str">
        <f t="shared" ca="1" si="1"/>
        <v/>
      </c>
      <c r="K30" s="275" t="str">
        <f t="shared" ca="1" si="16"/>
        <v>--------</v>
      </c>
      <c r="L30" s="276"/>
      <c r="M30" s="93">
        <f t="shared" ca="1" si="3"/>
        <v>24</v>
      </c>
      <c r="N30" s="94">
        <f t="shared" ca="1" si="4"/>
        <v>0</v>
      </c>
      <c r="O30" s="95">
        <f t="shared" ca="1" si="9"/>
        <v>0</v>
      </c>
      <c r="P30" s="120" t="str">
        <f t="shared" ca="1" si="10"/>
        <v/>
      </c>
      <c r="Q30" s="120" t="str">
        <f t="shared" ca="1" si="11"/>
        <v>1</v>
      </c>
      <c r="R30" s="184" t="str">
        <f t="shared" ca="1" si="5"/>
        <v/>
      </c>
      <c r="S30" s="185" t="e">
        <f t="shared" ca="1" si="6"/>
        <v>#N/A</v>
      </c>
      <c r="T30" s="186" t="str">
        <f t="shared" ca="1" si="7"/>
        <v/>
      </c>
      <c r="U30" s="194" t="str">
        <f t="shared" ca="1" si="12"/>
        <v/>
      </c>
      <c r="V30" s="197" t="str">
        <f t="shared" ca="1" si="13"/>
        <v/>
      </c>
    </row>
    <row r="31" spans="1:22" ht="12.6" customHeight="1">
      <c r="A31" s="189">
        <f ca="1">($B$17+ROW(A12)-1)*(MONTH(A28+1)=MONTH($B$17))</f>
        <v>42166</v>
      </c>
      <c r="B31" s="281"/>
      <c r="C31" s="282"/>
      <c r="D31" s="283"/>
      <c r="E31" s="284"/>
      <c r="F31" s="119"/>
      <c r="G31" s="110" t="str">
        <f t="shared" ca="1" si="14"/>
        <v>0,00</v>
      </c>
      <c r="H31" s="111" t="str">
        <f t="shared" ca="1" si="0"/>
        <v/>
      </c>
      <c r="I31" s="112">
        <f t="shared" ca="1" si="15"/>
        <v>0</v>
      </c>
      <c r="J31" s="113" t="str">
        <f t="shared" ca="1" si="1"/>
        <v/>
      </c>
      <c r="K31" s="275" t="str">
        <f t="shared" ca="1" si="16"/>
        <v>--------</v>
      </c>
      <c r="L31" s="276"/>
      <c r="M31" s="93">
        <f t="shared" ca="1" si="3"/>
        <v>24</v>
      </c>
      <c r="N31" s="94">
        <f t="shared" ca="1" si="4"/>
        <v>0</v>
      </c>
      <c r="O31" s="95">
        <f t="shared" ca="1" si="9"/>
        <v>0</v>
      </c>
      <c r="P31" s="120" t="str">
        <f t="shared" ca="1" si="10"/>
        <v/>
      </c>
      <c r="Q31" s="120" t="str">
        <f t="shared" ca="1" si="11"/>
        <v>1</v>
      </c>
      <c r="R31" s="184" t="str">
        <f t="shared" ca="1" si="5"/>
        <v/>
      </c>
      <c r="S31" s="185" t="e">
        <f t="shared" ca="1" si="6"/>
        <v>#N/A</v>
      </c>
      <c r="T31" s="186" t="str">
        <f t="shared" ca="1" si="7"/>
        <v/>
      </c>
      <c r="U31" s="194" t="str">
        <f t="shared" ca="1" si="12"/>
        <v/>
      </c>
      <c r="V31" s="197" t="str">
        <f t="shared" ca="1" si="13"/>
        <v/>
      </c>
    </row>
    <row r="32" spans="1:22" ht="12.6" customHeight="1">
      <c r="A32" s="189">
        <f ca="1">($B$17+ROW(A13)-1)*(MONTH(A30+1)=MONTH($B$17))</f>
        <v>42167</v>
      </c>
      <c r="B32" s="281"/>
      <c r="C32" s="282"/>
      <c r="D32" s="283"/>
      <c r="E32" s="284"/>
      <c r="F32" s="119"/>
      <c r="G32" s="110" t="str">
        <f t="shared" ca="1" si="14"/>
        <v>0,00</v>
      </c>
      <c r="H32" s="111" t="str">
        <f t="shared" ca="1" si="0"/>
        <v/>
      </c>
      <c r="I32" s="112">
        <f t="shared" ca="1" si="15"/>
        <v>0</v>
      </c>
      <c r="J32" s="113" t="str">
        <f t="shared" ca="1" si="1"/>
        <v/>
      </c>
      <c r="K32" s="275" t="str">
        <f t="shared" ca="1" si="16"/>
        <v>--------</v>
      </c>
      <c r="L32" s="276"/>
      <c r="M32" s="93">
        <f t="shared" ca="1" si="3"/>
        <v>24</v>
      </c>
      <c r="N32" s="94">
        <f t="shared" ca="1" si="4"/>
        <v>0</v>
      </c>
      <c r="O32" s="95">
        <f t="shared" ca="1" si="9"/>
        <v>0</v>
      </c>
      <c r="P32" s="120" t="str">
        <f t="shared" ca="1" si="10"/>
        <v/>
      </c>
      <c r="Q32" s="120" t="str">
        <f t="shared" ca="1" si="11"/>
        <v>1</v>
      </c>
      <c r="R32" s="184" t="str">
        <f t="shared" ca="1" si="5"/>
        <v/>
      </c>
      <c r="S32" s="185" t="e">
        <f t="shared" ca="1" si="6"/>
        <v>#N/A</v>
      </c>
      <c r="T32" s="186" t="str">
        <f t="shared" ca="1" si="7"/>
        <v/>
      </c>
      <c r="U32" s="194" t="str">
        <f t="shared" ca="1" si="12"/>
        <v/>
      </c>
      <c r="V32" s="197" t="str">
        <f t="shared" ca="1" si="13"/>
        <v/>
      </c>
    </row>
    <row r="33" spans="1:22" ht="12.6" customHeight="1">
      <c r="A33" s="189">
        <f t="shared" ref="A33:A50" ca="1" si="17">($B$17+ROW(A14)-1)*(MONTH(A32+1)=MONTH($B$17))</f>
        <v>42168</v>
      </c>
      <c r="B33" s="281"/>
      <c r="C33" s="282"/>
      <c r="D33" s="283"/>
      <c r="E33" s="284"/>
      <c r="F33" s="119"/>
      <c r="G33" s="110" t="str">
        <f t="shared" ca="1" si="14"/>
        <v>0,00</v>
      </c>
      <c r="H33" s="111" t="str">
        <f t="shared" ca="1" si="0"/>
        <v/>
      </c>
      <c r="I33" s="112">
        <f t="shared" ca="1" si="15"/>
        <v>0</v>
      </c>
      <c r="J33" s="113" t="str">
        <f t="shared" ca="1" si="1"/>
        <v/>
      </c>
      <c r="K33" s="275" t="str">
        <f t="shared" ca="1" si="16"/>
        <v>--------</v>
      </c>
      <c r="L33" s="276"/>
      <c r="M33" s="93">
        <f t="shared" ca="1" si="3"/>
        <v>24</v>
      </c>
      <c r="N33" s="94">
        <f t="shared" ca="1" si="4"/>
        <v>0</v>
      </c>
      <c r="O33" s="95">
        <f t="shared" ca="1" si="9"/>
        <v>0</v>
      </c>
      <c r="P33" s="120" t="str">
        <f t="shared" ca="1" si="10"/>
        <v/>
      </c>
      <c r="Q33" s="120" t="str">
        <f t="shared" ca="1" si="11"/>
        <v>1</v>
      </c>
      <c r="R33" s="184" t="str">
        <f t="shared" ca="1" si="5"/>
        <v/>
      </c>
      <c r="S33" s="185" t="e">
        <f t="shared" ca="1" si="6"/>
        <v>#N/A</v>
      </c>
      <c r="T33" s="186" t="str">
        <f t="shared" ca="1" si="7"/>
        <v/>
      </c>
      <c r="U33" s="194" t="str">
        <f t="shared" ca="1" si="12"/>
        <v/>
      </c>
      <c r="V33" s="197" t="str">
        <f t="shared" ca="1" si="13"/>
        <v/>
      </c>
    </row>
    <row r="34" spans="1:22" ht="12.6" customHeight="1">
      <c r="A34" s="189">
        <f t="shared" ca="1" si="17"/>
        <v>42169</v>
      </c>
      <c r="B34" s="285"/>
      <c r="C34" s="286"/>
      <c r="D34" s="273"/>
      <c r="E34" s="274"/>
      <c r="F34" s="119"/>
      <c r="G34" s="110" t="str">
        <f t="shared" ca="1" si="14"/>
        <v>0,00</v>
      </c>
      <c r="H34" s="111" t="str">
        <f t="shared" ca="1" si="0"/>
        <v/>
      </c>
      <c r="I34" s="112">
        <f t="shared" ca="1" si="15"/>
        <v>0</v>
      </c>
      <c r="J34" s="113" t="str">
        <f t="shared" ca="1" si="1"/>
        <v/>
      </c>
      <c r="K34" s="275" t="str">
        <f t="shared" ca="1" si="16"/>
        <v>--------</v>
      </c>
      <c r="L34" s="276"/>
      <c r="M34" s="93">
        <f t="shared" ca="1" si="3"/>
        <v>24</v>
      </c>
      <c r="N34" s="94">
        <f t="shared" ca="1" si="4"/>
        <v>0</v>
      </c>
      <c r="O34" s="95">
        <f t="shared" ca="1" si="9"/>
        <v>0</v>
      </c>
      <c r="P34" s="120" t="str">
        <f t="shared" ca="1" si="10"/>
        <v/>
      </c>
      <c r="Q34" s="120" t="str">
        <f t="shared" ca="1" si="11"/>
        <v>1</v>
      </c>
      <c r="R34" s="184" t="str">
        <f t="shared" ca="1" si="5"/>
        <v/>
      </c>
      <c r="S34" s="185" t="e">
        <f t="shared" ca="1" si="6"/>
        <v>#N/A</v>
      </c>
      <c r="T34" s="186" t="str">
        <f t="shared" ca="1" si="7"/>
        <v/>
      </c>
      <c r="U34" s="194" t="str">
        <f t="shared" ca="1" si="12"/>
        <v/>
      </c>
      <c r="V34" s="197" t="str">
        <f t="shared" ca="1" si="13"/>
        <v/>
      </c>
    </row>
    <row r="35" spans="1:22" ht="12.6" customHeight="1">
      <c r="A35" s="189">
        <f t="shared" ca="1" si="17"/>
        <v>42170</v>
      </c>
      <c r="B35" s="285"/>
      <c r="C35" s="286"/>
      <c r="D35" s="273"/>
      <c r="E35" s="274"/>
      <c r="F35" s="119"/>
      <c r="G35" s="110" t="str">
        <f t="shared" ca="1" si="14"/>
        <v>0,00</v>
      </c>
      <c r="H35" s="111">
        <f t="shared" ca="1" si="0"/>
        <v>0</v>
      </c>
      <c r="I35" s="112">
        <f t="shared" ca="1" si="15"/>
        <v>0</v>
      </c>
      <c r="J35" s="113" t="str">
        <f t="shared" ca="1" si="1"/>
        <v/>
      </c>
      <c r="K35" s="275" t="str">
        <f t="shared" ca="1" si="16"/>
        <v>--------</v>
      </c>
      <c r="L35" s="276"/>
      <c r="M35" s="93">
        <f t="shared" ca="1" si="3"/>
        <v>24</v>
      </c>
      <c r="N35" s="94">
        <f t="shared" ca="1" si="4"/>
        <v>0</v>
      </c>
      <c r="O35" s="95">
        <f t="shared" ca="1" si="9"/>
        <v>0</v>
      </c>
      <c r="P35" s="120" t="str">
        <f t="shared" ca="1" si="10"/>
        <v/>
      </c>
      <c r="Q35" s="120" t="str">
        <f t="shared" ca="1" si="11"/>
        <v>1</v>
      </c>
      <c r="R35" s="184" t="str">
        <f t="shared" ca="1" si="5"/>
        <v/>
      </c>
      <c r="S35" s="185" t="e">
        <f t="shared" ca="1" si="6"/>
        <v>#N/A</v>
      </c>
      <c r="T35" s="186" t="str">
        <f t="shared" ca="1" si="7"/>
        <v/>
      </c>
      <c r="U35" s="194" t="str">
        <f t="shared" ca="1" si="12"/>
        <v/>
      </c>
      <c r="V35" s="197" t="str">
        <f t="shared" ca="1" si="13"/>
        <v/>
      </c>
    </row>
    <row r="36" spans="1:22" ht="12.6" customHeight="1">
      <c r="A36" s="189">
        <f t="shared" ca="1" si="17"/>
        <v>42171</v>
      </c>
      <c r="B36" s="285"/>
      <c r="C36" s="286"/>
      <c r="D36" s="273"/>
      <c r="E36" s="274"/>
      <c r="F36" s="129"/>
      <c r="G36" s="110" t="str">
        <f t="shared" ca="1" si="14"/>
        <v>0,00</v>
      </c>
      <c r="H36" s="111" t="str">
        <f t="shared" ca="1" si="0"/>
        <v/>
      </c>
      <c r="I36" s="112">
        <f t="shared" ca="1" si="15"/>
        <v>0</v>
      </c>
      <c r="J36" s="113" t="str">
        <f t="shared" ca="1" si="1"/>
        <v/>
      </c>
      <c r="K36" s="275" t="str">
        <f t="shared" ca="1" si="16"/>
        <v>--------</v>
      </c>
      <c r="L36" s="276"/>
      <c r="M36" s="93">
        <f t="shared" ca="1" si="3"/>
        <v>25</v>
      </c>
      <c r="N36" s="94">
        <f t="shared" ca="1" si="4"/>
        <v>0</v>
      </c>
      <c r="O36" s="95">
        <f t="shared" ca="1" si="9"/>
        <v>0</v>
      </c>
      <c r="P36" s="120" t="str">
        <f t="shared" ca="1" si="10"/>
        <v/>
      </c>
      <c r="Q36" s="120" t="str">
        <f t="shared" ca="1" si="11"/>
        <v>1</v>
      </c>
      <c r="R36" s="184" t="str">
        <f t="shared" ca="1" si="5"/>
        <v/>
      </c>
      <c r="S36" s="185" t="e">
        <f t="shared" ca="1" si="6"/>
        <v>#N/A</v>
      </c>
      <c r="T36" s="186" t="str">
        <f t="shared" ca="1" si="7"/>
        <v/>
      </c>
      <c r="U36" s="194" t="str">
        <f t="shared" ca="1" si="12"/>
        <v/>
      </c>
      <c r="V36" s="197" t="str">
        <f t="shared" ca="1" si="13"/>
        <v/>
      </c>
    </row>
    <row r="37" spans="1:22" ht="12.6" customHeight="1">
      <c r="A37" s="189">
        <f t="shared" ca="1" si="17"/>
        <v>42172</v>
      </c>
      <c r="B37" s="285"/>
      <c r="C37" s="286"/>
      <c r="D37" s="273"/>
      <c r="E37" s="274"/>
      <c r="F37" s="114"/>
      <c r="G37" s="110" t="str">
        <f t="shared" ca="1" si="14"/>
        <v>0,00</v>
      </c>
      <c r="H37" s="111" t="str">
        <f t="shared" ca="1" si="0"/>
        <v/>
      </c>
      <c r="I37" s="112">
        <f t="shared" ca="1" si="15"/>
        <v>0</v>
      </c>
      <c r="J37" s="113" t="str">
        <f t="shared" ca="1" si="1"/>
        <v/>
      </c>
      <c r="K37" s="275" t="str">
        <f t="shared" ca="1" si="16"/>
        <v>--------</v>
      </c>
      <c r="L37" s="276"/>
      <c r="M37" s="93">
        <f t="shared" ca="1" si="3"/>
        <v>25</v>
      </c>
      <c r="N37" s="94">
        <f t="shared" ca="1" si="4"/>
        <v>0</v>
      </c>
      <c r="O37" s="95">
        <f t="shared" ca="1" si="9"/>
        <v>0</v>
      </c>
      <c r="P37" s="120" t="str">
        <f t="shared" ca="1" si="10"/>
        <v/>
      </c>
      <c r="Q37" s="120" t="str">
        <f t="shared" ca="1" si="11"/>
        <v>1</v>
      </c>
      <c r="R37" s="184" t="str">
        <f t="shared" ca="1" si="5"/>
        <v/>
      </c>
      <c r="S37" s="185" t="e">
        <f t="shared" ca="1" si="6"/>
        <v>#N/A</v>
      </c>
      <c r="T37" s="186" t="str">
        <f t="shared" ca="1" si="7"/>
        <v/>
      </c>
      <c r="U37" s="194" t="str">
        <f t="shared" ca="1" si="12"/>
        <v/>
      </c>
      <c r="V37" s="197" t="str">
        <f t="shared" ca="1" si="13"/>
        <v/>
      </c>
    </row>
    <row r="38" spans="1:22" ht="12.6" customHeight="1">
      <c r="A38" s="189">
        <f t="shared" ca="1" si="17"/>
        <v>42173</v>
      </c>
      <c r="B38" s="281"/>
      <c r="C38" s="282"/>
      <c r="D38" s="283"/>
      <c r="E38" s="284"/>
      <c r="F38" s="119"/>
      <c r="G38" s="110" t="str">
        <f t="shared" ca="1" si="14"/>
        <v>0,00</v>
      </c>
      <c r="H38" s="111" t="str">
        <f t="shared" ca="1" si="0"/>
        <v/>
      </c>
      <c r="I38" s="112">
        <f t="shared" ca="1" si="15"/>
        <v>0</v>
      </c>
      <c r="J38" s="113" t="str">
        <f t="shared" ca="1" si="1"/>
        <v/>
      </c>
      <c r="K38" s="275" t="str">
        <f t="shared" ca="1" si="16"/>
        <v>--------</v>
      </c>
      <c r="L38" s="276"/>
      <c r="M38" s="93">
        <f t="shared" ca="1" si="3"/>
        <v>25</v>
      </c>
      <c r="N38" s="94">
        <f t="shared" ca="1" si="4"/>
        <v>0</v>
      </c>
      <c r="O38" s="95">
        <f t="shared" ca="1" si="9"/>
        <v>0</v>
      </c>
      <c r="P38" s="120" t="str">
        <f t="shared" ca="1" si="10"/>
        <v/>
      </c>
      <c r="Q38" s="120" t="str">
        <f t="shared" ca="1" si="11"/>
        <v>1</v>
      </c>
      <c r="R38" s="184" t="str">
        <f t="shared" ca="1" si="5"/>
        <v/>
      </c>
      <c r="S38" s="185" t="e">
        <f t="shared" ca="1" si="6"/>
        <v>#N/A</v>
      </c>
      <c r="T38" s="186" t="str">
        <f t="shared" ca="1" si="7"/>
        <v/>
      </c>
      <c r="U38" s="194" t="str">
        <f t="shared" ca="1" si="12"/>
        <v/>
      </c>
      <c r="V38" s="197" t="str">
        <f t="shared" ca="1" si="13"/>
        <v/>
      </c>
    </row>
    <row r="39" spans="1:22" ht="12.6" customHeight="1">
      <c r="A39" s="189">
        <f t="shared" ca="1" si="17"/>
        <v>42174</v>
      </c>
      <c r="B39" s="281"/>
      <c r="C39" s="282"/>
      <c r="D39" s="283"/>
      <c r="E39" s="284"/>
      <c r="F39" s="119"/>
      <c r="G39" s="110" t="str">
        <f t="shared" ca="1" si="14"/>
        <v>0,00</v>
      </c>
      <c r="H39" s="111" t="str">
        <f t="shared" ca="1" si="0"/>
        <v/>
      </c>
      <c r="I39" s="112">
        <f t="shared" ca="1" si="15"/>
        <v>0</v>
      </c>
      <c r="J39" s="113" t="str">
        <f t="shared" ca="1" si="1"/>
        <v/>
      </c>
      <c r="K39" s="275" t="str">
        <f t="shared" ca="1" si="16"/>
        <v>Fronleichnam</v>
      </c>
      <c r="L39" s="276"/>
      <c r="M39" s="93">
        <f t="shared" ca="1" si="3"/>
        <v>25</v>
      </c>
      <c r="N39" s="94">
        <f t="shared" ca="1" si="4"/>
        <v>0</v>
      </c>
      <c r="O39" s="95">
        <f t="shared" ca="1" si="9"/>
        <v>0</v>
      </c>
      <c r="P39" s="120" t="str">
        <f t="shared" ca="1" si="10"/>
        <v/>
      </c>
      <c r="Q39" s="120" t="str">
        <f t="shared" ca="1" si="11"/>
        <v>1</v>
      </c>
      <c r="R39" s="184" t="str">
        <f t="shared" ca="1" si="5"/>
        <v/>
      </c>
      <c r="S39" s="185" t="str">
        <f t="shared" ca="1" si="6"/>
        <v>Fronleichnam</v>
      </c>
      <c r="T39" s="186" t="str">
        <f t="shared" ca="1" si="7"/>
        <v>Fronleichnam</v>
      </c>
      <c r="U39" s="194" t="str">
        <f t="shared" ca="1" si="12"/>
        <v/>
      </c>
      <c r="V39" s="197" t="str">
        <f t="shared" ca="1" si="13"/>
        <v/>
      </c>
    </row>
    <row r="40" spans="1:22" ht="12.6" customHeight="1">
      <c r="A40" s="189">
        <f t="shared" ca="1" si="17"/>
        <v>42175</v>
      </c>
      <c r="B40" s="281"/>
      <c r="C40" s="282"/>
      <c r="D40" s="283"/>
      <c r="E40" s="284"/>
      <c r="F40" s="119"/>
      <c r="G40" s="110" t="str">
        <f t="shared" ca="1" si="14"/>
        <v>0,00</v>
      </c>
      <c r="H40" s="111" t="str">
        <f t="shared" ca="1" si="0"/>
        <v/>
      </c>
      <c r="I40" s="112">
        <f t="shared" ca="1" si="15"/>
        <v>0</v>
      </c>
      <c r="J40" s="113" t="str">
        <f t="shared" ca="1" si="1"/>
        <v/>
      </c>
      <c r="K40" s="275" t="str">
        <f t="shared" ca="1" si="16"/>
        <v>--------</v>
      </c>
      <c r="L40" s="276"/>
      <c r="M40" s="93">
        <f t="shared" ca="1" si="3"/>
        <v>25</v>
      </c>
      <c r="N40" s="94">
        <f t="shared" ca="1" si="4"/>
        <v>0</v>
      </c>
      <c r="O40" s="95">
        <f t="shared" ca="1" si="9"/>
        <v>0</v>
      </c>
      <c r="P40" s="120" t="str">
        <f t="shared" ca="1" si="10"/>
        <v/>
      </c>
      <c r="Q40" s="120" t="str">
        <f t="shared" ca="1" si="11"/>
        <v>1</v>
      </c>
      <c r="R40" s="184" t="str">
        <f t="shared" ca="1" si="5"/>
        <v/>
      </c>
      <c r="S40" s="185" t="e">
        <f t="shared" ca="1" si="6"/>
        <v>#N/A</v>
      </c>
      <c r="T40" s="186" t="str">
        <f t="shared" ca="1" si="7"/>
        <v/>
      </c>
      <c r="U40" s="194" t="str">
        <f t="shared" ca="1" si="12"/>
        <v/>
      </c>
      <c r="V40" s="197" t="str">
        <f t="shared" ca="1" si="13"/>
        <v/>
      </c>
    </row>
    <row r="41" spans="1:22" ht="12.6" customHeight="1">
      <c r="A41" s="189">
        <f t="shared" ca="1" si="17"/>
        <v>42176</v>
      </c>
      <c r="B41" s="285"/>
      <c r="C41" s="286"/>
      <c r="D41" s="273"/>
      <c r="E41" s="274"/>
      <c r="F41" s="119"/>
      <c r="G41" s="110" t="str">
        <f t="shared" ca="1" si="14"/>
        <v>0,00</v>
      </c>
      <c r="H41" s="111" t="str">
        <f t="shared" ca="1" si="0"/>
        <v/>
      </c>
      <c r="I41" s="112">
        <f t="shared" ca="1" si="15"/>
        <v>0</v>
      </c>
      <c r="J41" s="113" t="str">
        <f t="shared" ca="1" si="1"/>
        <v/>
      </c>
      <c r="K41" s="275" t="str">
        <f t="shared" ca="1" si="16"/>
        <v>--------</v>
      </c>
      <c r="L41" s="276"/>
      <c r="M41" s="93">
        <f t="shared" ca="1" si="3"/>
        <v>25</v>
      </c>
      <c r="N41" s="94">
        <f t="shared" ca="1" si="4"/>
        <v>0</v>
      </c>
      <c r="O41" s="95">
        <f t="shared" ca="1" si="9"/>
        <v>0</v>
      </c>
      <c r="P41" s="120" t="str">
        <f t="shared" ca="1" si="10"/>
        <v/>
      </c>
      <c r="Q41" s="120" t="str">
        <f t="shared" ca="1" si="11"/>
        <v>1</v>
      </c>
      <c r="R41" s="184" t="str">
        <f t="shared" ca="1" si="5"/>
        <v/>
      </c>
      <c r="S41" s="185" t="e">
        <f t="shared" ca="1" si="6"/>
        <v>#N/A</v>
      </c>
      <c r="T41" s="186" t="str">
        <f t="shared" ca="1" si="7"/>
        <v/>
      </c>
      <c r="U41" s="194" t="str">
        <f t="shared" ca="1" si="12"/>
        <v/>
      </c>
      <c r="V41" s="197" t="str">
        <f t="shared" ca="1" si="13"/>
        <v/>
      </c>
    </row>
    <row r="42" spans="1:22" ht="12.6" customHeight="1">
      <c r="A42" s="189">
        <f t="shared" ca="1" si="17"/>
        <v>42177</v>
      </c>
      <c r="B42" s="285"/>
      <c r="C42" s="286"/>
      <c r="D42" s="273"/>
      <c r="E42" s="274"/>
      <c r="F42" s="119"/>
      <c r="G42" s="110" t="str">
        <f t="shared" ca="1" si="14"/>
        <v>0,00</v>
      </c>
      <c r="H42" s="111">
        <f t="shared" ca="1" si="0"/>
        <v>0</v>
      </c>
      <c r="I42" s="112">
        <f t="shared" ca="1" si="15"/>
        <v>0</v>
      </c>
      <c r="J42" s="113" t="str">
        <f t="shared" ca="1" si="1"/>
        <v/>
      </c>
      <c r="K42" s="275" t="str">
        <f t="shared" ca="1" si="16"/>
        <v>--------</v>
      </c>
      <c r="L42" s="276"/>
      <c r="M42" s="93">
        <f t="shared" ca="1" si="3"/>
        <v>25</v>
      </c>
      <c r="N42" s="94">
        <f t="shared" ca="1" si="4"/>
        <v>0</v>
      </c>
      <c r="O42" s="95">
        <f t="shared" ca="1" si="9"/>
        <v>0</v>
      </c>
      <c r="P42" s="120" t="str">
        <f t="shared" ca="1" si="10"/>
        <v/>
      </c>
      <c r="Q42" s="120" t="str">
        <f t="shared" ca="1" si="11"/>
        <v>1</v>
      </c>
      <c r="R42" s="184" t="str">
        <f t="shared" ca="1" si="5"/>
        <v/>
      </c>
      <c r="S42" s="185" t="e">
        <f t="shared" ca="1" si="6"/>
        <v>#N/A</v>
      </c>
      <c r="T42" s="186" t="str">
        <f t="shared" ca="1" si="7"/>
        <v/>
      </c>
      <c r="U42" s="194" t="str">
        <f t="shared" ca="1" si="12"/>
        <v/>
      </c>
      <c r="V42" s="197" t="str">
        <f t="shared" ca="1" si="13"/>
        <v/>
      </c>
    </row>
    <row r="43" spans="1:22" ht="12.6" customHeight="1">
      <c r="A43" s="189">
        <f t="shared" ca="1" si="17"/>
        <v>42178</v>
      </c>
      <c r="B43" s="285"/>
      <c r="C43" s="286"/>
      <c r="D43" s="273"/>
      <c r="E43" s="274"/>
      <c r="F43" s="114"/>
      <c r="G43" s="110" t="str">
        <f t="shared" ca="1" si="14"/>
        <v>0,00</v>
      </c>
      <c r="H43" s="111" t="str">
        <f t="shared" ca="1" si="0"/>
        <v/>
      </c>
      <c r="I43" s="112">
        <f t="shared" ca="1" si="15"/>
        <v>0</v>
      </c>
      <c r="J43" s="113" t="str">
        <f t="shared" ca="1" si="1"/>
        <v/>
      </c>
      <c r="K43" s="275" t="str">
        <f t="shared" ca="1" si="16"/>
        <v>--------</v>
      </c>
      <c r="L43" s="276"/>
      <c r="M43" s="93">
        <f t="shared" ca="1" si="3"/>
        <v>26</v>
      </c>
      <c r="N43" s="94">
        <f t="shared" ca="1" si="4"/>
        <v>0</v>
      </c>
      <c r="O43" s="95">
        <f t="shared" ca="1" si="9"/>
        <v>0</v>
      </c>
      <c r="P43" s="120" t="str">
        <f t="shared" ca="1" si="10"/>
        <v/>
      </c>
      <c r="Q43" s="120" t="str">
        <f t="shared" ca="1" si="11"/>
        <v>1</v>
      </c>
      <c r="R43" s="184" t="str">
        <f t="shared" ca="1" si="5"/>
        <v/>
      </c>
      <c r="S43" s="185" t="e">
        <f ca="1">VLOOKUP(A43,$Q$77:$S$92,2,FALSE)</f>
        <v>#N/A</v>
      </c>
      <c r="T43" s="186" t="str">
        <f t="shared" ca="1" si="7"/>
        <v/>
      </c>
      <c r="U43" s="194" t="str">
        <f t="shared" ca="1" si="12"/>
        <v/>
      </c>
      <c r="V43" s="197" t="str">
        <f t="shared" ca="1" si="13"/>
        <v/>
      </c>
    </row>
    <row r="44" spans="1:22" ht="12.6" customHeight="1">
      <c r="A44" s="189">
        <f t="shared" ca="1" si="17"/>
        <v>42179</v>
      </c>
      <c r="B44" s="281"/>
      <c r="C44" s="282"/>
      <c r="D44" s="283"/>
      <c r="E44" s="284"/>
      <c r="F44" s="114"/>
      <c r="G44" s="110" t="str">
        <f t="shared" ca="1" si="14"/>
        <v>0,00</v>
      </c>
      <c r="H44" s="111" t="str">
        <f t="shared" ca="1" si="0"/>
        <v/>
      </c>
      <c r="I44" s="112">
        <f t="shared" ca="1" si="15"/>
        <v>0</v>
      </c>
      <c r="J44" s="113" t="str">
        <f t="shared" ca="1" si="1"/>
        <v/>
      </c>
      <c r="K44" s="275" t="str">
        <f t="shared" ca="1" si="16"/>
        <v>--------</v>
      </c>
      <c r="L44" s="276"/>
      <c r="M44" s="93">
        <f t="shared" ca="1" si="3"/>
        <v>26</v>
      </c>
      <c r="N44" s="94">
        <f t="shared" ca="1" si="4"/>
        <v>0</v>
      </c>
      <c r="O44" s="95">
        <f t="shared" ca="1" si="9"/>
        <v>0</v>
      </c>
      <c r="P44" s="120" t="str">
        <f t="shared" ca="1" si="10"/>
        <v/>
      </c>
      <c r="Q44" s="120" t="str">
        <f t="shared" ca="1" si="11"/>
        <v>1</v>
      </c>
      <c r="R44" s="184" t="str">
        <f t="shared" ca="1" si="5"/>
        <v/>
      </c>
      <c r="S44" s="185" t="e">
        <f t="shared" ca="1" si="6"/>
        <v>#N/A</v>
      </c>
      <c r="T44" s="186" t="str">
        <f t="shared" ca="1" si="7"/>
        <v/>
      </c>
      <c r="U44" s="194" t="str">
        <f t="shared" ca="1" si="12"/>
        <v/>
      </c>
      <c r="V44" s="197" t="str">
        <f t="shared" ca="1" si="13"/>
        <v/>
      </c>
    </row>
    <row r="45" spans="1:22" ht="12.6" customHeight="1">
      <c r="A45" s="189">
        <f t="shared" ca="1" si="17"/>
        <v>42180</v>
      </c>
      <c r="B45" s="281"/>
      <c r="C45" s="282"/>
      <c r="D45" s="283"/>
      <c r="E45" s="284"/>
      <c r="F45" s="119"/>
      <c r="G45" s="110" t="str">
        <f t="shared" ca="1" si="14"/>
        <v>0,00</v>
      </c>
      <c r="H45" s="111" t="str">
        <f t="shared" ca="1" si="0"/>
        <v/>
      </c>
      <c r="I45" s="112">
        <f t="shared" ca="1" si="15"/>
        <v>0</v>
      </c>
      <c r="J45" s="113" t="str">
        <f t="shared" ca="1" si="1"/>
        <v/>
      </c>
      <c r="K45" s="275" t="str">
        <f t="shared" ca="1" si="16"/>
        <v>--------</v>
      </c>
      <c r="L45" s="276"/>
      <c r="M45" s="93">
        <f t="shared" ca="1" si="3"/>
        <v>26</v>
      </c>
      <c r="N45" s="94">
        <f t="shared" ca="1" si="4"/>
        <v>0</v>
      </c>
      <c r="O45" s="95">
        <f t="shared" ca="1" si="9"/>
        <v>0</v>
      </c>
      <c r="P45" s="120" t="str">
        <f t="shared" ca="1" si="10"/>
        <v/>
      </c>
      <c r="Q45" s="120" t="str">
        <f t="shared" ca="1" si="11"/>
        <v>1</v>
      </c>
      <c r="R45" s="184" t="str">
        <f t="shared" ca="1" si="5"/>
        <v/>
      </c>
      <c r="S45" s="185" t="e">
        <f t="shared" ca="1" si="6"/>
        <v>#N/A</v>
      </c>
      <c r="T45" s="186" t="str">
        <f t="shared" ca="1" si="7"/>
        <v/>
      </c>
      <c r="U45" s="194" t="str">
        <f t="shared" ca="1" si="12"/>
        <v/>
      </c>
      <c r="V45" s="197" t="str">
        <f t="shared" ca="1" si="13"/>
        <v/>
      </c>
    </row>
    <row r="46" spans="1:22" ht="12.6" customHeight="1">
      <c r="A46" s="189">
        <f t="shared" ca="1" si="17"/>
        <v>42181</v>
      </c>
      <c r="B46" s="281"/>
      <c r="C46" s="282"/>
      <c r="D46" s="283"/>
      <c r="E46" s="284"/>
      <c r="F46" s="119"/>
      <c r="G46" s="110" t="str">
        <f t="shared" ca="1" si="14"/>
        <v>0,00</v>
      </c>
      <c r="H46" s="111" t="str">
        <f t="shared" ca="1" si="0"/>
        <v/>
      </c>
      <c r="I46" s="112">
        <f t="shared" ca="1" si="15"/>
        <v>0</v>
      </c>
      <c r="J46" s="113" t="str">
        <f t="shared" ca="1" si="1"/>
        <v/>
      </c>
      <c r="K46" s="275" t="str">
        <f t="shared" ca="1" si="16"/>
        <v>--------</v>
      </c>
      <c r="L46" s="276"/>
      <c r="M46" s="93">
        <f t="shared" ca="1" si="3"/>
        <v>26</v>
      </c>
      <c r="N46" s="94">
        <f t="shared" ca="1" si="4"/>
        <v>0</v>
      </c>
      <c r="O46" s="95">
        <f t="shared" ca="1" si="9"/>
        <v>0</v>
      </c>
      <c r="P46" s="120" t="str">
        <f t="shared" ca="1" si="10"/>
        <v/>
      </c>
      <c r="Q46" s="120" t="str">
        <f t="shared" ca="1" si="11"/>
        <v>1</v>
      </c>
      <c r="R46" s="184" t="str">
        <f t="shared" ca="1" si="5"/>
        <v/>
      </c>
      <c r="S46" s="185" t="e">
        <f t="shared" ca="1" si="6"/>
        <v>#N/A</v>
      </c>
      <c r="T46" s="186" t="str">
        <f t="shared" ca="1" si="7"/>
        <v/>
      </c>
      <c r="U46" s="194" t="str">
        <f t="shared" ca="1" si="12"/>
        <v/>
      </c>
      <c r="V46" s="197" t="str">
        <f t="shared" ca="1" si="13"/>
        <v/>
      </c>
    </row>
    <row r="47" spans="1:22" ht="12.6" customHeight="1">
      <c r="A47" s="189">
        <f t="shared" ca="1" si="17"/>
        <v>42182</v>
      </c>
      <c r="B47" s="281"/>
      <c r="C47" s="282"/>
      <c r="D47" s="283"/>
      <c r="E47" s="284"/>
      <c r="F47" s="119"/>
      <c r="G47" s="110" t="str">
        <f t="shared" ca="1" si="14"/>
        <v>0,00</v>
      </c>
      <c r="H47" s="111" t="str">
        <f t="shared" ca="1" si="0"/>
        <v/>
      </c>
      <c r="I47" s="112">
        <f t="shared" ca="1" si="15"/>
        <v>0</v>
      </c>
      <c r="J47" s="113" t="str">
        <f t="shared" ca="1" si="1"/>
        <v/>
      </c>
      <c r="K47" s="275" t="str">
        <f t="shared" ca="1" si="16"/>
        <v>--------</v>
      </c>
      <c r="L47" s="276"/>
      <c r="M47" s="93">
        <f t="shared" ca="1" si="3"/>
        <v>26</v>
      </c>
      <c r="N47" s="94">
        <f t="shared" ca="1" si="4"/>
        <v>0</v>
      </c>
      <c r="O47" s="95">
        <f t="shared" ca="1" si="9"/>
        <v>0</v>
      </c>
      <c r="P47" s="120" t="str">
        <f t="shared" ca="1" si="10"/>
        <v/>
      </c>
      <c r="Q47" s="120" t="str">
        <f t="shared" ca="1" si="11"/>
        <v>1</v>
      </c>
      <c r="R47" s="184" t="str">
        <f t="shared" ca="1" si="5"/>
        <v/>
      </c>
      <c r="S47" s="185" t="e">
        <f t="shared" ca="1" si="6"/>
        <v>#N/A</v>
      </c>
      <c r="T47" s="186" t="str">
        <f t="shared" ca="1" si="7"/>
        <v/>
      </c>
      <c r="U47" s="194" t="str">
        <f t="shared" ca="1" si="12"/>
        <v/>
      </c>
      <c r="V47" s="197" t="str">
        <f t="shared" ca="1" si="13"/>
        <v/>
      </c>
    </row>
    <row r="48" spans="1:22" ht="12.6" customHeight="1">
      <c r="A48" s="189">
        <f t="shared" ca="1" si="17"/>
        <v>42183</v>
      </c>
      <c r="B48" s="285"/>
      <c r="C48" s="286"/>
      <c r="D48" s="273"/>
      <c r="E48" s="274"/>
      <c r="F48" s="122"/>
      <c r="G48" s="110" t="str">
        <f t="shared" ca="1" si="14"/>
        <v>0,00</v>
      </c>
      <c r="H48" s="111" t="str">
        <f t="shared" ca="1" si="0"/>
        <v/>
      </c>
      <c r="I48" s="112">
        <f t="shared" ca="1" si="15"/>
        <v>0</v>
      </c>
      <c r="J48" s="113" t="str">
        <f t="shared" ca="1" si="1"/>
        <v/>
      </c>
      <c r="K48" s="275" t="str">
        <f t="shared" ca="1" si="16"/>
        <v>--------</v>
      </c>
      <c r="L48" s="276"/>
      <c r="M48" s="93">
        <f t="shared" ca="1" si="3"/>
        <v>26</v>
      </c>
      <c r="N48" s="94">
        <f t="shared" ca="1" si="4"/>
        <v>0</v>
      </c>
      <c r="O48" s="95">
        <f t="shared" ca="1" si="9"/>
        <v>0</v>
      </c>
      <c r="P48" s="120" t="str">
        <f t="shared" ca="1" si="10"/>
        <v/>
      </c>
      <c r="Q48" s="120" t="str">
        <f t="shared" ca="1" si="11"/>
        <v>1</v>
      </c>
      <c r="R48" s="184" t="str">
        <f t="shared" ca="1" si="5"/>
        <v/>
      </c>
      <c r="S48" s="185" t="e">
        <f t="shared" ca="1" si="6"/>
        <v>#N/A</v>
      </c>
      <c r="T48" s="186" t="str">
        <f t="shared" ca="1" si="7"/>
        <v/>
      </c>
      <c r="U48" s="194" t="str">
        <f t="shared" ca="1" si="12"/>
        <v/>
      </c>
      <c r="V48" s="197" t="str">
        <f t="shared" ca="1" si="13"/>
        <v/>
      </c>
    </row>
    <row r="49" spans="1:22" ht="12.6" customHeight="1">
      <c r="A49" s="189">
        <f t="shared" ca="1" si="17"/>
        <v>42184</v>
      </c>
      <c r="B49" s="285"/>
      <c r="C49" s="286"/>
      <c r="D49" s="273"/>
      <c r="E49" s="274"/>
      <c r="F49" s="119"/>
      <c r="G49" s="110" t="str">
        <f t="shared" ca="1" si="14"/>
        <v>0,00</v>
      </c>
      <c r="H49" s="111">
        <f t="shared" ca="1" si="0"/>
        <v>0</v>
      </c>
      <c r="I49" s="112">
        <f t="shared" ca="1" si="15"/>
        <v>0</v>
      </c>
      <c r="J49" s="113" t="str">
        <f t="shared" ca="1" si="1"/>
        <v/>
      </c>
      <c r="K49" s="275" t="str">
        <f t="shared" ca="1" si="16"/>
        <v>--------</v>
      </c>
      <c r="L49" s="276"/>
      <c r="M49" s="93">
        <f t="shared" ca="1" si="3"/>
        <v>26</v>
      </c>
      <c r="N49" s="94">
        <f t="shared" ca="1" si="4"/>
        <v>0</v>
      </c>
      <c r="O49" s="95">
        <f t="shared" ca="1" si="9"/>
        <v>0</v>
      </c>
      <c r="P49" s="120" t="str">
        <f t="shared" ca="1" si="10"/>
        <v/>
      </c>
      <c r="Q49" s="120" t="str">
        <f t="shared" ca="1" si="11"/>
        <v>1</v>
      </c>
      <c r="R49" s="184" t="str">
        <f t="shared" ca="1" si="5"/>
        <v/>
      </c>
      <c r="S49" s="185" t="e">
        <f t="shared" ca="1" si="6"/>
        <v>#N/A</v>
      </c>
      <c r="T49" s="186" t="str">
        <f t="shared" ca="1" si="7"/>
        <v/>
      </c>
      <c r="U49" s="194" t="str">
        <f t="shared" ca="1" si="12"/>
        <v/>
      </c>
      <c r="V49" s="197" t="str">
        <f t="shared" ca="1" si="13"/>
        <v/>
      </c>
    </row>
    <row r="50" spans="1:22" ht="12.6" customHeight="1" thickBot="1">
      <c r="A50" s="191">
        <f t="shared" ca="1" si="17"/>
        <v>0</v>
      </c>
      <c r="B50" s="293"/>
      <c r="C50" s="294"/>
      <c r="D50" s="295"/>
      <c r="E50" s="296"/>
      <c r="F50" s="134"/>
      <c r="G50" s="135" t="str">
        <f t="shared" ca="1" si="14"/>
        <v>0,00</v>
      </c>
      <c r="H50" s="136" t="str">
        <f t="shared" ca="1" si="0"/>
        <v/>
      </c>
      <c r="I50" s="112">
        <f t="shared" ca="1" si="15"/>
        <v>0</v>
      </c>
      <c r="J50" s="138" t="str">
        <f t="shared" ca="1" si="1"/>
        <v/>
      </c>
      <c r="K50" s="275" t="str">
        <f t="shared" ca="1" si="16"/>
        <v>--------</v>
      </c>
      <c r="L50" s="276"/>
      <c r="M50" s="93" t="str">
        <f ca="1">IF(A50&gt;DATE(1904,1,1),WEEKNUM(A50,2),"")</f>
        <v/>
      </c>
      <c r="N50" s="94">
        <f t="shared" ca="1" si="4"/>
        <v>0</v>
      </c>
      <c r="O50" s="95">
        <f ca="1">IF(I50&lt;&gt;0,I50,0)</f>
        <v>0</v>
      </c>
      <c r="P50" s="120" t="str">
        <f t="shared" ca="1" si="10"/>
        <v/>
      </c>
      <c r="Q50" s="120" t="str">
        <f t="shared" ca="1" si="11"/>
        <v/>
      </c>
      <c r="R50" s="184" t="str">
        <f t="shared" ca="1" si="5"/>
        <v/>
      </c>
      <c r="S50" s="185" t="e">
        <f t="shared" ca="1" si="6"/>
        <v>#N/A</v>
      </c>
      <c r="T50" s="186" t="str">
        <f ca="1">IF(ISNA(S50),"",S50)</f>
        <v/>
      </c>
      <c r="U50" s="195" t="str">
        <f t="shared" ca="1" si="12"/>
        <v/>
      </c>
      <c r="V50" s="197" t="str">
        <f t="shared" ca="1" si="13"/>
        <v/>
      </c>
    </row>
    <row r="51" spans="1:22" ht="11.25" customHeight="1">
      <c r="A51" s="19"/>
      <c r="B51" s="43"/>
      <c r="C51" s="43"/>
      <c r="D51" s="43"/>
      <c r="E51" s="20"/>
      <c r="G51" s="67"/>
      <c r="I51" s="42"/>
      <c r="K51" s="21"/>
      <c r="L51" s="11"/>
      <c r="M51" s="4"/>
      <c r="N51" s="44"/>
      <c r="O51" s="59"/>
      <c r="S51" s="183"/>
      <c r="V51" s="198">
        <f ca="1">COUNTIF(V20:V50,"!")</f>
        <v>0</v>
      </c>
    </row>
    <row r="52" spans="1:22" ht="14.1" customHeight="1">
      <c r="E52" s="22"/>
      <c r="F52" s="140" t="s">
        <v>29</v>
      </c>
      <c r="G52" s="139">
        <f ca="1">SUM($G$20:$G$50)</f>
        <v>0</v>
      </c>
      <c r="H52" s="130" t="s">
        <v>30</v>
      </c>
      <c r="I52" s="130"/>
      <c r="J52" s="139">
        <f ca="1">IF(ISNA($H$56),0,IF($H$56&gt;$C$54,$C$54,$H$56))</f>
        <v>0</v>
      </c>
      <c r="K52" s="290" t="str">
        <f ca="1">IF(ISNA($F$56),"",IF($F$56&gt;$C$54,"Kappung erfolgt",""))</f>
        <v/>
      </c>
      <c r="L52" s="290"/>
      <c r="M52" s="4"/>
      <c r="N52" s="44">
        <f ca="1">SUM(N20:N50)</f>
        <v>0</v>
      </c>
      <c r="O52" s="59"/>
    </row>
    <row r="53" spans="1:22">
      <c r="A53" s="98" t="s">
        <v>22</v>
      </c>
      <c r="B53" s="98"/>
      <c r="C53" s="98"/>
      <c r="D53" s="99"/>
      <c r="E53" s="23"/>
      <c r="F53" s="23"/>
      <c r="G53" s="24"/>
      <c r="H53" s="2"/>
      <c r="I53" s="2"/>
      <c r="L53" s="131"/>
      <c r="M53" s="4"/>
      <c r="N53" s="38">
        <f ca="1">SUM(N20:N50)</f>
        <v>0</v>
      </c>
      <c r="O53" s="60"/>
    </row>
    <row r="54" spans="1:22">
      <c r="A54" s="297" t="s">
        <v>23</v>
      </c>
      <c r="B54" s="297"/>
      <c r="C54" s="298">
        <f ca="1">$N$52*0.5</f>
        <v>0</v>
      </c>
      <c r="D54" s="298"/>
      <c r="F54" s="2"/>
      <c r="G54" s="106"/>
      <c r="H54" s="299" t="str">
        <f ca="1">IF($K$52="Kappung erfolgt","INFO: (Gekappte Std.: "&amp;$J$56,"")</f>
        <v/>
      </c>
      <c r="I54" s="299"/>
      <c r="J54" s="299"/>
      <c r="K54" s="127" t="str">
        <f ca="1">IF($K$52="Kappung erfolgt","von insg. "&amp;$L$56&amp;" Mehrstunden)","")</f>
        <v/>
      </c>
      <c r="L54" s="127"/>
      <c r="M54" s="201"/>
      <c r="N54" s="202">
        <f>IF($A$55="Wg.Unterbrechung  keine Stundenübernahme möglich! Bitte Angaben prüfen","1",0)</f>
        <v>0</v>
      </c>
      <c r="O54" s="164"/>
      <c r="P54" s="164"/>
      <c r="Q54" s="164"/>
      <c r="R54" s="164"/>
      <c r="S54" s="164"/>
      <c r="T54" s="164"/>
      <c r="U54" s="164"/>
      <c r="V54" s="164"/>
    </row>
    <row r="55" spans="1:22">
      <c r="A55" s="288"/>
      <c r="B55" s="288"/>
      <c r="C55" s="288"/>
      <c r="D55" s="288"/>
      <c r="E55" s="288"/>
      <c r="F55" s="288"/>
      <c r="G55" s="2"/>
      <c r="M55" s="128"/>
      <c r="N55" s="28" t="str">
        <f>IF($N$54&gt;0,($D$54*-1),"0:00")</f>
        <v>0:00</v>
      </c>
      <c r="O55" t="str">
        <f ca="1">IF(O50="",0,"")</f>
        <v/>
      </c>
    </row>
    <row r="56" spans="1:22" hidden="1">
      <c r="A56" s="25"/>
      <c r="B56" s="25"/>
      <c r="C56" s="38"/>
      <c r="D56" s="26"/>
      <c r="E56" s="27"/>
      <c r="F56" s="232">
        <f>+H56-G56</f>
        <v>-6.9444444444444447E-4</v>
      </c>
      <c r="G56" s="60">
        <v>6.9444444444444447E-4</v>
      </c>
      <c r="H56" s="38">
        <f>IF($C$14&gt;DATE(1904,1,1),LOOKUP(10000000,O20:O50),0)</f>
        <v>0</v>
      </c>
      <c r="I56" s="60">
        <f ca="1">+($H$56+$N$16)-J52</f>
        <v>0</v>
      </c>
      <c r="J56" s="233">
        <f ca="1">ROUND(I56*24,2)</f>
        <v>0</v>
      </c>
      <c r="K56">
        <f>($H$56+$N$16)*24</f>
        <v>0</v>
      </c>
      <c r="L56">
        <f>ROUND(K56,1)</f>
        <v>0</v>
      </c>
      <c r="M56" s="128"/>
      <c r="N56" s="28"/>
    </row>
    <row r="57" spans="1:22" ht="10.5" customHeight="1">
      <c r="A57" s="199" t="str">
        <f ca="1">IF(V51&gt;0,"Achtung! Bitte bei den blau markierten Feldern die Regelstunden eintragen.","")</f>
        <v/>
      </c>
      <c r="B57" s="199"/>
      <c r="C57" s="199"/>
      <c r="D57" s="199"/>
      <c r="E57" s="199"/>
      <c r="F57" s="200"/>
      <c r="M57" s="4"/>
      <c r="N57" s="28"/>
      <c r="Q57" s="251" t="s">
        <v>32</v>
      </c>
      <c r="R57" s="251"/>
      <c r="S57" s="251"/>
      <c r="T57" s="251"/>
    </row>
    <row r="58" spans="1:22">
      <c r="A58" s="25"/>
      <c r="B58" s="25"/>
      <c r="C58" s="38"/>
      <c r="D58" s="26"/>
      <c r="E58" s="27"/>
      <c r="Q58" s="250">
        <f>+F14-C14</f>
        <v>0</v>
      </c>
      <c r="R58" s="250"/>
    </row>
    <row r="59" spans="1:22">
      <c r="A59" s="25"/>
      <c r="B59" s="25"/>
      <c r="C59" s="38"/>
      <c r="D59" s="26"/>
      <c r="E59" s="27"/>
      <c r="F59" s="2"/>
      <c r="G59" s="2"/>
      <c r="H59" s="27"/>
      <c r="M59" s="68"/>
      <c r="N59" s="28"/>
      <c r="Q59" s="252" t="s">
        <v>33</v>
      </c>
      <c r="R59" s="252"/>
      <c r="S59" s="252"/>
      <c r="T59" s="252"/>
      <c r="U59" s="252"/>
      <c r="V59" s="252"/>
    </row>
    <row r="60" spans="1:22" ht="10.5" customHeight="1">
      <c r="A60" s="25"/>
      <c r="B60" s="25"/>
      <c r="C60" s="38"/>
      <c r="D60" s="26"/>
      <c r="E60" s="27"/>
      <c r="F60" s="2"/>
      <c r="G60" s="2"/>
      <c r="H60" s="27"/>
      <c r="M60" s="68"/>
      <c r="N60" s="28"/>
    </row>
    <row r="61" spans="1:22">
      <c r="A61" s="29"/>
      <c r="B61" s="11"/>
      <c r="C61" s="11"/>
      <c r="D61" s="11"/>
      <c r="E61" s="11"/>
      <c r="F61" s="11"/>
      <c r="G61" s="11"/>
      <c r="H61" s="34"/>
      <c r="I61" s="34"/>
      <c r="J61" s="35"/>
      <c r="K61" s="35"/>
      <c r="L61" s="35"/>
      <c r="M61" s="32"/>
    </row>
    <row r="62" spans="1:22" ht="15.75" thickBot="1">
      <c r="A62" s="46" t="s">
        <v>18</v>
      </c>
      <c r="B62" s="291" t="s">
        <v>19</v>
      </c>
      <c r="C62" s="291"/>
      <c r="D62" s="291"/>
      <c r="E62" s="291"/>
      <c r="F62" s="3"/>
      <c r="G62" s="36" t="s">
        <v>18</v>
      </c>
      <c r="H62" s="292" t="s">
        <v>20</v>
      </c>
      <c r="I62" s="292"/>
      <c r="J62" s="292"/>
      <c r="K62" s="292"/>
      <c r="L62" s="292"/>
      <c r="O62" s="218"/>
    </row>
    <row r="63" spans="1:22" ht="17.25" thickTop="1" thickBot="1">
      <c r="P63" s="160">
        <f ca="1">YEAR($B$17)</f>
        <v>2019</v>
      </c>
      <c r="Q63" s="3"/>
    </row>
    <row r="64" spans="1:22" ht="15.75" thickTop="1">
      <c r="Q64" s="3">
        <f ca="1">MOD(P63,19)</f>
        <v>5</v>
      </c>
      <c r="R64" s="287" t="s">
        <v>34</v>
      </c>
      <c r="S64" s="287"/>
      <c r="T64" s="214"/>
    </row>
    <row r="65" spans="13:20">
      <c r="P65" s="3"/>
      <c r="Q65" s="3">
        <f ca="1">MOD(P63,4)</f>
        <v>3</v>
      </c>
    </row>
    <row r="66" spans="13:20">
      <c r="P66" s="3"/>
      <c r="Q66" s="3">
        <f ca="1">MOD(P63,7)</f>
        <v>3</v>
      </c>
    </row>
    <row r="67" spans="13:20">
      <c r="P67" s="3"/>
      <c r="Q67" s="3">
        <f ca="1">TRUNC((8*(TRUNC(P63/100))+13)/25)-2</f>
        <v>4</v>
      </c>
    </row>
    <row r="68" spans="13:20">
      <c r="P68" s="3"/>
      <c r="Q68" s="3">
        <f ca="1">TRUNC(P63/100)-TRUNC(P63/400)-2</f>
        <v>13</v>
      </c>
    </row>
    <row r="69" spans="13:20">
      <c r="P69" s="3"/>
      <c r="Q69" s="3">
        <f ca="1">MOD(15+Q68-Q67,30)</f>
        <v>24</v>
      </c>
    </row>
    <row r="70" spans="13:20">
      <c r="P70" s="161"/>
      <c r="Q70" s="3">
        <f ca="1">MOD(6+Q68,7)</f>
        <v>5</v>
      </c>
    </row>
    <row r="71" spans="13:20">
      <c r="P71" s="3"/>
      <c r="Q71" s="3">
        <f ca="1">MOD(Q69+19*Q64,30)</f>
        <v>29</v>
      </c>
    </row>
    <row r="72" spans="13:20">
      <c r="P72" s="3"/>
      <c r="Q72" s="3">
        <f ca="1">IF(Q71=29,28,IF(AND(Q71=28,Q64&gt;=11),27,IF(AND(Q71&lt;28,Q71&gt;29),,Q71)))</f>
        <v>28</v>
      </c>
    </row>
    <row r="73" spans="13:20">
      <c r="P73" s="3"/>
      <c r="Q73" s="3">
        <f ca="1">MOD(2*Q65+4*Q66+6*Q72+Q70,7)</f>
        <v>2</v>
      </c>
    </row>
    <row r="74" spans="13:20">
      <c r="P74" s="3"/>
      <c r="Q74" s="3">
        <f ca="1">Q72+Q73+1</f>
        <v>31</v>
      </c>
    </row>
    <row r="75" spans="13:20">
      <c r="P75" s="3"/>
      <c r="Q75" s="3">
        <f>DATEVALUE("21.märz")</f>
        <v>40988</v>
      </c>
    </row>
    <row r="76" spans="13:20">
      <c r="M76" s="3"/>
      <c r="N76" s="3"/>
    </row>
    <row r="77" spans="13:20">
      <c r="M77" s="165"/>
      <c r="P77" s="183"/>
      <c r="Q77" s="228">
        <f ca="1">+T77</f>
        <v>42004</v>
      </c>
      <c r="R77" s="30" t="s">
        <v>35</v>
      </c>
      <c r="T77" s="229">
        <f ca="1">DATE($P$63,1,1)</f>
        <v>42004</v>
      </c>
    </row>
    <row r="78" spans="13:20">
      <c r="M78" s="3"/>
      <c r="P78" s="2"/>
      <c r="Q78" s="220">
        <f ca="1">+$Q$80-2</f>
        <v>42112</v>
      </c>
      <c r="R78" s="30" t="s">
        <v>36</v>
      </c>
      <c r="S78" s="221"/>
      <c r="T78" s="2"/>
    </row>
    <row r="79" spans="13:20">
      <c r="M79" s="3"/>
      <c r="P79" s="2"/>
      <c r="Q79" s="220">
        <f ca="1">+Q80-1</f>
        <v>42113</v>
      </c>
      <c r="R79" s="30" t="s">
        <v>37</v>
      </c>
      <c r="S79" s="221"/>
      <c r="T79" s="2"/>
    </row>
    <row r="80" spans="13:20">
      <c r="M80"/>
      <c r="P80" s="222">
        <f ca="1">IF(R80="Ostersonntag",Q74+Q75,"")</f>
        <v>41019</v>
      </c>
      <c r="Q80" s="220">
        <f ca="1">T80</f>
        <v>42114</v>
      </c>
      <c r="R80" s="181" t="str">
        <f ca="1">IF(P63&lt;1583,"Der gregorianische Kalender gilt erst seit dem 15.10.1582  !!!",IF(P63&gt;8202,"Die gauß´sche Osterformel gilt nur bis zum Jahre    8202  !!!","Ostersonntag"))</f>
        <v>Ostersonntag</v>
      </c>
      <c r="S80">
        <f ca="1">DAY(T81)</f>
        <v>21</v>
      </c>
      <c r="T80" s="146">
        <f ca="1">DATE($P$63,S81,S80)</f>
        <v>42114</v>
      </c>
    </row>
    <row r="81" spans="13:20">
      <c r="M81" s="162"/>
      <c r="P81" s="2"/>
      <c r="Q81" s="220">
        <f ca="1">+Q80+1</f>
        <v>42115</v>
      </c>
      <c r="R81" s="223" t="s">
        <v>38</v>
      </c>
      <c r="S81" s="182">
        <f ca="1">MONTH(P80)</f>
        <v>4</v>
      </c>
      <c r="T81" s="183" t="str">
        <f ca="1">DAY(P80)&amp;"."&amp;MONTH(P80)&amp;"."&amp;YEAR($B$17)</f>
        <v>21.4.2019</v>
      </c>
    </row>
    <row r="82" spans="13:20">
      <c r="M82" s="163"/>
      <c r="P82" s="2"/>
      <c r="Q82" s="220">
        <v>40846</v>
      </c>
      <c r="R82" s="224" t="s">
        <v>50</v>
      </c>
      <c r="S82" s="221"/>
      <c r="T82" s="2"/>
    </row>
    <row r="83" spans="13:20">
      <c r="M83" s="163"/>
      <c r="P83" s="2"/>
      <c r="Q83" s="220">
        <f ca="1">+T83</f>
        <v>42124</v>
      </c>
      <c r="R83" s="224" t="s">
        <v>39</v>
      </c>
      <c r="S83" s="221"/>
      <c r="T83" s="144">
        <f ca="1">DATE($P$63,5,1)</f>
        <v>42124</v>
      </c>
    </row>
    <row r="84" spans="13:20">
      <c r="M84" s="164"/>
      <c r="P84" s="2"/>
      <c r="Q84" s="220">
        <f ca="1">+Q80+39</f>
        <v>42153</v>
      </c>
      <c r="R84" s="224" t="s">
        <v>40</v>
      </c>
      <c r="S84" s="221"/>
      <c r="T84" s="2"/>
    </row>
    <row r="85" spans="13:20">
      <c r="M85" s="164"/>
      <c r="P85" s="2"/>
      <c r="Q85" s="220">
        <f ca="1">+Q80+49</f>
        <v>42163</v>
      </c>
      <c r="R85" s="224" t="s">
        <v>41</v>
      </c>
      <c r="S85" s="221"/>
      <c r="T85" s="2"/>
    </row>
    <row r="86" spans="13:20">
      <c r="M86" s="164"/>
      <c r="P86" s="2"/>
      <c r="Q86" s="220">
        <f ca="1">+Q85+1</f>
        <v>42164</v>
      </c>
      <c r="R86" s="224" t="s">
        <v>42</v>
      </c>
      <c r="S86" s="221"/>
      <c r="T86" s="2"/>
    </row>
    <row r="87" spans="13:20">
      <c r="M87"/>
      <c r="P87" s="2"/>
      <c r="Q87" s="220">
        <f ca="1">+Q80+60</f>
        <v>42174</v>
      </c>
      <c r="R87" s="224" t="s">
        <v>43</v>
      </c>
      <c r="S87" s="221"/>
      <c r="T87" s="2"/>
    </row>
    <row r="88" spans="13:20">
      <c r="M88"/>
      <c r="P88" s="2"/>
      <c r="Q88" s="220">
        <f ca="1">+T88</f>
        <v>42279</v>
      </c>
      <c r="R88" s="224" t="s">
        <v>44</v>
      </c>
      <c r="S88" s="221"/>
      <c r="T88" s="144">
        <f ca="1">DATE($P$63,10,3)</f>
        <v>42279</v>
      </c>
    </row>
    <row r="89" spans="13:20">
      <c r="M89"/>
      <c r="P89" s="2"/>
      <c r="Q89" s="220">
        <f ca="1">+T89</f>
        <v>42361</v>
      </c>
      <c r="R89" s="224" t="s">
        <v>45</v>
      </c>
      <c r="S89" s="221"/>
      <c r="T89" s="144">
        <f ca="1">DATE($P$63,12,24)</f>
        <v>42361</v>
      </c>
    </row>
    <row r="90" spans="13:20">
      <c r="M90"/>
      <c r="P90" s="2"/>
      <c r="Q90" s="220">
        <f ca="1">+Q89+1</f>
        <v>42362</v>
      </c>
      <c r="R90" s="221" t="s">
        <v>46</v>
      </c>
      <c r="S90" s="221"/>
      <c r="T90" s="2"/>
    </row>
    <row r="91" spans="13:20">
      <c r="M91"/>
      <c r="P91" s="2"/>
      <c r="Q91" s="220">
        <f ca="1">Q90+1</f>
        <v>42363</v>
      </c>
      <c r="R91" s="224" t="s">
        <v>47</v>
      </c>
      <c r="S91" s="221"/>
      <c r="T91" s="2"/>
    </row>
    <row r="92" spans="13:20">
      <c r="M92"/>
      <c r="P92" s="2"/>
      <c r="Q92" s="220">
        <f ca="1">+Q91+5</f>
        <v>42368</v>
      </c>
      <c r="R92" s="224" t="s">
        <v>48</v>
      </c>
      <c r="S92" s="221"/>
      <c r="T92" s="2"/>
    </row>
    <row r="93" spans="13:20">
      <c r="O93" s="179"/>
      <c r="P93" s="180"/>
      <c r="Q93" s="180"/>
    </row>
  </sheetData>
  <sheetProtection algorithmName="SHA-512" hashValue="/2kkgauXgXx8OM6EYH7+b3YSsLWGmtASsFmBQZT0/O87ku8cv27Q19o6awrsmCKYsBsyin4eVZ1ReR+nta/zJw==" saltValue="DjG5yKaqNyoL7XNpPTug6w==" spinCount="100000" sheet="1" objects="1" scenarios="1" selectLockedCells="1"/>
  <customSheetViews>
    <customSheetView guid="{F722B16D-738E-4BDF-960F-9789C414C7F6}" scale="120" showPageBreaks="1" showGridLines="0" showRowCol="0" fitToPage="1" hiddenRows="1" hiddenColumns="1" view="pageLayout" showRuler="0">
      <selection activeCell="J13" sqref="J13"/>
      <pageMargins left="0.7" right="0.53125" top="1.2708333333333333" bottom="0.28125" header="0.3" footer="0.3"/>
      <pageSetup paperSize="9" scale="95" orientation="portrait" r:id="rId1"/>
      <headerFooter>
        <oddHeader>&amp;L&amp;"BO Regular Bold,Fett"&amp;12Stundennachweis&amp;"-,Standard"&amp;10
&amp;"BO Regular Normal,Standard"nach §17 MiLoG
für SHK, WHK, studentische Aushilfskräfte TV-L 
und geringfügige Beschäftigte&amp;R&amp;G</oddHeader>
      </headerFooter>
    </customSheetView>
  </customSheetViews>
  <mergeCells count="136">
    <mergeCell ref="R64:S64"/>
    <mergeCell ref="A55:F55"/>
    <mergeCell ref="R19:T19"/>
    <mergeCell ref="K52:L52"/>
    <mergeCell ref="B62:E62"/>
    <mergeCell ref="H62:L62"/>
    <mergeCell ref="K50:L50"/>
    <mergeCell ref="B50:C50"/>
    <mergeCell ref="D50:E50"/>
    <mergeCell ref="B48:C48"/>
    <mergeCell ref="D48:E48"/>
    <mergeCell ref="K48:L48"/>
    <mergeCell ref="B49:C49"/>
    <mergeCell ref="D49:E49"/>
    <mergeCell ref="K49:L49"/>
    <mergeCell ref="A54:B54"/>
    <mergeCell ref="C54:D54"/>
    <mergeCell ref="H54:J54"/>
    <mergeCell ref="B46:C46"/>
    <mergeCell ref="D46:E46"/>
    <mergeCell ref="K46:L46"/>
    <mergeCell ref="B47:C47"/>
    <mergeCell ref="D47:E47"/>
    <mergeCell ref="K47:L47"/>
    <mergeCell ref="B44:C44"/>
    <mergeCell ref="D44:E44"/>
    <mergeCell ref="K44:L44"/>
    <mergeCell ref="B45:C45"/>
    <mergeCell ref="D45:E45"/>
    <mergeCell ref="K45:L45"/>
    <mergeCell ref="B42:C42"/>
    <mergeCell ref="D42:E42"/>
    <mergeCell ref="K42:L42"/>
    <mergeCell ref="B43:C43"/>
    <mergeCell ref="D43:E43"/>
    <mergeCell ref="K43:L43"/>
    <mergeCell ref="B40:C40"/>
    <mergeCell ref="D40:E40"/>
    <mergeCell ref="K40:L40"/>
    <mergeCell ref="B41:C41"/>
    <mergeCell ref="D41:E41"/>
    <mergeCell ref="K41:L41"/>
    <mergeCell ref="B38:C38"/>
    <mergeCell ref="D38:E38"/>
    <mergeCell ref="K38:L38"/>
    <mergeCell ref="B39:C39"/>
    <mergeCell ref="D39:E39"/>
    <mergeCell ref="K39:L39"/>
    <mergeCell ref="B36:C36"/>
    <mergeCell ref="D36:E36"/>
    <mergeCell ref="K36:L36"/>
    <mergeCell ref="B37:C37"/>
    <mergeCell ref="D37:E37"/>
    <mergeCell ref="K37:L37"/>
    <mergeCell ref="B34:C34"/>
    <mergeCell ref="D34:E34"/>
    <mergeCell ref="K34:L34"/>
    <mergeCell ref="B35:C35"/>
    <mergeCell ref="D35:E35"/>
    <mergeCell ref="K35:L35"/>
    <mergeCell ref="B32:C32"/>
    <mergeCell ref="D32:E32"/>
    <mergeCell ref="K32:L32"/>
    <mergeCell ref="B33:C33"/>
    <mergeCell ref="D33:E33"/>
    <mergeCell ref="K33:L33"/>
    <mergeCell ref="B30:C30"/>
    <mergeCell ref="D30:E30"/>
    <mergeCell ref="K30:L30"/>
    <mergeCell ref="B31:C31"/>
    <mergeCell ref="D31:E31"/>
    <mergeCell ref="K31:L31"/>
    <mergeCell ref="B28:C28"/>
    <mergeCell ref="D28:E28"/>
    <mergeCell ref="K28:L28"/>
    <mergeCell ref="B29:C29"/>
    <mergeCell ref="D29:E29"/>
    <mergeCell ref="K29:L29"/>
    <mergeCell ref="B26:C26"/>
    <mergeCell ref="D26:E26"/>
    <mergeCell ref="K26:L26"/>
    <mergeCell ref="B27:C27"/>
    <mergeCell ref="D27:E27"/>
    <mergeCell ref="K27:L27"/>
    <mergeCell ref="B25:C25"/>
    <mergeCell ref="D25:E25"/>
    <mergeCell ref="K25:L25"/>
    <mergeCell ref="B22:C22"/>
    <mergeCell ref="D22:E22"/>
    <mergeCell ref="K22:L22"/>
    <mergeCell ref="B23:C23"/>
    <mergeCell ref="D23:E23"/>
    <mergeCell ref="K23:L23"/>
    <mergeCell ref="B21:C21"/>
    <mergeCell ref="D21:E21"/>
    <mergeCell ref="K21:L21"/>
    <mergeCell ref="B19:C19"/>
    <mergeCell ref="D19:E19"/>
    <mergeCell ref="K19:L19"/>
    <mergeCell ref="B24:C24"/>
    <mergeCell ref="D24:E24"/>
    <mergeCell ref="K24:L24"/>
    <mergeCell ref="K9:L9"/>
    <mergeCell ref="A11:B11"/>
    <mergeCell ref="C11:D11"/>
    <mergeCell ref="K11:L11"/>
    <mergeCell ref="A14:B14"/>
    <mergeCell ref="G16:L16"/>
    <mergeCell ref="A16:F16"/>
    <mergeCell ref="B20:C20"/>
    <mergeCell ref="D20:E20"/>
    <mergeCell ref="K20:L20"/>
    <mergeCell ref="Q58:R58"/>
    <mergeCell ref="Q57:T57"/>
    <mergeCell ref="Q59:V59"/>
    <mergeCell ref="M1:N1"/>
    <mergeCell ref="A3:B3"/>
    <mergeCell ref="C3:F3"/>
    <mergeCell ref="A5:B5"/>
    <mergeCell ref="C5:F5"/>
    <mergeCell ref="K5:L5"/>
    <mergeCell ref="A7:B7"/>
    <mergeCell ref="C7:F7"/>
    <mergeCell ref="K7:L7"/>
    <mergeCell ref="A1:B1"/>
    <mergeCell ref="C1:F1"/>
    <mergeCell ref="K1:L1"/>
    <mergeCell ref="H1:J1"/>
    <mergeCell ref="A13:B13"/>
    <mergeCell ref="C14:D14"/>
    <mergeCell ref="C15:D15"/>
    <mergeCell ref="K15:L15"/>
    <mergeCell ref="B17:K17"/>
    <mergeCell ref="A9:B9"/>
    <mergeCell ref="C9:D9"/>
    <mergeCell ref="K3:L3"/>
  </mergeCells>
  <conditionalFormatting sqref="F9">
    <cfRule type="expression" dxfId="2029" priority="443">
      <formula>$F$14&lt;$C$14</formula>
    </cfRule>
  </conditionalFormatting>
  <conditionalFormatting sqref="I51">
    <cfRule type="expression" dxfId="2028" priority="431">
      <formula>WEEKDAY($A51,2)&gt;5</formula>
    </cfRule>
  </conditionalFormatting>
  <conditionalFormatting sqref="I51">
    <cfRule type="cellIs" dxfId="2027" priority="412" operator="lessThan">
      <formula>0</formula>
    </cfRule>
  </conditionalFormatting>
  <conditionalFormatting sqref="C11:D11">
    <cfRule type="expression" dxfId="2026" priority="192">
      <formula>ISBLANK($C$11)</formula>
    </cfRule>
    <cfRule type="expression" dxfId="2025" priority="411">
      <formula>($C$11/24)&lt;&gt;$M$3</formula>
    </cfRule>
  </conditionalFormatting>
  <conditionalFormatting sqref="I51 B47:E47 U20:U50 O93 P80 Q77:Q92 A21:D31 A33:D43 A32 A45:E45 A44 A47:D50 A46 F20:J50 A20 D20">
    <cfRule type="expression" dxfId="2024" priority="461">
      <formula>AND(WEEKDAY($A20,2)=3,$I$6=FALSE)</formula>
    </cfRule>
    <cfRule type="expression" dxfId="2023" priority="462">
      <formula>AND(WEEKDAY($A20,2)=4,$I$8=TRUE)</formula>
    </cfRule>
    <cfRule type="expression" dxfId="2022" priority="463">
      <formula>AND(WEEKDAY($A20,2)=4,$I$8=FALSE)</formula>
    </cfRule>
    <cfRule type="expression" dxfId="2021" priority="464">
      <formula>AND(WEEKDAY($A20,2)=5,$I$10=TRUE)</formula>
    </cfRule>
    <cfRule type="expression" dxfId="2020" priority="465">
      <formula>AND(WEEKDAY($A20,2)=5,$G$14=FALSE)</formula>
    </cfRule>
  </conditionalFormatting>
  <conditionalFormatting sqref="U20:U50 O93 P80 Q77:Q92 A21:J31 A33:J43 A32 F32:J32 A45:J45 A44 F44:J44 A47:J50 A46 F46:J46 I25:I51 A20 D20:J20">
    <cfRule type="expression" dxfId="2019" priority="506">
      <formula>AND(WEEKDAY($A20,2)=1,$I$2=TRUE)</formula>
    </cfRule>
    <cfRule type="expression" dxfId="2018" priority="507">
      <formula>AND(WEEKDAY($A20,2)=1,$I$2=FALSE)</formula>
    </cfRule>
    <cfRule type="expression" dxfId="2017" priority="508">
      <formula>AND(WEEKDAY($A20,2)=2,$I$4=TRUE)</formula>
    </cfRule>
    <cfRule type="expression" dxfId="2016" priority="509">
      <formula>AND(WEEKDAY($A20,2)=2,$I$4=FALSE)</formula>
    </cfRule>
    <cfRule type="expression" dxfId="2015" priority="510">
      <formula>AND(WEEKDAY($A20,2)=3,$I$6=TRUE)</formula>
    </cfRule>
  </conditionalFormatting>
  <conditionalFormatting sqref="C1">
    <cfRule type="expression" dxfId="2014" priority="365">
      <formula>ISBLANK($C$1)</formula>
    </cfRule>
  </conditionalFormatting>
  <conditionalFormatting sqref="C3">
    <cfRule type="expression" dxfId="2013" priority="364">
      <formula>ISBLANK($C$3)</formula>
    </cfRule>
  </conditionalFormatting>
  <conditionalFormatting sqref="C5">
    <cfRule type="expression" dxfId="2012" priority="363">
      <formula>ISBLANK($C$5)</formula>
    </cfRule>
  </conditionalFormatting>
  <conditionalFormatting sqref="C7">
    <cfRule type="expression" dxfId="2011" priority="362">
      <formula>ISBLANK($C$7)</formula>
    </cfRule>
  </conditionalFormatting>
  <conditionalFormatting sqref="K7:L7">
    <cfRule type="expression" dxfId="2010" priority="275">
      <formula>AND(I6=TRUE,$C$11&lt;&gt;($K$3+$K$5+$K$7+$K$9+$K$11))</formula>
    </cfRule>
    <cfRule type="expression" dxfId="2009" priority="276">
      <formula>(I6=TRUE)</formula>
    </cfRule>
    <cfRule type="expression" dxfId="2008" priority="277">
      <formula>AND(I6=FALSE,$K$7&gt;0)</formula>
    </cfRule>
  </conditionalFormatting>
  <conditionalFormatting sqref="K11:L11">
    <cfRule type="expression" dxfId="2007" priority="278">
      <formula>AND(I10=TRUE,$C$11&lt;&gt;($K$3+$K$5+$K$7+$K$9+$K$11))</formula>
    </cfRule>
    <cfRule type="expression" dxfId="2006" priority="279">
      <formula>(I10=TRUE)</formula>
    </cfRule>
    <cfRule type="expression" dxfId="2005" priority="280">
      <formula>AND(I10=FALSE,K11&gt;0)</formula>
    </cfRule>
  </conditionalFormatting>
  <conditionalFormatting sqref="K9:L9">
    <cfRule type="expression" dxfId="2004" priority="281">
      <formula>AND(I8=TRUE,$C$11&lt;&gt;($K$3+$K$5+$K$7+$K$9+$K$11))</formula>
    </cfRule>
    <cfRule type="expression" dxfId="2003" priority="282">
      <formula>(I8=TRUE)</formula>
    </cfRule>
    <cfRule type="expression" dxfId="2002" priority="283">
      <formula>AND(I8=FALSE,K9&gt;0)</formula>
    </cfRule>
  </conditionalFormatting>
  <conditionalFormatting sqref="K5:L5">
    <cfRule type="expression" dxfId="2001" priority="270">
      <formula>AND(I4=FALSE,K5&gt;0)</formula>
    </cfRule>
    <cfRule type="expression" dxfId="2000" priority="271">
      <formula>AND(I4=TRUE,$C$11&lt;&gt;($K$3+$K$5+$K$7+$K$9+$K$11))</formula>
    </cfRule>
    <cfRule type="expression" dxfId="1999" priority="284">
      <formula>($I$4=TRUE)</formula>
    </cfRule>
  </conditionalFormatting>
  <conditionalFormatting sqref="J52">
    <cfRule type="cellIs" dxfId="1998" priority="228" operator="lessThan">
      <formula>0</formula>
    </cfRule>
  </conditionalFormatting>
  <conditionalFormatting sqref="U20:U50 A21:G31 A33:G43 A32 F32:G32 A45:G45 A44 F44:G44 A47:G50 A46 F46:G46 A20 D20:G20">
    <cfRule type="expression" dxfId="1997" priority="217">
      <formula>WEEKDAY($A20,2)&gt;5</formula>
    </cfRule>
  </conditionalFormatting>
  <conditionalFormatting sqref="H20:J50">
    <cfRule type="expression" dxfId="1996" priority="216">
      <formula>WEEKDAY($A20,2)&gt;5</formula>
    </cfRule>
  </conditionalFormatting>
  <conditionalFormatting sqref="J20:J50">
    <cfRule type="cellIs" dxfId="1995" priority="215" operator="lessThan">
      <formula>0</formula>
    </cfRule>
  </conditionalFormatting>
  <conditionalFormatting sqref="D21:E21">
    <cfRule type="expression" dxfId="1994" priority="214">
      <formula>WEEKDAY($A21,2)&gt;5</formula>
    </cfRule>
  </conditionalFormatting>
  <conditionalFormatting sqref="I20:I50">
    <cfRule type="cellIs" dxfId="1993" priority="213" operator="lessThan">
      <formula>0</formula>
    </cfRule>
  </conditionalFormatting>
  <conditionalFormatting sqref="G20:G50">
    <cfRule type="containsText" dxfId="1992" priority="212" operator="containsText" text="0,00">
      <formula>NOT(ISERROR(SEARCH("0,00",G20)))</formula>
    </cfRule>
  </conditionalFormatting>
  <conditionalFormatting sqref="C9">
    <cfRule type="expression" dxfId="1991" priority="90">
      <formula>"ISTLEER($C$9)"</formula>
    </cfRule>
    <cfRule type="expression" dxfId="1990" priority="203">
      <formula>"$C$9&gt;$C$14"</formula>
    </cfRule>
    <cfRule type="expression" dxfId="1989" priority="204">
      <formula>$F$14&lt;$C$14</formula>
    </cfRule>
  </conditionalFormatting>
  <conditionalFormatting sqref="D27:E27">
    <cfRule type="expression" dxfId="1988" priority="190">
      <formula>WEEKDAY($A27,2)&gt;5</formula>
    </cfRule>
  </conditionalFormatting>
  <conditionalFormatting sqref="D34:E34">
    <cfRule type="expression" dxfId="1987" priority="189">
      <formula>WEEKDAY($A34,2)&gt;5</formula>
    </cfRule>
  </conditionalFormatting>
  <conditionalFormatting sqref="D22:E22">
    <cfRule type="expression" dxfId="1986" priority="188">
      <formula>WEEKDAY($A22,2)&gt;5</formula>
    </cfRule>
  </conditionalFormatting>
  <conditionalFormatting sqref="D28:E28">
    <cfRule type="expression" dxfId="1985" priority="187">
      <formula>WEEKDAY($A28,2)&gt;5</formula>
    </cfRule>
  </conditionalFormatting>
  <conditionalFormatting sqref="D36:E36">
    <cfRule type="expression" dxfId="1984" priority="186">
      <formula>WEEKDAY($A36,2)&gt;5</formula>
    </cfRule>
  </conditionalFormatting>
  <conditionalFormatting sqref="D42:E42">
    <cfRule type="expression" dxfId="1983" priority="185">
      <formula>WEEKDAY($A42,2)&gt;5</formula>
    </cfRule>
  </conditionalFormatting>
  <conditionalFormatting sqref="D41:E41">
    <cfRule type="expression" dxfId="1982" priority="184">
      <formula>WEEKDAY($A41,2)&gt;5</formula>
    </cfRule>
  </conditionalFormatting>
  <conditionalFormatting sqref="D48:E48">
    <cfRule type="expression" dxfId="1981" priority="183">
      <formula>WEEKDAY($A48,2)&gt;5</formula>
    </cfRule>
  </conditionalFormatting>
  <conditionalFormatting sqref="D35:E35">
    <cfRule type="expression" dxfId="1980" priority="182">
      <formula>WEEKDAY($A35,2)&gt;5</formula>
    </cfRule>
  </conditionalFormatting>
  <conditionalFormatting sqref="D29:E29">
    <cfRule type="expression" dxfId="1979" priority="181">
      <formula>WEEKDAY($A29,2)&gt;5</formula>
    </cfRule>
  </conditionalFormatting>
  <conditionalFormatting sqref="D41:E41">
    <cfRule type="expression" dxfId="1978" priority="180">
      <formula>WEEKDAY($A41,2)&gt;5</formula>
    </cfRule>
  </conditionalFormatting>
  <conditionalFormatting sqref="D42:E42">
    <cfRule type="expression" dxfId="1977" priority="179">
      <formula>WEEKDAY($A42,2)&gt;5</formula>
    </cfRule>
  </conditionalFormatting>
  <conditionalFormatting sqref="D43:E43">
    <cfRule type="expression" dxfId="1976" priority="178">
      <formula>WEEKDAY($A43,2)&gt;5</formula>
    </cfRule>
  </conditionalFormatting>
  <conditionalFormatting sqref="I52">
    <cfRule type="cellIs" dxfId="1975" priority="177" operator="lessThan">
      <formula>0</formula>
    </cfRule>
  </conditionalFormatting>
  <conditionalFormatting sqref="D41:E41">
    <cfRule type="expression" dxfId="1974" priority="176">
      <formula>WEEKDAY($A41,2)&gt;5</formula>
    </cfRule>
  </conditionalFormatting>
  <conditionalFormatting sqref="D42:E42">
    <cfRule type="expression" dxfId="1973" priority="175">
      <formula>WEEKDAY($A42,2)&gt;5</formula>
    </cfRule>
  </conditionalFormatting>
  <conditionalFormatting sqref="D35:E35">
    <cfRule type="expression" dxfId="1972" priority="174">
      <formula>WEEKDAY($A35,2)&gt;5</formula>
    </cfRule>
  </conditionalFormatting>
  <conditionalFormatting sqref="D36:E36">
    <cfRule type="expression" dxfId="1971" priority="173">
      <formula>WEEKDAY($A36,2)&gt;5</formula>
    </cfRule>
  </conditionalFormatting>
  <conditionalFormatting sqref="K51">
    <cfRule type="expression" dxfId="1970" priority="764">
      <formula>ABS(SUM(#REF!))&gt;$A$53</formula>
    </cfRule>
  </conditionalFormatting>
  <conditionalFormatting sqref="H52">
    <cfRule type="cellIs" dxfId="1969" priority="172" operator="lessThan">
      <formula>0</formula>
    </cfRule>
  </conditionalFormatting>
  <conditionalFormatting sqref="D35:E35">
    <cfRule type="expression" dxfId="1968" priority="171">
      <formula>WEEKDAY($A35,2)&gt;5</formula>
    </cfRule>
  </conditionalFormatting>
  <conditionalFormatting sqref="D36:E36">
    <cfRule type="expression" dxfId="1967" priority="170">
      <formula>WEEKDAY($A36,2)&gt;5</formula>
    </cfRule>
  </conditionalFormatting>
  <conditionalFormatting sqref="D23:E23">
    <cfRule type="expression" dxfId="1966" priority="169">
      <formula>WEEKDAY($A23,2)&gt;5</formula>
    </cfRule>
  </conditionalFormatting>
  <conditionalFormatting sqref="D49:E49">
    <cfRule type="expression" dxfId="1965" priority="168">
      <formula>WEEKDAY($A49,2)&gt;5</formula>
    </cfRule>
  </conditionalFormatting>
  <conditionalFormatting sqref="O93">
    <cfRule type="expression" dxfId="1964" priority="145">
      <formula>WEEKDAY($A93,2)&gt;5</formula>
    </cfRule>
  </conditionalFormatting>
  <conditionalFormatting sqref="D41:E41">
    <cfRule type="expression" dxfId="1963" priority="130">
      <formula>WEEKDAY($A41,2)&gt;5</formula>
    </cfRule>
  </conditionalFormatting>
  <conditionalFormatting sqref="D41:E41">
    <cfRule type="expression" dxfId="1962" priority="129">
      <formula>WEEKDAY($A41,2)&gt;5</formula>
    </cfRule>
  </conditionalFormatting>
  <conditionalFormatting sqref="D41:E41">
    <cfRule type="expression" dxfId="1961" priority="128">
      <formula>WEEKDAY($A41,2)&gt;5</formula>
    </cfRule>
  </conditionalFormatting>
  <conditionalFormatting sqref="A20:A50">
    <cfRule type="expression" dxfId="1960" priority="124">
      <formula>V20&lt;&gt;""</formula>
    </cfRule>
    <cfRule type="expression" dxfId="1959" priority="126">
      <formula>T20&lt;&gt;""</formula>
    </cfRule>
    <cfRule type="expression" dxfId="1958" priority="848">
      <formula>T20&lt;&gt;""</formula>
    </cfRule>
  </conditionalFormatting>
  <conditionalFormatting sqref="B21:B31 B33:B43 B45 B47:B50">
    <cfRule type="expression" dxfId="1957" priority="968">
      <formula>#REF!&lt;&gt;""</formula>
    </cfRule>
  </conditionalFormatting>
  <conditionalFormatting sqref="U20:U50">
    <cfRule type="expression" dxfId="1956" priority="970">
      <formula>#REF!&lt;&gt;""</formula>
    </cfRule>
  </conditionalFormatting>
  <conditionalFormatting sqref="Q81:Q92 P80 Q77:Q79">
    <cfRule type="expression" dxfId="1955" priority="113">
      <formula>WEEKDAY($A77,2)&gt;5</formula>
    </cfRule>
  </conditionalFormatting>
  <conditionalFormatting sqref="G53">
    <cfRule type="expression" dxfId="1954" priority="971">
      <formula>ABS(SUM(#REF!))&gt;#REF!</formula>
    </cfRule>
  </conditionalFormatting>
  <conditionalFormatting sqref="Q80">
    <cfRule type="expression" dxfId="1953" priority="102">
      <formula>WEEKDAY($A80,2)&gt;5</formula>
    </cfRule>
  </conditionalFormatting>
  <conditionalFormatting sqref="D29:E29">
    <cfRule type="expression" dxfId="1952" priority="101">
      <formula>WEEKDAY($A29,2)&gt;5</formula>
    </cfRule>
  </conditionalFormatting>
  <conditionalFormatting sqref="D30:E30">
    <cfRule type="expression" dxfId="1951" priority="100">
      <formula>WEEKDAY($A30,2)&gt;5</formula>
    </cfRule>
  </conditionalFormatting>
  <conditionalFormatting sqref="D31:E31">
    <cfRule type="expression" dxfId="1950" priority="99">
      <formula>WEEKDAY($A31,2)&gt;5</formula>
    </cfRule>
  </conditionalFormatting>
  <conditionalFormatting sqref="D36:E36">
    <cfRule type="expression" dxfId="1949" priority="98">
      <formula>WEEKDAY($A36,2)&gt;5</formula>
    </cfRule>
  </conditionalFormatting>
  <conditionalFormatting sqref="D37:E37">
    <cfRule type="expression" dxfId="1948" priority="97">
      <formula>WEEKDAY($A37,2)&gt;5</formula>
    </cfRule>
  </conditionalFormatting>
  <conditionalFormatting sqref="D38:E38">
    <cfRule type="expression" dxfId="1947" priority="96">
      <formula>WEEKDAY($A38,2)&gt;5</formula>
    </cfRule>
  </conditionalFormatting>
  <conditionalFormatting sqref="D42:E42">
    <cfRule type="expression" dxfId="1946" priority="95">
      <formula>WEEKDAY($A42,2)&gt;5</formula>
    </cfRule>
  </conditionalFormatting>
  <conditionalFormatting sqref="D43:E43">
    <cfRule type="expression" dxfId="1945" priority="94">
      <formula>WEEKDAY($A43,2)&gt;5</formula>
    </cfRule>
  </conditionalFormatting>
  <conditionalFormatting sqref="D33:E33">
    <cfRule type="expression" dxfId="1944" priority="92">
      <formula>WEEKDAY($A33,2)&gt;5</formula>
    </cfRule>
  </conditionalFormatting>
  <conditionalFormatting sqref="D40:E40">
    <cfRule type="expression" dxfId="1943" priority="91">
      <formula>WEEKDAY($A40,2)&gt;5</formula>
    </cfRule>
  </conditionalFormatting>
  <conditionalFormatting sqref="C13">
    <cfRule type="expression" dxfId="1942" priority="88">
      <formula>"ISTLEER($C$13)"</formula>
    </cfRule>
  </conditionalFormatting>
  <conditionalFormatting sqref="E9">
    <cfRule type="expression" dxfId="1941" priority="89">
      <formula>"ISTLEER($E$9)"</formula>
    </cfRule>
  </conditionalFormatting>
  <conditionalFormatting sqref="K20:K50">
    <cfRule type="expression" dxfId="1940" priority="78">
      <formula>AND(WEEKDAY($A20,2)=3,$I$6=FALSE)</formula>
    </cfRule>
    <cfRule type="expression" dxfId="1939" priority="79">
      <formula>AND(WEEKDAY($A20,2)=4,$I$8=TRUE)</formula>
    </cfRule>
    <cfRule type="expression" dxfId="1938" priority="80">
      <formula>AND(WEEKDAY($A20,2)=4,$I$8=FALSE)</formula>
    </cfRule>
    <cfRule type="expression" dxfId="1937" priority="81">
      <formula>AND(WEEKDAY($A20,2)=5,$I$10=TRUE)</formula>
    </cfRule>
    <cfRule type="expression" dxfId="1936" priority="82">
      <formula>AND(WEEKDAY($A20,2)=5,$G$14=FALSE)</formula>
    </cfRule>
  </conditionalFormatting>
  <conditionalFormatting sqref="K20:L50">
    <cfRule type="expression" dxfId="1935" priority="83">
      <formula>AND(WEEKDAY($A20,2)=1,$I$2=TRUE)</formula>
    </cfRule>
    <cfRule type="expression" dxfId="1934" priority="84">
      <formula>AND(WEEKDAY($A20,2)=1,$I$2=FALSE)</formula>
    </cfRule>
    <cfRule type="expression" dxfId="1933" priority="85">
      <formula>AND(WEEKDAY($A20,2)=2,$I$4=TRUE)</formula>
    </cfRule>
    <cfRule type="expression" dxfId="1932" priority="86">
      <formula>AND(WEEKDAY($A20,2)=2,$I$4=FALSE)</formula>
    </cfRule>
    <cfRule type="expression" dxfId="1931" priority="87">
      <formula>AND(WEEKDAY($A20,2)=3,$I$6=TRUE)</formula>
    </cfRule>
  </conditionalFormatting>
  <conditionalFormatting sqref="K20:L50">
    <cfRule type="containsText" dxfId="1930" priority="73" operator="containsText" text="Angaben überprüfen">
      <formula>NOT(ISERROR(SEARCH("Angaben überprüfen",K20)))</formula>
    </cfRule>
    <cfRule type="cellIs" dxfId="1929" priority="74" operator="equal">
      <formula>"30 min. Pause erforderlich"</formula>
    </cfRule>
    <cfRule type="expression" dxfId="1928" priority="77">
      <formula>WEEKDAY($A20,2)&gt;5</formula>
    </cfRule>
  </conditionalFormatting>
  <conditionalFormatting sqref="K20:L50">
    <cfRule type="expression" dxfId="1927" priority="76">
      <formula>WEEKDAY($A20,2)&gt;5</formula>
    </cfRule>
  </conditionalFormatting>
  <conditionalFormatting sqref="K20:L50">
    <cfRule type="expression" dxfId="1926" priority="75">
      <formula>WEEKDAY($A20,2)&gt;5</formula>
    </cfRule>
  </conditionalFormatting>
  <conditionalFormatting sqref="B17:K17">
    <cfRule type="expression" dxfId="1925" priority="68">
      <formula>ISBLANK($C$14)</formula>
    </cfRule>
  </conditionalFormatting>
  <conditionalFormatting sqref="B32:D32">
    <cfRule type="expression" dxfId="1924" priority="57">
      <formula>AND(WEEKDAY($A32,2)=3,$I$6=FALSE)</formula>
    </cfRule>
    <cfRule type="expression" dxfId="1923" priority="58">
      <formula>AND(WEEKDAY($A32,2)=4,$I$8=TRUE)</formula>
    </cfRule>
    <cfRule type="expression" dxfId="1922" priority="59">
      <formula>AND(WEEKDAY($A32,2)=4,$I$8=FALSE)</formula>
    </cfRule>
    <cfRule type="expression" dxfId="1921" priority="60">
      <formula>AND(WEEKDAY($A32,2)=5,$I$10=TRUE)</formula>
    </cfRule>
    <cfRule type="expression" dxfId="1920" priority="61">
      <formula>AND(WEEKDAY($A32,2)=5,$G$14=FALSE)</formula>
    </cfRule>
  </conditionalFormatting>
  <conditionalFormatting sqref="B32:E32">
    <cfRule type="expression" dxfId="1919" priority="62">
      <formula>AND(WEEKDAY($A32,2)=1,$I$2=TRUE)</formula>
    </cfRule>
    <cfRule type="expression" dxfId="1918" priority="63">
      <formula>AND(WEEKDAY($A32,2)=1,$I$2=FALSE)</formula>
    </cfRule>
    <cfRule type="expression" dxfId="1917" priority="64">
      <formula>AND(WEEKDAY($A32,2)=2,$I$4=TRUE)</formula>
    </cfRule>
    <cfRule type="expression" dxfId="1916" priority="65">
      <formula>AND(WEEKDAY($A32,2)=2,$I$4=FALSE)</formula>
    </cfRule>
    <cfRule type="expression" dxfId="1915" priority="66">
      <formula>AND(WEEKDAY($A32,2)=3,$I$6=TRUE)</formula>
    </cfRule>
  </conditionalFormatting>
  <conditionalFormatting sqref="B32:E32">
    <cfRule type="expression" dxfId="1914" priority="56">
      <formula>WEEKDAY($A32,2)&gt;5</formula>
    </cfRule>
  </conditionalFormatting>
  <conditionalFormatting sqref="B32">
    <cfRule type="expression" dxfId="1913" priority="67">
      <formula>#REF!&lt;&gt;""</formula>
    </cfRule>
  </conditionalFormatting>
  <conditionalFormatting sqref="B44:D44">
    <cfRule type="expression" dxfId="1912" priority="45">
      <formula>AND(WEEKDAY($A44,2)=3,$I$6=FALSE)</formula>
    </cfRule>
    <cfRule type="expression" dxfId="1911" priority="46">
      <formula>AND(WEEKDAY($A44,2)=4,$I$8=TRUE)</formula>
    </cfRule>
    <cfRule type="expression" dxfId="1910" priority="47">
      <formula>AND(WEEKDAY($A44,2)=4,$I$8=FALSE)</formula>
    </cfRule>
    <cfRule type="expression" dxfId="1909" priority="48">
      <formula>AND(WEEKDAY($A44,2)=5,$I$10=TRUE)</formula>
    </cfRule>
    <cfRule type="expression" dxfId="1908" priority="49">
      <formula>AND(WEEKDAY($A44,2)=5,$G$14=FALSE)</formula>
    </cfRule>
  </conditionalFormatting>
  <conditionalFormatting sqref="B44:E44">
    <cfRule type="expression" dxfId="1907" priority="50">
      <formula>AND(WEEKDAY($A44,2)=1,$I$2=TRUE)</formula>
    </cfRule>
    <cfRule type="expression" dxfId="1906" priority="51">
      <formula>AND(WEEKDAY($A44,2)=1,$I$2=FALSE)</formula>
    </cfRule>
    <cfRule type="expression" dxfId="1905" priority="52">
      <formula>AND(WEEKDAY($A44,2)=2,$I$4=TRUE)</formula>
    </cfRule>
    <cfRule type="expression" dxfId="1904" priority="53">
      <formula>AND(WEEKDAY($A44,2)=2,$I$4=FALSE)</formula>
    </cfRule>
    <cfRule type="expression" dxfId="1903" priority="54">
      <formula>AND(WEEKDAY($A44,2)=3,$I$6=TRUE)</formula>
    </cfRule>
  </conditionalFormatting>
  <conditionalFormatting sqref="B44:E44">
    <cfRule type="expression" dxfId="1902" priority="44">
      <formula>WEEKDAY($A44,2)&gt;5</formula>
    </cfRule>
  </conditionalFormatting>
  <conditionalFormatting sqref="B44">
    <cfRule type="expression" dxfId="1901" priority="55">
      <formula>#REF!&lt;&gt;""</formula>
    </cfRule>
  </conditionalFormatting>
  <conditionalFormatting sqref="B46:D46">
    <cfRule type="expression" dxfId="1900" priority="33">
      <formula>AND(WEEKDAY($A46,2)=3,$I$6=FALSE)</formula>
    </cfRule>
    <cfRule type="expression" dxfId="1899" priority="34">
      <formula>AND(WEEKDAY($A46,2)=4,$I$8=TRUE)</formula>
    </cfRule>
    <cfRule type="expression" dxfId="1898" priority="35">
      <formula>AND(WEEKDAY($A46,2)=4,$I$8=FALSE)</formula>
    </cfRule>
    <cfRule type="expression" dxfId="1897" priority="36">
      <formula>AND(WEEKDAY($A46,2)=5,$I$10=TRUE)</formula>
    </cfRule>
    <cfRule type="expression" dxfId="1896" priority="37">
      <formula>AND(WEEKDAY($A46,2)=5,$G$14=FALSE)</formula>
    </cfRule>
  </conditionalFormatting>
  <conditionalFormatting sqref="B46:E46">
    <cfRule type="expression" dxfId="1895" priority="38">
      <formula>AND(WEEKDAY($A46,2)=1,$I$2=TRUE)</formula>
    </cfRule>
    <cfRule type="expression" dxfId="1894" priority="39">
      <formula>AND(WEEKDAY($A46,2)=1,$I$2=FALSE)</formula>
    </cfRule>
    <cfRule type="expression" dxfId="1893" priority="40">
      <formula>AND(WEEKDAY($A46,2)=2,$I$4=TRUE)</formula>
    </cfRule>
    <cfRule type="expression" dxfId="1892" priority="41">
      <formula>AND(WEEKDAY($A46,2)=2,$I$4=FALSE)</formula>
    </cfRule>
    <cfRule type="expression" dxfId="1891" priority="42">
      <formula>AND(WEEKDAY($A46,2)=3,$I$6=TRUE)</formula>
    </cfRule>
  </conditionalFormatting>
  <conditionalFormatting sqref="B46:E46">
    <cfRule type="expression" dxfId="1890" priority="32">
      <formula>WEEKDAY($A46,2)&gt;5</formula>
    </cfRule>
  </conditionalFormatting>
  <conditionalFormatting sqref="B46">
    <cfRule type="expression" dxfId="1889" priority="43">
      <formula>#REF!&lt;&gt;""</formula>
    </cfRule>
  </conditionalFormatting>
  <conditionalFormatting sqref="F14">
    <cfRule type="cellIs" dxfId="1888" priority="19" operator="greaterThan">
      <formula>$C$14+30</formula>
    </cfRule>
    <cfRule type="expression" dxfId="1887" priority="25">
      <formula>$F$14&gt;$F$9</formula>
    </cfRule>
    <cfRule type="expression" dxfId="1886" priority="26">
      <formula>$F$14&lt;$C$14</formula>
    </cfRule>
  </conditionalFormatting>
  <conditionalFormatting sqref="C14:D14">
    <cfRule type="expression" dxfId="1885" priority="20">
      <formula>"F14&gt;F9"</formula>
    </cfRule>
    <cfRule type="expression" dxfId="1884" priority="21">
      <formula>$C$14&lt;$C$9</formula>
    </cfRule>
    <cfRule type="expression" dxfId="1883" priority="22">
      <formula>$C$14&gt;$F$9</formula>
    </cfRule>
    <cfRule type="expression" dxfId="1882" priority="23">
      <formula>$F$14&lt;$C$9</formula>
    </cfRule>
  </conditionalFormatting>
  <conditionalFormatting sqref="C14">
    <cfRule type="expression" dxfId="1881" priority="24">
      <formula>$C$14&lt;$C$9</formula>
    </cfRule>
  </conditionalFormatting>
  <conditionalFormatting sqref="K3:L3">
    <cfRule type="expression" dxfId="1880" priority="13">
      <formula>AND(I2=FALSE,K3&gt;0)</formula>
    </cfRule>
    <cfRule type="expression" dxfId="1879" priority="14">
      <formula>AND(I2=TRUE,$C$11&lt;&gt;($K$3+$K$5+$K$7+$K$9+$K$11))</formula>
    </cfRule>
    <cfRule type="expression" dxfId="1878" priority="15">
      <formula>($I$4=TRUE)</formula>
    </cfRule>
  </conditionalFormatting>
  <conditionalFormatting sqref="B20:C20">
    <cfRule type="expression" dxfId="1877" priority="2">
      <formula>AND(WEEKDAY($A20,2)=3,$I$6=FALSE)</formula>
    </cfRule>
    <cfRule type="expression" dxfId="1876" priority="3">
      <formula>AND(WEEKDAY($A20,2)=4,$I$8=TRUE)</formula>
    </cfRule>
    <cfRule type="expression" dxfId="1875" priority="4">
      <formula>AND(WEEKDAY($A20,2)=4,$I$8=FALSE)</formula>
    </cfRule>
    <cfRule type="expression" dxfId="1874" priority="5">
      <formula>AND(WEEKDAY($A20,2)=5,$I$10=TRUE)</formula>
    </cfRule>
    <cfRule type="expression" dxfId="1873" priority="6">
      <formula>AND(WEEKDAY($A20,2)=5,$G$14=FALSE)</formula>
    </cfRule>
  </conditionalFormatting>
  <conditionalFormatting sqref="B20:C20">
    <cfRule type="expression" dxfId="1872" priority="7">
      <formula>AND(WEEKDAY($A20,2)=1,$I$2=TRUE)</formula>
    </cfRule>
    <cfRule type="expression" dxfId="1871" priority="8">
      <formula>AND(WEEKDAY($A20,2)=1,$I$2=FALSE)</formula>
    </cfRule>
    <cfRule type="expression" dxfId="1870" priority="9">
      <formula>AND(WEEKDAY($A20,2)=2,$I$4=TRUE)</formula>
    </cfRule>
    <cfRule type="expression" dxfId="1869" priority="10">
      <formula>AND(WEEKDAY($A20,2)=2,$I$4=FALSE)</formula>
    </cfRule>
    <cfRule type="expression" dxfId="1868" priority="11">
      <formula>AND(WEEKDAY($A20,2)=3,$I$6=TRUE)</formula>
    </cfRule>
  </conditionalFormatting>
  <conditionalFormatting sqref="B20:C20">
    <cfRule type="expression" dxfId="1867" priority="1">
      <formula>WEEKDAY($A20,2)&gt;5</formula>
    </cfRule>
  </conditionalFormatting>
  <conditionalFormatting sqref="B20">
    <cfRule type="expression" dxfId="1866" priority="12">
      <formula>#REF!&lt;&gt;""</formula>
    </cfRule>
  </conditionalFormatting>
  <dataValidations count="6">
    <dataValidation type="date" errorStyle="warning" allowBlank="1" showInputMessage="1" showErrorMessage="1" error="Datumseingabe fehlerhaft" prompt="TT.MM.JJJJ" sqref="F9 F14">
      <formula1>40178</formula1>
      <formula2>71588</formula2>
    </dataValidation>
    <dataValidation type="decimal" allowBlank="1" showInputMessage="1" showErrorMessage="1" error="Kein Dezimalwert" sqref="K3:K11 L4:L11">
      <formula1>0.25</formula1>
      <formula2>24</formula2>
    </dataValidation>
    <dataValidation type="date" allowBlank="1" showInputMessage="1" showErrorMessage="1" error="Kein gültiges Datum" prompt="TT.MM.JJJJ" sqref="C9:D9 C14:D14">
      <formula1>40178</formula1>
      <formula2>71588</formula2>
    </dataValidation>
    <dataValidation type="decimal" allowBlank="1" showInputMessage="1" showErrorMessage="1" errorTitle="Zahlenformat" error="Bitte ganze Zahlen oder Dezimal eingeben" promptTitle="                 INFO" prompt="_x000a_Beim Ausfüllen unbedingt den Leitfaden zum Arbeitszeitkonto beachten_x000a_ -Siehe Hilfebutton" sqref="C11:D11">
      <formula1>1</formula1>
      <formula2>39</formula2>
    </dataValidation>
    <dataValidation type="time" allowBlank="1" showInputMessage="1" showErrorMessage="1" error="Außerhalb des Arbeitszeitrahmens" sqref="D20:E31 D33:E43 D45:E45 D47:E50">
      <formula1>0.25</formula1>
      <formula2>0.958333333333333</formula2>
    </dataValidation>
    <dataValidation type="time" errorStyle="warning" allowBlank="1" showInputMessage="1" showErrorMessage="1" error="Außerhalb des Arbeitszeitrahmens" sqref="B20:C31 B32:E32 B33:C43 B44:E44 B45:C45 B47:C50 B46:E46">
      <formula1>0.25</formula1>
      <formula2>0.958333333333333</formula2>
    </dataValidation>
  </dataValidations>
  <pageMargins left="0.7" right="0.53156250000000005" top="1.6666666666666667" bottom="0.28125" header="0.44166666666666665" footer="0.3"/>
  <pageSetup paperSize="9" scale="87" orientation="portrait" r:id="rId2"/>
  <headerFooter>
    <oddHeader>&amp;L&amp;"BO Regular,Fett"&amp;12Stundennachweis&amp;"-,Standard"&amp;11
&amp;"BO Regular,Standard"&amp;10nach §17 MiLoG
für SHK,WHK, studentische Aushilfskräfte TV-L
und geringfügig Beschäftigte&amp;R&amp;G</oddHeader>
  </headerFooter>
  <ignoredErrors>
    <ignoredError sqref="K20:L50" unlockedFormula="1"/>
  </ignoredErrors>
  <drawing r:id="rId3"/>
  <legacyDrawing r:id="rId4"/>
  <legacyDrawingHF r:id="rId5"/>
  <mc:AlternateContent xmlns:mc="http://schemas.openxmlformats.org/markup-compatibility/2006">
    <mc:Choice Requires="x14">
      <controls>
        <mc:AlternateContent xmlns:mc="http://schemas.openxmlformats.org/markup-compatibility/2006">
          <mc:Choice Requires="x14">
            <control shapeId="4098" r:id="rId6" name="Check Box 2">
              <controlPr locked="0" defaultSize="0" autoFill="0" autoLine="0" autoPict="0">
                <anchor moveWithCells="1">
                  <from>
                    <xdr:col>7</xdr:col>
                    <xdr:colOff>314325</xdr:colOff>
                    <xdr:row>3</xdr:row>
                    <xdr:rowOff>85725</xdr:rowOff>
                  </from>
                  <to>
                    <xdr:col>9</xdr:col>
                    <xdr:colOff>495300</xdr:colOff>
                    <xdr:row>4</xdr:row>
                    <xdr:rowOff>190500</xdr:rowOff>
                  </to>
                </anchor>
              </controlPr>
            </control>
          </mc:Choice>
        </mc:AlternateContent>
        <mc:AlternateContent xmlns:mc="http://schemas.openxmlformats.org/markup-compatibility/2006">
          <mc:Choice Requires="x14">
            <control shapeId="4099" r:id="rId7" name="Check Box 3">
              <controlPr locked="0" defaultSize="0" autoFill="0" autoLine="0" autoPict="0">
                <anchor moveWithCells="1">
                  <from>
                    <xdr:col>7</xdr:col>
                    <xdr:colOff>314325</xdr:colOff>
                    <xdr:row>5</xdr:row>
                    <xdr:rowOff>85725</xdr:rowOff>
                  </from>
                  <to>
                    <xdr:col>9</xdr:col>
                    <xdr:colOff>790575</xdr:colOff>
                    <xdr:row>6</xdr:row>
                    <xdr:rowOff>180975</xdr:rowOff>
                  </to>
                </anchor>
              </controlPr>
            </control>
          </mc:Choice>
        </mc:AlternateContent>
        <mc:AlternateContent xmlns:mc="http://schemas.openxmlformats.org/markup-compatibility/2006">
          <mc:Choice Requires="x14">
            <control shapeId="4100" r:id="rId8" name="Check Box 4">
              <controlPr locked="0" defaultSize="0" autoFill="0" autoLine="0" autoPict="0">
                <anchor moveWithCells="1">
                  <from>
                    <xdr:col>7</xdr:col>
                    <xdr:colOff>314325</xdr:colOff>
                    <xdr:row>8</xdr:row>
                    <xdr:rowOff>0</xdr:rowOff>
                  </from>
                  <to>
                    <xdr:col>9</xdr:col>
                    <xdr:colOff>447675</xdr:colOff>
                    <xdr:row>8</xdr:row>
                    <xdr:rowOff>190500</xdr:rowOff>
                  </to>
                </anchor>
              </controlPr>
            </control>
          </mc:Choice>
        </mc:AlternateContent>
        <mc:AlternateContent xmlns:mc="http://schemas.openxmlformats.org/markup-compatibility/2006">
          <mc:Choice Requires="x14">
            <control shapeId="4101" r:id="rId9" name="Check Box 5">
              <controlPr locked="0" defaultSize="0" autoFill="0" autoLine="0" autoPict="0">
                <anchor moveWithCells="1">
                  <from>
                    <xdr:col>7</xdr:col>
                    <xdr:colOff>314325</xdr:colOff>
                    <xdr:row>9</xdr:row>
                    <xdr:rowOff>66675</xdr:rowOff>
                  </from>
                  <to>
                    <xdr:col>9</xdr:col>
                    <xdr:colOff>714375</xdr:colOff>
                    <xdr:row>10</xdr:row>
                    <xdr:rowOff>190500</xdr:rowOff>
                  </to>
                </anchor>
              </controlPr>
            </control>
          </mc:Choice>
        </mc:AlternateContent>
        <mc:AlternateContent xmlns:mc="http://schemas.openxmlformats.org/markup-compatibility/2006">
          <mc:Choice Requires="x14">
            <control shapeId="4097" r:id="rId10" name="Check Box 1">
              <controlPr locked="0" defaultSize="0" autoFill="0" autoLine="0" autoPict="0">
                <anchor moveWithCells="1">
                  <from>
                    <xdr:col>7</xdr:col>
                    <xdr:colOff>314325</xdr:colOff>
                    <xdr:row>2</xdr:row>
                    <xdr:rowOff>9525</xdr:rowOff>
                  </from>
                  <to>
                    <xdr:col>9</xdr:col>
                    <xdr:colOff>771525</xdr:colOff>
                    <xdr:row>3</xdr:row>
                    <xdr:rowOff>9525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72" operator="containsText" id="{DC8D7C1A-E0DF-4BE4-AC63-92D9DEB2AA7B}">
            <xm:f>NOT(ISERROR(SEARCH("45 min. Pause erforderlich",K20)))</xm:f>
            <xm:f>"45 min. Pause erforderlich"</xm:f>
            <x14:dxf>
              <font>
                <b/>
                <i val="0"/>
                <color rgb="FFA50021"/>
              </font>
            </x14:dxf>
          </x14:cfRule>
          <xm:sqref>K20:L50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1"/>
  <dimension ref="A1:V95"/>
  <sheetViews>
    <sheetView showGridLines="0" showRowColHeaders="0" view="pageLayout" workbookViewId="0">
      <selection activeCell="C11" sqref="C11:D11"/>
    </sheetView>
  </sheetViews>
  <sheetFormatPr baseColWidth="10" defaultColWidth="12.42578125" defaultRowHeight="15"/>
  <cols>
    <col min="1" max="1" width="11.28515625" customWidth="1"/>
    <col min="2" max="2" width="8.7109375" customWidth="1"/>
    <col min="3" max="3" width="5" customWidth="1"/>
    <col min="4" max="4" width="6" customWidth="1"/>
    <col min="5" max="5" width="10.7109375" customWidth="1"/>
    <col min="6" max="6" width="12.140625" customWidth="1"/>
    <col min="7" max="7" width="7.7109375" customWidth="1"/>
    <col min="8" max="8" width="9.85546875" customWidth="1"/>
    <col min="9" max="9" width="6.5703125" hidden="1" customWidth="1"/>
    <col min="10" max="10" width="11.85546875" customWidth="1"/>
    <col min="11" max="11" width="11.140625" customWidth="1"/>
    <col min="12" max="12" width="7.85546875" customWidth="1"/>
    <col min="13" max="13" width="5.28515625" style="37" hidden="1" customWidth="1"/>
    <col min="14" max="14" width="5.42578125" style="33" hidden="1" customWidth="1"/>
    <col min="15" max="15" width="14.5703125" hidden="1" customWidth="1"/>
    <col min="16" max="16" width="9.28515625" hidden="1" customWidth="1"/>
    <col min="17" max="17" width="8.42578125" hidden="1" customWidth="1"/>
    <col min="18" max="18" width="7.140625" hidden="1" customWidth="1"/>
    <col min="19" max="21" width="12.42578125" hidden="1" customWidth="1"/>
    <col min="22" max="22" width="1.140625" hidden="1" customWidth="1"/>
    <col min="23" max="16353" width="12.42578125" customWidth="1"/>
    <col min="16354" max="16354" width="3.7109375" customWidth="1"/>
    <col min="16355" max="16384" width="4.42578125" customWidth="1"/>
  </cols>
  <sheetData>
    <row r="1" spans="1:20" s="2" customFormat="1" ht="18" customHeight="1">
      <c r="A1" s="254" t="s">
        <v>0</v>
      </c>
      <c r="B1" s="254"/>
      <c r="C1" s="255" t="str">
        <f>IF('Blatt 1'!C1:F1="","",'Blatt 1'!C1:F1)</f>
        <v/>
      </c>
      <c r="D1" s="255"/>
      <c r="E1" s="255"/>
      <c r="F1" s="255"/>
      <c r="G1" s="1"/>
      <c r="H1" s="260" t="s">
        <v>1</v>
      </c>
      <c r="I1" s="260"/>
      <c r="J1" s="260"/>
      <c r="K1" s="259" t="s">
        <v>2</v>
      </c>
      <c r="L1" s="259"/>
      <c r="M1" s="253" t="s">
        <v>3</v>
      </c>
      <c r="N1" s="253"/>
      <c r="O1" s="253"/>
    </row>
    <row r="2" spans="1:20" ht="7.5" customHeight="1">
      <c r="A2" s="80"/>
      <c r="B2" s="80"/>
      <c r="C2" s="61"/>
      <c r="D2" s="61"/>
      <c r="E2" s="61"/>
      <c r="F2" s="61"/>
      <c r="G2" s="3"/>
      <c r="H2" s="3"/>
      <c r="I2" s="6" t="b">
        <v>0</v>
      </c>
      <c r="J2" s="3"/>
      <c r="K2" s="3"/>
      <c r="M2" s="143"/>
      <c r="N2" s="212"/>
    </row>
    <row r="3" spans="1:20" s="2" customFormat="1" ht="15.75">
      <c r="A3" s="254" t="s">
        <v>4</v>
      </c>
      <c r="B3" s="254"/>
      <c r="C3" s="255" t="str">
        <f>IF('Blatt 1'!C3:F3="","",'Blatt 1'!C3:F3)</f>
        <v/>
      </c>
      <c r="D3" s="255"/>
      <c r="E3" s="255"/>
      <c r="F3" s="255"/>
      <c r="H3" s="47"/>
      <c r="I3" s="55"/>
      <c r="J3" s="8"/>
      <c r="K3" s="323"/>
      <c r="L3" s="323"/>
      <c r="M3" s="9">
        <f>($K$3+$K$5+$K$7+$K$9+$K$11)/24</f>
        <v>0</v>
      </c>
      <c r="N3" s="10"/>
    </row>
    <row r="4" spans="1:20" ht="7.5" customHeight="1">
      <c r="A4" s="80"/>
      <c r="B4" s="80"/>
      <c r="C4" s="62"/>
      <c r="D4" s="62"/>
      <c r="E4" s="62"/>
      <c r="F4" s="62"/>
      <c r="H4" s="3"/>
      <c r="I4" s="6" t="b">
        <v>0</v>
      </c>
      <c r="J4" s="3"/>
      <c r="K4" s="73"/>
      <c r="L4" s="74"/>
      <c r="M4" s="143"/>
      <c r="N4" s="212"/>
    </row>
    <row r="5" spans="1:20" s="2" customFormat="1" ht="15.75">
      <c r="A5" s="254" t="s">
        <v>5</v>
      </c>
      <c r="B5" s="254"/>
      <c r="C5" s="256" t="str">
        <f>IF('Blatt 1'!C5:F5="","",'Blatt 1'!C5:F5)</f>
        <v/>
      </c>
      <c r="D5" s="255"/>
      <c r="E5" s="255"/>
      <c r="F5" s="255"/>
      <c r="H5" s="47"/>
      <c r="I5" s="55"/>
      <c r="J5" s="8"/>
      <c r="K5" s="300"/>
      <c r="L5" s="300"/>
      <c r="M5" s="143"/>
      <c r="N5" s="212"/>
    </row>
    <row r="6" spans="1:20" ht="7.5" customHeight="1">
      <c r="A6" s="80"/>
      <c r="B6" s="80"/>
      <c r="C6" s="62"/>
      <c r="D6" s="62"/>
      <c r="E6" s="62"/>
      <c r="F6" s="62"/>
      <c r="H6" s="3"/>
      <c r="I6" s="6" t="b">
        <v>0</v>
      </c>
      <c r="J6" s="3"/>
      <c r="K6" s="73"/>
      <c r="L6" s="74"/>
      <c r="M6" s="143"/>
      <c r="N6" s="212"/>
    </row>
    <row r="7" spans="1:20" s="2" customFormat="1" ht="15.75">
      <c r="A7" s="254" t="s">
        <v>6</v>
      </c>
      <c r="B7" s="254"/>
      <c r="C7" s="258" t="str">
        <f>IF('Blatt 1'!C7:F7="","",'Blatt 1'!C7:F7)</f>
        <v/>
      </c>
      <c r="D7" s="258"/>
      <c r="E7" s="258"/>
      <c r="F7" s="258"/>
      <c r="H7" s="11"/>
      <c r="I7" s="55"/>
      <c r="J7" s="11"/>
      <c r="K7" s="300"/>
      <c r="L7" s="300"/>
      <c r="M7" s="143"/>
      <c r="N7" s="212"/>
    </row>
    <row r="8" spans="1:20" ht="7.5" customHeight="1">
      <c r="A8" s="80"/>
      <c r="B8" s="80"/>
      <c r="C8" s="62"/>
      <c r="D8" s="62"/>
      <c r="E8" s="62"/>
      <c r="F8" s="62"/>
      <c r="H8" s="3"/>
      <c r="I8" s="6" t="b">
        <v>0</v>
      </c>
      <c r="J8" s="3"/>
      <c r="K8" s="73"/>
      <c r="L8" s="74"/>
      <c r="M8" s="143"/>
      <c r="N8" s="212"/>
    </row>
    <row r="9" spans="1:20" ht="15.75">
      <c r="A9" s="254" t="s">
        <v>146</v>
      </c>
      <c r="B9" s="254"/>
      <c r="C9" s="265"/>
      <c r="D9" s="265"/>
      <c r="E9" s="82" t="s">
        <v>7</v>
      </c>
      <c r="F9" s="105"/>
      <c r="H9" s="3"/>
      <c r="I9" s="55"/>
      <c r="J9" s="3"/>
      <c r="K9" s="300"/>
      <c r="L9" s="300"/>
      <c r="M9" s="143"/>
      <c r="N9" s="212"/>
    </row>
    <row r="10" spans="1:20" ht="7.5" customHeight="1">
      <c r="A10" s="80"/>
      <c r="B10" s="80"/>
      <c r="C10" s="62"/>
      <c r="D10" s="62"/>
      <c r="E10" s="80"/>
      <c r="F10" s="62"/>
      <c r="H10" s="3"/>
      <c r="I10" s="12" t="b">
        <v>0</v>
      </c>
      <c r="J10" s="3"/>
      <c r="K10" s="73"/>
      <c r="L10" s="74"/>
      <c r="M10" s="143"/>
      <c r="N10" s="212"/>
    </row>
    <row r="11" spans="1:20" ht="15.75">
      <c r="A11" s="254" t="s">
        <v>8</v>
      </c>
      <c r="B11" s="254"/>
      <c r="C11" s="326"/>
      <c r="D11" s="326"/>
      <c r="E11" s="83" t="s">
        <v>9</v>
      </c>
      <c r="F11" s="64"/>
      <c r="H11" s="3"/>
      <c r="I11" s="12"/>
      <c r="J11" s="3"/>
      <c r="K11" s="300"/>
      <c r="L11" s="300"/>
      <c r="M11" s="143"/>
      <c r="N11" s="212"/>
      <c r="S11" s="146"/>
      <c r="T11" s="146"/>
    </row>
    <row r="12" spans="1:20" ht="7.5" customHeight="1">
      <c r="A12" s="211"/>
      <c r="B12" s="211"/>
      <c r="C12" s="65"/>
      <c r="D12" s="65"/>
      <c r="E12" s="84"/>
      <c r="F12" s="51"/>
      <c r="H12" s="50"/>
      <c r="I12" s="55"/>
      <c r="J12" s="3"/>
      <c r="K12" s="50"/>
      <c r="L12" s="50"/>
      <c r="M12" s="143"/>
      <c r="N12" s="212"/>
      <c r="S12" s="146"/>
    </row>
    <row r="13" spans="1:20" ht="4.5" customHeight="1">
      <c r="A13" s="254"/>
      <c r="B13" s="254"/>
      <c r="C13" s="65"/>
      <c r="D13" s="65"/>
      <c r="E13" s="80"/>
      <c r="F13" s="62"/>
      <c r="H13" s="3"/>
      <c r="I13" s="55"/>
      <c r="J13" s="3"/>
      <c r="M13" s="143"/>
      <c r="N13" s="212"/>
    </row>
    <row r="14" spans="1:20" ht="16.5" customHeight="1">
      <c r="A14" s="305" t="s">
        <v>141</v>
      </c>
      <c r="B14" s="305"/>
      <c r="C14" s="306"/>
      <c r="D14" s="306"/>
      <c r="E14" s="196" t="s">
        <v>7</v>
      </c>
      <c r="F14" s="213"/>
      <c r="G14" s="52" t="b">
        <v>0</v>
      </c>
      <c r="H14" s="320" t="str">
        <f>IF($C$14="","",IF(AND($O$16&lt;&gt;$C$14,$O$16&lt;$F$9),"Achtung! Stundennachweis unterbrochen",""))</f>
        <v/>
      </c>
      <c r="I14" s="320"/>
      <c r="J14" s="320"/>
      <c r="K14" s="320"/>
      <c r="L14" s="320"/>
      <c r="M14" s="304" t="s">
        <v>21</v>
      </c>
      <c r="N14" s="304"/>
      <c r="O14" s="147"/>
    </row>
    <row r="15" spans="1:20" hidden="1">
      <c r="A15" s="43"/>
      <c r="B15" s="47"/>
      <c r="C15" s="262"/>
      <c r="D15" s="262"/>
      <c r="E15" s="14"/>
      <c r="F15" s="39"/>
      <c r="G15" s="52"/>
      <c r="H15" s="3"/>
      <c r="I15" s="3"/>
      <c r="J15" s="3"/>
      <c r="K15" s="263"/>
      <c r="L15" s="263"/>
      <c r="M15" s="216"/>
      <c r="N15" s="149"/>
      <c r="O15" s="147"/>
    </row>
    <row r="16" spans="1:20" ht="41.25" customHeight="1">
      <c r="A16" s="321" t="str">
        <f ca="1">IF(($C$14+30)&lt;$F$14,"                                       Bitte nur einen Monat angeben! ",IF(COUNTIF(R20:R50,1)&gt;0,"Hinweis: Es erfolgt keine Berechnung der Zukunftswerte",""))</f>
        <v/>
      </c>
      <c r="B16" s="321"/>
      <c r="C16" s="321"/>
      <c r="D16" s="321"/>
      <c r="E16" s="321"/>
      <c r="F16" s="321"/>
      <c r="G16" s="303" t="str">
        <f>IF(AND(Q58&lt;365,Q58&gt;300),"Ihnen verbleiben noch "&amp;(364-Q58)&amp;" Tage um Ihr Arbeitszeitkonto auszugleichen",IF(Q58&gt;365,"Sie haben Ihr Arbeitszeitkonto überschritten, bitte erstellen Sie ein neues Konto",""))</f>
        <v/>
      </c>
      <c r="H16" s="303"/>
      <c r="I16" s="303"/>
      <c r="J16" s="303"/>
      <c r="K16" s="303"/>
      <c r="L16" s="303"/>
      <c r="M16" s="153">
        <f ca="1">IF(AND($H$14="Achtung! Stundennachweis unterbrochen",'Blatt 9'!J52&gt;0),0,'Blatt 9'!J52)</f>
        <v>0</v>
      </c>
      <c r="N16" s="154">
        <f ca="1">+$M$16+$N$55</f>
        <v>0</v>
      </c>
      <c r="O16" s="155" t="str">
        <f>IF($F$9=$F$14,"",'Blatt 9'!$F$14+1)</f>
        <v/>
      </c>
    </row>
    <row r="17" spans="1:22" ht="18.75">
      <c r="A17" s="40"/>
      <c r="B17" s="264">
        <f ca="1">IF(ISBLANK($C$14),EOMONTH('Blatt 9'!$B$17,0)+1,DATE(YEAR($C$14),MONTH($C$14),1))</f>
        <v>42429</v>
      </c>
      <c r="C17" s="264"/>
      <c r="D17" s="264"/>
      <c r="E17" s="264"/>
      <c r="F17" s="264"/>
      <c r="G17" s="264"/>
      <c r="H17" s="264"/>
      <c r="I17" s="264"/>
      <c r="J17" s="264"/>
      <c r="K17" s="264"/>
      <c r="L17" s="41"/>
      <c r="M17" s="15"/>
      <c r="N17" s="212"/>
    </row>
    <row r="18" spans="1:22" ht="8.4499999999999993" customHeight="1" thickBot="1">
      <c r="A18" s="3"/>
      <c r="B18" s="3"/>
      <c r="C18" s="3"/>
      <c r="D18" s="3"/>
      <c r="E18" s="3"/>
      <c r="F18" s="3"/>
      <c r="G18" s="3"/>
      <c r="H18" s="3"/>
      <c r="I18" s="3"/>
      <c r="J18" s="3"/>
      <c r="K18" s="3"/>
      <c r="L18" s="3"/>
      <c r="M18" s="143"/>
      <c r="N18" s="212"/>
    </row>
    <row r="19" spans="1:22" s="17" customFormat="1" ht="42.75" customHeight="1" thickBot="1">
      <c r="A19" s="187" t="s">
        <v>10</v>
      </c>
      <c r="B19" s="277" t="s">
        <v>11</v>
      </c>
      <c r="C19" s="277"/>
      <c r="D19" s="278" t="s">
        <v>12</v>
      </c>
      <c r="E19" s="279"/>
      <c r="F19" s="86" t="s">
        <v>27</v>
      </c>
      <c r="G19" s="210" t="s">
        <v>13</v>
      </c>
      <c r="H19" s="86" t="s">
        <v>14</v>
      </c>
      <c r="I19" s="88"/>
      <c r="J19" s="89" t="s">
        <v>15</v>
      </c>
      <c r="K19" s="278" t="s">
        <v>16</v>
      </c>
      <c r="L19" s="280"/>
      <c r="M19" s="16" t="s">
        <v>17</v>
      </c>
      <c r="N19" s="16"/>
      <c r="O19" s="58" t="s">
        <v>24</v>
      </c>
      <c r="P19" s="126" t="s">
        <v>28</v>
      </c>
      <c r="Q19" s="126" t="s">
        <v>31</v>
      </c>
      <c r="R19" s="289" t="s">
        <v>49</v>
      </c>
      <c r="S19" s="289"/>
      <c r="T19" s="289"/>
    </row>
    <row r="20" spans="1:22" s="2" customFormat="1" ht="12.6" customHeight="1">
      <c r="A20" s="188">
        <f ca="1">($B$17+ROW(A1)-1)*(MONTH(B17+1)=MONTH($B$17))</f>
        <v>42429</v>
      </c>
      <c r="B20" s="271"/>
      <c r="C20" s="272"/>
      <c r="D20" s="273"/>
      <c r="E20" s="274"/>
      <c r="F20" s="209"/>
      <c r="G20" s="110" t="str">
        <f ca="1">IF(OR(A20&lt;$C$14,A20&gt;$F$14,$G$16="Sie haben Ihr Arbeitszeitkonto überschritten, bitte erstellen Sie ein neues Konto",A20&gt;TODAY()),"0,00",IF(ISBLANK($C$14),"0,00",(D20-B20-F20)))</f>
        <v>0,00</v>
      </c>
      <c r="H20" s="111">
        <f ca="1">IF(WEEKDAY(A20,2)=7,SUMIF($M$19:$M$50,M20,$G$19:$G$50),"")</f>
        <v>0</v>
      </c>
      <c r="I20" s="112">
        <f ca="1">IF(A20&lt;TODAY(),ROUND(SUM(G20-N20),7),0)</f>
        <v>0</v>
      </c>
      <c r="J20" s="156" t="str">
        <f t="shared" ref="J20:J24" ca="1" si="0">IF($G$16="Sie haben Ihr Arbeitszeitkonto überschritten, bitte erstellen Sie ein neues Konto","",IF(AND(A20&lt;TODAY(),WEEKDAY(A20,2)=7),I20+$N$16,""))</f>
        <v/>
      </c>
      <c r="K20" s="275" t="str">
        <f t="shared" ref="K20:K26" ca="1" si="1">IF(T20&lt;&gt;"",T20,IF(P20="1","Angaben überprüfen",IF(OR(A20&lt;$C$14,A20&gt;$F$14,G20="0,00"),"--------",IF(AND(G20&gt;(6/24),G20&lt;(9/24),F20&lt;0.5/24),"30 min. Pause erforderlich",IF(AND(G20&gt;=(9/24),F20&lt;0.75/24),"45 min. Pause erforderlich ","")))))</f>
        <v>--------</v>
      </c>
      <c r="L20" s="276"/>
      <c r="M20" s="93">
        <f ca="1">WEEKNUM(A20,2)</f>
        <v>9</v>
      </c>
      <c r="N20" s="94">
        <f ca="1">IF(AND(A20&gt;=$C$14,A20&lt;=$F$14),IF(AND(WEEKDAY(A20,2)=1,$K$3&gt;0),$K$3,IF(AND(WEEKDAY(A20,2)=2,$K$5&gt;0),$K$5,IF(AND(WEEKDAY(A20,2)=3,$K$7&gt;0),$K$7,IF(AND(WEEKDAY(A20,2)=4,$K$9&gt;0),$K$9,IF(AND(WEEKDAY(A20,2)=5,$K$11&gt;0),$K$11,IF(WEEKDAY(A20,2)&gt;5,0,0))))))/24,0)</f>
        <v>0</v>
      </c>
      <c r="O20" s="95">
        <f ca="1">IF(I20&lt;&gt;0,I20,0)</f>
        <v>0</v>
      </c>
      <c r="P20" s="120" t="str">
        <f ca="1">IF(AND(Q20="1",B20&gt;0),"1","")</f>
        <v/>
      </c>
      <c r="Q20" s="120" t="str">
        <f t="shared" ref="Q20:Q50" ca="1" si="2">IF(OR(A20&lt;$C$14,A20&gt;$F$14,A20&lt;$C$9,A20&gt;$F$9),"1","")</f>
        <v>1</v>
      </c>
      <c r="R20" s="184" t="str">
        <f t="shared" ref="R20:R50" ca="1" si="3">IF(AND(A20&gt;TODAY(),B20&gt;0),"1","")</f>
        <v/>
      </c>
      <c r="S20" s="185" t="e">
        <f t="shared" ref="S20:S50" ca="1" si="4">VLOOKUP(A20,$Q$77:$S$92,2,FALSE)</f>
        <v>#N/A</v>
      </c>
      <c r="T20" s="186" t="str">
        <f t="shared" ref="T20:T49" ca="1" si="5">IF(ISNA(S20),"",S20)</f>
        <v/>
      </c>
      <c r="U20" s="193" t="str">
        <f t="shared" ref="U20:U50" ca="1" si="6">IF(AND(WEEKDAY(A20,2)=1,$I$2=TRUE),"X",IF(AND(WEEKDAY(A20,2)=4,$I$8=TRUE),"X",IF(AND(WEEKDAY(A20,2)=5,$I$10=TRUE),"X",IF(AND(WEEKDAY(A20,2)=2,$I$4=TRUE),"X",IF(AND(WEEKDAY(A20,2)=3,$I$6=TRUE),"X","")
))))</f>
        <v/>
      </c>
      <c r="V20" s="197" t="str">
        <f ca="1">IF(AND(U20&lt;&gt;"",T20&lt;&gt;""),"!","")</f>
        <v/>
      </c>
    </row>
    <row r="21" spans="1:22" s="2" customFormat="1" ht="12.6" customHeight="1">
      <c r="A21" s="189">
        <f t="shared" ref="A21:A29" ca="1" si="7">($B$17+ROW(A2)-1)*(MONTH(A20+1)=MONTH($B$17))</f>
        <v>42430</v>
      </c>
      <c r="B21" s="271"/>
      <c r="C21" s="272"/>
      <c r="D21" s="273"/>
      <c r="E21" s="274"/>
      <c r="F21" s="205"/>
      <c r="G21" s="110" t="str">
        <f t="shared" ref="G21:G49" ca="1" si="8">IF(OR(A21&lt;$C$14,A21&gt;$F$14,$G$16="Sie haben Ihr Arbeitszeitkonto überschritten, bitte erstellen Sie ein neues Konto",A21&gt;TODAY()),"0,00",IF(ISBLANK($C$14),"0,00",(D21-B21-F21)))</f>
        <v>0,00</v>
      </c>
      <c r="H21" s="111" t="str">
        <f t="shared" ref="H21:H50" ca="1" si="9">IF(WEEKDAY(A21,2)=7,SUMIF($M$19:$M$50,M21,$G$19:$G$50),"")</f>
        <v/>
      </c>
      <c r="I21" s="112">
        <f t="shared" ref="I21:I50" ca="1" si="10">IF(A21&lt;TODAY(),ROUND(SUM(G21+I20-N21),7),0)</f>
        <v>0</v>
      </c>
      <c r="J21" s="157" t="str">
        <f t="shared" ca="1" si="0"/>
        <v/>
      </c>
      <c r="K21" s="275" t="str">
        <f t="shared" ca="1" si="1"/>
        <v>--------</v>
      </c>
      <c r="L21" s="276"/>
      <c r="M21" s="93">
        <f t="shared" ref="M21:M49" ca="1" si="11">WEEKNUM(A21,2)</f>
        <v>10</v>
      </c>
      <c r="N21" s="94">
        <f t="shared" ref="N21:N50" ca="1" si="12">IF(AND(A21&gt;=$C$14,A21&lt;=$F$14),IF(AND(WEEKDAY(A21,2)=1,$K$3&gt;0),$K$3,IF(AND(WEEKDAY(A21,2)=2,$K$5&gt;0),$K$5,IF(AND(WEEKDAY(A21,2)=3,$K$7&gt;0),$K$7,IF(AND(WEEKDAY(A21,2)=4,$K$9&gt;0),$K$9,IF(AND(WEEKDAY(A21,2)=5,$K$11&gt;0),$K$11,IF(WEEKDAY(A21,2)&gt;5,0,0))))))/24,0)</f>
        <v>0</v>
      </c>
      <c r="O21" s="95">
        <f t="shared" ref="O21:O50" ca="1" si="13">IF(I21&lt;&gt;0,I21,0)</f>
        <v>0</v>
      </c>
      <c r="P21" s="120" t="str">
        <f t="shared" ref="P21:P50" ca="1" si="14">IF(AND(Q21="1",B21&gt;0),"1","")</f>
        <v/>
      </c>
      <c r="Q21" s="120" t="str">
        <f t="shared" ca="1" si="2"/>
        <v>1</v>
      </c>
      <c r="R21" s="184" t="str">
        <f t="shared" ca="1" si="3"/>
        <v/>
      </c>
      <c r="S21" s="185" t="e">
        <f t="shared" ca="1" si="4"/>
        <v>#N/A</v>
      </c>
      <c r="T21" s="186" t="str">
        <f t="shared" ca="1" si="5"/>
        <v/>
      </c>
      <c r="U21" s="194" t="str">
        <f t="shared" ca="1" si="6"/>
        <v/>
      </c>
      <c r="V21" s="197" t="str">
        <f t="shared" ref="V21:V50" ca="1" si="15">IF(AND(U21&lt;&gt;"",T21&lt;&gt;""),"!","")</f>
        <v/>
      </c>
    </row>
    <row r="22" spans="1:22" s="2" customFormat="1" ht="12.6" customHeight="1">
      <c r="A22" s="189">
        <f t="shared" ca="1" si="7"/>
        <v>42431</v>
      </c>
      <c r="B22" s="285"/>
      <c r="C22" s="286"/>
      <c r="D22" s="273"/>
      <c r="E22" s="274"/>
      <c r="F22" s="205"/>
      <c r="G22" s="110" t="str">
        <f t="shared" ca="1" si="8"/>
        <v>0,00</v>
      </c>
      <c r="H22" s="111" t="str">
        <f t="shared" ca="1" si="9"/>
        <v/>
      </c>
      <c r="I22" s="112">
        <f t="shared" ca="1" si="10"/>
        <v>0</v>
      </c>
      <c r="J22" s="157" t="str">
        <f t="shared" ca="1" si="0"/>
        <v/>
      </c>
      <c r="K22" s="275" t="str">
        <f t="shared" ca="1" si="1"/>
        <v>--------</v>
      </c>
      <c r="L22" s="276"/>
      <c r="M22" s="93">
        <f t="shared" ca="1" si="11"/>
        <v>10</v>
      </c>
      <c r="N22" s="94">
        <f t="shared" ca="1" si="12"/>
        <v>0</v>
      </c>
      <c r="O22" s="95">
        <f t="shared" ca="1" si="13"/>
        <v>0</v>
      </c>
      <c r="P22" s="120" t="str">
        <f t="shared" ca="1" si="14"/>
        <v/>
      </c>
      <c r="Q22" s="120" t="str">
        <f t="shared" ca="1" si="2"/>
        <v>1</v>
      </c>
      <c r="R22" s="184" t="str">
        <f t="shared" ca="1" si="3"/>
        <v/>
      </c>
      <c r="S22" s="185" t="e">
        <f t="shared" ca="1" si="4"/>
        <v>#N/A</v>
      </c>
      <c r="T22" s="186" t="str">
        <f t="shared" ca="1" si="5"/>
        <v/>
      </c>
      <c r="U22" s="194" t="str">
        <f t="shared" ca="1" si="6"/>
        <v/>
      </c>
      <c r="V22" s="197" t="str">
        <f t="shared" ca="1" si="15"/>
        <v/>
      </c>
    </row>
    <row r="23" spans="1:22" s="2" customFormat="1" ht="12.6" customHeight="1">
      <c r="A23" s="189">
        <f t="shared" ca="1" si="7"/>
        <v>42432</v>
      </c>
      <c r="B23" s="285"/>
      <c r="C23" s="286"/>
      <c r="D23" s="273"/>
      <c r="E23" s="274"/>
      <c r="F23" s="205"/>
      <c r="G23" s="110" t="str">
        <f t="shared" ca="1" si="8"/>
        <v>0,00</v>
      </c>
      <c r="H23" s="111" t="str">
        <f t="shared" ca="1" si="9"/>
        <v/>
      </c>
      <c r="I23" s="112">
        <f t="shared" ca="1" si="10"/>
        <v>0</v>
      </c>
      <c r="J23" s="157" t="str">
        <f t="shared" ca="1" si="0"/>
        <v/>
      </c>
      <c r="K23" s="275" t="str">
        <f t="shared" ca="1" si="1"/>
        <v>--------</v>
      </c>
      <c r="L23" s="276"/>
      <c r="M23" s="93">
        <f t="shared" ca="1" si="11"/>
        <v>10</v>
      </c>
      <c r="N23" s="94">
        <f t="shared" ca="1" si="12"/>
        <v>0</v>
      </c>
      <c r="O23" s="95">
        <f t="shared" ca="1" si="13"/>
        <v>0</v>
      </c>
      <c r="P23" s="120" t="str">
        <f t="shared" ca="1" si="14"/>
        <v/>
      </c>
      <c r="Q23" s="120" t="str">
        <f t="shared" ca="1" si="2"/>
        <v>1</v>
      </c>
      <c r="R23" s="184" t="str">
        <f t="shared" ca="1" si="3"/>
        <v/>
      </c>
      <c r="S23" s="185" t="e">
        <f t="shared" ca="1" si="4"/>
        <v>#N/A</v>
      </c>
      <c r="T23" s="186" t="str">
        <f t="shared" ca="1" si="5"/>
        <v/>
      </c>
      <c r="U23" s="194" t="str">
        <f t="shared" ca="1" si="6"/>
        <v/>
      </c>
      <c r="V23" s="197" t="str">
        <f t="shared" ca="1" si="15"/>
        <v/>
      </c>
    </row>
    <row r="24" spans="1:22" s="2" customFormat="1" ht="12.6" customHeight="1">
      <c r="A24" s="190">
        <f t="shared" ca="1" si="7"/>
        <v>42433</v>
      </c>
      <c r="B24" s="281"/>
      <c r="C24" s="282"/>
      <c r="D24" s="283"/>
      <c r="E24" s="284"/>
      <c r="F24" s="208"/>
      <c r="G24" s="110" t="str">
        <f t="shared" ca="1" si="8"/>
        <v>0,00</v>
      </c>
      <c r="H24" s="111" t="str">
        <f t="shared" ca="1" si="9"/>
        <v/>
      </c>
      <c r="I24" s="112">
        <f t="shared" ca="1" si="10"/>
        <v>0</v>
      </c>
      <c r="J24" s="157" t="str">
        <f t="shared" ca="1" si="0"/>
        <v/>
      </c>
      <c r="K24" s="275" t="str">
        <f t="shared" ca="1" si="1"/>
        <v>--------</v>
      </c>
      <c r="L24" s="276"/>
      <c r="M24" s="93">
        <f t="shared" ca="1" si="11"/>
        <v>10</v>
      </c>
      <c r="N24" s="94">
        <f t="shared" ca="1" si="12"/>
        <v>0</v>
      </c>
      <c r="O24" s="95">
        <f t="shared" ca="1" si="13"/>
        <v>0</v>
      </c>
      <c r="P24" s="120" t="str">
        <f ca="1">IF(AND(Q24="1",B24&gt;0),"1","")</f>
        <v/>
      </c>
      <c r="Q24" s="120" t="str">
        <f t="shared" ca="1" si="2"/>
        <v>1</v>
      </c>
      <c r="R24" s="184" t="str">
        <f t="shared" ca="1" si="3"/>
        <v/>
      </c>
      <c r="S24" s="185" t="e">
        <f t="shared" ca="1" si="4"/>
        <v>#N/A</v>
      </c>
      <c r="T24" s="186" t="str">
        <f t="shared" ca="1" si="5"/>
        <v/>
      </c>
      <c r="U24" s="194" t="str">
        <f t="shared" ca="1" si="6"/>
        <v/>
      </c>
      <c r="V24" s="197" t="str">
        <f t="shared" ca="1" si="15"/>
        <v/>
      </c>
    </row>
    <row r="25" spans="1:22" s="18" customFormat="1" ht="12.6" customHeight="1">
      <c r="A25" s="190">
        <f t="shared" ca="1" si="7"/>
        <v>42434</v>
      </c>
      <c r="B25" s="281"/>
      <c r="C25" s="282"/>
      <c r="D25" s="283"/>
      <c r="E25" s="284"/>
      <c r="F25" s="207"/>
      <c r="G25" s="110" t="str">
        <f t="shared" ca="1" si="8"/>
        <v>0,00</v>
      </c>
      <c r="H25" s="111" t="str">
        <f t="shared" ca="1" si="9"/>
        <v/>
      </c>
      <c r="I25" s="112">
        <f t="shared" ca="1" si="10"/>
        <v>0</v>
      </c>
      <c r="J25" s="157" t="str">
        <f ca="1">IF($G$16="Sie haben Ihr Arbeitszeitkonto überschritten, bitte erstellen Sie ein neues Konto","",IF(AND(A25&lt;TODAY(),WEEKDAY(A25,2)=7),I25+$N$16,""))</f>
        <v/>
      </c>
      <c r="K25" s="275" t="str">
        <f t="shared" ca="1" si="1"/>
        <v>--------</v>
      </c>
      <c r="L25" s="276"/>
      <c r="M25" s="93">
        <f t="shared" ca="1" si="11"/>
        <v>10</v>
      </c>
      <c r="N25" s="94">
        <f t="shared" ca="1" si="12"/>
        <v>0</v>
      </c>
      <c r="O25" s="95">
        <f t="shared" ca="1" si="13"/>
        <v>0</v>
      </c>
      <c r="P25" s="120" t="str">
        <f t="shared" ca="1" si="14"/>
        <v/>
      </c>
      <c r="Q25" s="120" t="str">
        <f t="shared" ca="1" si="2"/>
        <v>1</v>
      </c>
      <c r="R25" s="184" t="str">
        <f t="shared" ca="1" si="3"/>
        <v/>
      </c>
      <c r="S25" s="185" t="e">
        <f t="shared" ca="1" si="4"/>
        <v>#N/A</v>
      </c>
      <c r="T25" s="186" t="str">
        <f t="shared" ca="1" si="5"/>
        <v/>
      </c>
      <c r="U25" s="194" t="str">
        <f t="shared" ca="1" si="6"/>
        <v/>
      </c>
      <c r="V25" s="197" t="str">
        <f t="shared" ca="1" si="15"/>
        <v/>
      </c>
    </row>
    <row r="26" spans="1:22" s="18" customFormat="1" ht="12.6" customHeight="1">
      <c r="A26" s="190">
        <f t="shared" ca="1" si="7"/>
        <v>42435</v>
      </c>
      <c r="B26" s="285"/>
      <c r="C26" s="286"/>
      <c r="D26" s="301"/>
      <c r="E26" s="276"/>
      <c r="F26" s="117"/>
      <c r="G26" s="110" t="str">
        <f t="shared" ca="1" si="8"/>
        <v>0,00</v>
      </c>
      <c r="H26" s="111" t="str">
        <f t="shared" ca="1" si="9"/>
        <v/>
      </c>
      <c r="I26" s="112">
        <f t="shared" ca="1" si="10"/>
        <v>0</v>
      </c>
      <c r="J26" s="157" t="str">
        <f t="shared" ref="J26:J50" ca="1" si="16">IF($G$16="Sie haben Ihr Arbeitszeitkonto überschritten, bitte erstellen Sie ein neues Konto","",IF(AND(A26&lt;TODAY(),WEEKDAY(A26,2)=7),I26+$N$16,""))</f>
        <v/>
      </c>
      <c r="K26" s="275" t="str">
        <f t="shared" ca="1" si="1"/>
        <v>--------</v>
      </c>
      <c r="L26" s="276"/>
      <c r="M26" s="93">
        <f t="shared" ca="1" si="11"/>
        <v>10</v>
      </c>
      <c r="N26" s="94">
        <f t="shared" ca="1" si="12"/>
        <v>0</v>
      </c>
      <c r="O26" s="95">
        <f t="shared" ca="1" si="13"/>
        <v>0</v>
      </c>
      <c r="P26" s="120" t="str">
        <f t="shared" ca="1" si="14"/>
        <v/>
      </c>
      <c r="Q26" s="120" t="str">
        <f t="shared" ca="1" si="2"/>
        <v>1</v>
      </c>
      <c r="R26" s="184" t="str">
        <f t="shared" ca="1" si="3"/>
        <v/>
      </c>
      <c r="S26" s="185" t="e">
        <f t="shared" ca="1" si="4"/>
        <v>#N/A</v>
      </c>
      <c r="T26" s="186" t="str">
        <f t="shared" ca="1" si="5"/>
        <v/>
      </c>
      <c r="U26" s="194" t="str">
        <f t="shared" ca="1" si="6"/>
        <v/>
      </c>
      <c r="V26" s="197" t="str">
        <f t="shared" ca="1" si="15"/>
        <v/>
      </c>
    </row>
    <row r="27" spans="1:22" ht="12.6" customHeight="1">
      <c r="A27" s="190">
        <f t="shared" ca="1" si="7"/>
        <v>42436</v>
      </c>
      <c r="B27" s="285"/>
      <c r="C27" s="286"/>
      <c r="D27" s="273"/>
      <c r="E27" s="274"/>
      <c r="F27" s="217"/>
      <c r="G27" s="110" t="str">
        <f t="shared" ca="1" si="8"/>
        <v>0,00</v>
      </c>
      <c r="H27" s="111">
        <f t="shared" ca="1" si="9"/>
        <v>0</v>
      </c>
      <c r="I27" s="112">
        <f t="shared" ca="1" si="10"/>
        <v>0</v>
      </c>
      <c r="J27" s="157" t="str">
        <f t="shared" ca="1" si="16"/>
        <v/>
      </c>
      <c r="K27" s="275" t="str">
        <f ca="1">IF(T27&lt;&gt;"",T27,IF(P27="1","Angaben überprüfen",IF(OR(A27&lt;$C$14,A27&gt;$F$14,G27="0,00"),"--------",IF(AND(G27&gt;(6/24),G27&lt;(9/24),F27&lt;0.5/24),"30 min. Pause erforderlich",IF(AND(G27&gt;=(9/24),F27&lt;0.75/24),"45 min. Pause erforderlich ","")))))</f>
        <v>--------</v>
      </c>
      <c r="L27" s="276"/>
      <c r="M27" s="93">
        <f t="shared" ca="1" si="11"/>
        <v>10</v>
      </c>
      <c r="N27" s="94">
        <f t="shared" ca="1" si="12"/>
        <v>0</v>
      </c>
      <c r="O27" s="95">
        <f t="shared" ca="1" si="13"/>
        <v>0</v>
      </c>
      <c r="P27" s="120" t="str">
        <f t="shared" ca="1" si="14"/>
        <v/>
      </c>
      <c r="Q27" s="120" t="str">
        <f t="shared" ca="1" si="2"/>
        <v>1</v>
      </c>
      <c r="R27" s="184" t="str">
        <f t="shared" ca="1" si="3"/>
        <v/>
      </c>
      <c r="S27" s="185" t="e">
        <f t="shared" ca="1" si="4"/>
        <v>#N/A</v>
      </c>
      <c r="T27" s="186" t="str">
        <f t="shared" ca="1" si="5"/>
        <v/>
      </c>
      <c r="U27" s="194" t="str">
        <f t="shared" ca="1" si="6"/>
        <v/>
      </c>
      <c r="V27" s="197" t="str">
        <f t="shared" ca="1" si="15"/>
        <v/>
      </c>
    </row>
    <row r="28" spans="1:22" ht="12.6" customHeight="1">
      <c r="A28" s="190">
        <f t="shared" ca="1" si="7"/>
        <v>42437</v>
      </c>
      <c r="B28" s="285"/>
      <c r="C28" s="286"/>
      <c r="D28" s="273"/>
      <c r="E28" s="274"/>
      <c r="F28" s="217"/>
      <c r="G28" s="110" t="str">
        <f t="shared" ca="1" si="8"/>
        <v>0,00</v>
      </c>
      <c r="H28" s="111" t="str">
        <f t="shared" ca="1" si="9"/>
        <v/>
      </c>
      <c r="I28" s="112">
        <f t="shared" ca="1" si="10"/>
        <v>0</v>
      </c>
      <c r="J28" s="157" t="str">
        <f t="shared" ca="1" si="16"/>
        <v/>
      </c>
      <c r="K28" s="275" t="str">
        <f t="shared" ref="K28:K50" ca="1" si="17">IF(T28&lt;&gt;"",T28,IF(P28="1","Angaben überprüfen",IF(OR(A28&lt;$C$14,A28&gt;$F$14,G28="0,00"),"--------",IF(AND(G28&gt;(6/24),G28&lt;(9/24),F28&lt;0.5/24),"30 min. Pause erforderlich",IF(AND(G28&gt;=(9/24),F28&lt;0.75/24),"45 min. Pause erforderlich ","")))))</f>
        <v>--------</v>
      </c>
      <c r="L28" s="276"/>
      <c r="M28" s="93">
        <f t="shared" ca="1" si="11"/>
        <v>11</v>
      </c>
      <c r="N28" s="94">
        <f t="shared" ca="1" si="12"/>
        <v>0</v>
      </c>
      <c r="O28" s="95">
        <f t="shared" ca="1" si="13"/>
        <v>0</v>
      </c>
      <c r="P28" s="120" t="str">
        <f t="shared" ca="1" si="14"/>
        <v/>
      </c>
      <c r="Q28" s="120" t="str">
        <f t="shared" ca="1" si="2"/>
        <v>1</v>
      </c>
      <c r="R28" s="184" t="str">
        <f t="shared" ca="1" si="3"/>
        <v/>
      </c>
      <c r="S28" s="185" t="e">
        <f t="shared" ca="1" si="4"/>
        <v>#N/A</v>
      </c>
      <c r="T28" s="186" t="str">
        <f t="shared" ca="1" si="5"/>
        <v/>
      </c>
      <c r="U28" s="194" t="str">
        <f t="shared" ca="1" si="6"/>
        <v/>
      </c>
      <c r="V28" s="197" t="str">
        <f t="shared" ca="1" si="15"/>
        <v/>
      </c>
    </row>
    <row r="29" spans="1:22" ht="12.6" customHeight="1">
      <c r="A29" s="190">
        <f t="shared" ca="1" si="7"/>
        <v>42438</v>
      </c>
      <c r="B29" s="285"/>
      <c r="C29" s="286"/>
      <c r="D29" s="273"/>
      <c r="E29" s="274"/>
      <c r="F29" s="206"/>
      <c r="G29" s="110" t="str">
        <f t="shared" ca="1" si="8"/>
        <v>0,00</v>
      </c>
      <c r="H29" s="111" t="str">
        <f t="shared" ca="1" si="9"/>
        <v/>
      </c>
      <c r="I29" s="112">
        <f t="shared" ca="1" si="10"/>
        <v>0</v>
      </c>
      <c r="J29" s="157" t="str">
        <f t="shared" ca="1" si="16"/>
        <v/>
      </c>
      <c r="K29" s="275" t="str">
        <f t="shared" ca="1" si="17"/>
        <v>--------</v>
      </c>
      <c r="L29" s="276"/>
      <c r="M29" s="93">
        <f t="shared" ca="1" si="11"/>
        <v>11</v>
      </c>
      <c r="N29" s="94">
        <f t="shared" ca="1" si="12"/>
        <v>0</v>
      </c>
      <c r="O29" s="95">
        <f t="shared" ca="1" si="13"/>
        <v>0</v>
      </c>
      <c r="P29" s="120" t="str">
        <f t="shared" ca="1" si="14"/>
        <v/>
      </c>
      <c r="Q29" s="120" t="str">
        <f t="shared" ca="1" si="2"/>
        <v>1</v>
      </c>
      <c r="R29" s="184" t="str">
        <f t="shared" ca="1" si="3"/>
        <v/>
      </c>
      <c r="S29" s="185" t="e">
        <f t="shared" ca="1" si="4"/>
        <v>#N/A</v>
      </c>
      <c r="T29" s="186" t="str">
        <f t="shared" ca="1" si="5"/>
        <v/>
      </c>
      <c r="U29" s="194" t="str">
        <f t="shared" ca="1" si="6"/>
        <v/>
      </c>
      <c r="V29" s="197" t="str">
        <f t="shared" ca="1" si="15"/>
        <v/>
      </c>
    </row>
    <row r="30" spans="1:22" ht="12.6" customHeight="1">
      <c r="A30" s="189">
        <f ca="1">($B$17+ROW(A11)-1)*(MONTH(A27+1)=MONTH($B$17))</f>
        <v>42439</v>
      </c>
      <c r="B30" s="285"/>
      <c r="C30" s="286"/>
      <c r="D30" s="273"/>
      <c r="E30" s="274"/>
      <c r="F30" s="206"/>
      <c r="G30" s="110" t="str">
        <f t="shared" ca="1" si="8"/>
        <v>0,00</v>
      </c>
      <c r="H30" s="111" t="str">
        <f t="shared" ca="1" si="9"/>
        <v/>
      </c>
      <c r="I30" s="112">
        <f t="shared" ca="1" si="10"/>
        <v>0</v>
      </c>
      <c r="J30" s="157" t="str">
        <f t="shared" ca="1" si="16"/>
        <v/>
      </c>
      <c r="K30" s="275" t="str">
        <f t="shared" ca="1" si="17"/>
        <v>--------</v>
      </c>
      <c r="L30" s="276"/>
      <c r="M30" s="93">
        <f t="shared" ca="1" si="11"/>
        <v>11</v>
      </c>
      <c r="N30" s="94">
        <f t="shared" ca="1" si="12"/>
        <v>0</v>
      </c>
      <c r="O30" s="95">
        <f t="shared" ca="1" si="13"/>
        <v>0</v>
      </c>
      <c r="P30" s="120" t="str">
        <f t="shared" ca="1" si="14"/>
        <v/>
      </c>
      <c r="Q30" s="120" t="str">
        <f t="shared" ca="1" si="2"/>
        <v>1</v>
      </c>
      <c r="R30" s="184" t="str">
        <f t="shared" ca="1" si="3"/>
        <v/>
      </c>
      <c r="S30" s="185" t="e">
        <f t="shared" ca="1" si="4"/>
        <v>#N/A</v>
      </c>
      <c r="T30" s="186" t="str">
        <f t="shared" ca="1" si="5"/>
        <v/>
      </c>
      <c r="U30" s="194" t="str">
        <f t="shared" ca="1" si="6"/>
        <v/>
      </c>
      <c r="V30" s="197" t="str">
        <f t="shared" ca="1" si="15"/>
        <v/>
      </c>
    </row>
    <row r="31" spans="1:22" ht="12.6" customHeight="1">
      <c r="A31" s="189">
        <f ca="1">($B$17+ROW(A12)-1)*(MONTH(A28+1)=MONTH($B$17))</f>
        <v>42440</v>
      </c>
      <c r="B31" s="281"/>
      <c r="C31" s="282"/>
      <c r="D31" s="283"/>
      <c r="E31" s="284"/>
      <c r="F31" s="206"/>
      <c r="G31" s="110" t="str">
        <f t="shared" ca="1" si="8"/>
        <v>0,00</v>
      </c>
      <c r="H31" s="111" t="str">
        <f t="shared" ca="1" si="9"/>
        <v/>
      </c>
      <c r="I31" s="112">
        <f t="shared" ca="1" si="10"/>
        <v>0</v>
      </c>
      <c r="J31" s="157" t="str">
        <f t="shared" ca="1" si="16"/>
        <v/>
      </c>
      <c r="K31" s="275" t="str">
        <f t="shared" ca="1" si="17"/>
        <v>--------</v>
      </c>
      <c r="L31" s="276"/>
      <c r="M31" s="93">
        <f t="shared" ca="1" si="11"/>
        <v>11</v>
      </c>
      <c r="N31" s="94">
        <f t="shared" ca="1" si="12"/>
        <v>0</v>
      </c>
      <c r="O31" s="95">
        <f t="shared" ca="1" si="13"/>
        <v>0</v>
      </c>
      <c r="P31" s="120" t="str">
        <f t="shared" ca="1" si="14"/>
        <v/>
      </c>
      <c r="Q31" s="120" t="str">
        <f t="shared" ca="1" si="2"/>
        <v>1</v>
      </c>
      <c r="R31" s="184" t="str">
        <f t="shared" ca="1" si="3"/>
        <v/>
      </c>
      <c r="S31" s="185" t="e">
        <f t="shared" ca="1" si="4"/>
        <v>#N/A</v>
      </c>
      <c r="T31" s="186" t="str">
        <f t="shared" ca="1" si="5"/>
        <v/>
      </c>
      <c r="U31" s="194" t="str">
        <f t="shared" ca="1" si="6"/>
        <v/>
      </c>
      <c r="V31" s="197" t="str">
        <f t="shared" ca="1" si="15"/>
        <v/>
      </c>
    </row>
    <row r="32" spans="1:22" ht="12.6" customHeight="1">
      <c r="A32" s="189">
        <f ca="1">($B$17+ROW(A13)-1)*(MONTH(A30+1)=MONTH($B$17))</f>
        <v>42441</v>
      </c>
      <c r="B32" s="285"/>
      <c r="C32" s="286"/>
      <c r="D32" s="301"/>
      <c r="E32" s="276"/>
      <c r="F32" s="206"/>
      <c r="G32" s="110" t="str">
        <f t="shared" ca="1" si="8"/>
        <v>0,00</v>
      </c>
      <c r="H32" s="111" t="str">
        <f t="shared" ca="1" si="9"/>
        <v/>
      </c>
      <c r="I32" s="112">
        <f t="shared" ca="1" si="10"/>
        <v>0</v>
      </c>
      <c r="J32" s="157" t="str">
        <f t="shared" ca="1" si="16"/>
        <v/>
      </c>
      <c r="K32" s="275" t="str">
        <f t="shared" ca="1" si="17"/>
        <v>--------</v>
      </c>
      <c r="L32" s="276"/>
      <c r="M32" s="93">
        <f t="shared" ca="1" si="11"/>
        <v>11</v>
      </c>
      <c r="N32" s="94">
        <f t="shared" ca="1" si="12"/>
        <v>0</v>
      </c>
      <c r="O32" s="95">
        <f t="shared" ca="1" si="13"/>
        <v>0</v>
      </c>
      <c r="P32" s="120" t="str">
        <f t="shared" ca="1" si="14"/>
        <v/>
      </c>
      <c r="Q32" s="120" t="str">
        <f t="shared" ca="1" si="2"/>
        <v>1</v>
      </c>
      <c r="R32" s="184" t="str">
        <f t="shared" ca="1" si="3"/>
        <v/>
      </c>
      <c r="S32" s="185" t="e">
        <f t="shared" ca="1" si="4"/>
        <v>#N/A</v>
      </c>
      <c r="T32" s="186" t="str">
        <f t="shared" ca="1" si="5"/>
        <v/>
      </c>
      <c r="U32" s="194" t="str">
        <f t="shared" ca="1" si="6"/>
        <v/>
      </c>
      <c r="V32" s="197" t="str">
        <f t="shared" ca="1" si="15"/>
        <v/>
      </c>
    </row>
    <row r="33" spans="1:22" ht="12.6" customHeight="1">
      <c r="A33" s="189">
        <f t="shared" ref="A33:A50" ca="1" si="18">($B$17+ROW(A14)-1)*(MONTH(A32+1)=MONTH($B$17))</f>
        <v>42442</v>
      </c>
      <c r="B33" s="285"/>
      <c r="C33" s="286"/>
      <c r="D33" s="273"/>
      <c r="E33" s="274"/>
      <c r="F33" s="206"/>
      <c r="G33" s="110" t="str">
        <f t="shared" ca="1" si="8"/>
        <v>0,00</v>
      </c>
      <c r="H33" s="111" t="str">
        <f t="shared" ca="1" si="9"/>
        <v/>
      </c>
      <c r="I33" s="112">
        <f t="shared" ca="1" si="10"/>
        <v>0</v>
      </c>
      <c r="J33" s="157" t="str">
        <f t="shared" ca="1" si="16"/>
        <v/>
      </c>
      <c r="K33" s="275" t="str">
        <f t="shared" ca="1" si="17"/>
        <v>--------</v>
      </c>
      <c r="L33" s="276"/>
      <c r="M33" s="93">
        <f t="shared" ca="1" si="11"/>
        <v>11</v>
      </c>
      <c r="N33" s="94">
        <f t="shared" ca="1" si="12"/>
        <v>0</v>
      </c>
      <c r="O33" s="95">
        <f t="shared" ca="1" si="13"/>
        <v>0</v>
      </c>
      <c r="P33" s="120" t="str">
        <f t="shared" ca="1" si="14"/>
        <v/>
      </c>
      <c r="Q33" s="120" t="str">
        <f t="shared" ca="1" si="2"/>
        <v>1</v>
      </c>
      <c r="R33" s="184" t="str">
        <f t="shared" ca="1" si="3"/>
        <v/>
      </c>
      <c r="S33" s="185" t="e">
        <f t="shared" ca="1" si="4"/>
        <v>#N/A</v>
      </c>
      <c r="T33" s="186" t="str">
        <f t="shared" ca="1" si="5"/>
        <v/>
      </c>
      <c r="U33" s="194" t="str">
        <f t="shared" ca="1" si="6"/>
        <v/>
      </c>
      <c r="V33" s="197" t="str">
        <f t="shared" ca="1" si="15"/>
        <v/>
      </c>
    </row>
    <row r="34" spans="1:22" ht="12.6" customHeight="1">
      <c r="A34" s="189">
        <f t="shared" ca="1" si="18"/>
        <v>42443</v>
      </c>
      <c r="B34" s="285"/>
      <c r="C34" s="286"/>
      <c r="D34" s="273"/>
      <c r="E34" s="274"/>
      <c r="F34" s="206"/>
      <c r="G34" s="110" t="str">
        <f t="shared" ca="1" si="8"/>
        <v>0,00</v>
      </c>
      <c r="H34" s="111">
        <f t="shared" ca="1" si="9"/>
        <v>0</v>
      </c>
      <c r="I34" s="112">
        <f t="shared" ca="1" si="10"/>
        <v>0</v>
      </c>
      <c r="J34" s="157" t="str">
        <f t="shared" ca="1" si="16"/>
        <v/>
      </c>
      <c r="K34" s="275" t="str">
        <f t="shared" ca="1" si="17"/>
        <v>--------</v>
      </c>
      <c r="L34" s="276"/>
      <c r="M34" s="93">
        <f t="shared" ca="1" si="11"/>
        <v>11</v>
      </c>
      <c r="N34" s="94">
        <f t="shared" ca="1" si="12"/>
        <v>0</v>
      </c>
      <c r="O34" s="95">
        <f t="shared" ca="1" si="13"/>
        <v>0</v>
      </c>
      <c r="P34" s="120" t="str">
        <f t="shared" ca="1" si="14"/>
        <v/>
      </c>
      <c r="Q34" s="120" t="str">
        <f t="shared" ca="1" si="2"/>
        <v>1</v>
      </c>
      <c r="R34" s="184" t="str">
        <f t="shared" ca="1" si="3"/>
        <v/>
      </c>
      <c r="S34" s="185" t="e">
        <f t="shared" ca="1" si="4"/>
        <v>#N/A</v>
      </c>
      <c r="T34" s="186" t="str">
        <f t="shared" ca="1" si="5"/>
        <v/>
      </c>
      <c r="U34" s="194" t="str">
        <f t="shared" ca="1" si="6"/>
        <v/>
      </c>
      <c r="V34" s="197" t="str">
        <f t="shared" ca="1" si="15"/>
        <v/>
      </c>
    </row>
    <row r="35" spans="1:22" ht="12.6" customHeight="1">
      <c r="A35" s="189">
        <f t="shared" ca="1" si="18"/>
        <v>42444</v>
      </c>
      <c r="B35" s="285"/>
      <c r="C35" s="286"/>
      <c r="D35" s="273"/>
      <c r="E35" s="274"/>
      <c r="F35" s="206"/>
      <c r="G35" s="110" t="str">
        <f t="shared" ca="1" si="8"/>
        <v>0,00</v>
      </c>
      <c r="H35" s="111" t="str">
        <f t="shared" ca="1" si="9"/>
        <v/>
      </c>
      <c r="I35" s="112">
        <f t="shared" ca="1" si="10"/>
        <v>0</v>
      </c>
      <c r="J35" s="157" t="str">
        <f t="shared" ca="1" si="16"/>
        <v/>
      </c>
      <c r="K35" s="275" t="str">
        <f t="shared" ca="1" si="17"/>
        <v>--------</v>
      </c>
      <c r="L35" s="276"/>
      <c r="M35" s="93">
        <f t="shared" ca="1" si="11"/>
        <v>12</v>
      </c>
      <c r="N35" s="94">
        <f t="shared" ca="1" si="12"/>
        <v>0</v>
      </c>
      <c r="O35" s="95">
        <f t="shared" ca="1" si="13"/>
        <v>0</v>
      </c>
      <c r="P35" s="120" t="str">
        <f t="shared" ca="1" si="14"/>
        <v/>
      </c>
      <c r="Q35" s="120" t="str">
        <f t="shared" ca="1" si="2"/>
        <v>1</v>
      </c>
      <c r="R35" s="184" t="str">
        <f t="shared" ca="1" si="3"/>
        <v/>
      </c>
      <c r="S35" s="185" t="e">
        <f t="shared" ca="1" si="4"/>
        <v>#N/A</v>
      </c>
      <c r="T35" s="186" t="str">
        <f t="shared" ca="1" si="5"/>
        <v/>
      </c>
      <c r="U35" s="194" t="str">
        <f t="shared" ca="1" si="6"/>
        <v/>
      </c>
      <c r="V35" s="197" t="str">
        <f t="shared" ca="1" si="15"/>
        <v/>
      </c>
    </row>
    <row r="36" spans="1:22" ht="12.6" customHeight="1">
      <c r="A36" s="189">
        <f t="shared" ca="1" si="18"/>
        <v>42445</v>
      </c>
      <c r="B36" s="285"/>
      <c r="C36" s="286"/>
      <c r="D36" s="273"/>
      <c r="E36" s="274"/>
      <c r="F36" s="205"/>
      <c r="G36" s="110" t="str">
        <f t="shared" ca="1" si="8"/>
        <v>0,00</v>
      </c>
      <c r="H36" s="111" t="str">
        <f t="shared" ca="1" si="9"/>
        <v/>
      </c>
      <c r="I36" s="112">
        <f t="shared" ca="1" si="10"/>
        <v>0</v>
      </c>
      <c r="J36" s="157" t="str">
        <f t="shared" ca="1" si="16"/>
        <v/>
      </c>
      <c r="K36" s="275" t="str">
        <f t="shared" ca="1" si="17"/>
        <v>--------</v>
      </c>
      <c r="L36" s="276"/>
      <c r="M36" s="93">
        <f t="shared" ca="1" si="11"/>
        <v>12</v>
      </c>
      <c r="N36" s="94">
        <f t="shared" ca="1" si="12"/>
        <v>0</v>
      </c>
      <c r="O36" s="95">
        <f t="shared" ca="1" si="13"/>
        <v>0</v>
      </c>
      <c r="P36" s="120" t="str">
        <f t="shared" ca="1" si="14"/>
        <v/>
      </c>
      <c r="Q36" s="120" t="str">
        <f t="shared" ca="1" si="2"/>
        <v>1</v>
      </c>
      <c r="R36" s="184" t="str">
        <f t="shared" ca="1" si="3"/>
        <v/>
      </c>
      <c r="S36" s="185" t="e">
        <f t="shared" ca="1" si="4"/>
        <v>#N/A</v>
      </c>
      <c r="T36" s="186" t="str">
        <f t="shared" ca="1" si="5"/>
        <v/>
      </c>
      <c r="U36" s="194" t="str">
        <f t="shared" ca="1" si="6"/>
        <v/>
      </c>
      <c r="V36" s="197" t="str">
        <f t="shared" ca="1" si="15"/>
        <v/>
      </c>
    </row>
    <row r="37" spans="1:22" ht="12.6" customHeight="1">
      <c r="A37" s="189">
        <f t="shared" ca="1" si="18"/>
        <v>42446</v>
      </c>
      <c r="B37" s="285"/>
      <c r="C37" s="286"/>
      <c r="D37" s="273"/>
      <c r="E37" s="274"/>
      <c r="F37" s="205"/>
      <c r="G37" s="110" t="str">
        <f t="shared" ca="1" si="8"/>
        <v>0,00</v>
      </c>
      <c r="H37" s="111" t="str">
        <f t="shared" ca="1" si="9"/>
        <v/>
      </c>
      <c r="I37" s="112">
        <f t="shared" ca="1" si="10"/>
        <v>0</v>
      </c>
      <c r="J37" s="157" t="str">
        <f t="shared" ca="1" si="16"/>
        <v/>
      </c>
      <c r="K37" s="275" t="str">
        <f t="shared" ca="1" si="17"/>
        <v>--------</v>
      </c>
      <c r="L37" s="276"/>
      <c r="M37" s="93">
        <f t="shared" ca="1" si="11"/>
        <v>12</v>
      </c>
      <c r="N37" s="94">
        <f t="shared" ca="1" si="12"/>
        <v>0</v>
      </c>
      <c r="O37" s="95">
        <f t="shared" ca="1" si="13"/>
        <v>0</v>
      </c>
      <c r="P37" s="120" t="str">
        <f t="shared" ca="1" si="14"/>
        <v/>
      </c>
      <c r="Q37" s="120" t="str">
        <f t="shared" ca="1" si="2"/>
        <v>1</v>
      </c>
      <c r="R37" s="184" t="str">
        <f t="shared" ca="1" si="3"/>
        <v/>
      </c>
      <c r="S37" s="185" t="e">
        <f t="shared" ca="1" si="4"/>
        <v>#N/A</v>
      </c>
      <c r="T37" s="186" t="str">
        <f t="shared" ca="1" si="5"/>
        <v/>
      </c>
      <c r="U37" s="194" t="str">
        <f t="shared" ca="1" si="6"/>
        <v/>
      </c>
      <c r="V37" s="197" t="str">
        <f t="shared" ca="1" si="15"/>
        <v/>
      </c>
    </row>
    <row r="38" spans="1:22" ht="12.6" customHeight="1">
      <c r="A38" s="189">
        <f t="shared" ca="1" si="18"/>
        <v>42447</v>
      </c>
      <c r="B38" s="281"/>
      <c r="C38" s="282"/>
      <c r="D38" s="283"/>
      <c r="E38" s="284"/>
      <c r="F38" s="206"/>
      <c r="G38" s="110" t="str">
        <f t="shared" ca="1" si="8"/>
        <v>0,00</v>
      </c>
      <c r="H38" s="111" t="str">
        <f t="shared" ca="1" si="9"/>
        <v/>
      </c>
      <c r="I38" s="112">
        <f t="shared" ca="1" si="10"/>
        <v>0</v>
      </c>
      <c r="J38" s="157" t="str">
        <f t="shared" ca="1" si="16"/>
        <v/>
      </c>
      <c r="K38" s="275" t="str">
        <f t="shared" ca="1" si="17"/>
        <v>--------</v>
      </c>
      <c r="L38" s="276"/>
      <c r="M38" s="93">
        <f t="shared" ca="1" si="11"/>
        <v>12</v>
      </c>
      <c r="N38" s="94">
        <f t="shared" ca="1" si="12"/>
        <v>0</v>
      </c>
      <c r="O38" s="95">
        <f t="shared" ca="1" si="13"/>
        <v>0</v>
      </c>
      <c r="P38" s="120" t="str">
        <f t="shared" ca="1" si="14"/>
        <v/>
      </c>
      <c r="Q38" s="120" t="str">
        <f t="shared" ca="1" si="2"/>
        <v>1</v>
      </c>
      <c r="R38" s="184" t="str">
        <f t="shared" ca="1" si="3"/>
        <v/>
      </c>
      <c r="S38" s="185" t="e">
        <f t="shared" ca="1" si="4"/>
        <v>#N/A</v>
      </c>
      <c r="T38" s="186" t="str">
        <f t="shared" ca="1" si="5"/>
        <v/>
      </c>
      <c r="U38" s="194" t="str">
        <f t="shared" ca="1" si="6"/>
        <v/>
      </c>
      <c r="V38" s="197" t="str">
        <f t="shared" ca="1" si="15"/>
        <v/>
      </c>
    </row>
    <row r="39" spans="1:22" ht="12.6" customHeight="1">
      <c r="A39" s="189">
        <f t="shared" ca="1" si="18"/>
        <v>42448</v>
      </c>
      <c r="B39" s="285"/>
      <c r="C39" s="286"/>
      <c r="D39" s="301"/>
      <c r="E39" s="276"/>
      <c r="F39" s="206"/>
      <c r="G39" s="110" t="str">
        <f t="shared" ca="1" si="8"/>
        <v>0,00</v>
      </c>
      <c r="H39" s="111" t="str">
        <f t="shared" ca="1" si="9"/>
        <v/>
      </c>
      <c r="I39" s="112">
        <f t="shared" ca="1" si="10"/>
        <v>0</v>
      </c>
      <c r="J39" s="157" t="str">
        <f t="shared" ca="1" si="16"/>
        <v/>
      </c>
      <c r="K39" s="275" t="str">
        <f t="shared" ca="1" si="17"/>
        <v>--------</v>
      </c>
      <c r="L39" s="276"/>
      <c r="M39" s="93">
        <f t="shared" ca="1" si="11"/>
        <v>12</v>
      </c>
      <c r="N39" s="94">
        <f t="shared" ca="1" si="12"/>
        <v>0</v>
      </c>
      <c r="O39" s="95">
        <f t="shared" ca="1" si="13"/>
        <v>0</v>
      </c>
      <c r="P39" s="120" t="str">
        <f t="shared" ca="1" si="14"/>
        <v/>
      </c>
      <c r="Q39" s="120" t="str">
        <f t="shared" ca="1" si="2"/>
        <v>1</v>
      </c>
      <c r="R39" s="184" t="str">
        <f t="shared" ca="1" si="3"/>
        <v/>
      </c>
      <c r="S39" s="185" t="e">
        <f t="shared" ca="1" si="4"/>
        <v>#N/A</v>
      </c>
      <c r="T39" s="186" t="str">
        <f t="shared" ca="1" si="5"/>
        <v/>
      </c>
      <c r="U39" s="194" t="str">
        <f t="shared" ca="1" si="6"/>
        <v/>
      </c>
      <c r="V39" s="197" t="str">
        <f t="shared" ca="1" si="15"/>
        <v/>
      </c>
    </row>
    <row r="40" spans="1:22" ht="12.6" customHeight="1">
      <c r="A40" s="189">
        <f t="shared" ca="1" si="18"/>
        <v>42449</v>
      </c>
      <c r="B40" s="285"/>
      <c r="C40" s="286"/>
      <c r="D40" s="273"/>
      <c r="E40" s="274"/>
      <c r="F40" s="206"/>
      <c r="G40" s="110" t="str">
        <f t="shared" ca="1" si="8"/>
        <v>0,00</v>
      </c>
      <c r="H40" s="111" t="str">
        <f t="shared" ca="1" si="9"/>
        <v/>
      </c>
      <c r="I40" s="112">
        <f t="shared" ca="1" si="10"/>
        <v>0</v>
      </c>
      <c r="J40" s="157" t="str">
        <f t="shared" ca="1" si="16"/>
        <v/>
      </c>
      <c r="K40" s="275" t="str">
        <f t="shared" ca="1" si="17"/>
        <v>--------</v>
      </c>
      <c r="L40" s="276"/>
      <c r="M40" s="93">
        <f t="shared" ca="1" si="11"/>
        <v>12</v>
      </c>
      <c r="N40" s="94">
        <f t="shared" ca="1" si="12"/>
        <v>0</v>
      </c>
      <c r="O40" s="95">
        <f t="shared" ca="1" si="13"/>
        <v>0</v>
      </c>
      <c r="P40" s="120" t="str">
        <f t="shared" ca="1" si="14"/>
        <v/>
      </c>
      <c r="Q40" s="120" t="str">
        <f t="shared" ca="1" si="2"/>
        <v>1</v>
      </c>
      <c r="R40" s="184" t="str">
        <f t="shared" ca="1" si="3"/>
        <v/>
      </c>
      <c r="S40" s="185" t="e">
        <f t="shared" ca="1" si="4"/>
        <v>#N/A</v>
      </c>
      <c r="T40" s="186" t="str">
        <f t="shared" ca="1" si="5"/>
        <v/>
      </c>
      <c r="U40" s="194" t="str">
        <f t="shared" ca="1" si="6"/>
        <v/>
      </c>
      <c r="V40" s="197" t="str">
        <f t="shared" ca="1" si="15"/>
        <v/>
      </c>
    </row>
    <row r="41" spans="1:22" ht="12.6" customHeight="1">
      <c r="A41" s="189">
        <f t="shared" ca="1" si="18"/>
        <v>42450</v>
      </c>
      <c r="B41" s="285"/>
      <c r="C41" s="286"/>
      <c r="D41" s="273"/>
      <c r="E41" s="274"/>
      <c r="F41" s="206"/>
      <c r="G41" s="110" t="str">
        <f t="shared" ca="1" si="8"/>
        <v>0,00</v>
      </c>
      <c r="H41" s="111">
        <f t="shared" ca="1" si="9"/>
        <v>0</v>
      </c>
      <c r="I41" s="112">
        <f t="shared" ca="1" si="10"/>
        <v>0</v>
      </c>
      <c r="J41" s="157" t="str">
        <f t="shared" ca="1" si="16"/>
        <v/>
      </c>
      <c r="K41" s="275" t="str">
        <f t="shared" ca="1" si="17"/>
        <v>--------</v>
      </c>
      <c r="L41" s="276"/>
      <c r="M41" s="93">
        <f t="shared" ca="1" si="11"/>
        <v>12</v>
      </c>
      <c r="N41" s="94">
        <f t="shared" ca="1" si="12"/>
        <v>0</v>
      </c>
      <c r="O41" s="95">
        <f t="shared" ca="1" si="13"/>
        <v>0</v>
      </c>
      <c r="P41" s="120" t="str">
        <f t="shared" ca="1" si="14"/>
        <v/>
      </c>
      <c r="Q41" s="120" t="str">
        <f t="shared" ca="1" si="2"/>
        <v>1</v>
      </c>
      <c r="R41" s="184" t="str">
        <f t="shared" ca="1" si="3"/>
        <v/>
      </c>
      <c r="S41" s="185" t="e">
        <f t="shared" ca="1" si="4"/>
        <v>#N/A</v>
      </c>
      <c r="T41" s="186" t="str">
        <f t="shared" ca="1" si="5"/>
        <v/>
      </c>
      <c r="U41" s="194" t="str">
        <f t="shared" ca="1" si="6"/>
        <v/>
      </c>
      <c r="V41" s="197" t="str">
        <f t="shared" ca="1" si="15"/>
        <v/>
      </c>
    </row>
    <row r="42" spans="1:22" ht="12.6" customHeight="1">
      <c r="A42" s="189">
        <f t="shared" ca="1" si="18"/>
        <v>42451</v>
      </c>
      <c r="B42" s="285"/>
      <c r="C42" s="286"/>
      <c r="D42" s="273"/>
      <c r="E42" s="274"/>
      <c r="F42" s="206"/>
      <c r="G42" s="110" t="str">
        <f t="shared" ca="1" si="8"/>
        <v>0,00</v>
      </c>
      <c r="H42" s="111" t="str">
        <f t="shared" ca="1" si="9"/>
        <v/>
      </c>
      <c r="I42" s="112">
        <f t="shared" ca="1" si="10"/>
        <v>0</v>
      </c>
      <c r="J42" s="157" t="str">
        <f t="shared" ca="1" si="16"/>
        <v/>
      </c>
      <c r="K42" s="275" t="str">
        <f t="shared" ca="1" si="17"/>
        <v>--------</v>
      </c>
      <c r="L42" s="276"/>
      <c r="M42" s="93">
        <f t="shared" ca="1" si="11"/>
        <v>13</v>
      </c>
      <c r="N42" s="94">
        <f t="shared" ca="1" si="12"/>
        <v>0</v>
      </c>
      <c r="O42" s="95">
        <f t="shared" ca="1" si="13"/>
        <v>0</v>
      </c>
      <c r="P42" s="120" t="str">
        <f t="shared" ca="1" si="14"/>
        <v/>
      </c>
      <c r="Q42" s="120" t="str">
        <f t="shared" ca="1" si="2"/>
        <v>1</v>
      </c>
      <c r="R42" s="184" t="str">
        <f t="shared" ca="1" si="3"/>
        <v/>
      </c>
      <c r="S42" s="185" t="e">
        <f t="shared" ca="1" si="4"/>
        <v>#N/A</v>
      </c>
      <c r="T42" s="186" t="str">
        <f t="shared" ca="1" si="5"/>
        <v/>
      </c>
      <c r="U42" s="194" t="str">
        <f t="shared" ca="1" si="6"/>
        <v/>
      </c>
      <c r="V42" s="197" t="str">
        <f t="shared" ca="1" si="15"/>
        <v/>
      </c>
    </row>
    <row r="43" spans="1:22" ht="12.6" customHeight="1">
      <c r="A43" s="189">
        <f t="shared" ca="1" si="18"/>
        <v>42452</v>
      </c>
      <c r="B43" s="285"/>
      <c r="C43" s="286"/>
      <c r="D43" s="273"/>
      <c r="E43" s="274"/>
      <c r="F43" s="205"/>
      <c r="G43" s="110" t="str">
        <f t="shared" ca="1" si="8"/>
        <v>0,00</v>
      </c>
      <c r="H43" s="111" t="str">
        <f t="shared" ca="1" si="9"/>
        <v/>
      </c>
      <c r="I43" s="112">
        <f t="shared" ca="1" si="10"/>
        <v>0</v>
      </c>
      <c r="J43" s="157" t="str">
        <f t="shared" ca="1" si="16"/>
        <v/>
      </c>
      <c r="K43" s="275" t="str">
        <f t="shared" ca="1" si="17"/>
        <v>--------</v>
      </c>
      <c r="L43" s="276"/>
      <c r="M43" s="93">
        <f t="shared" ca="1" si="11"/>
        <v>13</v>
      </c>
      <c r="N43" s="94">
        <f t="shared" ca="1" si="12"/>
        <v>0</v>
      </c>
      <c r="O43" s="95">
        <f t="shared" ca="1" si="13"/>
        <v>0</v>
      </c>
      <c r="P43" s="120" t="str">
        <f t="shared" ca="1" si="14"/>
        <v/>
      </c>
      <c r="Q43" s="120" t="str">
        <f t="shared" ca="1" si="2"/>
        <v>1</v>
      </c>
      <c r="R43" s="184" t="str">
        <f t="shared" ca="1" si="3"/>
        <v/>
      </c>
      <c r="S43" s="185" t="e">
        <f ca="1">VLOOKUP(A43,$Q$77:$S$92,2,FALSE)</f>
        <v>#N/A</v>
      </c>
      <c r="T43" s="186" t="str">
        <f t="shared" ca="1" si="5"/>
        <v/>
      </c>
      <c r="U43" s="194" t="str">
        <f t="shared" ca="1" si="6"/>
        <v/>
      </c>
      <c r="V43" s="197" t="str">
        <f t="shared" ca="1" si="15"/>
        <v/>
      </c>
    </row>
    <row r="44" spans="1:22" ht="12.6" customHeight="1">
      <c r="A44" s="189">
        <f t="shared" ca="1" si="18"/>
        <v>42453</v>
      </c>
      <c r="B44" s="285"/>
      <c r="C44" s="286"/>
      <c r="D44" s="273"/>
      <c r="E44" s="274"/>
      <c r="F44" s="205"/>
      <c r="G44" s="110" t="str">
        <f t="shared" ca="1" si="8"/>
        <v>0,00</v>
      </c>
      <c r="H44" s="111" t="str">
        <f t="shared" ca="1" si="9"/>
        <v/>
      </c>
      <c r="I44" s="112">
        <f t="shared" ca="1" si="10"/>
        <v>0</v>
      </c>
      <c r="J44" s="157" t="str">
        <f t="shared" ca="1" si="16"/>
        <v/>
      </c>
      <c r="K44" s="275" t="str">
        <f t="shared" ca="1" si="17"/>
        <v>--------</v>
      </c>
      <c r="L44" s="276"/>
      <c r="M44" s="93">
        <f t="shared" ca="1" si="11"/>
        <v>13</v>
      </c>
      <c r="N44" s="94">
        <f t="shared" ca="1" si="12"/>
        <v>0</v>
      </c>
      <c r="O44" s="95">
        <f t="shared" ca="1" si="13"/>
        <v>0</v>
      </c>
      <c r="P44" s="120" t="str">
        <f t="shared" ca="1" si="14"/>
        <v/>
      </c>
      <c r="Q44" s="120" t="str">
        <f t="shared" ca="1" si="2"/>
        <v>1</v>
      </c>
      <c r="R44" s="184" t="str">
        <f t="shared" ca="1" si="3"/>
        <v/>
      </c>
      <c r="S44" s="185" t="e">
        <f t="shared" ca="1" si="4"/>
        <v>#N/A</v>
      </c>
      <c r="T44" s="186" t="str">
        <f t="shared" ca="1" si="5"/>
        <v/>
      </c>
      <c r="U44" s="194" t="str">
        <f t="shared" ca="1" si="6"/>
        <v/>
      </c>
      <c r="V44" s="197" t="str">
        <f t="shared" ca="1" si="15"/>
        <v/>
      </c>
    </row>
    <row r="45" spans="1:22" ht="12.6" customHeight="1">
      <c r="A45" s="189">
        <f t="shared" ca="1" si="18"/>
        <v>42454</v>
      </c>
      <c r="B45" s="308"/>
      <c r="C45" s="309"/>
      <c r="D45" s="308"/>
      <c r="E45" s="309"/>
      <c r="F45" s="206"/>
      <c r="G45" s="110" t="str">
        <f t="shared" ca="1" si="8"/>
        <v>0,00</v>
      </c>
      <c r="H45" s="111" t="str">
        <f t="shared" ca="1" si="9"/>
        <v/>
      </c>
      <c r="I45" s="112">
        <f t="shared" ca="1" si="10"/>
        <v>0</v>
      </c>
      <c r="J45" s="157" t="str">
        <f t="shared" ca="1" si="16"/>
        <v/>
      </c>
      <c r="K45" s="275" t="str">
        <f t="shared" ca="1" si="17"/>
        <v>--------</v>
      </c>
      <c r="L45" s="276"/>
      <c r="M45" s="93">
        <f t="shared" ca="1" si="11"/>
        <v>13</v>
      </c>
      <c r="N45" s="94">
        <f t="shared" ca="1" si="12"/>
        <v>0</v>
      </c>
      <c r="O45" s="95">
        <f t="shared" ca="1" si="13"/>
        <v>0</v>
      </c>
      <c r="P45" s="120" t="str">
        <f t="shared" ca="1" si="14"/>
        <v/>
      </c>
      <c r="Q45" s="120" t="str">
        <f t="shared" ca="1" si="2"/>
        <v>1</v>
      </c>
      <c r="R45" s="184" t="str">
        <f t="shared" ca="1" si="3"/>
        <v/>
      </c>
      <c r="S45" s="185" t="e">
        <f t="shared" ca="1" si="4"/>
        <v>#N/A</v>
      </c>
      <c r="T45" s="186" t="str">
        <f t="shared" ca="1" si="5"/>
        <v/>
      </c>
      <c r="U45" s="194" t="str">
        <f t="shared" ca="1" si="6"/>
        <v/>
      </c>
      <c r="V45" s="197" t="str">
        <f t="shared" ca="1" si="15"/>
        <v/>
      </c>
    </row>
    <row r="46" spans="1:22" ht="12.6" customHeight="1">
      <c r="A46" s="189">
        <f t="shared" ca="1" si="18"/>
        <v>42455</v>
      </c>
      <c r="B46" s="308"/>
      <c r="C46" s="309"/>
      <c r="D46" s="313"/>
      <c r="E46" s="314"/>
      <c r="F46" s="206"/>
      <c r="G46" s="110" t="str">
        <f t="shared" ca="1" si="8"/>
        <v>0,00</v>
      </c>
      <c r="H46" s="111" t="str">
        <f t="shared" ca="1" si="9"/>
        <v/>
      </c>
      <c r="I46" s="112">
        <f t="shared" ca="1" si="10"/>
        <v>0</v>
      </c>
      <c r="J46" s="157" t="str">
        <f t="shared" ca="1" si="16"/>
        <v/>
      </c>
      <c r="K46" s="275" t="str">
        <f t="shared" ca="1" si="17"/>
        <v>--------</v>
      </c>
      <c r="L46" s="276"/>
      <c r="M46" s="93">
        <f t="shared" ca="1" si="11"/>
        <v>13</v>
      </c>
      <c r="N46" s="94">
        <f t="shared" ca="1" si="12"/>
        <v>0</v>
      </c>
      <c r="O46" s="95">
        <f t="shared" ca="1" si="13"/>
        <v>0</v>
      </c>
      <c r="P46" s="120" t="str">
        <f t="shared" ca="1" si="14"/>
        <v/>
      </c>
      <c r="Q46" s="120" t="str">
        <f t="shared" ca="1" si="2"/>
        <v>1</v>
      </c>
      <c r="R46" s="184" t="str">
        <f t="shared" ca="1" si="3"/>
        <v/>
      </c>
      <c r="S46" s="185" t="e">
        <f t="shared" ca="1" si="4"/>
        <v>#N/A</v>
      </c>
      <c r="T46" s="186" t="str">
        <f t="shared" ca="1" si="5"/>
        <v/>
      </c>
      <c r="U46" s="194" t="str">
        <f t="shared" ca="1" si="6"/>
        <v/>
      </c>
      <c r="V46" s="197" t="str">
        <f t="shared" ca="1" si="15"/>
        <v/>
      </c>
    </row>
    <row r="47" spans="1:22" ht="12.6" customHeight="1">
      <c r="A47" s="189">
        <f t="shared" ca="1" si="18"/>
        <v>42456</v>
      </c>
      <c r="B47" s="308"/>
      <c r="C47" s="309"/>
      <c r="D47" s="309"/>
      <c r="E47" s="309"/>
      <c r="F47" s="206"/>
      <c r="G47" s="110" t="str">
        <f t="shared" ca="1" si="8"/>
        <v>0,00</v>
      </c>
      <c r="H47" s="111" t="str">
        <f t="shared" ca="1" si="9"/>
        <v/>
      </c>
      <c r="I47" s="112">
        <f t="shared" ca="1" si="10"/>
        <v>0</v>
      </c>
      <c r="J47" s="157" t="str">
        <f t="shared" ca="1" si="16"/>
        <v/>
      </c>
      <c r="K47" s="275" t="str">
        <f t="shared" ca="1" si="17"/>
        <v>--------</v>
      </c>
      <c r="L47" s="276"/>
      <c r="M47" s="93">
        <f t="shared" ca="1" si="11"/>
        <v>13</v>
      </c>
      <c r="N47" s="94">
        <f t="shared" ca="1" si="12"/>
        <v>0</v>
      </c>
      <c r="O47" s="95">
        <f t="shared" ca="1" si="13"/>
        <v>0</v>
      </c>
      <c r="P47" s="120" t="str">
        <f t="shared" ca="1" si="14"/>
        <v/>
      </c>
      <c r="Q47" s="120" t="str">
        <f t="shared" ca="1" si="2"/>
        <v>1</v>
      </c>
      <c r="R47" s="184" t="str">
        <f t="shared" ca="1" si="3"/>
        <v/>
      </c>
      <c r="S47" s="185" t="e">
        <f t="shared" ca="1" si="4"/>
        <v>#N/A</v>
      </c>
      <c r="T47" s="186" t="str">
        <f t="shared" ca="1" si="5"/>
        <v/>
      </c>
      <c r="U47" s="194" t="str">
        <f t="shared" ca="1" si="6"/>
        <v/>
      </c>
      <c r="V47" s="197" t="str">
        <f t="shared" ca="1" si="15"/>
        <v/>
      </c>
    </row>
    <row r="48" spans="1:22" ht="12.6" customHeight="1">
      <c r="A48" s="189">
        <f t="shared" ca="1" si="18"/>
        <v>42457</v>
      </c>
      <c r="B48" s="285"/>
      <c r="C48" s="286"/>
      <c r="D48" s="273"/>
      <c r="E48" s="274"/>
      <c r="F48" s="206"/>
      <c r="G48" s="110" t="str">
        <f t="shared" ca="1" si="8"/>
        <v>0,00</v>
      </c>
      <c r="H48" s="111">
        <f t="shared" ca="1" si="9"/>
        <v>0</v>
      </c>
      <c r="I48" s="112">
        <f t="shared" ca="1" si="10"/>
        <v>0</v>
      </c>
      <c r="J48" s="157" t="str">
        <f t="shared" ca="1" si="16"/>
        <v/>
      </c>
      <c r="K48" s="275" t="str">
        <f t="shared" ca="1" si="17"/>
        <v>--------</v>
      </c>
      <c r="L48" s="276"/>
      <c r="M48" s="93">
        <f t="shared" ca="1" si="11"/>
        <v>13</v>
      </c>
      <c r="N48" s="94">
        <f t="shared" ca="1" si="12"/>
        <v>0</v>
      </c>
      <c r="O48" s="95">
        <f t="shared" ca="1" si="13"/>
        <v>0</v>
      </c>
      <c r="P48" s="120" t="str">
        <f t="shared" ca="1" si="14"/>
        <v/>
      </c>
      <c r="Q48" s="120" t="str">
        <f t="shared" ca="1" si="2"/>
        <v>1</v>
      </c>
      <c r="R48" s="184" t="str">
        <f t="shared" ca="1" si="3"/>
        <v/>
      </c>
      <c r="S48" s="185" t="e">
        <f t="shared" ca="1" si="4"/>
        <v>#N/A</v>
      </c>
      <c r="T48" s="186" t="str">
        <f t="shared" ca="1" si="5"/>
        <v/>
      </c>
      <c r="U48" s="194" t="str">
        <f t="shared" ca="1" si="6"/>
        <v/>
      </c>
      <c r="V48" s="197" t="str">
        <f t="shared" ca="1" si="15"/>
        <v/>
      </c>
    </row>
    <row r="49" spans="1:22" ht="12.6" customHeight="1">
      <c r="A49" s="189">
        <f t="shared" ca="1" si="18"/>
        <v>42458</v>
      </c>
      <c r="B49" s="285"/>
      <c r="C49" s="286"/>
      <c r="D49" s="273"/>
      <c r="E49" s="274"/>
      <c r="F49" s="206"/>
      <c r="G49" s="110" t="str">
        <f t="shared" ca="1" si="8"/>
        <v>0,00</v>
      </c>
      <c r="H49" s="111" t="str">
        <f t="shared" ca="1" si="9"/>
        <v/>
      </c>
      <c r="I49" s="112">
        <f t="shared" ca="1" si="10"/>
        <v>0</v>
      </c>
      <c r="J49" s="157" t="str">
        <f t="shared" ca="1" si="16"/>
        <v/>
      </c>
      <c r="K49" s="275" t="str">
        <f t="shared" ca="1" si="17"/>
        <v>--------</v>
      </c>
      <c r="L49" s="276"/>
      <c r="M49" s="93">
        <f t="shared" ca="1" si="11"/>
        <v>14</v>
      </c>
      <c r="N49" s="94">
        <f t="shared" ca="1" si="12"/>
        <v>0</v>
      </c>
      <c r="O49" s="95">
        <f t="shared" ca="1" si="13"/>
        <v>0</v>
      </c>
      <c r="P49" s="120" t="str">
        <f t="shared" ca="1" si="14"/>
        <v/>
      </c>
      <c r="Q49" s="120" t="str">
        <f t="shared" ca="1" si="2"/>
        <v>1</v>
      </c>
      <c r="R49" s="184" t="str">
        <f t="shared" ca="1" si="3"/>
        <v/>
      </c>
      <c r="S49" s="185" t="e">
        <f t="shared" ca="1" si="4"/>
        <v>#N/A</v>
      </c>
      <c r="T49" s="186" t="str">
        <f t="shared" ca="1" si="5"/>
        <v/>
      </c>
      <c r="U49" s="194" t="str">
        <f t="shared" ca="1" si="6"/>
        <v/>
      </c>
      <c r="V49" s="197" t="str">
        <f t="shared" ca="1" si="15"/>
        <v/>
      </c>
    </row>
    <row r="50" spans="1:22" ht="12.6" customHeight="1" thickBot="1">
      <c r="A50" s="191">
        <f t="shared" ca="1" si="18"/>
        <v>42459</v>
      </c>
      <c r="B50" s="293"/>
      <c r="C50" s="294"/>
      <c r="D50" s="295"/>
      <c r="E50" s="296"/>
      <c r="F50" s="204"/>
      <c r="G50" s="135" t="str">
        <f ca="1">IF(OR(A50&lt;$C$14,A50&gt;$F$14,A50&gt;TODAY()),"0,00",IF(ISBLANK($C$14),"0,00",(D50-B50-F50)))</f>
        <v>0,00</v>
      </c>
      <c r="H50" s="136" t="str">
        <f t="shared" ca="1" si="9"/>
        <v/>
      </c>
      <c r="I50" s="137">
        <f t="shared" ca="1" si="10"/>
        <v>0</v>
      </c>
      <c r="J50" s="158" t="str">
        <f t="shared" ca="1" si="16"/>
        <v/>
      </c>
      <c r="K50" s="318" t="str">
        <f t="shared" ca="1" si="17"/>
        <v>--------</v>
      </c>
      <c r="L50" s="296"/>
      <c r="M50" s="93">
        <f ca="1">IF(A50&gt;DATE(1904,1,1),WEEKNUM(A50,2),"")</f>
        <v>14</v>
      </c>
      <c r="N50" s="94">
        <f t="shared" ca="1" si="12"/>
        <v>0</v>
      </c>
      <c r="O50" s="95">
        <f t="shared" ca="1" si="13"/>
        <v>0</v>
      </c>
      <c r="P50" s="120" t="str">
        <f t="shared" ca="1" si="14"/>
        <v/>
      </c>
      <c r="Q50" s="120" t="str">
        <f t="shared" ca="1" si="2"/>
        <v>1</v>
      </c>
      <c r="R50" s="184" t="str">
        <f t="shared" ca="1" si="3"/>
        <v/>
      </c>
      <c r="S50" s="185" t="e">
        <f t="shared" ca="1" si="4"/>
        <v>#N/A</v>
      </c>
      <c r="T50" s="186" t="str">
        <f ca="1">IF(ISNA(S50),"",S50)</f>
        <v/>
      </c>
      <c r="U50" s="195" t="str">
        <f t="shared" ca="1" si="6"/>
        <v/>
      </c>
      <c r="V50" s="197" t="str">
        <f t="shared" ca="1" si="15"/>
        <v/>
      </c>
    </row>
    <row r="51" spans="1:22" ht="11.25" customHeight="1">
      <c r="A51" s="19"/>
      <c r="B51" s="43"/>
      <c r="C51" s="43"/>
      <c r="D51" s="43"/>
      <c r="E51" s="20"/>
      <c r="I51" s="42"/>
      <c r="K51" s="21"/>
      <c r="L51" s="11"/>
      <c r="M51" s="143"/>
      <c r="N51" s="230"/>
      <c r="O51" s="59"/>
      <c r="S51" s="183"/>
      <c r="V51" s="198">
        <f ca="1">COUNTIF(V20:V50,"!")</f>
        <v>0</v>
      </c>
    </row>
    <row r="52" spans="1:22" ht="14.1" customHeight="1">
      <c r="D52" s="104"/>
      <c r="E52" s="22"/>
      <c r="F52" s="140" t="s">
        <v>29</v>
      </c>
      <c r="G52" s="141">
        <f ca="1">IF($G$16="Sie haben Ihr Arbeitszeitkonto überschritten, bitte erstellen Sie ein neues Konto","",SUM($G$20:$G$50))</f>
        <v>0</v>
      </c>
      <c r="H52" s="130" t="s">
        <v>30</v>
      </c>
      <c r="J52" s="142">
        <f ca="1">IF($G$16="Sie haben Ihr Arbeitszeitkonto überschritten, bitte erstellen Sie ein neues Konto","",IF(ISNA($H$56),0,IF($H$56&gt;$D$53,($D$53+$D$54),($H$56+$D$54))))</f>
        <v>0</v>
      </c>
      <c r="K52" s="290" t="str">
        <f ca="1">IF(ISNA($E$56),"",IF($E$56&gt;$D$53,"Kappung erfolgt",""))</f>
        <v/>
      </c>
      <c r="L52" s="290"/>
      <c r="M52" s="143"/>
      <c r="N52" s="230">
        <f ca="1">SUM(N20:N50)</f>
        <v>0</v>
      </c>
      <c r="O52" s="59"/>
    </row>
    <row r="53" spans="1:22">
      <c r="A53" s="100" t="s">
        <v>26</v>
      </c>
      <c r="B53" s="100"/>
      <c r="C53" s="100"/>
      <c r="D53" s="101">
        <f ca="1">$N$52*0.5</f>
        <v>0</v>
      </c>
      <c r="E53" s="23"/>
      <c r="F53" s="23"/>
      <c r="G53" s="24"/>
      <c r="H53" s="2"/>
      <c r="I53" s="2"/>
      <c r="K53" s="127"/>
      <c r="L53" s="127"/>
      <c r="M53" s="143"/>
      <c r="N53" s="38">
        <f ca="1">SUM(N20:N50)</f>
        <v>0</v>
      </c>
      <c r="O53" s="60"/>
    </row>
    <row r="54" spans="1:22">
      <c r="A54" s="215" t="s">
        <v>25</v>
      </c>
      <c r="B54" s="215"/>
      <c r="C54" s="215"/>
      <c r="D54" s="102">
        <f ca="1">$M$16</f>
        <v>0</v>
      </c>
      <c r="F54" s="106"/>
      <c r="G54" s="106"/>
      <c r="H54" s="299" t="str">
        <f ca="1">IF($K$52="Kappung erfolgt","INFO: (Gekappte Std.: "&amp;$J$56,"")</f>
        <v/>
      </c>
      <c r="I54" s="299"/>
      <c r="J54" s="299"/>
      <c r="K54" s="127" t="str">
        <f ca="1">IF($K$52="Kappung erfolgt","von insg. "&amp;$L$56&amp;" Mehrstunden)","")</f>
        <v/>
      </c>
      <c r="L54" s="131"/>
      <c r="M54" s="143"/>
      <c r="N54" s="28">
        <f>IF($A$55="Wg.Unterbrechung  keine Stundenübernahme möglich! Bitte Angaben prüfen","1",0)</f>
        <v>0</v>
      </c>
      <c r="P54" s="164"/>
      <c r="Q54" s="164"/>
      <c r="R54" s="164"/>
      <c r="S54" s="164"/>
      <c r="T54" s="164"/>
      <c r="U54" s="164"/>
      <c r="V54" s="164"/>
    </row>
    <row r="55" spans="1:22">
      <c r="A55" s="319" t="str">
        <f>IF($H$14="Achtung! Stundennachweis unterbrochen","Wg.Unterbrechung  keine Stundenübernahme möglich! Bitte Angaben prüfen","")</f>
        <v/>
      </c>
      <c r="B55" s="319"/>
      <c r="C55" s="319"/>
      <c r="D55" s="319"/>
      <c r="E55" s="319"/>
      <c r="F55" s="319"/>
      <c r="G55" s="2"/>
      <c r="M55" s="143"/>
      <c r="N55" s="123" t="str">
        <f>IF($N$54&gt;0,($D$54*-1),"0:00")</f>
        <v>0:00</v>
      </c>
      <c r="O55" s="239" t="str">
        <f ca="1">IF(O50="",0,"")</f>
        <v/>
      </c>
    </row>
    <row r="56" spans="1:22" hidden="1">
      <c r="E56" s="232">
        <f>+H56-F56</f>
        <v>-6.9444444444444447E-4</v>
      </c>
      <c r="F56" s="60">
        <v>6.9444444444444447E-4</v>
      </c>
      <c r="G56" s="124">
        <f ca="1">+$H$56+$D$54</f>
        <v>0</v>
      </c>
      <c r="H56" s="38">
        <f>IF($C$14&gt;DATE(1904,1,1),LOOKUP(10000000,O19:O99),0)</f>
        <v>0</v>
      </c>
      <c r="I56" s="60">
        <f ca="1">+($H$56+$N$16)-J52</f>
        <v>0</v>
      </c>
      <c r="J56" s="233">
        <f ca="1">ROUND(I56*24,2)</f>
        <v>0</v>
      </c>
      <c r="K56">
        <f ca="1">($H$56+$N$16)*24</f>
        <v>0</v>
      </c>
      <c r="L56">
        <f ca="1">ROUND(K56,1)</f>
        <v>0</v>
      </c>
      <c r="M56" s="143"/>
      <c r="N56" s="28"/>
    </row>
    <row r="57" spans="1:22">
      <c r="A57" s="322" t="str">
        <f ca="1">IF(V51&gt;0,"Achtung! Bitte bei den blau markierten Feldern die Regelstunden eintragen.","")</f>
        <v/>
      </c>
      <c r="B57" s="322"/>
      <c r="C57" s="322"/>
      <c r="D57" s="322"/>
      <c r="E57" s="322"/>
      <c r="F57" s="322"/>
      <c r="G57" s="199"/>
      <c r="H57">
        <f>IF($C$14&gt;DATE(1904,1,1),LOOKUP(10000000,O19:O52),0)</f>
        <v>0</v>
      </c>
      <c r="M57" s="143"/>
      <c r="N57" s="28"/>
      <c r="Q57" s="251" t="s">
        <v>32</v>
      </c>
      <c r="R57" s="251"/>
      <c r="S57" s="251"/>
      <c r="T57" s="251"/>
    </row>
    <row r="58" spans="1:22">
      <c r="A58" s="25"/>
      <c r="B58" s="25"/>
      <c r="C58" s="38"/>
      <c r="D58" s="26"/>
      <c r="E58" s="27"/>
      <c r="F58" s="144"/>
      <c r="G58" s="2"/>
      <c r="H58" s="38"/>
      <c r="J58" s="132"/>
      <c r="M58" s="219"/>
      <c r="N58" s="219"/>
      <c r="O58" s="219"/>
      <c r="Q58" s="250">
        <f>+F14-C14</f>
        <v>0</v>
      </c>
      <c r="R58" s="250"/>
    </row>
    <row r="59" spans="1:22">
      <c r="A59" s="25"/>
      <c r="B59" s="25"/>
      <c r="C59" s="38"/>
      <c r="D59" s="26"/>
      <c r="E59" s="27"/>
      <c r="F59" s="144"/>
      <c r="G59" s="2"/>
      <c r="H59" s="145"/>
      <c r="M59" s="143"/>
      <c r="N59" s="28"/>
      <c r="Q59" s="252" t="s">
        <v>33</v>
      </c>
      <c r="R59" s="252"/>
      <c r="S59" s="252"/>
      <c r="T59" s="252"/>
      <c r="U59" s="252"/>
      <c r="V59" s="252"/>
    </row>
    <row r="60" spans="1:22" ht="12.75" customHeight="1">
      <c r="A60" s="29"/>
      <c r="B60" s="11"/>
      <c r="C60" s="11"/>
      <c r="D60" s="11"/>
      <c r="E60" s="11"/>
      <c r="F60" s="11"/>
      <c r="G60" s="11"/>
      <c r="H60" s="30"/>
      <c r="I60" s="30"/>
      <c r="J60" s="31"/>
      <c r="K60" s="31"/>
      <c r="L60" s="31"/>
      <c r="M60" s="143"/>
      <c r="N60" s="28"/>
    </row>
    <row r="61" spans="1:22" ht="12.75" customHeight="1">
      <c r="A61" s="226"/>
      <c r="B61" s="34"/>
      <c r="C61" s="34"/>
      <c r="D61" s="34"/>
      <c r="E61" s="34"/>
      <c r="F61" s="11"/>
      <c r="G61" s="11"/>
      <c r="H61" s="34"/>
      <c r="I61" s="34"/>
      <c r="J61" s="35"/>
      <c r="K61" s="35"/>
      <c r="L61" s="35"/>
    </row>
    <row r="62" spans="1:22" ht="18.75" customHeight="1" thickBot="1">
      <c r="A62" s="203" t="s">
        <v>18</v>
      </c>
      <c r="B62" s="292" t="s">
        <v>19</v>
      </c>
      <c r="C62" s="292"/>
      <c r="D62" s="292"/>
      <c r="E62" s="292"/>
      <c r="F62" s="3"/>
      <c r="G62" s="36" t="s">
        <v>18</v>
      </c>
      <c r="H62" s="292" t="s">
        <v>20</v>
      </c>
      <c r="I62" s="292"/>
      <c r="J62" s="292"/>
      <c r="K62" s="292"/>
      <c r="L62" s="292"/>
    </row>
    <row r="63" spans="1:22" ht="17.25" thickTop="1" thickBot="1">
      <c r="P63" s="160">
        <f ca="1">YEAR($B$17)</f>
        <v>2020</v>
      </c>
      <c r="Q63" s="3"/>
    </row>
    <row r="64" spans="1:22" ht="15.75" thickTop="1">
      <c r="O64" s="218"/>
      <c r="Q64" s="3">
        <f ca="1">MOD(P63,19)</f>
        <v>6</v>
      </c>
      <c r="R64" s="287" t="s">
        <v>34</v>
      </c>
      <c r="S64" s="287"/>
      <c r="T64" s="231"/>
    </row>
    <row r="65" spans="16:20">
      <c r="P65" s="3"/>
      <c r="Q65" s="3">
        <f ca="1">MOD(P63,4)</f>
        <v>0</v>
      </c>
    </row>
    <row r="66" spans="16:20">
      <c r="P66" s="3"/>
      <c r="Q66" s="3">
        <f ca="1">MOD(P63,7)</f>
        <v>4</v>
      </c>
    </row>
    <row r="67" spans="16:20">
      <c r="P67" s="3"/>
      <c r="Q67" s="3">
        <f ca="1">TRUNC((8*(TRUNC(P63/100))+13)/25)-2</f>
        <v>4</v>
      </c>
    </row>
    <row r="68" spans="16:20">
      <c r="P68" s="3"/>
      <c r="Q68" s="3">
        <f ca="1">TRUNC(P63/100)-TRUNC(P63/400)-2</f>
        <v>13</v>
      </c>
    </row>
    <row r="69" spans="16:20">
      <c r="P69" s="3"/>
      <c r="Q69" s="3">
        <f ca="1">MOD(15+Q68-Q67,30)</f>
        <v>24</v>
      </c>
    </row>
    <row r="70" spans="16:20">
      <c r="P70" s="161"/>
      <c r="Q70" s="3">
        <f ca="1">MOD(6+Q68,7)</f>
        <v>5</v>
      </c>
    </row>
    <row r="71" spans="16:20">
      <c r="P71" s="3"/>
      <c r="Q71" s="3">
        <f ca="1">MOD(Q69+19*Q64,30)</f>
        <v>18</v>
      </c>
    </row>
    <row r="72" spans="16:20">
      <c r="P72" s="3"/>
      <c r="Q72" s="3">
        <f ca="1">IF(Q71=29,28,IF(AND(Q71=28,Q64&gt;=11),27,IF(AND(Q71&lt;28,Q71&gt;29),,Q71)))</f>
        <v>18</v>
      </c>
    </row>
    <row r="73" spans="16:20">
      <c r="P73" s="3"/>
      <c r="Q73" s="3">
        <f ca="1">MOD(2*Q65+4*Q66+6*Q72+Q70,7)</f>
        <v>3</v>
      </c>
    </row>
    <row r="74" spans="16:20">
      <c r="P74" s="3"/>
      <c r="Q74" s="3">
        <f ca="1">Q72+Q73+1</f>
        <v>22</v>
      </c>
    </row>
    <row r="75" spans="16:20">
      <c r="P75" s="3"/>
      <c r="Q75" s="3">
        <f>DATEVALUE("21.märz")</f>
        <v>40988</v>
      </c>
    </row>
    <row r="77" spans="16:20">
      <c r="P77" s="183"/>
      <c r="Q77" s="228">
        <f ca="1">+T77</f>
        <v>42369</v>
      </c>
      <c r="R77" s="30" t="s">
        <v>35</v>
      </c>
      <c r="T77" s="229">
        <f ca="1">DATE($P$63,1,1)</f>
        <v>42369</v>
      </c>
    </row>
    <row r="78" spans="16:20">
      <c r="P78" s="2"/>
      <c r="Q78" s="220">
        <f ca="1">+$Q$80-2</f>
        <v>42469</v>
      </c>
      <c r="R78" s="30" t="s">
        <v>36</v>
      </c>
      <c r="S78" s="221"/>
      <c r="T78" s="2"/>
    </row>
    <row r="79" spans="16:20">
      <c r="P79" s="2"/>
      <c r="Q79" s="220">
        <f ca="1">+Q80-1</f>
        <v>42470</v>
      </c>
      <c r="R79" s="30" t="s">
        <v>37</v>
      </c>
      <c r="S79" s="221"/>
      <c r="T79" s="2"/>
    </row>
    <row r="80" spans="16:20">
      <c r="P80" s="222">
        <f ca="1">IF(R80="Ostersonntag",Q74+Q75,"")</f>
        <v>41010</v>
      </c>
      <c r="Q80" s="220">
        <f ca="1">T80</f>
        <v>42471</v>
      </c>
      <c r="R80" s="181" t="str">
        <f ca="1">IF(P63&lt;1583,"Der gregorianische Kalender gilt erst seit dem 15.10.1582  !!!",IF(P63&gt;8202,"Die gauß´sche Osterformel gilt nur bis zum Jahre    8202  !!!","Ostersonntag"))</f>
        <v>Ostersonntag</v>
      </c>
      <c r="S80">
        <f ca="1">DAY(T81)</f>
        <v>12</v>
      </c>
      <c r="T80" s="146">
        <f ca="1">DATE($P$63,S81,S80)</f>
        <v>42471</v>
      </c>
    </row>
    <row r="81" spans="15:20">
      <c r="P81" s="2"/>
      <c r="Q81" s="220">
        <f ca="1">+Q80+1</f>
        <v>42472</v>
      </c>
      <c r="R81" s="223" t="s">
        <v>38</v>
      </c>
      <c r="S81" s="182">
        <f ca="1">MONTH(P80)</f>
        <v>4</v>
      </c>
      <c r="T81" s="183" t="str">
        <f ca="1">DAY(P80)&amp;"."&amp;MONTH(P80)&amp;"."&amp;YEAR($B$17)</f>
        <v>12.4.2020</v>
      </c>
    </row>
    <row r="82" spans="15:20">
      <c r="O82" s="183"/>
      <c r="P82" s="2"/>
      <c r="Q82" s="220">
        <v>40846</v>
      </c>
      <c r="R82" s="224" t="s">
        <v>50</v>
      </c>
      <c r="S82" s="221"/>
      <c r="T82" s="2"/>
    </row>
    <row r="83" spans="15:20">
      <c r="P83" s="2"/>
      <c r="Q83" s="220">
        <f ca="1">+T83</f>
        <v>42490</v>
      </c>
      <c r="R83" s="224" t="s">
        <v>39</v>
      </c>
      <c r="S83" s="221"/>
      <c r="T83" s="144">
        <f ca="1">DATE($P$63,5,1)</f>
        <v>42490</v>
      </c>
    </row>
    <row r="84" spans="15:20">
      <c r="P84" s="2"/>
      <c r="Q84" s="220">
        <f ca="1">+Q80+39</f>
        <v>42510</v>
      </c>
      <c r="R84" s="224" t="s">
        <v>40</v>
      </c>
      <c r="S84" s="221"/>
      <c r="T84" s="2"/>
    </row>
    <row r="85" spans="15:20">
      <c r="P85" s="2"/>
      <c r="Q85" s="220">
        <f ca="1">+Q80+49</f>
        <v>42520</v>
      </c>
      <c r="R85" s="224" t="s">
        <v>41</v>
      </c>
      <c r="S85" s="221"/>
      <c r="T85" s="2"/>
    </row>
    <row r="86" spans="15:20">
      <c r="P86" s="2"/>
      <c r="Q86" s="220">
        <f ca="1">+Q85+1</f>
        <v>42521</v>
      </c>
      <c r="R86" s="224" t="s">
        <v>42</v>
      </c>
      <c r="S86" s="221"/>
      <c r="T86" s="2"/>
    </row>
    <row r="87" spans="15:20">
      <c r="P87" s="2"/>
      <c r="Q87" s="220">
        <f ca="1">+Q80+60</f>
        <v>42531</v>
      </c>
      <c r="R87" s="224" t="s">
        <v>43</v>
      </c>
      <c r="S87" s="221"/>
      <c r="T87" s="2"/>
    </row>
    <row r="88" spans="15:20">
      <c r="P88" s="2"/>
      <c r="Q88" s="220">
        <f ca="1">+T88</f>
        <v>42645</v>
      </c>
      <c r="R88" s="224" t="s">
        <v>44</v>
      </c>
      <c r="S88" s="221"/>
      <c r="T88" s="144">
        <f ca="1">DATE($P$63,10,3)</f>
        <v>42645</v>
      </c>
    </row>
    <row r="89" spans="15:20">
      <c r="P89" s="2"/>
      <c r="Q89" s="220">
        <f ca="1">+T89</f>
        <v>42727</v>
      </c>
      <c r="R89" s="224" t="s">
        <v>45</v>
      </c>
      <c r="S89" s="221"/>
      <c r="T89" s="144">
        <f ca="1">DATE($P$63,12,24)</f>
        <v>42727</v>
      </c>
    </row>
    <row r="90" spans="15:20">
      <c r="P90" s="2"/>
      <c r="Q90" s="220">
        <f ca="1">+Q89+1</f>
        <v>42728</v>
      </c>
      <c r="R90" s="221" t="s">
        <v>46</v>
      </c>
      <c r="S90" s="221"/>
      <c r="T90" s="2"/>
    </row>
    <row r="91" spans="15:20">
      <c r="P91" s="2"/>
      <c r="Q91" s="220">
        <f ca="1">Q90+1</f>
        <v>42729</v>
      </c>
      <c r="R91" s="224" t="s">
        <v>47</v>
      </c>
      <c r="S91" s="221"/>
      <c r="T91" s="2"/>
    </row>
    <row r="92" spans="15:20">
      <c r="P92" s="2"/>
      <c r="Q92" s="220">
        <f ca="1">+Q91+5</f>
        <v>42734</v>
      </c>
      <c r="R92" s="224" t="s">
        <v>48</v>
      </c>
      <c r="S92" s="221"/>
      <c r="T92" s="2"/>
    </row>
    <row r="93" spans="15:20">
      <c r="P93" s="2"/>
      <c r="Q93" s="220"/>
      <c r="R93" s="224"/>
      <c r="S93" s="221"/>
      <c r="T93" s="2"/>
    </row>
    <row r="94" spans="15:20">
      <c r="P94" s="2"/>
      <c r="Q94" s="220"/>
      <c r="R94" s="224"/>
      <c r="S94" s="221"/>
      <c r="T94" s="2"/>
    </row>
    <row r="95" spans="15:20">
      <c r="P95" s="180"/>
      <c r="Q95" s="180"/>
    </row>
  </sheetData>
  <sheetProtection algorithmName="SHA-512" hashValue="6dlEP+luJwWyS33Q91Ydrnz0IoUODeTToCpxRoXHTMtJfSkMMKN/6EMXipp1gfygrbC8cfaBrYbihEtIdUtXbg==" saltValue="tIpoLi0KUEmLTNXMdDkZVQ==" spinCount="100000" sheet="1" objects="1" scenarios="1" selectLockedCells="1"/>
  <mergeCells count="137">
    <mergeCell ref="R64:S64"/>
    <mergeCell ref="Q58:R58"/>
    <mergeCell ref="B62:E62"/>
    <mergeCell ref="H62:L62"/>
    <mergeCell ref="B50:C50"/>
    <mergeCell ref="D50:E50"/>
    <mergeCell ref="K50:L50"/>
    <mergeCell ref="K52:L52"/>
    <mergeCell ref="H54:J54"/>
    <mergeCell ref="A57:F57"/>
    <mergeCell ref="A55:F55"/>
    <mergeCell ref="Q57:T57"/>
    <mergeCell ref="Q59:V59"/>
    <mergeCell ref="B48:C48"/>
    <mergeCell ref="D48:E48"/>
    <mergeCell ref="K48:L48"/>
    <mergeCell ref="B49:C49"/>
    <mergeCell ref="D49:E49"/>
    <mergeCell ref="K49:L49"/>
    <mergeCell ref="B46:C46"/>
    <mergeCell ref="D46:E46"/>
    <mergeCell ref="K46:L46"/>
    <mergeCell ref="B47:C47"/>
    <mergeCell ref="D47:E47"/>
    <mergeCell ref="K47:L47"/>
    <mergeCell ref="B44:C44"/>
    <mergeCell ref="D44:E44"/>
    <mergeCell ref="K44:L44"/>
    <mergeCell ref="B45:C45"/>
    <mergeCell ref="D45:E45"/>
    <mergeCell ref="K45:L45"/>
    <mergeCell ref="B42:C42"/>
    <mergeCell ref="D42:E42"/>
    <mergeCell ref="K42:L42"/>
    <mergeCell ref="B43:C43"/>
    <mergeCell ref="D43:E43"/>
    <mergeCell ref="K43:L43"/>
    <mergeCell ref="B40:C40"/>
    <mergeCell ref="D40:E40"/>
    <mergeCell ref="K40:L40"/>
    <mergeCell ref="B41:C41"/>
    <mergeCell ref="D41:E41"/>
    <mergeCell ref="K41:L41"/>
    <mergeCell ref="B38:C38"/>
    <mergeCell ref="D38:E38"/>
    <mergeCell ref="K38:L38"/>
    <mergeCell ref="B39:C39"/>
    <mergeCell ref="D39:E39"/>
    <mergeCell ref="K39:L39"/>
    <mergeCell ref="B36:C36"/>
    <mergeCell ref="D36:E36"/>
    <mergeCell ref="K36:L36"/>
    <mergeCell ref="B37:C37"/>
    <mergeCell ref="D37:E37"/>
    <mergeCell ref="K37:L37"/>
    <mergeCell ref="B34:C34"/>
    <mergeCell ref="D34:E34"/>
    <mergeCell ref="K34:L34"/>
    <mergeCell ref="B35:C35"/>
    <mergeCell ref="D35:E35"/>
    <mergeCell ref="K35:L35"/>
    <mergeCell ref="B32:C32"/>
    <mergeCell ref="D32:E32"/>
    <mergeCell ref="K32:L32"/>
    <mergeCell ref="B33:C33"/>
    <mergeCell ref="D33:E33"/>
    <mergeCell ref="K33:L33"/>
    <mergeCell ref="B30:C30"/>
    <mergeCell ref="D30:E30"/>
    <mergeCell ref="K30:L30"/>
    <mergeCell ref="B31:C31"/>
    <mergeCell ref="D31:E31"/>
    <mergeCell ref="K31:L31"/>
    <mergeCell ref="B28:C28"/>
    <mergeCell ref="D28:E28"/>
    <mergeCell ref="K28:L28"/>
    <mergeCell ref="B29:C29"/>
    <mergeCell ref="D29:E29"/>
    <mergeCell ref="K29:L29"/>
    <mergeCell ref="B26:C26"/>
    <mergeCell ref="D26:E26"/>
    <mergeCell ref="K26:L26"/>
    <mergeCell ref="B27:C27"/>
    <mergeCell ref="D27:E27"/>
    <mergeCell ref="K27:L27"/>
    <mergeCell ref="B24:C24"/>
    <mergeCell ref="D24:E24"/>
    <mergeCell ref="K24:L24"/>
    <mergeCell ref="B25:C25"/>
    <mergeCell ref="D25:E25"/>
    <mergeCell ref="K25:L25"/>
    <mergeCell ref="B22:C22"/>
    <mergeCell ref="D22:E22"/>
    <mergeCell ref="K22:L22"/>
    <mergeCell ref="B23:C23"/>
    <mergeCell ref="D23:E23"/>
    <mergeCell ref="K23:L23"/>
    <mergeCell ref="R19:T19"/>
    <mergeCell ref="B20:C20"/>
    <mergeCell ref="D20:E20"/>
    <mergeCell ref="K20:L20"/>
    <mergeCell ref="B21:C21"/>
    <mergeCell ref="D21:E21"/>
    <mergeCell ref="K21:L21"/>
    <mergeCell ref="A16:F16"/>
    <mergeCell ref="G16:L16"/>
    <mergeCell ref="B17:K17"/>
    <mergeCell ref="B19:C19"/>
    <mergeCell ref="D19:E19"/>
    <mergeCell ref="K19:L19"/>
    <mergeCell ref="A13:B13"/>
    <mergeCell ref="A14:B14"/>
    <mergeCell ref="C14:D14"/>
    <mergeCell ref="H14:L14"/>
    <mergeCell ref="M14:N14"/>
    <mergeCell ref="C15:D15"/>
    <mergeCell ref="K15:L15"/>
    <mergeCell ref="A9:B9"/>
    <mergeCell ref="C9:D9"/>
    <mergeCell ref="K9:L9"/>
    <mergeCell ref="A11:B11"/>
    <mergeCell ref="C11:D11"/>
    <mergeCell ref="K11:L11"/>
    <mergeCell ref="M1:O1"/>
    <mergeCell ref="A3:B3"/>
    <mergeCell ref="C3:F3"/>
    <mergeCell ref="K3:L3"/>
    <mergeCell ref="A5:B5"/>
    <mergeCell ref="C5:F5"/>
    <mergeCell ref="K5:L5"/>
    <mergeCell ref="A7:B7"/>
    <mergeCell ref="C7:F7"/>
    <mergeCell ref="K7:L7"/>
    <mergeCell ref="A1:B1"/>
    <mergeCell ref="C1:F1"/>
    <mergeCell ref="H1:J1"/>
    <mergeCell ref="K1:L1"/>
  </mergeCells>
  <conditionalFormatting sqref="F14">
    <cfRule type="cellIs" dxfId="473" priority="366" operator="greaterThan">
      <formula>$C$14+30</formula>
    </cfRule>
    <cfRule type="expression" dxfId="472" priority="405">
      <formula>$F$14&gt;$F$9</formula>
    </cfRule>
    <cfRule type="expression" dxfId="471" priority="411">
      <formula>$F$14&lt;$C$14</formula>
    </cfRule>
  </conditionalFormatting>
  <conditionalFormatting sqref="F9">
    <cfRule type="expression" dxfId="470" priority="409">
      <formula>$F$14&lt;$C$14</formula>
    </cfRule>
  </conditionalFormatting>
  <conditionalFormatting sqref="C9">
    <cfRule type="expression" dxfId="469" priority="406">
      <formula>"$C$9&gt;$C$14"</formula>
    </cfRule>
    <cfRule type="expression" dxfId="468" priority="408">
      <formula>$F$14&lt;$C$14</formula>
    </cfRule>
  </conditionalFormatting>
  <conditionalFormatting sqref="I51">
    <cfRule type="expression" dxfId="467" priority="407">
      <formula>WEEKDAY($A51,2)&gt;5</formula>
    </cfRule>
  </conditionalFormatting>
  <conditionalFormatting sqref="I51">
    <cfRule type="cellIs" dxfId="466" priority="404" operator="lessThan">
      <formula>0</formula>
    </cfRule>
  </conditionalFormatting>
  <conditionalFormatting sqref="C14:D14">
    <cfRule type="expression" dxfId="465" priority="371">
      <formula>"F14&gt;F9"</formula>
    </cfRule>
    <cfRule type="expression" dxfId="464" priority="372">
      <formula>$C$14&lt;$C$9</formula>
    </cfRule>
    <cfRule type="expression" dxfId="463" priority="402">
      <formula>$C$14&gt;$F$9</formula>
    </cfRule>
    <cfRule type="expression" dxfId="462" priority="403">
      <formula>$F$14&lt;$C$9</formula>
    </cfRule>
  </conditionalFormatting>
  <conditionalFormatting sqref="G53">
    <cfRule type="expression" dxfId="461" priority="401">
      <formula>ABS(SUM(#REF!))&gt;$A$61</formula>
    </cfRule>
  </conditionalFormatting>
  <conditionalFormatting sqref="I51 F20:J50">
    <cfRule type="expression" dxfId="460" priority="412">
      <formula>AND(WEEKDAY($A20,2)=3,$I$6=FALSE)</formula>
    </cfRule>
    <cfRule type="expression" dxfId="459" priority="413">
      <formula>AND(WEEKDAY($A20,2)=4,$I$8=TRUE)</formula>
    </cfRule>
    <cfRule type="expression" dxfId="458" priority="414">
      <formula>AND(WEEKDAY($A20,2)=4,$I$8=FALSE)</formula>
    </cfRule>
    <cfRule type="expression" dxfId="457" priority="415">
      <formula>AND(WEEKDAY($A20,2)=5,$I$10=TRUE)</formula>
    </cfRule>
    <cfRule type="expression" dxfId="456" priority="416">
      <formula>AND(WEEKDAY($A20,2)=5,$G$14=FALSE)</formula>
    </cfRule>
  </conditionalFormatting>
  <conditionalFormatting sqref="I51 F20:J50">
    <cfRule type="expression" dxfId="455" priority="417">
      <formula>AND(WEEKDAY($A20,2)=1,$I$2=TRUE)</formula>
    </cfRule>
    <cfRule type="expression" dxfId="454" priority="418">
      <formula>AND(WEEKDAY($A20,2)=1,$I$2=FALSE)</formula>
    </cfRule>
    <cfRule type="expression" dxfId="453" priority="419">
      <formula>AND(WEEKDAY($A20,2)=2,$I$4=TRUE)</formula>
    </cfRule>
    <cfRule type="expression" dxfId="452" priority="420">
      <formula>AND(WEEKDAY($A20,2)=2,$I$4=FALSE)</formula>
    </cfRule>
    <cfRule type="expression" dxfId="451" priority="421">
      <formula>AND(WEEKDAY($A20,2)=3,$I$6=TRUE)</formula>
    </cfRule>
  </conditionalFormatting>
  <conditionalFormatting sqref="K3:L3">
    <cfRule type="expression" dxfId="450" priority="386">
      <formula>AND(I2=TRUE,$C$11&lt;&gt;($K$3+$K$5+$K$7+$K$9+$K$11))</formula>
    </cfRule>
    <cfRule type="expression" dxfId="449" priority="387">
      <formula>(I2=TRUE)</formula>
    </cfRule>
    <cfRule type="expression" dxfId="448" priority="388">
      <formula>AND(I2=FALSE,$K$3&gt;0)</formula>
    </cfRule>
  </conditionalFormatting>
  <conditionalFormatting sqref="K7:L7">
    <cfRule type="expression" dxfId="447" priority="389">
      <formula>AND(I6=TRUE,$C$11&lt;&gt;($K$3+$K$5+$K$7+$K$9+$K$11))</formula>
    </cfRule>
    <cfRule type="expression" dxfId="446" priority="390">
      <formula>(I6=TRUE)</formula>
    </cfRule>
    <cfRule type="expression" dxfId="445" priority="391">
      <formula>AND(I6=FALSE,$K$7&gt;0)</formula>
    </cfRule>
  </conditionalFormatting>
  <conditionalFormatting sqref="K11:L11">
    <cfRule type="expression" dxfId="444" priority="392">
      <formula>AND(I10=TRUE,$C$11&lt;&gt;($K$3+$K$5+$K$7+$K$9+$K$11))</formula>
    </cfRule>
    <cfRule type="expression" dxfId="443" priority="393">
      <formula>(I10=TRUE)</formula>
    </cfRule>
    <cfRule type="expression" dxfId="442" priority="394">
      <formula>AND(I10=FALSE,K11&gt;0)</formula>
    </cfRule>
  </conditionalFormatting>
  <conditionalFormatting sqref="K9:L9">
    <cfRule type="expression" dxfId="441" priority="395">
      <formula>AND(I8=TRUE,$C$11&lt;&gt;($K$3+$K$5+$K$7+$K$9+$K$11))</formula>
    </cfRule>
    <cfRule type="expression" dxfId="440" priority="396">
      <formula>(I8=TRUE)</formula>
    </cfRule>
    <cfRule type="expression" dxfId="439" priority="397">
      <formula>AND(I8=FALSE,K9&gt;0)</formula>
    </cfRule>
  </conditionalFormatting>
  <conditionalFormatting sqref="K5:L5">
    <cfRule type="expression" dxfId="438" priority="384">
      <formula>AND(I4=FALSE,K5&gt;0)</formula>
    </cfRule>
    <cfRule type="expression" dxfId="437" priority="385">
      <formula>AND(I4=TRUE,$C$11&lt;&gt;($K$3+$K$5+$K$7+$K$9+$K$11))</formula>
    </cfRule>
    <cfRule type="expression" dxfId="436" priority="398">
      <formula>($I$4=TRUE)</formula>
    </cfRule>
  </conditionalFormatting>
  <conditionalFormatting sqref="K51">
    <cfRule type="expression" dxfId="435" priority="422">
      <formula>ABS(SUM(#REF!))&gt;$A$53</formula>
    </cfRule>
  </conditionalFormatting>
  <conditionalFormatting sqref="J52">
    <cfRule type="cellIs" dxfId="434" priority="383" operator="lessThan">
      <formula>0</formula>
    </cfRule>
  </conditionalFormatting>
  <conditionalFormatting sqref="F20:F50">
    <cfRule type="expression" dxfId="433" priority="382">
      <formula>WEEKDAY($A20,2)&gt;5</formula>
    </cfRule>
  </conditionalFormatting>
  <conditionalFormatting sqref="H20:I50">
    <cfRule type="expression" dxfId="432" priority="381">
      <formula>WEEKDAY($A20,2)&gt;5</formula>
    </cfRule>
  </conditionalFormatting>
  <conditionalFormatting sqref="I20:I50">
    <cfRule type="cellIs" dxfId="431" priority="380" operator="lessThan">
      <formula>0</formula>
    </cfRule>
  </conditionalFormatting>
  <conditionalFormatting sqref="J20:J50">
    <cfRule type="expression" dxfId="430" priority="374">
      <formula>WEEKDAY($A20,2)&gt;5</formula>
    </cfRule>
  </conditionalFormatting>
  <conditionalFormatting sqref="J20:J50">
    <cfRule type="cellIs" dxfId="429" priority="373" operator="lessThan">
      <formula>0</formula>
    </cfRule>
  </conditionalFormatting>
  <conditionalFormatting sqref="C14">
    <cfRule type="expression" dxfId="428" priority="410">
      <formula>$C$14&lt;$C$9</formula>
    </cfRule>
  </conditionalFormatting>
  <conditionalFormatting sqref="G20:G50">
    <cfRule type="expression" dxfId="427" priority="369">
      <formula>WEEKDAY($A20,2)&gt;5</formula>
    </cfRule>
  </conditionalFormatting>
  <conditionalFormatting sqref="G20:G50">
    <cfRule type="containsText" dxfId="426" priority="368" operator="containsText" text="0,00">
      <formula>NOT(ISERROR(SEARCH("0,00",G20)))</formula>
    </cfRule>
  </conditionalFormatting>
  <conditionalFormatting sqref="H52">
    <cfRule type="cellIs" dxfId="425" priority="346" operator="lessThan">
      <formula>0</formula>
    </cfRule>
  </conditionalFormatting>
  <conditionalFormatting sqref="Q93:Q94">
    <cfRule type="expression" dxfId="424" priority="267">
      <formula>AND(WEEKDAY($A93,2)=3,$I$6=FALSE)</formula>
    </cfRule>
    <cfRule type="expression" dxfId="423" priority="268">
      <formula>AND(WEEKDAY($A93,2)=4,$I$8=TRUE)</formula>
    </cfRule>
    <cfRule type="expression" dxfId="422" priority="269">
      <formula>AND(WEEKDAY($A93,2)=4,$I$8=FALSE)</formula>
    </cfRule>
    <cfRule type="expression" dxfId="421" priority="270">
      <formula>AND(WEEKDAY($A93,2)=5,$I$10=TRUE)</formula>
    </cfRule>
    <cfRule type="expression" dxfId="420" priority="271">
      <formula>AND(WEEKDAY($A93,2)=5,$G$14=FALSE)</formula>
    </cfRule>
  </conditionalFormatting>
  <conditionalFormatting sqref="Q93:Q94">
    <cfRule type="expression" dxfId="419" priority="272">
      <formula>AND(WEEKDAY($A93,2)=1,$I$2=TRUE)</formula>
    </cfRule>
    <cfRule type="expression" dxfId="418" priority="273">
      <formula>AND(WEEKDAY($A93,2)=1,$I$2=FALSE)</formula>
    </cfRule>
    <cfRule type="expression" dxfId="417" priority="274">
      <formula>AND(WEEKDAY($A93,2)=2,$I$4=TRUE)</formula>
    </cfRule>
    <cfRule type="expression" dxfId="416" priority="275">
      <formula>AND(WEEKDAY($A93,2)=2,$I$4=FALSE)</formula>
    </cfRule>
    <cfRule type="expression" dxfId="415" priority="276">
      <formula>AND(WEEKDAY($A93,2)=3,$I$6=TRUE)</formula>
    </cfRule>
  </conditionalFormatting>
  <conditionalFormatting sqref="Q93:Q94">
    <cfRule type="expression" dxfId="414" priority="266">
      <formula>WEEKDAY($A93,2)&gt;5</formula>
    </cfRule>
  </conditionalFormatting>
  <conditionalFormatting sqref="U20:U50 Q81:Q92 P80 Q77:Q79">
    <cfRule type="expression" dxfId="413" priority="244">
      <formula>AND(WEEKDAY($A20,2)=3,$I$6=FALSE)</formula>
    </cfRule>
    <cfRule type="expression" dxfId="412" priority="245">
      <formula>AND(WEEKDAY($A20,2)=4,$I$8=TRUE)</formula>
    </cfRule>
    <cfRule type="expression" dxfId="411" priority="246">
      <formula>AND(WEEKDAY($A20,2)=4,$I$8=FALSE)</formula>
    </cfRule>
    <cfRule type="expression" dxfId="410" priority="247">
      <formula>AND(WEEKDAY($A20,2)=5,$I$10=TRUE)</formula>
    </cfRule>
    <cfRule type="expression" dxfId="409" priority="248">
      <formula>AND(WEEKDAY($A20,2)=5,$G$14=FALSE)</formula>
    </cfRule>
  </conditionalFormatting>
  <conditionalFormatting sqref="U20:U50 Q81:Q92 P80 Q77:Q79">
    <cfRule type="expression" dxfId="408" priority="249">
      <formula>AND(WEEKDAY($A20,2)=1,$I$2=TRUE)</formula>
    </cfRule>
    <cfRule type="expression" dxfId="407" priority="250">
      <formula>AND(WEEKDAY($A20,2)=1,$I$2=FALSE)</formula>
    </cfRule>
    <cfRule type="expression" dxfId="406" priority="251">
      <formula>AND(WEEKDAY($A20,2)=2,$I$4=TRUE)</formula>
    </cfRule>
    <cfRule type="expression" dxfId="405" priority="252">
      <formula>AND(WEEKDAY($A20,2)=2,$I$4=FALSE)</formula>
    </cfRule>
    <cfRule type="expression" dxfId="404" priority="253">
      <formula>AND(WEEKDAY($A20,2)=3,$I$6=TRUE)</formula>
    </cfRule>
  </conditionalFormatting>
  <conditionalFormatting sqref="U20:U50">
    <cfRule type="expression" dxfId="403" priority="243">
      <formula>WEEKDAY($A20,2)&gt;5</formula>
    </cfRule>
  </conditionalFormatting>
  <conditionalFormatting sqref="U20:U50">
    <cfRule type="expression" dxfId="402" priority="254">
      <formula>#REF!&lt;&gt;""</formula>
    </cfRule>
  </conditionalFormatting>
  <conditionalFormatting sqref="Q81:Q92 P80 Q77:Q79">
    <cfRule type="expression" dxfId="401" priority="242">
      <formula>WEEKDAY($A77,2)&gt;5</formula>
    </cfRule>
  </conditionalFormatting>
  <conditionalFormatting sqref="Q80">
    <cfRule type="expression" dxfId="400" priority="232">
      <formula>AND(WEEKDAY($A80,2)=3,$I$6=FALSE)</formula>
    </cfRule>
    <cfRule type="expression" dxfId="399" priority="233">
      <formula>AND(WEEKDAY($A80,2)=4,$I$8=TRUE)</formula>
    </cfRule>
    <cfRule type="expression" dxfId="398" priority="234">
      <formula>AND(WEEKDAY($A80,2)=4,$I$8=FALSE)</formula>
    </cfRule>
    <cfRule type="expression" dxfId="397" priority="235">
      <formula>AND(WEEKDAY($A80,2)=5,$I$10=TRUE)</formula>
    </cfRule>
    <cfRule type="expression" dxfId="396" priority="236">
      <formula>AND(WEEKDAY($A80,2)=5,$G$14=FALSE)</formula>
    </cfRule>
  </conditionalFormatting>
  <conditionalFormatting sqref="Q80">
    <cfRule type="expression" dxfId="395" priority="237">
      <formula>AND(WEEKDAY($A80,2)=1,$I$2=TRUE)</formula>
    </cfRule>
    <cfRule type="expression" dxfId="394" priority="238">
      <formula>AND(WEEKDAY($A80,2)=1,$I$2=FALSE)</formula>
    </cfRule>
    <cfRule type="expression" dxfId="393" priority="239">
      <formula>AND(WEEKDAY($A80,2)=2,$I$4=TRUE)</formula>
    </cfRule>
    <cfRule type="expression" dxfId="392" priority="240">
      <formula>AND(WEEKDAY($A80,2)=2,$I$4=FALSE)</formula>
    </cfRule>
    <cfRule type="expression" dxfId="391" priority="241">
      <formula>AND(WEEKDAY($A80,2)=3,$I$6=TRUE)</formula>
    </cfRule>
  </conditionalFormatting>
  <conditionalFormatting sqref="Q80">
    <cfRule type="expression" dxfId="390" priority="231">
      <formula>WEEKDAY($A80,2)&gt;5</formula>
    </cfRule>
  </conditionalFormatting>
  <conditionalFormatting sqref="C1">
    <cfRule type="expression" dxfId="389" priority="90">
      <formula>ISBLANK($C$1)</formula>
    </cfRule>
  </conditionalFormatting>
  <conditionalFormatting sqref="C3">
    <cfRule type="expression" dxfId="388" priority="89">
      <formula>ISBLANK($C$3)</formula>
    </cfRule>
  </conditionalFormatting>
  <conditionalFormatting sqref="C5">
    <cfRule type="expression" dxfId="387" priority="88">
      <formula>ISBLANK($C$5)</formula>
    </cfRule>
  </conditionalFormatting>
  <conditionalFormatting sqref="C7">
    <cfRule type="expression" dxfId="386" priority="87">
      <formula>ISBLANK($C$7)</formula>
    </cfRule>
  </conditionalFormatting>
  <conditionalFormatting sqref="C11:D11">
    <cfRule type="expression" dxfId="385" priority="85">
      <formula>ISBLANK($C$11)</formula>
    </cfRule>
    <cfRule type="expression" dxfId="384" priority="86">
      <formula>($C$11/24)&lt;&gt;$M$3</formula>
    </cfRule>
  </conditionalFormatting>
  <conditionalFormatting sqref="B45:E45 B47:E47 B46:D46 B48:D50 A20:A50 B20:D44">
    <cfRule type="expression" dxfId="383" priority="57">
      <formula>AND(WEEKDAY($A20,2)=3,$I$6=FALSE)</formula>
    </cfRule>
    <cfRule type="expression" dxfId="382" priority="58">
      <formula>AND(WEEKDAY($A20,2)=4,$I$8=TRUE)</formula>
    </cfRule>
    <cfRule type="expression" dxfId="381" priority="59">
      <formula>AND(WEEKDAY($A20,2)=4,$I$8=FALSE)</formula>
    </cfRule>
    <cfRule type="expression" dxfId="380" priority="60">
      <formula>AND(WEEKDAY($A20,2)=5,$I$10=TRUE)</formula>
    </cfRule>
    <cfRule type="expression" dxfId="379" priority="61">
      <formula>AND(WEEKDAY($A20,2)=5,$G$14=FALSE)</formula>
    </cfRule>
  </conditionalFormatting>
  <conditionalFormatting sqref="A20:E50">
    <cfRule type="expression" dxfId="378" priority="62">
      <formula>AND(WEEKDAY($A20,2)=1,$I$2=TRUE)</formula>
    </cfRule>
    <cfRule type="expression" dxfId="377" priority="63">
      <formula>AND(WEEKDAY($A20,2)=1,$I$2=FALSE)</formula>
    </cfRule>
    <cfRule type="expression" dxfId="376" priority="64">
      <formula>AND(WEEKDAY($A20,2)=2,$I$4=TRUE)</formula>
    </cfRule>
    <cfRule type="expression" dxfId="375" priority="65">
      <formula>AND(WEEKDAY($A20,2)=2,$I$4=FALSE)</formula>
    </cfRule>
    <cfRule type="expression" dxfId="374" priority="66">
      <formula>AND(WEEKDAY($A20,2)=3,$I$6=TRUE)</formula>
    </cfRule>
  </conditionalFormatting>
  <conditionalFormatting sqref="A20:E50">
    <cfRule type="expression" dxfId="373" priority="56">
      <formula>WEEKDAY($A20,2)&gt;5</formula>
    </cfRule>
  </conditionalFormatting>
  <conditionalFormatting sqref="D21:E21">
    <cfRule type="expression" dxfId="372" priority="55">
      <formula>WEEKDAY($A21,2)&gt;5</formula>
    </cfRule>
  </conditionalFormatting>
  <conditionalFormatting sqref="D27:E27">
    <cfRule type="expression" dxfId="371" priority="54">
      <formula>WEEKDAY($A27,2)&gt;5</formula>
    </cfRule>
  </conditionalFormatting>
  <conditionalFormatting sqref="D34:E34">
    <cfRule type="expression" dxfId="370" priority="53">
      <formula>WEEKDAY($A34,2)&gt;5</formula>
    </cfRule>
  </conditionalFormatting>
  <conditionalFormatting sqref="D22:E22">
    <cfRule type="expression" dxfId="369" priority="52">
      <formula>WEEKDAY($A22,2)&gt;5</formula>
    </cfRule>
  </conditionalFormatting>
  <conditionalFormatting sqref="D28:E28">
    <cfRule type="expression" dxfId="368" priority="51">
      <formula>WEEKDAY($A28,2)&gt;5</formula>
    </cfRule>
  </conditionalFormatting>
  <conditionalFormatting sqref="D36:E36">
    <cfRule type="expression" dxfId="367" priority="50">
      <formula>WEEKDAY($A36,2)&gt;5</formula>
    </cfRule>
  </conditionalFormatting>
  <conditionalFormatting sqref="D42:E42">
    <cfRule type="expression" dxfId="366" priority="49">
      <formula>WEEKDAY($A42,2)&gt;5</formula>
    </cfRule>
  </conditionalFormatting>
  <conditionalFormatting sqref="D41:E41">
    <cfRule type="expression" dxfId="365" priority="48">
      <formula>WEEKDAY($A41,2)&gt;5</formula>
    </cfRule>
  </conditionalFormatting>
  <conditionalFormatting sqref="D48:E48">
    <cfRule type="expression" dxfId="364" priority="47">
      <formula>WEEKDAY($A48,2)&gt;5</formula>
    </cfRule>
  </conditionalFormatting>
  <conditionalFormatting sqref="D35:E35">
    <cfRule type="expression" dxfId="363" priority="46">
      <formula>WEEKDAY($A35,2)&gt;5</formula>
    </cfRule>
  </conditionalFormatting>
  <conditionalFormatting sqref="D29:E29">
    <cfRule type="expression" dxfId="362" priority="45">
      <formula>WEEKDAY($A29,2)&gt;5</formula>
    </cfRule>
  </conditionalFormatting>
  <conditionalFormatting sqref="D41:E41">
    <cfRule type="expression" dxfId="361" priority="44">
      <formula>WEEKDAY($A41,2)&gt;5</formula>
    </cfRule>
  </conditionalFormatting>
  <conditionalFormatting sqref="D42:E42">
    <cfRule type="expression" dxfId="360" priority="43">
      <formula>WEEKDAY($A42,2)&gt;5</formula>
    </cfRule>
  </conditionalFormatting>
  <conditionalFormatting sqref="D43:E43">
    <cfRule type="expression" dxfId="359" priority="42">
      <formula>WEEKDAY($A43,2)&gt;5</formula>
    </cfRule>
  </conditionalFormatting>
  <conditionalFormatting sqref="D41:E41">
    <cfRule type="expression" dxfId="358" priority="41">
      <formula>WEEKDAY($A41,2)&gt;5</formula>
    </cfRule>
  </conditionalFormatting>
  <conditionalFormatting sqref="D42:E42">
    <cfRule type="expression" dxfId="357" priority="40">
      <formula>WEEKDAY($A42,2)&gt;5</formula>
    </cfRule>
  </conditionalFormatting>
  <conditionalFormatting sqref="D35:E35">
    <cfRule type="expression" dxfId="356" priority="39">
      <formula>WEEKDAY($A35,2)&gt;5</formula>
    </cfRule>
  </conditionalFormatting>
  <conditionalFormatting sqref="D36:E36">
    <cfRule type="expression" dxfId="355" priority="38">
      <formula>WEEKDAY($A36,2)&gt;5</formula>
    </cfRule>
  </conditionalFormatting>
  <conditionalFormatting sqref="D35:E35">
    <cfRule type="expression" dxfId="354" priority="37">
      <formula>WEEKDAY($A35,2)&gt;5</formula>
    </cfRule>
  </conditionalFormatting>
  <conditionalFormatting sqref="D36:E36">
    <cfRule type="expression" dxfId="353" priority="36">
      <formula>WEEKDAY($A36,2)&gt;5</formula>
    </cfRule>
  </conditionalFormatting>
  <conditionalFormatting sqref="D23:E23">
    <cfRule type="expression" dxfId="352" priority="35">
      <formula>WEEKDAY($A23,2)&gt;5</formula>
    </cfRule>
  </conditionalFormatting>
  <conditionalFormatting sqref="D49:E49">
    <cfRule type="expression" dxfId="351" priority="34">
      <formula>WEEKDAY($A49,2)&gt;5</formula>
    </cfRule>
  </conditionalFormatting>
  <conditionalFormatting sqref="D41:E41">
    <cfRule type="expression" dxfId="350" priority="33">
      <formula>WEEKDAY($A41,2)&gt;5</formula>
    </cfRule>
  </conditionalFormatting>
  <conditionalFormatting sqref="D41:E41">
    <cfRule type="expression" dxfId="349" priority="32">
      <formula>WEEKDAY($A41,2)&gt;5</formula>
    </cfRule>
  </conditionalFormatting>
  <conditionalFormatting sqref="D41:E41">
    <cfRule type="expression" dxfId="348" priority="31">
      <formula>WEEKDAY($A41,2)&gt;5</formula>
    </cfRule>
  </conditionalFormatting>
  <conditionalFormatting sqref="A20:A50">
    <cfRule type="expression" dxfId="347" priority="29">
      <formula>V20&lt;&gt;""</formula>
    </cfRule>
    <cfRule type="expression" dxfId="346" priority="30">
      <formula>T20&lt;&gt;""</formula>
    </cfRule>
    <cfRule type="expression" dxfId="345" priority="67">
      <formula>T20&lt;&gt;""</formula>
    </cfRule>
  </conditionalFormatting>
  <conditionalFormatting sqref="B20:B50">
    <cfRule type="expression" dxfId="344" priority="68">
      <formula>#REF!&lt;&gt;""</formula>
    </cfRule>
  </conditionalFormatting>
  <conditionalFormatting sqref="D29:E29">
    <cfRule type="expression" dxfId="343" priority="28">
      <formula>WEEKDAY($A29,2)&gt;5</formula>
    </cfRule>
  </conditionalFormatting>
  <conditionalFormatting sqref="D30:E30">
    <cfRule type="expression" dxfId="342" priority="27">
      <formula>WEEKDAY($A30,2)&gt;5</formula>
    </cfRule>
  </conditionalFormatting>
  <conditionalFormatting sqref="D31:E31">
    <cfRule type="expression" dxfId="341" priority="26">
      <formula>WEEKDAY($A31,2)&gt;5</formula>
    </cfRule>
  </conditionalFormatting>
  <conditionalFormatting sqref="D36:E36">
    <cfRule type="expression" dxfId="340" priority="25">
      <formula>WEEKDAY($A36,2)&gt;5</formula>
    </cfRule>
  </conditionalFormatting>
  <conditionalFormatting sqref="D37:E37">
    <cfRule type="expression" dxfId="339" priority="24">
      <formula>WEEKDAY($A37,2)&gt;5</formula>
    </cfRule>
  </conditionalFormatting>
  <conditionalFormatting sqref="D38:E38">
    <cfRule type="expression" dxfId="338" priority="23">
      <formula>WEEKDAY($A38,2)&gt;5</formula>
    </cfRule>
  </conditionalFormatting>
  <conditionalFormatting sqref="D42:E42">
    <cfRule type="expression" dxfId="337" priority="22">
      <formula>WEEKDAY($A42,2)&gt;5</formula>
    </cfRule>
  </conditionalFormatting>
  <conditionalFormatting sqref="D43:E43">
    <cfRule type="expression" dxfId="336" priority="21">
      <formula>WEEKDAY($A43,2)&gt;5</formula>
    </cfRule>
  </conditionalFormatting>
  <conditionalFormatting sqref="D44:E44">
    <cfRule type="expression" dxfId="335" priority="20">
      <formula>WEEKDAY($A44,2)&gt;5</formula>
    </cfRule>
  </conditionalFormatting>
  <conditionalFormatting sqref="D33:E33">
    <cfRule type="expression" dxfId="334" priority="19">
      <formula>WEEKDAY($A33,2)&gt;5</formula>
    </cfRule>
  </conditionalFormatting>
  <conditionalFormatting sqref="D40:E40">
    <cfRule type="expression" dxfId="333" priority="18">
      <formula>WEEKDAY($A40,2)&gt;5</formula>
    </cfRule>
  </conditionalFormatting>
  <conditionalFormatting sqref="K20:K50">
    <cfRule type="expression" dxfId="332" priority="8">
      <formula>AND(WEEKDAY($A20,2)=3,$I$6=FALSE)</formula>
    </cfRule>
    <cfRule type="expression" dxfId="331" priority="9">
      <formula>AND(WEEKDAY($A20,2)=4,$I$8=TRUE)</formula>
    </cfRule>
    <cfRule type="expression" dxfId="330" priority="10">
      <formula>AND(WEEKDAY($A20,2)=4,$I$8=FALSE)</formula>
    </cfRule>
    <cfRule type="expression" dxfId="329" priority="11">
      <formula>AND(WEEKDAY($A20,2)=5,$I$10=TRUE)</formula>
    </cfRule>
    <cfRule type="expression" dxfId="328" priority="12">
      <formula>AND(WEEKDAY($A20,2)=5,$G$14=FALSE)</formula>
    </cfRule>
  </conditionalFormatting>
  <conditionalFormatting sqref="K20:L50">
    <cfRule type="expression" dxfId="327" priority="13">
      <formula>AND(WEEKDAY($A20,2)=1,$I$2=TRUE)</formula>
    </cfRule>
    <cfRule type="expression" dxfId="326" priority="14">
      <formula>AND(WEEKDAY($A20,2)=1,$I$2=FALSE)</formula>
    </cfRule>
    <cfRule type="expression" dxfId="325" priority="15">
      <formula>AND(WEEKDAY($A20,2)=2,$I$4=TRUE)</formula>
    </cfRule>
    <cfRule type="expression" dxfId="324" priority="16">
      <formula>AND(WEEKDAY($A20,2)=2,$I$4=FALSE)</formula>
    </cfRule>
    <cfRule type="expression" dxfId="323" priority="17">
      <formula>AND(WEEKDAY($A20,2)=3,$I$6=TRUE)</formula>
    </cfRule>
  </conditionalFormatting>
  <conditionalFormatting sqref="K20:L50">
    <cfRule type="containsText" dxfId="322" priority="3" operator="containsText" text="Angaben überprüfen">
      <formula>NOT(ISERROR(SEARCH("Angaben überprüfen",K20)))</formula>
    </cfRule>
    <cfRule type="cellIs" dxfId="321" priority="4" operator="equal">
      <formula>"30 min. Pause erforderlich"</formula>
    </cfRule>
    <cfRule type="expression" dxfId="320" priority="7">
      <formula>WEEKDAY($A20,2)&gt;5</formula>
    </cfRule>
  </conditionalFormatting>
  <conditionalFormatting sqref="K20:L50">
    <cfRule type="expression" dxfId="319" priority="6">
      <formula>WEEKDAY($A20,2)&gt;5</formula>
    </cfRule>
  </conditionalFormatting>
  <conditionalFormatting sqref="K20:L50">
    <cfRule type="expression" dxfId="318" priority="5">
      <formula>WEEKDAY($A20,2)&gt;5</formula>
    </cfRule>
  </conditionalFormatting>
  <conditionalFormatting sqref="B17:K17">
    <cfRule type="expression" dxfId="317" priority="1">
      <formula>ISBLANK($C$14)</formula>
    </cfRule>
  </conditionalFormatting>
  <dataValidations count="5">
    <dataValidation type="time" errorStyle="warning" allowBlank="1" showInputMessage="1" showErrorMessage="1" error="Außerhalb des Arbeitszeitrahmens" sqref="B20:E50">
      <formula1>0.25</formula1>
      <formula2>0.958333333333333</formula2>
    </dataValidation>
    <dataValidation type="textLength" operator="greaterThan" allowBlank="1" showInputMessage="1" showErrorMessage="1" errorTitle="Arbeitszeitkonto beendet" error="Ihr Arbeitszeitkonto überschreitet 12 Monate und ist damit beendet. Bitte erstellen Sie ein neues Konto." sqref="G16:L16">
      <formula1>40</formula1>
    </dataValidation>
    <dataValidation type="decimal" allowBlank="1" showInputMessage="1" showErrorMessage="1" errorTitle="Falsches Zahlenformat" error="Bitte dezimal oder ganze Zahlen eingeben." promptTitle="                 INFO" prompt="_x000a_Beim Ausfüllen unbedingt den Leitfaden zum Arbeitszeitkonto beachten_x000a_ -Siehe Hilfebutton" sqref="C11:D11">
      <formula1>1</formula1>
      <formula2>40</formula2>
    </dataValidation>
    <dataValidation type="decimal" allowBlank="1" showInputMessage="1" showErrorMessage="1" errorTitle="Achtung" error="Kein Dezimalwert" sqref="K3:L11">
      <formula1>0.25</formula1>
      <formula2>24</formula2>
    </dataValidation>
    <dataValidation type="date" allowBlank="1" showInputMessage="1" showErrorMessage="1" error="Kein gültiges Datum" prompt="TT.MM.JJJJ" sqref="C9:D9 F9 C14:D14 F14">
      <formula1>40178</formula1>
      <formula2>71588</formula2>
    </dataValidation>
  </dataValidations>
  <pageMargins left="0.7" right="0.53156250000000005" top="1.6752083333333334" bottom="0.28125" header="0.47125" footer="0.3"/>
  <pageSetup paperSize="9" scale="87" orientation="portrait" r:id="rId1"/>
  <headerFooter>
    <oddHeader>&amp;L&amp;"BO Regular Bold,Fett"&amp;12Stundennachweis&amp;"-,Standard"&amp;10
&amp;"BO Regular Normal,Standard"nach §17 MiLoG
für SHK, WHK, studentische Aushilfskräfte TV-L 
und geringfügig Beschäftigte&amp;R&amp;G</oddHeader>
  </headerFooter>
  <ignoredErrors>
    <ignoredError sqref="C1:F7 K20:L50" unlockedFormula="1"/>
  </ignoredError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4337" r:id="rId5" name="Check Box 1">
              <controlPr locked="0" defaultSize="0" autoFill="0" autoLine="0" autoPict="0">
                <anchor moveWithCells="1">
                  <from>
                    <xdr:col>7</xdr:col>
                    <xdr:colOff>314325</xdr:colOff>
                    <xdr:row>1</xdr:row>
                    <xdr:rowOff>47625</xdr:rowOff>
                  </from>
                  <to>
                    <xdr:col>9</xdr:col>
                    <xdr:colOff>685800</xdr:colOff>
                    <xdr:row>3</xdr:row>
                    <xdr:rowOff>47625</xdr:rowOff>
                  </to>
                </anchor>
              </controlPr>
            </control>
          </mc:Choice>
        </mc:AlternateContent>
        <mc:AlternateContent xmlns:mc="http://schemas.openxmlformats.org/markup-compatibility/2006">
          <mc:Choice Requires="x14">
            <control shapeId="14338" r:id="rId6" name="Check Box 2">
              <controlPr locked="0" defaultSize="0" autoFill="0" autoLine="0" autoPict="0">
                <anchor moveWithCells="1">
                  <from>
                    <xdr:col>7</xdr:col>
                    <xdr:colOff>314325</xdr:colOff>
                    <xdr:row>3</xdr:row>
                    <xdr:rowOff>57150</xdr:rowOff>
                  </from>
                  <to>
                    <xdr:col>9</xdr:col>
                    <xdr:colOff>638175</xdr:colOff>
                    <xdr:row>5</xdr:row>
                    <xdr:rowOff>38100</xdr:rowOff>
                  </to>
                </anchor>
              </controlPr>
            </control>
          </mc:Choice>
        </mc:AlternateContent>
        <mc:AlternateContent xmlns:mc="http://schemas.openxmlformats.org/markup-compatibility/2006">
          <mc:Choice Requires="x14">
            <control shapeId="14339" r:id="rId7" name="Check Box 3">
              <controlPr locked="0" defaultSize="0" autoFill="0" autoLine="0" autoPict="0">
                <anchor moveWithCells="1">
                  <from>
                    <xdr:col>7</xdr:col>
                    <xdr:colOff>314325</xdr:colOff>
                    <xdr:row>5</xdr:row>
                    <xdr:rowOff>57150</xdr:rowOff>
                  </from>
                  <to>
                    <xdr:col>9</xdr:col>
                    <xdr:colOff>790575</xdr:colOff>
                    <xdr:row>7</xdr:row>
                    <xdr:rowOff>28575</xdr:rowOff>
                  </to>
                </anchor>
              </controlPr>
            </control>
          </mc:Choice>
        </mc:AlternateContent>
        <mc:AlternateContent xmlns:mc="http://schemas.openxmlformats.org/markup-compatibility/2006">
          <mc:Choice Requires="x14">
            <control shapeId="14340" r:id="rId8" name="Check Box 4">
              <controlPr locked="0" defaultSize="0" autoFill="0" autoLine="0" autoPict="0">
                <anchor moveWithCells="1">
                  <from>
                    <xdr:col>7</xdr:col>
                    <xdr:colOff>314325</xdr:colOff>
                    <xdr:row>7</xdr:row>
                    <xdr:rowOff>57150</xdr:rowOff>
                  </from>
                  <to>
                    <xdr:col>9</xdr:col>
                    <xdr:colOff>676275</xdr:colOff>
                    <xdr:row>9</xdr:row>
                    <xdr:rowOff>38100</xdr:rowOff>
                  </to>
                </anchor>
              </controlPr>
            </control>
          </mc:Choice>
        </mc:AlternateContent>
        <mc:AlternateContent xmlns:mc="http://schemas.openxmlformats.org/markup-compatibility/2006">
          <mc:Choice Requires="x14">
            <control shapeId="14341" r:id="rId9" name="Check Box 5">
              <controlPr locked="0" defaultSize="0" autoFill="0" autoLine="0" autoPict="0">
                <anchor moveWithCells="1">
                  <from>
                    <xdr:col>7</xdr:col>
                    <xdr:colOff>314325</xdr:colOff>
                    <xdr:row>9</xdr:row>
                    <xdr:rowOff>57150</xdr:rowOff>
                  </from>
                  <to>
                    <xdr:col>9</xdr:col>
                    <xdr:colOff>733425</xdr:colOff>
                    <xdr:row>11</xdr:row>
                    <xdr:rowOff>38100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2" operator="containsText" id="{BAB5CAB1-ECE5-4092-B33F-F472F9A5D486}">
            <xm:f>NOT(ISERROR(SEARCH("45 min. Pause erforderlich",K20)))</xm:f>
            <xm:f>"45 min. Pause erforderlich"</xm:f>
            <x14:dxf>
              <font>
                <b/>
                <i val="0"/>
                <color rgb="FFA50021"/>
              </font>
            </x14:dxf>
          </x14:cfRule>
          <xm:sqref>K20:L50</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2"/>
  <dimension ref="A1:V95"/>
  <sheetViews>
    <sheetView showGridLines="0" showRowColHeaders="0" view="pageLayout" workbookViewId="0">
      <selection activeCell="C11" sqref="C11:D11"/>
    </sheetView>
  </sheetViews>
  <sheetFormatPr baseColWidth="10" defaultColWidth="12.42578125" defaultRowHeight="15"/>
  <cols>
    <col min="1" max="1" width="11.28515625" customWidth="1"/>
    <col min="2" max="2" width="8.7109375" customWidth="1"/>
    <col min="3" max="3" width="5" customWidth="1"/>
    <col min="4" max="4" width="6" customWidth="1"/>
    <col min="5" max="5" width="10.7109375" customWidth="1"/>
    <col min="6" max="6" width="12.140625" customWidth="1"/>
    <col min="7" max="7" width="7.7109375" customWidth="1"/>
    <col min="8" max="8" width="9.85546875" customWidth="1"/>
    <col min="9" max="9" width="6.5703125" hidden="1" customWidth="1"/>
    <col min="10" max="10" width="11.85546875" customWidth="1"/>
    <col min="11" max="11" width="11.140625" customWidth="1"/>
    <col min="12" max="12" width="8.42578125" customWidth="1"/>
    <col min="13" max="13" width="5.28515625" style="37" hidden="1" customWidth="1"/>
    <col min="14" max="14" width="5.42578125" style="33" hidden="1" customWidth="1"/>
    <col min="15" max="15" width="14.5703125" hidden="1" customWidth="1"/>
    <col min="16" max="16" width="9.28515625" hidden="1" customWidth="1"/>
    <col min="17" max="17" width="8.42578125" hidden="1" customWidth="1"/>
    <col min="18" max="18" width="7.140625" hidden="1" customWidth="1"/>
    <col min="19" max="21" width="12.42578125" hidden="1" customWidth="1"/>
    <col min="22" max="22" width="1.140625" hidden="1" customWidth="1"/>
    <col min="23" max="16353" width="12.42578125" customWidth="1"/>
    <col min="16354" max="16354" width="3.7109375" customWidth="1"/>
    <col min="16355" max="16384" width="4.42578125" customWidth="1"/>
  </cols>
  <sheetData>
    <row r="1" spans="1:20" s="2" customFormat="1" ht="18" customHeight="1">
      <c r="A1" s="254" t="s">
        <v>0</v>
      </c>
      <c r="B1" s="254"/>
      <c r="C1" s="255" t="str">
        <f>IF('Blatt 1'!C1:F1="","",'Blatt 1'!C1:F1)</f>
        <v/>
      </c>
      <c r="D1" s="255"/>
      <c r="E1" s="255"/>
      <c r="F1" s="255"/>
      <c r="G1" s="1"/>
      <c r="H1" s="260" t="s">
        <v>1</v>
      </c>
      <c r="I1" s="260"/>
      <c r="J1" s="260"/>
      <c r="K1" s="259" t="s">
        <v>2</v>
      </c>
      <c r="L1" s="259"/>
      <c r="M1" s="253" t="s">
        <v>3</v>
      </c>
      <c r="N1" s="253"/>
      <c r="O1" s="253"/>
    </row>
    <row r="2" spans="1:20" ht="7.5" customHeight="1">
      <c r="A2" s="80"/>
      <c r="B2" s="80"/>
      <c r="C2" s="61"/>
      <c r="D2" s="61"/>
      <c r="E2" s="61"/>
      <c r="F2" s="61"/>
      <c r="G2" s="3"/>
      <c r="H2" s="3"/>
      <c r="I2" s="6" t="b">
        <v>0</v>
      </c>
      <c r="J2" s="3"/>
      <c r="K2" s="3"/>
      <c r="M2" s="143"/>
      <c r="N2" s="212"/>
    </row>
    <row r="3" spans="1:20" s="2" customFormat="1" ht="15.75">
      <c r="A3" s="254" t="s">
        <v>4</v>
      </c>
      <c r="B3" s="254"/>
      <c r="C3" s="255" t="str">
        <f>IF('Blatt 1'!C3:F3="","",'Blatt 1'!C3:F3)</f>
        <v/>
      </c>
      <c r="D3" s="255"/>
      <c r="E3" s="255"/>
      <c r="F3" s="255"/>
      <c r="H3" s="47"/>
      <c r="I3" s="55"/>
      <c r="J3" s="8"/>
      <c r="K3" s="323"/>
      <c r="L3" s="323"/>
      <c r="M3" s="9">
        <f>($K$3+$K$5+$K$7+$K$9+$K$11)/24</f>
        <v>0</v>
      </c>
      <c r="N3" s="10"/>
    </row>
    <row r="4" spans="1:20" ht="7.5" customHeight="1">
      <c r="A4" s="80"/>
      <c r="B4" s="80"/>
      <c r="C4" s="62"/>
      <c r="D4" s="62"/>
      <c r="E4" s="62"/>
      <c r="F4" s="62"/>
      <c r="H4" s="3"/>
      <c r="I4" s="6" t="b">
        <v>0</v>
      </c>
      <c r="J4" s="3"/>
      <c r="K4" s="73"/>
      <c r="L4" s="74"/>
      <c r="M4" s="143"/>
      <c r="N4" s="212"/>
    </row>
    <row r="5" spans="1:20" s="2" customFormat="1" ht="15.75">
      <c r="A5" s="254" t="s">
        <v>5</v>
      </c>
      <c r="B5" s="254"/>
      <c r="C5" s="256" t="str">
        <f>IF('Blatt 1'!C5:F5="","",'Blatt 1'!C5:F5)</f>
        <v/>
      </c>
      <c r="D5" s="255"/>
      <c r="E5" s="255"/>
      <c r="F5" s="255"/>
      <c r="H5" s="47"/>
      <c r="I5" s="55"/>
      <c r="J5" s="8"/>
      <c r="K5" s="300"/>
      <c r="L5" s="300"/>
      <c r="M5" s="143"/>
      <c r="N5" s="212"/>
    </row>
    <row r="6" spans="1:20" ht="7.5" customHeight="1">
      <c r="A6" s="80"/>
      <c r="B6" s="80"/>
      <c r="C6" s="62"/>
      <c r="D6" s="62"/>
      <c r="E6" s="62"/>
      <c r="F6" s="62"/>
      <c r="H6" s="3"/>
      <c r="I6" s="6" t="b">
        <v>0</v>
      </c>
      <c r="J6" s="3"/>
      <c r="K6" s="73"/>
      <c r="L6" s="74"/>
      <c r="M6" s="143"/>
      <c r="N6" s="212"/>
    </row>
    <row r="7" spans="1:20" s="2" customFormat="1" ht="15.75">
      <c r="A7" s="254" t="s">
        <v>6</v>
      </c>
      <c r="B7" s="254"/>
      <c r="C7" s="258" t="str">
        <f>IF('Blatt 1'!C7:F7="","",'Blatt 1'!C7:F7)</f>
        <v/>
      </c>
      <c r="D7" s="258"/>
      <c r="E7" s="258"/>
      <c r="F7" s="258"/>
      <c r="H7" s="11"/>
      <c r="I7" s="55"/>
      <c r="J7" s="11"/>
      <c r="K7" s="300"/>
      <c r="L7" s="300"/>
      <c r="M7" s="143"/>
      <c r="N7" s="212"/>
    </row>
    <row r="8" spans="1:20" ht="7.5" customHeight="1">
      <c r="A8" s="80"/>
      <c r="B8" s="80"/>
      <c r="C8" s="62"/>
      <c r="D8" s="62"/>
      <c r="E8" s="62"/>
      <c r="F8" s="62"/>
      <c r="H8" s="3"/>
      <c r="I8" s="6" t="b">
        <v>0</v>
      </c>
      <c r="J8" s="3"/>
      <c r="K8" s="73"/>
      <c r="L8" s="74"/>
      <c r="M8" s="143"/>
      <c r="N8" s="212"/>
    </row>
    <row r="9" spans="1:20" ht="15.75">
      <c r="A9" s="254" t="s">
        <v>146</v>
      </c>
      <c r="B9" s="254"/>
      <c r="C9" s="265"/>
      <c r="D9" s="265"/>
      <c r="E9" s="82" t="s">
        <v>7</v>
      </c>
      <c r="F9" s="105"/>
      <c r="H9" s="3"/>
      <c r="I9" s="55"/>
      <c r="J9" s="3"/>
      <c r="K9" s="300"/>
      <c r="L9" s="300"/>
      <c r="M9" s="143"/>
      <c r="N9" s="212"/>
    </row>
    <row r="10" spans="1:20" ht="7.5" customHeight="1">
      <c r="A10" s="80"/>
      <c r="B10" s="80"/>
      <c r="C10" s="62"/>
      <c r="D10" s="62"/>
      <c r="E10" s="80"/>
      <c r="F10" s="62"/>
      <c r="H10" s="3"/>
      <c r="I10" s="12" t="b">
        <v>0</v>
      </c>
      <c r="J10" s="3"/>
      <c r="K10" s="73"/>
      <c r="L10" s="74"/>
      <c r="M10" s="143"/>
      <c r="N10" s="212"/>
    </row>
    <row r="11" spans="1:20" ht="15.75">
      <c r="A11" s="254" t="s">
        <v>8</v>
      </c>
      <c r="B11" s="254"/>
      <c r="C11" s="326"/>
      <c r="D11" s="326"/>
      <c r="E11" s="83" t="s">
        <v>9</v>
      </c>
      <c r="F11" s="64"/>
      <c r="H11" s="3"/>
      <c r="I11" s="12"/>
      <c r="J11" s="3"/>
      <c r="K11" s="300"/>
      <c r="L11" s="300"/>
      <c r="M11" s="143"/>
      <c r="N11" s="212"/>
      <c r="S11" s="146"/>
      <c r="T11" s="146"/>
    </row>
    <row r="12" spans="1:20" ht="7.5" customHeight="1">
      <c r="A12" s="211"/>
      <c r="B12" s="211"/>
      <c r="C12" s="65"/>
      <c r="D12" s="65"/>
      <c r="E12" s="84"/>
      <c r="F12" s="51"/>
      <c r="H12" s="50"/>
      <c r="I12" s="55"/>
      <c r="J12" s="3"/>
      <c r="K12" s="50"/>
      <c r="L12" s="50"/>
      <c r="M12" s="143"/>
      <c r="N12" s="212"/>
      <c r="S12" s="146"/>
    </row>
    <row r="13" spans="1:20" ht="4.5" customHeight="1">
      <c r="A13" s="254"/>
      <c r="B13" s="254"/>
      <c r="C13" s="65"/>
      <c r="D13" s="65"/>
      <c r="E13" s="80"/>
      <c r="F13" s="62"/>
      <c r="H13" s="3"/>
      <c r="I13" s="55"/>
      <c r="J13" s="3"/>
      <c r="M13" s="143"/>
      <c r="N13" s="212"/>
    </row>
    <row r="14" spans="1:20" ht="16.5" customHeight="1">
      <c r="A14" s="305" t="s">
        <v>141</v>
      </c>
      <c r="B14" s="305"/>
      <c r="C14" s="306"/>
      <c r="D14" s="306"/>
      <c r="E14" s="196" t="s">
        <v>7</v>
      </c>
      <c r="F14" s="213"/>
      <c r="G14" s="52" t="b">
        <v>0</v>
      </c>
      <c r="H14" s="320" t="str">
        <f>IF($C$14="","",IF(AND($O$16&lt;&gt;$C$14,$O$16&lt;$F$9),"Achtung! Stundennachweis unterbrochen",""))</f>
        <v/>
      </c>
      <c r="I14" s="320"/>
      <c r="J14" s="320"/>
      <c r="K14" s="320"/>
      <c r="L14" s="320"/>
      <c r="M14" s="304" t="s">
        <v>21</v>
      </c>
      <c r="N14" s="304"/>
      <c r="O14" s="147"/>
    </row>
    <row r="15" spans="1:20" hidden="1">
      <c r="A15" s="43"/>
      <c r="B15" s="47"/>
      <c r="C15" s="262"/>
      <c r="D15" s="262"/>
      <c r="E15" s="14"/>
      <c r="F15" s="39"/>
      <c r="G15" s="52"/>
      <c r="H15" s="3"/>
      <c r="I15" s="3"/>
      <c r="J15" s="3"/>
      <c r="K15" s="263"/>
      <c r="L15" s="263"/>
      <c r="M15" s="216"/>
      <c r="N15" s="149"/>
      <c r="O15" s="147"/>
    </row>
    <row r="16" spans="1:20" ht="41.25" customHeight="1">
      <c r="A16" s="321" t="str">
        <f ca="1">IF(($C$14+30)&lt;$F$14,"                                       Bitte nur einen Monat angeben! ",IF(COUNTIF(R20:R50,1)&gt;0,"Hinweis: Es erfolgt keine Berechnung der Zukunftswerte",""))</f>
        <v/>
      </c>
      <c r="B16" s="321"/>
      <c r="C16" s="321"/>
      <c r="D16" s="321"/>
      <c r="E16" s="321"/>
      <c r="F16" s="321"/>
      <c r="G16" s="303" t="str">
        <f>IF(AND(Q58&lt;365,Q58&gt;300),"Ihnen verbleiben noch "&amp;(364-Q58)&amp;" Tage um Ihr Arbeitszeitkonto auszugleichen",IF(Q58&gt;365,"Sie haben Ihr Arbeitszeitkonto überschritten, bitte erstellen Sie ein neues Konto",""))</f>
        <v/>
      </c>
      <c r="H16" s="303"/>
      <c r="I16" s="303"/>
      <c r="J16" s="303"/>
      <c r="K16" s="303"/>
      <c r="L16" s="303"/>
      <c r="M16" s="153">
        <f ca="1">IF(AND($H$14="Achtung! Stundennachweis unterbrochen",'Blatt 10'!J52&gt;0),0,'Blatt 10'!J52)</f>
        <v>0</v>
      </c>
      <c r="N16" s="154">
        <f ca="1">+$M$16+$N$55</f>
        <v>0</v>
      </c>
      <c r="O16" s="155" t="str">
        <f>IF($F$9=$F$14,"",'Blatt 10'!$F$14+1)</f>
        <v/>
      </c>
    </row>
    <row r="17" spans="1:22" ht="18.75">
      <c r="A17" s="40"/>
      <c r="B17" s="264">
        <f ca="1">IF(ISBLANK($C$14),EOMONTH('Blatt 10'!$B$17,0)+1,DATE(YEAR($C$14),MONTH($C$14),1))</f>
        <v>42460</v>
      </c>
      <c r="C17" s="264"/>
      <c r="D17" s="264"/>
      <c r="E17" s="264"/>
      <c r="F17" s="264"/>
      <c r="G17" s="264"/>
      <c r="H17" s="264"/>
      <c r="I17" s="264"/>
      <c r="J17" s="264"/>
      <c r="K17" s="264"/>
      <c r="L17" s="41"/>
      <c r="M17" s="15"/>
      <c r="N17" s="212"/>
    </row>
    <row r="18" spans="1:22" ht="8.4499999999999993" customHeight="1" thickBot="1">
      <c r="A18" s="3"/>
      <c r="B18" s="3"/>
      <c r="C18" s="3"/>
      <c r="D18" s="3"/>
      <c r="E18" s="3"/>
      <c r="F18" s="3"/>
      <c r="G18" s="3"/>
      <c r="H18" s="3"/>
      <c r="I18" s="3"/>
      <c r="J18" s="3"/>
      <c r="K18" s="3"/>
      <c r="L18" s="3"/>
      <c r="M18" s="143"/>
      <c r="N18" s="212"/>
    </row>
    <row r="19" spans="1:22" s="17" customFormat="1" ht="42.75" customHeight="1" thickBot="1">
      <c r="A19" s="187" t="s">
        <v>10</v>
      </c>
      <c r="B19" s="277" t="s">
        <v>11</v>
      </c>
      <c r="C19" s="277"/>
      <c r="D19" s="278" t="s">
        <v>12</v>
      </c>
      <c r="E19" s="279"/>
      <c r="F19" s="86" t="s">
        <v>27</v>
      </c>
      <c r="G19" s="210" t="s">
        <v>13</v>
      </c>
      <c r="H19" s="86" t="s">
        <v>14</v>
      </c>
      <c r="I19" s="88"/>
      <c r="J19" s="89" t="s">
        <v>15</v>
      </c>
      <c r="K19" s="278" t="s">
        <v>16</v>
      </c>
      <c r="L19" s="280"/>
      <c r="M19" s="16" t="s">
        <v>17</v>
      </c>
      <c r="N19" s="16"/>
      <c r="O19" s="58" t="s">
        <v>24</v>
      </c>
      <c r="P19" s="126" t="s">
        <v>28</v>
      </c>
      <c r="Q19" s="126" t="s">
        <v>31</v>
      </c>
      <c r="R19" s="289" t="s">
        <v>49</v>
      </c>
      <c r="S19" s="289"/>
      <c r="T19" s="289"/>
    </row>
    <row r="20" spans="1:22" s="2" customFormat="1" ht="12.6" customHeight="1">
      <c r="A20" s="188">
        <f ca="1">($B$17+ROW(A1)-1)*(MONTH(B17+1)=MONTH($B$17))</f>
        <v>42460</v>
      </c>
      <c r="B20" s="271"/>
      <c r="C20" s="272"/>
      <c r="D20" s="273"/>
      <c r="E20" s="274"/>
      <c r="F20" s="209"/>
      <c r="G20" s="110" t="str">
        <f ca="1">IF(OR(A20&lt;$C$14,A20&gt;$F$14,$G$16="Sie haben Ihr Arbeitszeitkonto überschritten, bitte erstellen Sie ein neues Konto",A20&gt;TODAY()),"0,00",IF(ISBLANK($C$14),"0,00",(D20-B20-F20)))</f>
        <v>0,00</v>
      </c>
      <c r="H20" s="111" t="str">
        <f ca="1">IF(WEEKDAY(A20,2)=7,SUMIF($M$19:$M$50,M20,$G$19:$G$50),"")</f>
        <v/>
      </c>
      <c r="I20" s="112">
        <f ca="1">IF(A20&lt;TODAY(),ROUND(SUM(G20-N20),7),0)</f>
        <v>0</v>
      </c>
      <c r="J20" s="156" t="str">
        <f t="shared" ref="J20:J24" ca="1" si="0">IF($G$16="Sie haben Ihr Arbeitszeitkonto überschritten, bitte erstellen Sie ein neues Konto","",IF(AND(A20&lt;TODAY(),WEEKDAY(A20,2)=7),I20+$N$16,""))</f>
        <v/>
      </c>
      <c r="K20" s="275" t="str">
        <f t="shared" ref="K20:K26" ca="1" si="1">IF(T20&lt;&gt;"",T20,IF(P20="1","Angaben überprüfen",IF(OR(A20&lt;$C$14,A20&gt;$F$14,G20="0,00"),"--------",IF(AND(G20&gt;(6/24),G20&lt;(9/24),F20&lt;0.5/24),"30 min. Pause erforderlich",IF(AND(G20&gt;=(9/24),F20&lt;0.75/24),"45 min. Pause erforderlich ","")))))</f>
        <v>--------</v>
      </c>
      <c r="L20" s="276"/>
      <c r="M20" s="93">
        <f ca="1">WEEKNUM(A20,2)</f>
        <v>14</v>
      </c>
      <c r="N20" s="94">
        <f ca="1">IF(AND(A20&gt;=$C$14,A20&lt;=$F$14),IF(AND(WEEKDAY(A20,2)=1,$K$3&gt;0),$K$3,IF(AND(WEEKDAY(A20,2)=2,$K$5&gt;0),$K$5,IF(AND(WEEKDAY(A20,2)=3,$K$7&gt;0),$K$7,IF(AND(WEEKDAY(A20,2)=4,$K$9&gt;0),$K$9,IF(AND(WEEKDAY(A20,2)=5,$K$11&gt;0),$K$11,IF(WEEKDAY(A20,2)&gt;5,0,0))))))/24,0)</f>
        <v>0</v>
      </c>
      <c r="O20" s="95">
        <f ca="1">IF(I20&lt;&gt;0,I20,0)</f>
        <v>0</v>
      </c>
      <c r="P20" s="120" t="str">
        <f ca="1">IF(AND(Q20="1",B20&gt;0),"1","")</f>
        <v/>
      </c>
      <c r="Q20" s="120" t="str">
        <f t="shared" ref="Q20:Q50" ca="1" si="2">IF(OR(A20&lt;$C$14,A20&gt;$F$14,A20&lt;$C$9,A20&gt;$F$9),"1","")</f>
        <v>1</v>
      </c>
      <c r="R20" s="184" t="str">
        <f t="shared" ref="R20:R50" ca="1" si="3">IF(AND(A20&gt;TODAY(),B20&gt;0),"1","")</f>
        <v/>
      </c>
      <c r="S20" s="185" t="e">
        <f t="shared" ref="S20:S50" ca="1" si="4">VLOOKUP(A20,$Q$77:$S$92,2,FALSE)</f>
        <v>#N/A</v>
      </c>
      <c r="T20" s="186" t="str">
        <f t="shared" ref="T20:T49" ca="1" si="5">IF(ISNA(S20),"",S20)</f>
        <v/>
      </c>
      <c r="U20" s="193" t="str">
        <f t="shared" ref="U20:U50" ca="1" si="6">IF(AND(WEEKDAY(A20,2)=1,$I$2=TRUE),"X",IF(AND(WEEKDAY(A20,2)=4,$I$8=TRUE),"X",IF(AND(WEEKDAY(A20,2)=5,$I$10=TRUE),"X",IF(AND(WEEKDAY(A20,2)=2,$I$4=TRUE),"X",IF(AND(WEEKDAY(A20,2)=3,$I$6=TRUE),"X","")
))))</f>
        <v/>
      </c>
      <c r="V20" s="197" t="str">
        <f ca="1">IF(AND(U20&lt;&gt;"",T20&lt;&gt;""),"!","")</f>
        <v/>
      </c>
    </row>
    <row r="21" spans="1:22" s="2" customFormat="1" ht="12.6" customHeight="1">
      <c r="A21" s="189">
        <f t="shared" ref="A21:A29" ca="1" si="7">($B$17+ROW(A2)-1)*(MONTH(A20+1)=MONTH($B$17))</f>
        <v>42461</v>
      </c>
      <c r="B21" s="271"/>
      <c r="C21" s="272"/>
      <c r="D21" s="273"/>
      <c r="E21" s="274"/>
      <c r="F21" s="205"/>
      <c r="G21" s="110" t="str">
        <f t="shared" ref="G21:G49" ca="1" si="8">IF(OR(A21&lt;$C$14,A21&gt;$F$14,$G$16="Sie haben Ihr Arbeitszeitkonto überschritten, bitte erstellen Sie ein neues Konto",A21&gt;TODAY()),"0,00",IF(ISBLANK($C$14),"0,00",(D21-B21-F21)))</f>
        <v>0,00</v>
      </c>
      <c r="H21" s="111" t="str">
        <f t="shared" ref="H21:H50" ca="1" si="9">IF(WEEKDAY(A21,2)=7,SUMIF($M$19:$M$50,M21,$G$19:$G$50),"")</f>
        <v/>
      </c>
      <c r="I21" s="112">
        <f t="shared" ref="I21:I50" ca="1" si="10">IF(A21&lt;TODAY(),ROUND(SUM(G21+I20-N21),7),0)</f>
        <v>0</v>
      </c>
      <c r="J21" s="157" t="str">
        <f t="shared" ca="1" si="0"/>
        <v/>
      </c>
      <c r="K21" s="275" t="str">
        <f t="shared" ca="1" si="1"/>
        <v>--------</v>
      </c>
      <c r="L21" s="276"/>
      <c r="M21" s="93">
        <f t="shared" ref="M21:M49" ca="1" si="11">WEEKNUM(A21,2)</f>
        <v>14</v>
      </c>
      <c r="N21" s="94">
        <f t="shared" ref="N21:N50" ca="1" si="12">IF(AND(A21&gt;=$C$14,A21&lt;=$F$14),IF(AND(WEEKDAY(A21,2)=1,$K$3&gt;0),$K$3,IF(AND(WEEKDAY(A21,2)=2,$K$5&gt;0),$K$5,IF(AND(WEEKDAY(A21,2)=3,$K$7&gt;0),$K$7,IF(AND(WEEKDAY(A21,2)=4,$K$9&gt;0),$K$9,IF(AND(WEEKDAY(A21,2)=5,$K$11&gt;0),$K$11,IF(WEEKDAY(A21,2)&gt;5,0,0))))))/24,0)</f>
        <v>0</v>
      </c>
      <c r="O21" s="95">
        <f t="shared" ref="O21:O50" ca="1" si="13">IF(I21&lt;&gt;0,I21,0)</f>
        <v>0</v>
      </c>
      <c r="P21" s="120" t="str">
        <f t="shared" ref="P21:P50" ca="1" si="14">IF(AND(Q21="1",B21&gt;0),"1","")</f>
        <v/>
      </c>
      <c r="Q21" s="120" t="str">
        <f t="shared" ca="1" si="2"/>
        <v>1</v>
      </c>
      <c r="R21" s="184" t="str">
        <f t="shared" ca="1" si="3"/>
        <v/>
      </c>
      <c r="S21" s="185" t="e">
        <f t="shared" ca="1" si="4"/>
        <v>#N/A</v>
      </c>
      <c r="T21" s="186" t="str">
        <f t="shared" ca="1" si="5"/>
        <v/>
      </c>
      <c r="U21" s="194" t="str">
        <f t="shared" ca="1" si="6"/>
        <v/>
      </c>
      <c r="V21" s="197" t="str">
        <f t="shared" ref="V21:V50" ca="1" si="15">IF(AND(U21&lt;&gt;"",T21&lt;&gt;""),"!","")</f>
        <v/>
      </c>
    </row>
    <row r="22" spans="1:22" s="2" customFormat="1" ht="12.6" customHeight="1">
      <c r="A22" s="189">
        <f t="shared" ca="1" si="7"/>
        <v>42462</v>
      </c>
      <c r="B22" s="285"/>
      <c r="C22" s="286"/>
      <c r="D22" s="273"/>
      <c r="E22" s="274"/>
      <c r="F22" s="205"/>
      <c r="G22" s="110" t="str">
        <f t="shared" ca="1" si="8"/>
        <v>0,00</v>
      </c>
      <c r="H22" s="111" t="str">
        <f t="shared" ca="1" si="9"/>
        <v/>
      </c>
      <c r="I22" s="112">
        <f t="shared" ca="1" si="10"/>
        <v>0</v>
      </c>
      <c r="J22" s="157" t="str">
        <f t="shared" ca="1" si="0"/>
        <v/>
      </c>
      <c r="K22" s="275" t="str">
        <f t="shared" ca="1" si="1"/>
        <v>--------</v>
      </c>
      <c r="L22" s="276"/>
      <c r="M22" s="93">
        <f t="shared" ca="1" si="11"/>
        <v>14</v>
      </c>
      <c r="N22" s="94">
        <f t="shared" ca="1" si="12"/>
        <v>0</v>
      </c>
      <c r="O22" s="95">
        <f t="shared" ca="1" si="13"/>
        <v>0</v>
      </c>
      <c r="P22" s="120" t="str">
        <f t="shared" ca="1" si="14"/>
        <v/>
      </c>
      <c r="Q22" s="120" t="str">
        <f t="shared" ca="1" si="2"/>
        <v>1</v>
      </c>
      <c r="R22" s="184" t="str">
        <f t="shared" ca="1" si="3"/>
        <v/>
      </c>
      <c r="S22" s="185" t="e">
        <f t="shared" ca="1" si="4"/>
        <v>#N/A</v>
      </c>
      <c r="T22" s="186" t="str">
        <f t="shared" ca="1" si="5"/>
        <v/>
      </c>
      <c r="U22" s="194" t="str">
        <f t="shared" ca="1" si="6"/>
        <v/>
      </c>
      <c r="V22" s="197" t="str">
        <f t="shared" ca="1" si="15"/>
        <v/>
      </c>
    </row>
    <row r="23" spans="1:22" s="2" customFormat="1" ht="12.6" customHeight="1">
      <c r="A23" s="189">
        <f t="shared" ca="1" si="7"/>
        <v>42463</v>
      </c>
      <c r="B23" s="285"/>
      <c r="C23" s="286"/>
      <c r="D23" s="273"/>
      <c r="E23" s="274"/>
      <c r="F23" s="205"/>
      <c r="G23" s="110" t="str">
        <f t="shared" ca="1" si="8"/>
        <v>0,00</v>
      </c>
      <c r="H23" s="111" t="str">
        <f t="shared" ca="1" si="9"/>
        <v/>
      </c>
      <c r="I23" s="112">
        <f t="shared" ca="1" si="10"/>
        <v>0</v>
      </c>
      <c r="J23" s="157" t="str">
        <f t="shared" ca="1" si="0"/>
        <v/>
      </c>
      <c r="K23" s="275" t="str">
        <f t="shared" ca="1" si="1"/>
        <v>--------</v>
      </c>
      <c r="L23" s="276"/>
      <c r="M23" s="93">
        <f t="shared" ca="1" si="11"/>
        <v>14</v>
      </c>
      <c r="N23" s="94">
        <f t="shared" ca="1" si="12"/>
        <v>0</v>
      </c>
      <c r="O23" s="95">
        <f t="shared" ca="1" si="13"/>
        <v>0</v>
      </c>
      <c r="P23" s="120" t="str">
        <f t="shared" ca="1" si="14"/>
        <v/>
      </c>
      <c r="Q23" s="120" t="str">
        <f t="shared" ca="1" si="2"/>
        <v>1</v>
      </c>
      <c r="R23" s="184" t="str">
        <f t="shared" ca="1" si="3"/>
        <v/>
      </c>
      <c r="S23" s="185" t="e">
        <f t="shared" ca="1" si="4"/>
        <v>#N/A</v>
      </c>
      <c r="T23" s="186" t="str">
        <f t="shared" ca="1" si="5"/>
        <v/>
      </c>
      <c r="U23" s="194" t="str">
        <f t="shared" ca="1" si="6"/>
        <v/>
      </c>
      <c r="V23" s="197" t="str">
        <f t="shared" ca="1" si="15"/>
        <v/>
      </c>
    </row>
    <row r="24" spans="1:22" s="2" customFormat="1" ht="12.6" customHeight="1">
      <c r="A24" s="190">
        <f t="shared" ca="1" si="7"/>
        <v>42464</v>
      </c>
      <c r="B24" s="281"/>
      <c r="C24" s="282"/>
      <c r="D24" s="283"/>
      <c r="E24" s="284"/>
      <c r="F24" s="208"/>
      <c r="G24" s="110" t="str">
        <f t="shared" ca="1" si="8"/>
        <v>0,00</v>
      </c>
      <c r="H24" s="111">
        <f t="shared" ca="1" si="9"/>
        <v>0</v>
      </c>
      <c r="I24" s="112">
        <f t="shared" ca="1" si="10"/>
        <v>0</v>
      </c>
      <c r="J24" s="157" t="str">
        <f t="shared" ca="1" si="0"/>
        <v/>
      </c>
      <c r="K24" s="275" t="str">
        <f t="shared" ca="1" si="1"/>
        <v>--------</v>
      </c>
      <c r="L24" s="276"/>
      <c r="M24" s="93">
        <f t="shared" ca="1" si="11"/>
        <v>14</v>
      </c>
      <c r="N24" s="94">
        <f t="shared" ca="1" si="12"/>
        <v>0</v>
      </c>
      <c r="O24" s="95">
        <f t="shared" ca="1" si="13"/>
        <v>0</v>
      </c>
      <c r="P24" s="120" t="str">
        <f ca="1">IF(AND(Q24="1",B24&gt;0),"1","")</f>
        <v/>
      </c>
      <c r="Q24" s="120" t="str">
        <f t="shared" ca="1" si="2"/>
        <v>1</v>
      </c>
      <c r="R24" s="184" t="str">
        <f t="shared" ca="1" si="3"/>
        <v/>
      </c>
      <c r="S24" s="185" t="e">
        <f t="shared" ca="1" si="4"/>
        <v>#N/A</v>
      </c>
      <c r="T24" s="186" t="str">
        <f t="shared" ca="1" si="5"/>
        <v/>
      </c>
      <c r="U24" s="194" t="str">
        <f t="shared" ca="1" si="6"/>
        <v/>
      </c>
      <c r="V24" s="197" t="str">
        <f t="shared" ca="1" si="15"/>
        <v/>
      </c>
    </row>
    <row r="25" spans="1:22" s="18" customFormat="1" ht="12.6" customHeight="1">
      <c r="A25" s="190">
        <f t="shared" ca="1" si="7"/>
        <v>42465</v>
      </c>
      <c r="B25" s="281"/>
      <c r="C25" s="282"/>
      <c r="D25" s="283"/>
      <c r="E25" s="284"/>
      <c r="F25" s="207"/>
      <c r="G25" s="110" t="str">
        <f t="shared" ca="1" si="8"/>
        <v>0,00</v>
      </c>
      <c r="H25" s="111" t="str">
        <f t="shared" ca="1" si="9"/>
        <v/>
      </c>
      <c r="I25" s="112">
        <f t="shared" ca="1" si="10"/>
        <v>0</v>
      </c>
      <c r="J25" s="157" t="str">
        <f ca="1">IF($G$16="Sie haben Ihr Arbeitszeitkonto überschritten, bitte erstellen Sie ein neues Konto","",IF(AND(A25&lt;TODAY(),WEEKDAY(A25,2)=7),I25+$N$16,""))</f>
        <v/>
      </c>
      <c r="K25" s="275" t="str">
        <f t="shared" ca="1" si="1"/>
        <v>--------</v>
      </c>
      <c r="L25" s="276"/>
      <c r="M25" s="93">
        <f t="shared" ca="1" si="11"/>
        <v>15</v>
      </c>
      <c r="N25" s="94">
        <f t="shared" ca="1" si="12"/>
        <v>0</v>
      </c>
      <c r="O25" s="95">
        <f t="shared" ca="1" si="13"/>
        <v>0</v>
      </c>
      <c r="P25" s="120" t="str">
        <f t="shared" ca="1" si="14"/>
        <v/>
      </c>
      <c r="Q25" s="120" t="str">
        <f t="shared" ca="1" si="2"/>
        <v>1</v>
      </c>
      <c r="R25" s="184" t="str">
        <f t="shared" ca="1" si="3"/>
        <v/>
      </c>
      <c r="S25" s="185" t="e">
        <f t="shared" ca="1" si="4"/>
        <v>#N/A</v>
      </c>
      <c r="T25" s="186" t="str">
        <f t="shared" ca="1" si="5"/>
        <v/>
      </c>
      <c r="U25" s="194" t="str">
        <f t="shared" ca="1" si="6"/>
        <v/>
      </c>
      <c r="V25" s="197" t="str">
        <f t="shared" ca="1" si="15"/>
        <v/>
      </c>
    </row>
    <row r="26" spans="1:22" s="18" customFormat="1" ht="12.6" customHeight="1">
      <c r="A26" s="190">
        <f t="shared" ca="1" si="7"/>
        <v>42466</v>
      </c>
      <c r="B26" s="285"/>
      <c r="C26" s="286"/>
      <c r="D26" s="301"/>
      <c r="E26" s="276"/>
      <c r="F26" s="117"/>
      <c r="G26" s="110" t="str">
        <f t="shared" ca="1" si="8"/>
        <v>0,00</v>
      </c>
      <c r="H26" s="111" t="str">
        <f t="shared" ca="1" si="9"/>
        <v/>
      </c>
      <c r="I26" s="112">
        <f t="shared" ca="1" si="10"/>
        <v>0</v>
      </c>
      <c r="J26" s="157" t="str">
        <f t="shared" ref="J26:J50" ca="1" si="16">IF($G$16="Sie haben Ihr Arbeitszeitkonto überschritten, bitte erstellen Sie ein neues Konto","",IF(AND(A26&lt;TODAY(),WEEKDAY(A26,2)=7),I26+$N$16,""))</f>
        <v/>
      </c>
      <c r="K26" s="275" t="str">
        <f t="shared" ca="1" si="1"/>
        <v>--------</v>
      </c>
      <c r="L26" s="276"/>
      <c r="M26" s="93">
        <f t="shared" ca="1" si="11"/>
        <v>15</v>
      </c>
      <c r="N26" s="94">
        <f t="shared" ca="1" si="12"/>
        <v>0</v>
      </c>
      <c r="O26" s="95">
        <f t="shared" ca="1" si="13"/>
        <v>0</v>
      </c>
      <c r="P26" s="120" t="str">
        <f t="shared" ca="1" si="14"/>
        <v/>
      </c>
      <c r="Q26" s="120" t="str">
        <f t="shared" ca="1" si="2"/>
        <v>1</v>
      </c>
      <c r="R26" s="184" t="str">
        <f t="shared" ca="1" si="3"/>
        <v/>
      </c>
      <c r="S26" s="185" t="e">
        <f t="shared" ca="1" si="4"/>
        <v>#N/A</v>
      </c>
      <c r="T26" s="186" t="str">
        <f t="shared" ca="1" si="5"/>
        <v/>
      </c>
      <c r="U26" s="194" t="str">
        <f t="shared" ca="1" si="6"/>
        <v/>
      </c>
      <c r="V26" s="197" t="str">
        <f t="shared" ca="1" si="15"/>
        <v/>
      </c>
    </row>
    <row r="27" spans="1:22" ht="12.6" customHeight="1">
      <c r="A27" s="190">
        <f t="shared" ca="1" si="7"/>
        <v>42467</v>
      </c>
      <c r="B27" s="285"/>
      <c r="C27" s="286"/>
      <c r="D27" s="273"/>
      <c r="E27" s="274"/>
      <c r="F27" s="217"/>
      <c r="G27" s="110" t="str">
        <f t="shared" ca="1" si="8"/>
        <v>0,00</v>
      </c>
      <c r="H27" s="111" t="str">
        <f t="shared" ca="1" si="9"/>
        <v/>
      </c>
      <c r="I27" s="112">
        <f t="shared" ca="1" si="10"/>
        <v>0</v>
      </c>
      <c r="J27" s="157" t="str">
        <f t="shared" ca="1" si="16"/>
        <v/>
      </c>
      <c r="K27" s="275" t="str">
        <f ca="1">IF(T27&lt;&gt;"",T27,IF(P27="1","Angaben überprüfen",IF(OR(A27&lt;$C$14,A27&gt;$F$14,G27="0,00"),"--------",IF(AND(G27&gt;(6/24),G27&lt;(9/24),F27&lt;0.5/24),"30 min. Pause erforderlich",IF(AND(G27&gt;=(9/24),F27&lt;0.75/24),"45 min. Pause erforderlich ","")))))</f>
        <v>--------</v>
      </c>
      <c r="L27" s="276"/>
      <c r="M27" s="93">
        <f t="shared" ca="1" si="11"/>
        <v>15</v>
      </c>
      <c r="N27" s="94">
        <f t="shared" ca="1" si="12"/>
        <v>0</v>
      </c>
      <c r="O27" s="95">
        <f t="shared" ca="1" si="13"/>
        <v>0</v>
      </c>
      <c r="P27" s="120" t="str">
        <f t="shared" ca="1" si="14"/>
        <v/>
      </c>
      <c r="Q27" s="120" t="str">
        <f t="shared" ca="1" si="2"/>
        <v>1</v>
      </c>
      <c r="R27" s="184" t="str">
        <f t="shared" ca="1" si="3"/>
        <v/>
      </c>
      <c r="S27" s="185" t="e">
        <f t="shared" ca="1" si="4"/>
        <v>#N/A</v>
      </c>
      <c r="T27" s="186" t="str">
        <f t="shared" ca="1" si="5"/>
        <v/>
      </c>
      <c r="U27" s="194" t="str">
        <f t="shared" ca="1" si="6"/>
        <v/>
      </c>
      <c r="V27" s="197" t="str">
        <f t="shared" ca="1" si="15"/>
        <v/>
      </c>
    </row>
    <row r="28" spans="1:22" ht="12.6" customHeight="1">
      <c r="A28" s="190">
        <f t="shared" ca="1" si="7"/>
        <v>42468</v>
      </c>
      <c r="B28" s="285"/>
      <c r="C28" s="286"/>
      <c r="D28" s="273"/>
      <c r="E28" s="274"/>
      <c r="F28" s="217"/>
      <c r="G28" s="110" t="str">
        <f t="shared" ca="1" si="8"/>
        <v>0,00</v>
      </c>
      <c r="H28" s="111" t="str">
        <f t="shared" ca="1" si="9"/>
        <v/>
      </c>
      <c r="I28" s="112">
        <f t="shared" ca="1" si="10"/>
        <v>0</v>
      </c>
      <c r="J28" s="157" t="str">
        <f t="shared" ca="1" si="16"/>
        <v/>
      </c>
      <c r="K28" s="275" t="str">
        <f t="shared" ref="K28:K50" ca="1" si="17">IF(T28&lt;&gt;"",T28,IF(P28="1","Angaben überprüfen",IF(OR(A28&lt;$C$14,A28&gt;$F$14,G28="0,00"),"--------",IF(AND(G28&gt;(6/24),G28&lt;(9/24),F28&lt;0.5/24),"30 min. Pause erforderlich",IF(AND(G28&gt;=(9/24),F28&lt;0.75/24),"45 min. Pause erforderlich ","")))))</f>
        <v>--------</v>
      </c>
      <c r="L28" s="276"/>
      <c r="M28" s="93">
        <f t="shared" ca="1" si="11"/>
        <v>15</v>
      </c>
      <c r="N28" s="94">
        <f t="shared" ca="1" si="12"/>
        <v>0</v>
      </c>
      <c r="O28" s="95">
        <f t="shared" ca="1" si="13"/>
        <v>0</v>
      </c>
      <c r="P28" s="120" t="str">
        <f t="shared" ca="1" si="14"/>
        <v/>
      </c>
      <c r="Q28" s="120" t="str">
        <f t="shared" ca="1" si="2"/>
        <v>1</v>
      </c>
      <c r="R28" s="184" t="str">
        <f t="shared" ca="1" si="3"/>
        <v/>
      </c>
      <c r="S28" s="185" t="e">
        <f t="shared" ca="1" si="4"/>
        <v>#N/A</v>
      </c>
      <c r="T28" s="186" t="str">
        <f t="shared" ca="1" si="5"/>
        <v/>
      </c>
      <c r="U28" s="194" t="str">
        <f t="shared" ca="1" si="6"/>
        <v/>
      </c>
      <c r="V28" s="197" t="str">
        <f t="shared" ca="1" si="15"/>
        <v/>
      </c>
    </row>
    <row r="29" spans="1:22" ht="12.6" customHeight="1">
      <c r="A29" s="190">
        <f t="shared" ca="1" si="7"/>
        <v>42469</v>
      </c>
      <c r="B29" s="285"/>
      <c r="C29" s="286"/>
      <c r="D29" s="273"/>
      <c r="E29" s="274"/>
      <c r="F29" s="206"/>
      <c r="G29" s="110" t="str">
        <f t="shared" ca="1" si="8"/>
        <v>0,00</v>
      </c>
      <c r="H29" s="111" t="str">
        <f t="shared" ca="1" si="9"/>
        <v/>
      </c>
      <c r="I29" s="112">
        <f t="shared" ca="1" si="10"/>
        <v>0</v>
      </c>
      <c r="J29" s="157" t="str">
        <f t="shared" ca="1" si="16"/>
        <v/>
      </c>
      <c r="K29" s="275" t="str">
        <f t="shared" ca="1" si="17"/>
        <v>Karfreitag</v>
      </c>
      <c r="L29" s="276"/>
      <c r="M29" s="93">
        <f t="shared" ca="1" si="11"/>
        <v>15</v>
      </c>
      <c r="N29" s="94">
        <f t="shared" ca="1" si="12"/>
        <v>0</v>
      </c>
      <c r="O29" s="95">
        <f t="shared" ca="1" si="13"/>
        <v>0</v>
      </c>
      <c r="P29" s="120" t="str">
        <f t="shared" ca="1" si="14"/>
        <v/>
      </c>
      <c r="Q29" s="120" t="str">
        <f t="shared" ca="1" si="2"/>
        <v>1</v>
      </c>
      <c r="R29" s="184" t="str">
        <f t="shared" ca="1" si="3"/>
        <v/>
      </c>
      <c r="S29" s="185" t="str">
        <f t="shared" ca="1" si="4"/>
        <v>Karfreitag</v>
      </c>
      <c r="T29" s="186" t="str">
        <f t="shared" ca="1" si="5"/>
        <v>Karfreitag</v>
      </c>
      <c r="U29" s="194" t="str">
        <f t="shared" ca="1" si="6"/>
        <v/>
      </c>
      <c r="V29" s="197" t="str">
        <f t="shared" ca="1" si="15"/>
        <v/>
      </c>
    </row>
    <row r="30" spans="1:22" ht="12.6" customHeight="1">
      <c r="A30" s="189">
        <f ca="1">($B$17+ROW(A11)-1)*(MONTH(A27+1)=MONTH($B$17))</f>
        <v>42470</v>
      </c>
      <c r="B30" s="285"/>
      <c r="C30" s="286"/>
      <c r="D30" s="273"/>
      <c r="E30" s="274"/>
      <c r="F30" s="206"/>
      <c r="G30" s="110" t="str">
        <f t="shared" ca="1" si="8"/>
        <v>0,00</v>
      </c>
      <c r="H30" s="111" t="str">
        <f t="shared" ca="1" si="9"/>
        <v/>
      </c>
      <c r="I30" s="112">
        <f t="shared" ca="1" si="10"/>
        <v>0</v>
      </c>
      <c r="J30" s="157" t="str">
        <f t="shared" ca="1" si="16"/>
        <v/>
      </c>
      <c r="K30" s="275" t="str">
        <f t="shared" ca="1" si="17"/>
        <v>Ostersamstag</v>
      </c>
      <c r="L30" s="276"/>
      <c r="M30" s="93">
        <f t="shared" ca="1" si="11"/>
        <v>15</v>
      </c>
      <c r="N30" s="94">
        <f t="shared" ca="1" si="12"/>
        <v>0</v>
      </c>
      <c r="O30" s="95">
        <f t="shared" ca="1" si="13"/>
        <v>0</v>
      </c>
      <c r="P30" s="120" t="str">
        <f t="shared" ca="1" si="14"/>
        <v/>
      </c>
      <c r="Q30" s="120" t="str">
        <f t="shared" ca="1" si="2"/>
        <v>1</v>
      </c>
      <c r="R30" s="184" t="str">
        <f t="shared" ca="1" si="3"/>
        <v/>
      </c>
      <c r="S30" s="185" t="str">
        <f t="shared" ca="1" si="4"/>
        <v>Ostersamstag</v>
      </c>
      <c r="T30" s="186" t="str">
        <f t="shared" ca="1" si="5"/>
        <v>Ostersamstag</v>
      </c>
      <c r="U30" s="194" t="str">
        <f t="shared" ca="1" si="6"/>
        <v/>
      </c>
      <c r="V30" s="197" t="str">
        <f t="shared" ca="1" si="15"/>
        <v/>
      </c>
    </row>
    <row r="31" spans="1:22" ht="12.6" customHeight="1">
      <c r="A31" s="189">
        <f ca="1">($B$17+ROW(A12)-1)*(MONTH(A28+1)=MONTH($B$17))</f>
        <v>42471</v>
      </c>
      <c r="B31" s="281"/>
      <c r="C31" s="282"/>
      <c r="D31" s="283"/>
      <c r="E31" s="284"/>
      <c r="F31" s="206"/>
      <c r="G31" s="110" t="str">
        <f t="shared" ca="1" si="8"/>
        <v>0,00</v>
      </c>
      <c r="H31" s="111">
        <f t="shared" ca="1" si="9"/>
        <v>0</v>
      </c>
      <c r="I31" s="112">
        <f t="shared" ca="1" si="10"/>
        <v>0</v>
      </c>
      <c r="J31" s="157" t="str">
        <f t="shared" ca="1" si="16"/>
        <v/>
      </c>
      <c r="K31" s="275" t="str">
        <f t="shared" ca="1" si="17"/>
        <v>Ostersonntag</v>
      </c>
      <c r="L31" s="276"/>
      <c r="M31" s="93">
        <f t="shared" ca="1" si="11"/>
        <v>15</v>
      </c>
      <c r="N31" s="94">
        <f t="shared" ca="1" si="12"/>
        <v>0</v>
      </c>
      <c r="O31" s="95">
        <f t="shared" ca="1" si="13"/>
        <v>0</v>
      </c>
      <c r="P31" s="120" t="str">
        <f t="shared" ca="1" si="14"/>
        <v/>
      </c>
      <c r="Q31" s="120" t="str">
        <f t="shared" ca="1" si="2"/>
        <v>1</v>
      </c>
      <c r="R31" s="184" t="str">
        <f t="shared" ca="1" si="3"/>
        <v/>
      </c>
      <c r="S31" s="185" t="str">
        <f t="shared" ca="1" si="4"/>
        <v>Ostersonntag</v>
      </c>
      <c r="T31" s="186" t="str">
        <f t="shared" ca="1" si="5"/>
        <v>Ostersonntag</v>
      </c>
      <c r="U31" s="194" t="str">
        <f t="shared" ca="1" si="6"/>
        <v/>
      </c>
      <c r="V31" s="197" t="str">
        <f t="shared" ca="1" si="15"/>
        <v/>
      </c>
    </row>
    <row r="32" spans="1:22" ht="12.6" customHeight="1">
      <c r="A32" s="189">
        <f ca="1">($B$17+ROW(A13)-1)*(MONTH(A30+1)=MONTH($B$17))</f>
        <v>42472</v>
      </c>
      <c r="B32" s="285"/>
      <c r="C32" s="286"/>
      <c r="D32" s="301"/>
      <c r="E32" s="276"/>
      <c r="F32" s="206"/>
      <c r="G32" s="110" t="str">
        <f t="shared" ca="1" si="8"/>
        <v>0,00</v>
      </c>
      <c r="H32" s="111" t="str">
        <f t="shared" ca="1" si="9"/>
        <v/>
      </c>
      <c r="I32" s="112">
        <f t="shared" ca="1" si="10"/>
        <v>0</v>
      </c>
      <c r="J32" s="157" t="str">
        <f t="shared" ca="1" si="16"/>
        <v/>
      </c>
      <c r="K32" s="275" t="str">
        <f t="shared" ca="1" si="17"/>
        <v>Ostermontag</v>
      </c>
      <c r="L32" s="276"/>
      <c r="M32" s="93">
        <f t="shared" ca="1" si="11"/>
        <v>16</v>
      </c>
      <c r="N32" s="94">
        <f t="shared" ca="1" si="12"/>
        <v>0</v>
      </c>
      <c r="O32" s="95">
        <f t="shared" ca="1" si="13"/>
        <v>0</v>
      </c>
      <c r="P32" s="120" t="str">
        <f t="shared" ca="1" si="14"/>
        <v/>
      </c>
      <c r="Q32" s="120" t="str">
        <f t="shared" ca="1" si="2"/>
        <v>1</v>
      </c>
      <c r="R32" s="184" t="str">
        <f t="shared" ca="1" si="3"/>
        <v/>
      </c>
      <c r="S32" s="185" t="str">
        <f t="shared" ca="1" si="4"/>
        <v>Ostermontag</v>
      </c>
      <c r="T32" s="186" t="str">
        <f t="shared" ca="1" si="5"/>
        <v>Ostermontag</v>
      </c>
      <c r="U32" s="194" t="str">
        <f t="shared" ca="1" si="6"/>
        <v/>
      </c>
      <c r="V32" s="197" t="str">
        <f t="shared" ca="1" si="15"/>
        <v/>
      </c>
    </row>
    <row r="33" spans="1:22" ht="12.6" customHeight="1">
      <c r="A33" s="189">
        <f t="shared" ref="A33:A50" ca="1" si="18">($B$17+ROW(A14)-1)*(MONTH(A32+1)=MONTH($B$17))</f>
        <v>42473</v>
      </c>
      <c r="B33" s="285"/>
      <c r="C33" s="286"/>
      <c r="D33" s="273"/>
      <c r="E33" s="274"/>
      <c r="F33" s="206"/>
      <c r="G33" s="110" t="str">
        <f t="shared" ca="1" si="8"/>
        <v>0,00</v>
      </c>
      <c r="H33" s="111" t="str">
        <f t="shared" ca="1" si="9"/>
        <v/>
      </c>
      <c r="I33" s="112">
        <f t="shared" ca="1" si="10"/>
        <v>0</v>
      </c>
      <c r="J33" s="157" t="str">
        <f t="shared" ca="1" si="16"/>
        <v/>
      </c>
      <c r="K33" s="275" t="str">
        <f t="shared" ca="1" si="17"/>
        <v>--------</v>
      </c>
      <c r="L33" s="276"/>
      <c r="M33" s="93">
        <f t="shared" ca="1" si="11"/>
        <v>16</v>
      </c>
      <c r="N33" s="94">
        <f t="shared" ca="1" si="12"/>
        <v>0</v>
      </c>
      <c r="O33" s="95">
        <f t="shared" ca="1" si="13"/>
        <v>0</v>
      </c>
      <c r="P33" s="120" t="str">
        <f t="shared" ca="1" si="14"/>
        <v/>
      </c>
      <c r="Q33" s="120" t="str">
        <f t="shared" ca="1" si="2"/>
        <v>1</v>
      </c>
      <c r="R33" s="184" t="str">
        <f t="shared" ca="1" si="3"/>
        <v/>
      </c>
      <c r="S33" s="185" t="e">
        <f t="shared" ca="1" si="4"/>
        <v>#N/A</v>
      </c>
      <c r="T33" s="186" t="str">
        <f t="shared" ca="1" si="5"/>
        <v/>
      </c>
      <c r="U33" s="194" t="str">
        <f t="shared" ca="1" si="6"/>
        <v/>
      </c>
      <c r="V33" s="197" t="str">
        <f t="shared" ca="1" si="15"/>
        <v/>
      </c>
    </row>
    <row r="34" spans="1:22" ht="12.6" customHeight="1">
      <c r="A34" s="189">
        <f t="shared" ca="1" si="18"/>
        <v>42474</v>
      </c>
      <c r="B34" s="285"/>
      <c r="C34" s="286"/>
      <c r="D34" s="273"/>
      <c r="E34" s="274"/>
      <c r="F34" s="206"/>
      <c r="G34" s="110" t="str">
        <f t="shared" ca="1" si="8"/>
        <v>0,00</v>
      </c>
      <c r="H34" s="111" t="str">
        <f t="shared" ca="1" si="9"/>
        <v/>
      </c>
      <c r="I34" s="112">
        <f t="shared" ca="1" si="10"/>
        <v>0</v>
      </c>
      <c r="J34" s="157" t="str">
        <f t="shared" ca="1" si="16"/>
        <v/>
      </c>
      <c r="K34" s="275" t="str">
        <f t="shared" ca="1" si="17"/>
        <v>--------</v>
      </c>
      <c r="L34" s="276"/>
      <c r="M34" s="93">
        <f t="shared" ca="1" si="11"/>
        <v>16</v>
      </c>
      <c r="N34" s="94">
        <f t="shared" ca="1" si="12"/>
        <v>0</v>
      </c>
      <c r="O34" s="95">
        <f t="shared" ca="1" si="13"/>
        <v>0</v>
      </c>
      <c r="P34" s="120" t="str">
        <f t="shared" ca="1" si="14"/>
        <v/>
      </c>
      <c r="Q34" s="120" t="str">
        <f t="shared" ca="1" si="2"/>
        <v>1</v>
      </c>
      <c r="R34" s="184" t="str">
        <f t="shared" ca="1" si="3"/>
        <v/>
      </c>
      <c r="S34" s="185" t="e">
        <f t="shared" ca="1" si="4"/>
        <v>#N/A</v>
      </c>
      <c r="T34" s="186" t="str">
        <f t="shared" ca="1" si="5"/>
        <v/>
      </c>
      <c r="U34" s="194" t="str">
        <f t="shared" ca="1" si="6"/>
        <v/>
      </c>
      <c r="V34" s="197" t="str">
        <f t="shared" ca="1" si="15"/>
        <v/>
      </c>
    </row>
    <row r="35" spans="1:22" ht="12.6" customHeight="1">
      <c r="A35" s="189">
        <f t="shared" ca="1" si="18"/>
        <v>42475</v>
      </c>
      <c r="B35" s="285"/>
      <c r="C35" s="286"/>
      <c r="D35" s="273"/>
      <c r="E35" s="274"/>
      <c r="F35" s="206"/>
      <c r="G35" s="110" t="str">
        <f t="shared" ca="1" si="8"/>
        <v>0,00</v>
      </c>
      <c r="H35" s="111" t="str">
        <f t="shared" ca="1" si="9"/>
        <v/>
      </c>
      <c r="I35" s="112">
        <f t="shared" ca="1" si="10"/>
        <v>0</v>
      </c>
      <c r="J35" s="157" t="str">
        <f t="shared" ca="1" si="16"/>
        <v/>
      </c>
      <c r="K35" s="275" t="str">
        <f t="shared" ca="1" si="17"/>
        <v>--------</v>
      </c>
      <c r="L35" s="276"/>
      <c r="M35" s="93">
        <f t="shared" ca="1" si="11"/>
        <v>16</v>
      </c>
      <c r="N35" s="94">
        <f t="shared" ca="1" si="12"/>
        <v>0</v>
      </c>
      <c r="O35" s="95">
        <f t="shared" ca="1" si="13"/>
        <v>0</v>
      </c>
      <c r="P35" s="120" t="str">
        <f t="shared" ca="1" si="14"/>
        <v/>
      </c>
      <c r="Q35" s="120" t="str">
        <f t="shared" ca="1" si="2"/>
        <v>1</v>
      </c>
      <c r="R35" s="184" t="str">
        <f t="shared" ca="1" si="3"/>
        <v/>
      </c>
      <c r="S35" s="185" t="e">
        <f t="shared" ca="1" si="4"/>
        <v>#N/A</v>
      </c>
      <c r="T35" s="186" t="str">
        <f t="shared" ca="1" si="5"/>
        <v/>
      </c>
      <c r="U35" s="194" t="str">
        <f t="shared" ca="1" si="6"/>
        <v/>
      </c>
      <c r="V35" s="197" t="str">
        <f t="shared" ca="1" si="15"/>
        <v/>
      </c>
    </row>
    <row r="36" spans="1:22" ht="12.6" customHeight="1">
      <c r="A36" s="189">
        <f t="shared" ca="1" si="18"/>
        <v>42476</v>
      </c>
      <c r="B36" s="285"/>
      <c r="C36" s="286"/>
      <c r="D36" s="273"/>
      <c r="E36" s="274"/>
      <c r="F36" s="205"/>
      <c r="G36" s="110" t="str">
        <f t="shared" ca="1" si="8"/>
        <v>0,00</v>
      </c>
      <c r="H36" s="111" t="str">
        <f t="shared" ca="1" si="9"/>
        <v/>
      </c>
      <c r="I36" s="112">
        <f t="shared" ca="1" si="10"/>
        <v>0</v>
      </c>
      <c r="J36" s="157" t="str">
        <f t="shared" ca="1" si="16"/>
        <v/>
      </c>
      <c r="K36" s="275" t="str">
        <f t="shared" ca="1" si="17"/>
        <v>--------</v>
      </c>
      <c r="L36" s="276"/>
      <c r="M36" s="93">
        <f t="shared" ca="1" si="11"/>
        <v>16</v>
      </c>
      <c r="N36" s="94">
        <f t="shared" ca="1" si="12"/>
        <v>0</v>
      </c>
      <c r="O36" s="95">
        <f t="shared" ca="1" si="13"/>
        <v>0</v>
      </c>
      <c r="P36" s="120" t="str">
        <f t="shared" ca="1" si="14"/>
        <v/>
      </c>
      <c r="Q36" s="120" t="str">
        <f t="shared" ca="1" si="2"/>
        <v>1</v>
      </c>
      <c r="R36" s="184" t="str">
        <f t="shared" ca="1" si="3"/>
        <v/>
      </c>
      <c r="S36" s="185" t="e">
        <f t="shared" ca="1" si="4"/>
        <v>#N/A</v>
      </c>
      <c r="T36" s="186" t="str">
        <f t="shared" ca="1" si="5"/>
        <v/>
      </c>
      <c r="U36" s="194" t="str">
        <f t="shared" ca="1" si="6"/>
        <v/>
      </c>
      <c r="V36" s="197" t="str">
        <f t="shared" ca="1" si="15"/>
        <v/>
      </c>
    </row>
    <row r="37" spans="1:22" ht="12.6" customHeight="1">
      <c r="A37" s="189">
        <f t="shared" ca="1" si="18"/>
        <v>42477</v>
      </c>
      <c r="B37" s="285"/>
      <c r="C37" s="286"/>
      <c r="D37" s="273"/>
      <c r="E37" s="274"/>
      <c r="F37" s="205"/>
      <c r="G37" s="110" t="str">
        <f t="shared" ca="1" si="8"/>
        <v>0,00</v>
      </c>
      <c r="H37" s="111" t="str">
        <f t="shared" ca="1" si="9"/>
        <v/>
      </c>
      <c r="I37" s="112">
        <f t="shared" ca="1" si="10"/>
        <v>0</v>
      </c>
      <c r="J37" s="157" t="str">
        <f t="shared" ca="1" si="16"/>
        <v/>
      </c>
      <c r="K37" s="275" t="str">
        <f t="shared" ca="1" si="17"/>
        <v>--------</v>
      </c>
      <c r="L37" s="276"/>
      <c r="M37" s="93">
        <f t="shared" ca="1" si="11"/>
        <v>16</v>
      </c>
      <c r="N37" s="94">
        <f t="shared" ca="1" si="12"/>
        <v>0</v>
      </c>
      <c r="O37" s="95">
        <f t="shared" ca="1" si="13"/>
        <v>0</v>
      </c>
      <c r="P37" s="120" t="str">
        <f t="shared" ca="1" si="14"/>
        <v/>
      </c>
      <c r="Q37" s="120" t="str">
        <f t="shared" ca="1" si="2"/>
        <v>1</v>
      </c>
      <c r="R37" s="184" t="str">
        <f t="shared" ca="1" si="3"/>
        <v/>
      </c>
      <c r="S37" s="185" t="e">
        <f t="shared" ca="1" si="4"/>
        <v>#N/A</v>
      </c>
      <c r="T37" s="186" t="str">
        <f t="shared" ca="1" si="5"/>
        <v/>
      </c>
      <c r="U37" s="194" t="str">
        <f t="shared" ca="1" si="6"/>
        <v/>
      </c>
      <c r="V37" s="197" t="str">
        <f t="shared" ca="1" si="15"/>
        <v/>
      </c>
    </row>
    <row r="38" spans="1:22" ht="12.6" customHeight="1">
      <c r="A38" s="189">
        <f t="shared" ca="1" si="18"/>
        <v>42478</v>
      </c>
      <c r="B38" s="281"/>
      <c r="C38" s="282"/>
      <c r="D38" s="283"/>
      <c r="E38" s="284"/>
      <c r="F38" s="206"/>
      <c r="G38" s="110" t="str">
        <f t="shared" ca="1" si="8"/>
        <v>0,00</v>
      </c>
      <c r="H38" s="111">
        <f t="shared" ca="1" si="9"/>
        <v>0</v>
      </c>
      <c r="I38" s="112">
        <f t="shared" ca="1" si="10"/>
        <v>0</v>
      </c>
      <c r="J38" s="157" t="str">
        <f t="shared" ca="1" si="16"/>
        <v/>
      </c>
      <c r="K38" s="275" t="str">
        <f t="shared" ca="1" si="17"/>
        <v>--------</v>
      </c>
      <c r="L38" s="276"/>
      <c r="M38" s="93">
        <f t="shared" ca="1" si="11"/>
        <v>16</v>
      </c>
      <c r="N38" s="94">
        <f t="shared" ca="1" si="12"/>
        <v>0</v>
      </c>
      <c r="O38" s="95">
        <f t="shared" ca="1" si="13"/>
        <v>0</v>
      </c>
      <c r="P38" s="120" t="str">
        <f t="shared" ca="1" si="14"/>
        <v/>
      </c>
      <c r="Q38" s="120" t="str">
        <f t="shared" ca="1" si="2"/>
        <v>1</v>
      </c>
      <c r="R38" s="184" t="str">
        <f t="shared" ca="1" si="3"/>
        <v/>
      </c>
      <c r="S38" s="185" t="e">
        <f t="shared" ca="1" si="4"/>
        <v>#N/A</v>
      </c>
      <c r="T38" s="186" t="str">
        <f t="shared" ca="1" si="5"/>
        <v/>
      </c>
      <c r="U38" s="194" t="str">
        <f t="shared" ca="1" si="6"/>
        <v/>
      </c>
      <c r="V38" s="197" t="str">
        <f t="shared" ca="1" si="15"/>
        <v/>
      </c>
    </row>
    <row r="39" spans="1:22" ht="12.6" customHeight="1">
      <c r="A39" s="189">
        <f t="shared" ca="1" si="18"/>
        <v>42479</v>
      </c>
      <c r="B39" s="285"/>
      <c r="C39" s="286"/>
      <c r="D39" s="301"/>
      <c r="E39" s="276"/>
      <c r="F39" s="206"/>
      <c r="G39" s="110" t="str">
        <f t="shared" ca="1" si="8"/>
        <v>0,00</v>
      </c>
      <c r="H39" s="111" t="str">
        <f t="shared" ca="1" si="9"/>
        <v/>
      </c>
      <c r="I39" s="112">
        <f t="shared" ca="1" si="10"/>
        <v>0</v>
      </c>
      <c r="J39" s="157" t="str">
        <f t="shared" ca="1" si="16"/>
        <v/>
      </c>
      <c r="K39" s="275" t="str">
        <f t="shared" ca="1" si="17"/>
        <v>--------</v>
      </c>
      <c r="L39" s="276"/>
      <c r="M39" s="93">
        <f t="shared" ca="1" si="11"/>
        <v>17</v>
      </c>
      <c r="N39" s="94">
        <f t="shared" ca="1" si="12"/>
        <v>0</v>
      </c>
      <c r="O39" s="95">
        <f t="shared" ca="1" si="13"/>
        <v>0</v>
      </c>
      <c r="P39" s="120" t="str">
        <f t="shared" ca="1" si="14"/>
        <v/>
      </c>
      <c r="Q39" s="120" t="str">
        <f t="shared" ca="1" si="2"/>
        <v>1</v>
      </c>
      <c r="R39" s="184" t="str">
        <f t="shared" ca="1" si="3"/>
        <v/>
      </c>
      <c r="S39" s="185" t="e">
        <f t="shared" ca="1" si="4"/>
        <v>#N/A</v>
      </c>
      <c r="T39" s="186" t="str">
        <f t="shared" ca="1" si="5"/>
        <v/>
      </c>
      <c r="U39" s="194" t="str">
        <f t="shared" ca="1" si="6"/>
        <v/>
      </c>
      <c r="V39" s="197" t="str">
        <f t="shared" ca="1" si="15"/>
        <v/>
      </c>
    </row>
    <row r="40" spans="1:22" ht="12.6" customHeight="1">
      <c r="A40" s="189">
        <f t="shared" ca="1" si="18"/>
        <v>42480</v>
      </c>
      <c r="B40" s="285"/>
      <c r="C40" s="286"/>
      <c r="D40" s="273"/>
      <c r="E40" s="274"/>
      <c r="F40" s="206"/>
      <c r="G40" s="110" t="str">
        <f t="shared" ca="1" si="8"/>
        <v>0,00</v>
      </c>
      <c r="H40" s="111" t="str">
        <f t="shared" ca="1" si="9"/>
        <v/>
      </c>
      <c r="I40" s="112">
        <f t="shared" ca="1" si="10"/>
        <v>0</v>
      </c>
      <c r="J40" s="157" t="str">
        <f t="shared" ca="1" si="16"/>
        <v/>
      </c>
      <c r="K40" s="275" t="str">
        <f t="shared" ca="1" si="17"/>
        <v>--------</v>
      </c>
      <c r="L40" s="276"/>
      <c r="M40" s="93">
        <f t="shared" ca="1" si="11"/>
        <v>17</v>
      </c>
      <c r="N40" s="94">
        <f t="shared" ca="1" si="12"/>
        <v>0</v>
      </c>
      <c r="O40" s="95">
        <f t="shared" ca="1" si="13"/>
        <v>0</v>
      </c>
      <c r="P40" s="120" t="str">
        <f t="shared" ca="1" si="14"/>
        <v/>
      </c>
      <c r="Q40" s="120" t="str">
        <f t="shared" ca="1" si="2"/>
        <v>1</v>
      </c>
      <c r="R40" s="184" t="str">
        <f t="shared" ca="1" si="3"/>
        <v/>
      </c>
      <c r="S40" s="185" t="e">
        <f t="shared" ca="1" si="4"/>
        <v>#N/A</v>
      </c>
      <c r="T40" s="186" t="str">
        <f t="shared" ca="1" si="5"/>
        <v/>
      </c>
      <c r="U40" s="194" t="str">
        <f t="shared" ca="1" si="6"/>
        <v/>
      </c>
      <c r="V40" s="197" t="str">
        <f t="shared" ca="1" si="15"/>
        <v/>
      </c>
    </row>
    <row r="41" spans="1:22" ht="12.6" customHeight="1">
      <c r="A41" s="189">
        <f t="shared" ca="1" si="18"/>
        <v>42481</v>
      </c>
      <c r="B41" s="285"/>
      <c r="C41" s="286"/>
      <c r="D41" s="273"/>
      <c r="E41" s="274"/>
      <c r="F41" s="206"/>
      <c r="G41" s="110" t="str">
        <f t="shared" ca="1" si="8"/>
        <v>0,00</v>
      </c>
      <c r="H41" s="111" t="str">
        <f t="shared" ca="1" si="9"/>
        <v/>
      </c>
      <c r="I41" s="112">
        <f t="shared" ca="1" si="10"/>
        <v>0</v>
      </c>
      <c r="J41" s="157" t="str">
        <f t="shared" ca="1" si="16"/>
        <v/>
      </c>
      <c r="K41" s="275" t="str">
        <f t="shared" ca="1" si="17"/>
        <v>--------</v>
      </c>
      <c r="L41" s="276"/>
      <c r="M41" s="93">
        <f t="shared" ca="1" si="11"/>
        <v>17</v>
      </c>
      <c r="N41" s="94">
        <f t="shared" ca="1" si="12"/>
        <v>0</v>
      </c>
      <c r="O41" s="95">
        <f t="shared" ca="1" si="13"/>
        <v>0</v>
      </c>
      <c r="P41" s="120" t="str">
        <f t="shared" ca="1" si="14"/>
        <v/>
      </c>
      <c r="Q41" s="120" t="str">
        <f t="shared" ca="1" si="2"/>
        <v>1</v>
      </c>
      <c r="R41" s="184" t="str">
        <f t="shared" ca="1" si="3"/>
        <v/>
      </c>
      <c r="S41" s="185" t="e">
        <f t="shared" ca="1" si="4"/>
        <v>#N/A</v>
      </c>
      <c r="T41" s="186" t="str">
        <f t="shared" ca="1" si="5"/>
        <v/>
      </c>
      <c r="U41" s="194" t="str">
        <f t="shared" ca="1" si="6"/>
        <v/>
      </c>
      <c r="V41" s="197" t="str">
        <f t="shared" ca="1" si="15"/>
        <v/>
      </c>
    </row>
    <row r="42" spans="1:22" ht="12.6" customHeight="1">
      <c r="A42" s="189">
        <f t="shared" ca="1" si="18"/>
        <v>42482</v>
      </c>
      <c r="B42" s="285"/>
      <c r="C42" s="286"/>
      <c r="D42" s="273"/>
      <c r="E42" s="274"/>
      <c r="F42" s="206"/>
      <c r="G42" s="110" t="str">
        <f t="shared" ca="1" si="8"/>
        <v>0,00</v>
      </c>
      <c r="H42" s="111" t="str">
        <f t="shared" ca="1" si="9"/>
        <v/>
      </c>
      <c r="I42" s="112">
        <f t="shared" ca="1" si="10"/>
        <v>0</v>
      </c>
      <c r="J42" s="157" t="str">
        <f t="shared" ca="1" si="16"/>
        <v/>
      </c>
      <c r="K42" s="275" t="str">
        <f t="shared" ca="1" si="17"/>
        <v>--------</v>
      </c>
      <c r="L42" s="276"/>
      <c r="M42" s="93">
        <f t="shared" ca="1" si="11"/>
        <v>17</v>
      </c>
      <c r="N42" s="94">
        <f t="shared" ca="1" si="12"/>
        <v>0</v>
      </c>
      <c r="O42" s="95">
        <f t="shared" ca="1" si="13"/>
        <v>0</v>
      </c>
      <c r="P42" s="120" t="str">
        <f t="shared" ca="1" si="14"/>
        <v/>
      </c>
      <c r="Q42" s="120" t="str">
        <f t="shared" ca="1" si="2"/>
        <v>1</v>
      </c>
      <c r="R42" s="184" t="str">
        <f t="shared" ca="1" si="3"/>
        <v/>
      </c>
      <c r="S42" s="185" t="e">
        <f t="shared" ca="1" si="4"/>
        <v>#N/A</v>
      </c>
      <c r="T42" s="186" t="str">
        <f t="shared" ca="1" si="5"/>
        <v/>
      </c>
      <c r="U42" s="194" t="str">
        <f t="shared" ca="1" si="6"/>
        <v/>
      </c>
      <c r="V42" s="197" t="str">
        <f t="shared" ca="1" si="15"/>
        <v/>
      </c>
    </row>
    <row r="43" spans="1:22" ht="12.6" customHeight="1">
      <c r="A43" s="189">
        <f t="shared" ca="1" si="18"/>
        <v>42483</v>
      </c>
      <c r="B43" s="285"/>
      <c r="C43" s="286"/>
      <c r="D43" s="273"/>
      <c r="E43" s="274"/>
      <c r="F43" s="205"/>
      <c r="G43" s="110" t="str">
        <f t="shared" ca="1" si="8"/>
        <v>0,00</v>
      </c>
      <c r="H43" s="111" t="str">
        <f t="shared" ca="1" si="9"/>
        <v/>
      </c>
      <c r="I43" s="112">
        <f t="shared" ca="1" si="10"/>
        <v>0</v>
      </c>
      <c r="J43" s="157" t="str">
        <f t="shared" ca="1" si="16"/>
        <v/>
      </c>
      <c r="K43" s="275" t="str">
        <f t="shared" ca="1" si="17"/>
        <v>--------</v>
      </c>
      <c r="L43" s="276"/>
      <c r="M43" s="93">
        <f t="shared" ca="1" si="11"/>
        <v>17</v>
      </c>
      <c r="N43" s="94">
        <f t="shared" ca="1" si="12"/>
        <v>0</v>
      </c>
      <c r="O43" s="95">
        <f t="shared" ca="1" si="13"/>
        <v>0</v>
      </c>
      <c r="P43" s="120" t="str">
        <f t="shared" ca="1" si="14"/>
        <v/>
      </c>
      <c r="Q43" s="120" t="str">
        <f t="shared" ca="1" si="2"/>
        <v>1</v>
      </c>
      <c r="R43" s="184" t="str">
        <f t="shared" ca="1" si="3"/>
        <v/>
      </c>
      <c r="S43" s="185" t="e">
        <f ca="1">VLOOKUP(A43,$Q$77:$S$92,2,FALSE)</f>
        <v>#N/A</v>
      </c>
      <c r="T43" s="186" t="str">
        <f t="shared" ca="1" si="5"/>
        <v/>
      </c>
      <c r="U43" s="194" t="str">
        <f t="shared" ca="1" si="6"/>
        <v/>
      </c>
      <c r="V43" s="197" t="str">
        <f t="shared" ca="1" si="15"/>
        <v/>
      </c>
    </row>
    <row r="44" spans="1:22" ht="12.6" customHeight="1">
      <c r="A44" s="189">
        <f t="shared" ca="1" si="18"/>
        <v>42484</v>
      </c>
      <c r="B44" s="285"/>
      <c r="C44" s="286"/>
      <c r="D44" s="273"/>
      <c r="E44" s="274"/>
      <c r="F44" s="205"/>
      <c r="G44" s="110" t="str">
        <f t="shared" ca="1" si="8"/>
        <v>0,00</v>
      </c>
      <c r="H44" s="111" t="str">
        <f t="shared" ca="1" si="9"/>
        <v/>
      </c>
      <c r="I44" s="112">
        <f t="shared" ca="1" si="10"/>
        <v>0</v>
      </c>
      <c r="J44" s="157" t="str">
        <f t="shared" ca="1" si="16"/>
        <v/>
      </c>
      <c r="K44" s="275" t="str">
        <f t="shared" ca="1" si="17"/>
        <v>--------</v>
      </c>
      <c r="L44" s="276"/>
      <c r="M44" s="93">
        <f t="shared" ca="1" si="11"/>
        <v>17</v>
      </c>
      <c r="N44" s="94">
        <f t="shared" ca="1" si="12"/>
        <v>0</v>
      </c>
      <c r="O44" s="95">
        <f t="shared" ca="1" si="13"/>
        <v>0</v>
      </c>
      <c r="P44" s="120" t="str">
        <f t="shared" ca="1" si="14"/>
        <v/>
      </c>
      <c r="Q44" s="120" t="str">
        <f t="shared" ca="1" si="2"/>
        <v>1</v>
      </c>
      <c r="R44" s="184" t="str">
        <f t="shared" ca="1" si="3"/>
        <v/>
      </c>
      <c r="S44" s="185" t="e">
        <f t="shared" ca="1" si="4"/>
        <v>#N/A</v>
      </c>
      <c r="T44" s="186" t="str">
        <f t="shared" ca="1" si="5"/>
        <v/>
      </c>
      <c r="U44" s="194" t="str">
        <f t="shared" ca="1" si="6"/>
        <v/>
      </c>
      <c r="V44" s="197" t="str">
        <f t="shared" ca="1" si="15"/>
        <v/>
      </c>
    </row>
    <row r="45" spans="1:22" ht="12.6" customHeight="1">
      <c r="A45" s="189">
        <f t="shared" ca="1" si="18"/>
        <v>42485</v>
      </c>
      <c r="B45" s="308"/>
      <c r="C45" s="309"/>
      <c r="D45" s="308"/>
      <c r="E45" s="309"/>
      <c r="F45" s="206"/>
      <c r="G45" s="110" t="str">
        <f t="shared" ca="1" si="8"/>
        <v>0,00</v>
      </c>
      <c r="H45" s="111">
        <f t="shared" ca="1" si="9"/>
        <v>0</v>
      </c>
      <c r="I45" s="112">
        <f t="shared" ca="1" si="10"/>
        <v>0</v>
      </c>
      <c r="J45" s="157" t="str">
        <f t="shared" ca="1" si="16"/>
        <v/>
      </c>
      <c r="K45" s="275" t="str">
        <f t="shared" ca="1" si="17"/>
        <v>--------</v>
      </c>
      <c r="L45" s="276"/>
      <c r="M45" s="93">
        <f t="shared" ca="1" si="11"/>
        <v>17</v>
      </c>
      <c r="N45" s="94">
        <f t="shared" ca="1" si="12"/>
        <v>0</v>
      </c>
      <c r="O45" s="95">
        <f t="shared" ca="1" si="13"/>
        <v>0</v>
      </c>
      <c r="P45" s="120" t="str">
        <f t="shared" ca="1" si="14"/>
        <v/>
      </c>
      <c r="Q45" s="120" t="str">
        <f t="shared" ca="1" si="2"/>
        <v>1</v>
      </c>
      <c r="R45" s="184" t="str">
        <f t="shared" ca="1" si="3"/>
        <v/>
      </c>
      <c r="S45" s="185" t="e">
        <f t="shared" ca="1" si="4"/>
        <v>#N/A</v>
      </c>
      <c r="T45" s="186" t="str">
        <f t="shared" ca="1" si="5"/>
        <v/>
      </c>
      <c r="U45" s="194" t="str">
        <f t="shared" ca="1" si="6"/>
        <v/>
      </c>
      <c r="V45" s="197" t="str">
        <f t="shared" ca="1" si="15"/>
        <v/>
      </c>
    </row>
    <row r="46" spans="1:22" ht="12.6" customHeight="1">
      <c r="A46" s="189">
        <f t="shared" ca="1" si="18"/>
        <v>42486</v>
      </c>
      <c r="B46" s="308"/>
      <c r="C46" s="309"/>
      <c r="D46" s="313"/>
      <c r="E46" s="314"/>
      <c r="F46" s="206"/>
      <c r="G46" s="110" t="str">
        <f t="shared" ca="1" si="8"/>
        <v>0,00</v>
      </c>
      <c r="H46" s="111" t="str">
        <f t="shared" ca="1" si="9"/>
        <v/>
      </c>
      <c r="I46" s="112">
        <f t="shared" ca="1" si="10"/>
        <v>0</v>
      </c>
      <c r="J46" s="157" t="str">
        <f t="shared" ca="1" si="16"/>
        <v/>
      </c>
      <c r="K46" s="275" t="str">
        <f t="shared" ca="1" si="17"/>
        <v>--------</v>
      </c>
      <c r="L46" s="276"/>
      <c r="M46" s="93">
        <f t="shared" ca="1" si="11"/>
        <v>18</v>
      </c>
      <c r="N46" s="94">
        <f t="shared" ca="1" si="12"/>
        <v>0</v>
      </c>
      <c r="O46" s="95">
        <f t="shared" ca="1" si="13"/>
        <v>0</v>
      </c>
      <c r="P46" s="120" t="str">
        <f t="shared" ca="1" si="14"/>
        <v/>
      </c>
      <c r="Q46" s="120" t="str">
        <f t="shared" ca="1" si="2"/>
        <v>1</v>
      </c>
      <c r="R46" s="184" t="str">
        <f t="shared" ca="1" si="3"/>
        <v/>
      </c>
      <c r="S46" s="185" t="e">
        <f t="shared" ca="1" si="4"/>
        <v>#N/A</v>
      </c>
      <c r="T46" s="186" t="str">
        <f t="shared" ca="1" si="5"/>
        <v/>
      </c>
      <c r="U46" s="194" t="str">
        <f t="shared" ca="1" si="6"/>
        <v/>
      </c>
      <c r="V46" s="197" t="str">
        <f t="shared" ca="1" si="15"/>
        <v/>
      </c>
    </row>
    <row r="47" spans="1:22" ht="12.6" customHeight="1">
      <c r="A47" s="189">
        <f t="shared" ca="1" si="18"/>
        <v>42487</v>
      </c>
      <c r="B47" s="308"/>
      <c r="C47" s="309"/>
      <c r="D47" s="309"/>
      <c r="E47" s="309"/>
      <c r="F47" s="206"/>
      <c r="G47" s="110" t="str">
        <f t="shared" ca="1" si="8"/>
        <v>0,00</v>
      </c>
      <c r="H47" s="111" t="str">
        <f t="shared" ca="1" si="9"/>
        <v/>
      </c>
      <c r="I47" s="112">
        <f t="shared" ca="1" si="10"/>
        <v>0</v>
      </c>
      <c r="J47" s="157" t="str">
        <f t="shared" ca="1" si="16"/>
        <v/>
      </c>
      <c r="K47" s="275" t="str">
        <f t="shared" ca="1" si="17"/>
        <v>--------</v>
      </c>
      <c r="L47" s="276"/>
      <c r="M47" s="93">
        <f t="shared" ca="1" si="11"/>
        <v>18</v>
      </c>
      <c r="N47" s="94">
        <f t="shared" ca="1" si="12"/>
        <v>0</v>
      </c>
      <c r="O47" s="95">
        <f t="shared" ca="1" si="13"/>
        <v>0</v>
      </c>
      <c r="P47" s="120" t="str">
        <f t="shared" ca="1" si="14"/>
        <v/>
      </c>
      <c r="Q47" s="120" t="str">
        <f t="shared" ca="1" si="2"/>
        <v>1</v>
      </c>
      <c r="R47" s="184" t="str">
        <f t="shared" ca="1" si="3"/>
        <v/>
      </c>
      <c r="S47" s="185" t="e">
        <f t="shared" ca="1" si="4"/>
        <v>#N/A</v>
      </c>
      <c r="T47" s="186" t="str">
        <f t="shared" ca="1" si="5"/>
        <v/>
      </c>
      <c r="U47" s="194" t="str">
        <f t="shared" ca="1" si="6"/>
        <v/>
      </c>
      <c r="V47" s="197" t="str">
        <f t="shared" ca="1" si="15"/>
        <v/>
      </c>
    </row>
    <row r="48" spans="1:22" ht="12.6" customHeight="1">
      <c r="A48" s="189">
        <f t="shared" ca="1" si="18"/>
        <v>42488</v>
      </c>
      <c r="B48" s="285"/>
      <c r="C48" s="286"/>
      <c r="D48" s="273"/>
      <c r="E48" s="274"/>
      <c r="F48" s="206"/>
      <c r="G48" s="110" t="str">
        <f t="shared" ca="1" si="8"/>
        <v>0,00</v>
      </c>
      <c r="H48" s="111" t="str">
        <f t="shared" ca="1" si="9"/>
        <v/>
      </c>
      <c r="I48" s="112">
        <f t="shared" ca="1" si="10"/>
        <v>0</v>
      </c>
      <c r="J48" s="157" t="str">
        <f t="shared" ca="1" si="16"/>
        <v/>
      </c>
      <c r="K48" s="275" t="str">
        <f t="shared" ca="1" si="17"/>
        <v>--------</v>
      </c>
      <c r="L48" s="276"/>
      <c r="M48" s="93">
        <f t="shared" ca="1" si="11"/>
        <v>18</v>
      </c>
      <c r="N48" s="94">
        <f t="shared" ca="1" si="12"/>
        <v>0</v>
      </c>
      <c r="O48" s="95">
        <f t="shared" ca="1" si="13"/>
        <v>0</v>
      </c>
      <c r="P48" s="120" t="str">
        <f t="shared" ca="1" si="14"/>
        <v/>
      </c>
      <c r="Q48" s="120" t="str">
        <f t="shared" ca="1" si="2"/>
        <v>1</v>
      </c>
      <c r="R48" s="184" t="str">
        <f t="shared" ca="1" si="3"/>
        <v/>
      </c>
      <c r="S48" s="185" t="e">
        <f t="shared" ca="1" si="4"/>
        <v>#N/A</v>
      </c>
      <c r="T48" s="186" t="str">
        <f t="shared" ca="1" si="5"/>
        <v/>
      </c>
      <c r="U48" s="194" t="str">
        <f t="shared" ca="1" si="6"/>
        <v/>
      </c>
      <c r="V48" s="197" t="str">
        <f t="shared" ca="1" si="15"/>
        <v/>
      </c>
    </row>
    <row r="49" spans="1:22" ht="12.6" customHeight="1">
      <c r="A49" s="189">
        <f t="shared" ca="1" si="18"/>
        <v>42489</v>
      </c>
      <c r="B49" s="285"/>
      <c r="C49" s="286"/>
      <c r="D49" s="273"/>
      <c r="E49" s="274"/>
      <c r="F49" s="206"/>
      <c r="G49" s="110" t="str">
        <f t="shared" ca="1" si="8"/>
        <v>0,00</v>
      </c>
      <c r="H49" s="111" t="str">
        <f t="shared" ca="1" si="9"/>
        <v/>
      </c>
      <c r="I49" s="112">
        <f t="shared" ca="1" si="10"/>
        <v>0</v>
      </c>
      <c r="J49" s="157" t="str">
        <f t="shared" ca="1" si="16"/>
        <v/>
      </c>
      <c r="K49" s="275" t="str">
        <f t="shared" ca="1" si="17"/>
        <v>--------</v>
      </c>
      <c r="L49" s="276"/>
      <c r="M49" s="93">
        <f t="shared" ca="1" si="11"/>
        <v>18</v>
      </c>
      <c r="N49" s="94">
        <f t="shared" ca="1" si="12"/>
        <v>0</v>
      </c>
      <c r="O49" s="95">
        <f t="shared" ca="1" si="13"/>
        <v>0</v>
      </c>
      <c r="P49" s="120" t="str">
        <f t="shared" ca="1" si="14"/>
        <v/>
      </c>
      <c r="Q49" s="120" t="str">
        <f t="shared" ca="1" si="2"/>
        <v>1</v>
      </c>
      <c r="R49" s="184" t="str">
        <f t="shared" ca="1" si="3"/>
        <v/>
      </c>
      <c r="S49" s="185" t="e">
        <f t="shared" ca="1" si="4"/>
        <v>#N/A</v>
      </c>
      <c r="T49" s="186" t="str">
        <f t="shared" ca="1" si="5"/>
        <v/>
      </c>
      <c r="U49" s="194" t="str">
        <f t="shared" ca="1" si="6"/>
        <v/>
      </c>
      <c r="V49" s="197" t="str">
        <f t="shared" ca="1" si="15"/>
        <v/>
      </c>
    </row>
    <row r="50" spans="1:22" ht="12.6" customHeight="1" thickBot="1">
      <c r="A50" s="191">
        <f t="shared" ca="1" si="18"/>
        <v>0</v>
      </c>
      <c r="B50" s="293"/>
      <c r="C50" s="294"/>
      <c r="D50" s="295"/>
      <c r="E50" s="296"/>
      <c r="F50" s="204"/>
      <c r="G50" s="135" t="str">
        <f ca="1">IF(OR(A50&lt;$C$14,A50&gt;$F$14,A50&gt;TODAY()),"0,00",IF(ISBLANK($C$14),"0,00",(D50-B50-F50)))</f>
        <v>0,00</v>
      </c>
      <c r="H50" s="136" t="str">
        <f t="shared" ca="1" si="9"/>
        <v/>
      </c>
      <c r="I50" s="137">
        <f t="shared" ca="1" si="10"/>
        <v>0</v>
      </c>
      <c r="J50" s="158" t="str">
        <f t="shared" ca="1" si="16"/>
        <v/>
      </c>
      <c r="K50" s="318" t="str">
        <f t="shared" ca="1" si="17"/>
        <v>--------</v>
      </c>
      <c r="L50" s="296"/>
      <c r="M50" s="93" t="str">
        <f ca="1">IF(A50&gt;DATE(1904,1,1),WEEKNUM(A50,2),"")</f>
        <v/>
      </c>
      <c r="N50" s="94">
        <f t="shared" ca="1" si="12"/>
        <v>0</v>
      </c>
      <c r="O50" s="95">
        <f t="shared" ca="1" si="13"/>
        <v>0</v>
      </c>
      <c r="P50" s="120" t="str">
        <f t="shared" ca="1" si="14"/>
        <v/>
      </c>
      <c r="Q50" s="120" t="str">
        <f t="shared" ca="1" si="2"/>
        <v/>
      </c>
      <c r="R50" s="184" t="str">
        <f t="shared" ca="1" si="3"/>
        <v/>
      </c>
      <c r="S50" s="185" t="e">
        <f t="shared" ca="1" si="4"/>
        <v>#N/A</v>
      </c>
      <c r="T50" s="186" t="str">
        <f ca="1">IF(ISNA(S50),"",S50)</f>
        <v/>
      </c>
      <c r="U50" s="195" t="str">
        <f t="shared" ca="1" si="6"/>
        <v/>
      </c>
      <c r="V50" s="197" t="str">
        <f t="shared" ca="1" si="15"/>
        <v/>
      </c>
    </row>
    <row r="51" spans="1:22" ht="11.25" customHeight="1">
      <c r="A51" s="19"/>
      <c r="B51" s="43"/>
      <c r="C51" s="43"/>
      <c r="D51" s="43"/>
      <c r="E51" s="20"/>
      <c r="I51" s="42"/>
      <c r="K51" s="21"/>
      <c r="L51" s="11"/>
      <c r="M51" s="143"/>
      <c r="N51" s="230"/>
      <c r="O51" s="59"/>
      <c r="S51" s="183"/>
      <c r="V51" s="198">
        <f ca="1">COUNTIF(V20:V50,"!")</f>
        <v>0</v>
      </c>
    </row>
    <row r="52" spans="1:22" ht="14.1" customHeight="1">
      <c r="D52" s="104"/>
      <c r="E52" s="22"/>
      <c r="F52" s="140" t="s">
        <v>29</v>
      </c>
      <c r="G52" s="141">
        <f ca="1">IF($G$16="Sie haben Ihr Arbeitszeitkonto überschritten, bitte erstellen Sie ein neues Konto","",SUM($G$20:$G$50))</f>
        <v>0</v>
      </c>
      <c r="H52" s="130" t="s">
        <v>30</v>
      </c>
      <c r="J52" s="142">
        <f ca="1">IF($G$16="Sie haben Ihr Arbeitszeitkonto überschritten, bitte erstellen Sie ein neues Konto","",IF(ISNA($H$56),0,IF($H$56&gt;$D$53,($D$53+$D$54),($H$56+$D$54))))</f>
        <v>0</v>
      </c>
      <c r="K52" s="290" t="str">
        <f ca="1">IF(ISNA($E$56),"",IF($E$56&gt;$D$53,"Kappung erfolgt",""))</f>
        <v/>
      </c>
      <c r="L52" s="290"/>
      <c r="M52" s="143"/>
      <c r="N52" s="230">
        <f ca="1">SUM(N20:N50)</f>
        <v>0</v>
      </c>
      <c r="O52" s="59"/>
    </row>
    <row r="53" spans="1:22">
      <c r="A53" s="100" t="s">
        <v>26</v>
      </c>
      <c r="B53" s="100"/>
      <c r="C53" s="100"/>
      <c r="D53" s="101">
        <f ca="1">$N$52*0.5</f>
        <v>0</v>
      </c>
      <c r="E53" s="23"/>
      <c r="F53" s="23"/>
      <c r="G53" s="24"/>
      <c r="H53" s="2"/>
      <c r="I53" s="2"/>
      <c r="K53" s="127"/>
      <c r="L53" s="127"/>
      <c r="M53" s="143"/>
      <c r="N53" s="38">
        <f ca="1">SUM(N20:N50)</f>
        <v>0</v>
      </c>
      <c r="O53" s="60"/>
    </row>
    <row r="54" spans="1:22">
      <c r="A54" s="215" t="s">
        <v>25</v>
      </c>
      <c r="B54" s="215"/>
      <c r="C54" s="215"/>
      <c r="D54" s="102">
        <f ca="1">$M$16</f>
        <v>0</v>
      </c>
      <c r="F54" s="106"/>
      <c r="G54" s="106"/>
      <c r="H54" s="299" t="str">
        <f ca="1">IF($K$52="Kappung erfolgt","INFO: (Gekappte Std.: "&amp;$J$56,"")</f>
        <v/>
      </c>
      <c r="I54" s="299"/>
      <c r="J54" s="299"/>
      <c r="K54" s="127" t="str">
        <f ca="1">IF($K$52="Kappung erfolgt","von insg. "&amp;$L$56&amp;" Mehrstunden)","")</f>
        <v/>
      </c>
      <c r="L54" s="131"/>
      <c r="M54" s="143"/>
      <c r="N54" s="28">
        <f>IF($A$55="Wg.Unterbrechung  keine Stundenübernahme möglich! Bitte Angaben prüfen","1",0)</f>
        <v>0</v>
      </c>
      <c r="P54" s="164"/>
      <c r="Q54" s="164"/>
      <c r="R54" s="164"/>
      <c r="S54" s="164"/>
      <c r="T54" s="164"/>
      <c r="U54" s="164"/>
      <c r="V54" s="164"/>
    </row>
    <row r="55" spans="1:22">
      <c r="A55" s="319" t="str">
        <f>IF($H$14="Achtung! Stundennachweis unterbrochen","Wg.Unterbrechung  keine Stundenübernahme möglich! Bitte Angaben prüfen","")</f>
        <v/>
      </c>
      <c r="B55" s="319"/>
      <c r="C55" s="319"/>
      <c r="D55" s="319"/>
      <c r="E55" s="319"/>
      <c r="F55" s="319"/>
      <c r="G55" s="2"/>
      <c r="M55" s="143"/>
      <c r="N55" s="123" t="str">
        <f>IF($N$54&gt;0,($D$54*-1),"0:00")</f>
        <v>0:00</v>
      </c>
      <c r="O55" s="239" t="str">
        <f ca="1">IF(O50="",0,"")</f>
        <v/>
      </c>
    </row>
    <row r="56" spans="1:22" hidden="1">
      <c r="E56" s="232">
        <f>+H56-F56</f>
        <v>-6.9444444444444447E-4</v>
      </c>
      <c r="F56" s="60">
        <v>6.9444444444444447E-4</v>
      </c>
      <c r="G56" s="124">
        <f ca="1">+$H$56+$D$54</f>
        <v>0</v>
      </c>
      <c r="H56" s="38">
        <f>IF($C$14&gt;DATE(1904,1,1),LOOKUP(10000000,O19:O99),0)</f>
        <v>0</v>
      </c>
      <c r="I56" s="60">
        <f ca="1">+($H$56+$N$16)-J52</f>
        <v>0</v>
      </c>
      <c r="J56" s="233">
        <f ca="1">ROUND(I56*24,2)</f>
        <v>0</v>
      </c>
      <c r="K56">
        <f ca="1">($H$56+$N$16)*24</f>
        <v>0</v>
      </c>
      <c r="L56">
        <f ca="1">ROUND(K56,1)</f>
        <v>0</v>
      </c>
      <c r="M56" s="143"/>
      <c r="N56" s="28"/>
    </row>
    <row r="57" spans="1:22">
      <c r="A57" s="322" t="str">
        <f ca="1">IF(V51&gt;0,"Achtung! Bitte bei den blau markierten Feldern die Regelstunden eintragen.","")</f>
        <v/>
      </c>
      <c r="B57" s="322"/>
      <c r="C57" s="322"/>
      <c r="D57" s="322"/>
      <c r="E57" s="322"/>
      <c r="F57" s="322"/>
      <c r="G57" s="199"/>
      <c r="H57">
        <f>IF($C$14&gt;DATE(1904,1,1),LOOKUP(10000000,O19:O52),0)</f>
        <v>0</v>
      </c>
      <c r="M57" s="143"/>
      <c r="N57" s="28"/>
      <c r="Q57" s="251" t="s">
        <v>32</v>
      </c>
      <c r="R57" s="251"/>
      <c r="S57" s="251"/>
      <c r="T57" s="251"/>
    </row>
    <row r="58" spans="1:22">
      <c r="A58" s="25"/>
      <c r="B58" s="25"/>
      <c r="C58" s="38"/>
      <c r="D58" s="26"/>
      <c r="E58" s="27"/>
      <c r="F58" s="144"/>
      <c r="G58" s="2"/>
      <c r="H58" s="38"/>
      <c r="J58" s="132"/>
      <c r="M58" s="219"/>
      <c r="N58" s="219"/>
      <c r="O58" s="219"/>
      <c r="Q58" s="250">
        <f>+F14-C14</f>
        <v>0</v>
      </c>
      <c r="R58" s="250"/>
    </row>
    <row r="59" spans="1:22">
      <c r="A59" s="25"/>
      <c r="B59" s="25"/>
      <c r="C59" s="38"/>
      <c r="D59" s="26"/>
      <c r="E59" s="27"/>
      <c r="F59" s="144"/>
      <c r="G59" s="2"/>
      <c r="H59" s="145"/>
      <c r="M59" s="143"/>
      <c r="N59" s="28"/>
      <c r="Q59" s="252" t="s">
        <v>33</v>
      </c>
      <c r="R59" s="252"/>
      <c r="S59" s="252"/>
      <c r="T59" s="252"/>
      <c r="U59" s="252"/>
      <c r="V59" s="252"/>
    </row>
    <row r="60" spans="1:22" ht="12.75" customHeight="1">
      <c r="A60" s="29"/>
      <c r="B60" s="11"/>
      <c r="C60" s="11"/>
      <c r="D60" s="11"/>
      <c r="E60" s="11"/>
      <c r="F60" s="11"/>
      <c r="G60" s="11"/>
      <c r="H60" s="30"/>
      <c r="I60" s="30"/>
      <c r="J60" s="31"/>
      <c r="K60" s="31"/>
      <c r="L60" s="31"/>
      <c r="M60" s="143"/>
      <c r="N60" s="28"/>
    </row>
    <row r="61" spans="1:22" ht="12.75" customHeight="1">
      <c r="A61" s="226"/>
      <c r="B61" s="34"/>
      <c r="C61" s="34"/>
      <c r="D61" s="34"/>
      <c r="E61" s="34"/>
      <c r="F61" s="11"/>
      <c r="G61" s="11"/>
      <c r="H61" s="34"/>
      <c r="I61" s="34"/>
      <c r="J61" s="35"/>
      <c r="K61" s="35"/>
      <c r="L61" s="35"/>
    </row>
    <row r="62" spans="1:22" ht="18.75" customHeight="1" thickBot="1">
      <c r="A62" s="203" t="s">
        <v>18</v>
      </c>
      <c r="B62" s="292" t="s">
        <v>19</v>
      </c>
      <c r="C62" s="292"/>
      <c r="D62" s="292"/>
      <c r="E62" s="292"/>
      <c r="F62" s="3"/>
      <c r="G62" s="36" t="s">
        <v>18</v>
      </c>
      <c r="H62" s="292" t="s">
        <v>20</v>
      </c>
      <c r="I62" s="292"/>
      <c r="J62" s="292"/>
      <c r="K62" s="292"/>
      <c r="L62" s="292"/>
    </row>
    <row r="63" spans="1:22" ht="17.25" thickTop="1" thickBot="1">
      <c r="P63" s="160">
        <f ca="1">YEAR($B$17)</f>
        <v>2020</v>
      </c>
      <c r="Q63" s="3"/>
    </row>
    <row r="64" spans="1:22" ht="15.75" thickTop="1">
      <c r="O64" s="218"/>
      <c r="Q64" s="3">
        <f ca="1">MOD(P63,19)</f>
        <v>6</v>
      </c>
      <c r="R64" s="287" t="s">
        <v>34</v>
      </c>
      <c r="S64" s="287"/>
      <c r="T64" s="231"/>
    </row>
    <row r="65" spans="16:20">
      <c r="P65" s="3"/>
      <c r="Q65" s="3">
        <f ca="1">MOD(P63,4)</f>
        <v>0</v>
      </c>
    </row>
    <row r="66" spans="16:20">
      <c r="P66" s="3"/>
      <c r="Q66" s="3">
        <f ca="1">MOD(P63,7)</f>
        <v>4</v>
      </c>
    </row>
    <row r="67" spans="16:20">
      <c r="P67" s="3"/>
      <c r="Q67" s="3">
        <f ca="1">TRUNC((8*(TRUNC(P63/100))+13)/25)-2</f>
        <v>4</v>
      </c>
    </row>
    <row r="68" spans="16:20">
      <c r="P68" s="3"/>
      <c r="Q68" s="3">
        <f ca="1">TRUNC(P63/100)-TRUNC(P63/400)-2</f>
        <v>13</v>
      </c>
    </row>
    <row r="69" spans="16:20">
      <c r="P69" s="3"/>
      <c r="Q69" s="3">
        <f ca="1">MOD(15+Q68-Q67,30)</f>
        <v>24</v>
      </c>
    </row>
    <row r="70" spans="16:20">
      <c r="P70" s="161"/>
      <c r="Q70" s="3">
        <f ca="1">MOD(6+Q68,7)</f>
        <v>5</v>
      </c>
    </row>
    <row r="71" spans="16:20">
      <c r="P71" s="3"/>
      <c r="Q71" s="3">
        <f ca="1">MOD(Q69+19*Q64,30)</f>
        <v>18</v>
      </c>
    </row>
    <row r="72" spans="16:20">
      <c r="P72" s="3"/>
      <c r="Q72" s="3">
        <f ca="1">IF(Q71=29,28,IF(AND(Q71=28,Q64&gt;=11),27,IF(AND(Q71&lt;28,Q71&gt;29),,Q71)))</f>
        <v>18</v>
      </c>
    </row>
    <row r="73" spans="16:20">
      <c r="P73" s="3"/>
      <c r="Q73" s="3">
        <f ca="1">MOD(2*Q65+4*Q66+6*Q72+Q70,7)</f>
        <v>3</v>
      </c>
    </row>
    <row r="74" spans="16:20">
      <c r="P74" s="3"/>
      <c r="Q74" s="3">
        <f ca="1">Q72+Q73+1</f>
        <v>22</v>
      </c>
    </row>
    <row r="75" spans="16:20">
      <c r="P75" s="3"/>
      <c r="Q75" s="3">
        <f>DATEVALUE("21.märz")</f>
        <v>40988</v>
      </c>
    </row>
    <row r="77" spans="16:20">
      <c r="P77" s="183"/>
      <c r="Q77" s="228">
        <f ca="1">+T77</f>
        <v>42369</v>
      </c>
      <c r="R77" s="30" t="s">
        <v>35</v>
      </c>
      <c r="T77" s="229">
        <f ca="1">DATE($P$63,1,1)</f>
        <v>42369</v>
      </c>
    </row>
    <row r="78" spans="16:20">
      <c r="P78" s="2"/>
      <c r="Q78" s="220">
        <f ca="1">+$Q$80-2</f>
        <v>42469</v>
      </c>
      <c r="R78" s="30" t="s">
        <v>36</v>
      </c>
      <c r="S78" s="221"/>
      <c r="T78" s="2"/>
    </row>
    <row r="79" spans="16:20">
      <c r="P79" s="2"/>
      <c r="Q79" s="220">
        <f ca="1">+Q80-1</f>
        <v>42470</v>
      </c>
      <c r="R79" s="30" t="s">
        <v>37</v>
      </c>
      <c r="S79" s="221"/>
      <c r="T79" s="2"/>
    </row>
    <row r="80" spans="16:20">
      <c r="P80" s="222">
        <f ca="1">IF(R80="Ostersonntag",Q74+Q75,"")</f>
        <v>41010</v>
      </c>
      <c r="Q80" s="220">
        <f ca="1">T80</f>
        <v>42471</v>
      </c>
      <c r="R80" s="181" t="str">
        <f ca="1">IF(P63&lt;1583,"Der gregorianische Kalender gilt erst seit dem 15.10.1582  !!!",IF(P63&gt;8202,"Die gauß´sche Osterformel gilt nur bis zum Jahre    8202  !!!","Ostersonntag"))</f>
        <v>Ostersonntag</v>
      </c>
      <c r="S80">
        <f ca="1">DAY(T81)</f>
        <v>12</v>
      </c>
      <c r="T80" s="146">
        <f ca="1">DATE($P$63,S81,S80)</f>
        <v>42471</v>
      </c>
    </row>
    <row r="81" spans="15:20">
      <c r="P81" s="2"/>
      <c r="Q81" s="220">
        <f ca="1">+Q80+1</f>
        <v>42472</v>
      </c>
      <c r="R81" s="223" t="s">
        <v>38</v>
      </c>
      <c r="S81" s="182">
        <f ca="1">MONTH(P80)</f>
        <v>4</v>
      </c>
      <c r="T81" s="183" t="str">
        <f ca="1">DAY(P80)&amp;"."&amp;MONTH(P80)&amp;"."&amp;YEAR($B$17)</f>
        <v>12.4.2020</v>
      </c>
    </row>
    <row r="82" spans="15:20">
      <c r="O82" s="183"/>
      <c r="P82" s="2"/>
      <c r="Q82" s="220">
        <v>40846</v>
      </c>
      <c r="R82" s="224" t="s">
        <v>50</v>
      </c>
      <c r="S82" s="221"/>
      <c r="T82" s="2"/>
    </row>
    <row r="83" spans="15:20">
      <c r="P83" s="2"/>
      <c r="Q83" s="220">
        <f ca="1">+T83</f>
        <v>42490</v>
      </c>
      <c r="R83" s="224" t="s">
        <v>39</v>
      </c>
      <c r="S83" s="221"/>
      <c r="T83" s="144">
        <f ca="1">DATE($P$63,5,1)</f>
        <v>42490</v>
      </c>
    </row>
    <row r="84" spans="15:20">
      <c r="P84" s="2"/>
      <c r="Q84" s="220">
        <f ca="1">+Q80+39</f>
        <v>42510</v>
      </c>
      <c r="R84" s="224" t="s">
        <v>40</v>
      </c>
      <c r="S84" s="221"/>
      <c r="T84" s="2"/>
    </row>
    <row r="85" spans="15:20">
      <c r="P85" s="2"/>
      <c r="Q85" s="220">
        <f ca="1">+Q80+49</f>
        <v>42520</v>
      </c>
      <c r="R85" s="224" t="s">
        <v>41</v>
      </c>
      <c r="S85" s="221"/>
      <c r="T85" s="2"/>
    </row>
    <row r="86" spans="15:20">
      <c r="P86" s="2"/>
      <c r="Q86" s="220">
        <f ca="1">+Q85+1</f>
        <v>42521</v>
      </c>
      <c r="R86" s="224" t="s">
        <v>42</v>
      </c>
      <c r="S86" s="221"/>
      <c r="T86" s="2"/>
    </row>
    <row r="87" spans="15:20">
      <c r="P87" s="2"/>
      <c r="Q87" s="220">
        <f ca="1">+Q80+60</f>
        <v>42531</v>
      </c>
      <c r="R87" s="224" t="s">
        <v>43</v>
      </c>
      <c r="S87" s="221"/>
      <c r="T87" s="2"/>
    </row>
    <row r="88" spans="15:20">
      <c r="P88" s="2"/>
      <c r="Q88" s="220">
        <f ca="1">+T88</f>
        <v>42645</v>
      </c>
      <c r="R88" s="224" t="s">
        <v>44</v>
      </c>
      <c r="S88" s="221"/>
      <c r="T88" s="144">
        <f ca="1">DATE($P$63,10,3)</f>
        <v>42645</v>
      </c>
    </row>
    <row r="89" spans="15:20">
      <c r="P89" s="2"/>
      <c r="Q89" s="220">
        <f ca="1">+T89</f>
        <v>42727</v>
      </c>
      <c r="R89" s="224" t="s">
        <v>45</v>
      </c>
      <c r="S89" s="221"/>
      <c r="T89" s="144">
        <f ca="1">DATE($P$63,12,24)</f>
        <v>42727</v>
      </c>
    </row>
    <row r="90" spans="15:20">
      <c r="P90" s="2"/>
      <c r="Q90" s="220">
        <f ca="1">+Q89+1</f>
        <v>42728</v>
      </c>
      <c r="R90" s="221" t="s">
        <v>46</v>
      </c>
      <c r="S90" s="221"/>
      <c r="T90" s="2"/>
    </row>
    <row r="91" spans="15:20">
      <c r="P91" s="2"/>
      <c r="Q91" s="220">
        <f ca="1">Q90+1</f>
        <v>42729</v>
      </c>
      <c r="R91" s="224" t="s">
        <v>47</v>
      </c>
      <c r="S91" s="221"/>
      <c r="T91" s="2"/>
    </row>
    <row r="92" spans="15:20">
      <c r="P92" s="2"/>
      <c r="Q92" s="220">
        <f ca="1">+Q91+5</f>
        <v>42734</v>
      </c>
      <c r="R92" s="224" t="s">
        <v>48</v>
      </c>
      <c r="S92" s="221"/>
      <c r="T92" s="2"/>
    </row>
    <row r="93" spans="15:20">
      <c r="P93" s="2"/>
      <c r="Q93" s="220"/>
      <c r="R93" s="224"/>
      <c r="S93" s="221"/>
      <c r="T93" s="2"/>
    </row>
    <row r="94" spans="15:20">
      <c r="P94" s="2"/>
      <c r="Q94" s="220"/>
      <c r="R94" s="224"/>
      <c r="S94" s="221"/>
      <c r="T94" s="2"/>
    </row>
    <row r="95" spans="15:20">
      <c r="P95" s="180"/>
      <c r="Q95" s="180"/>
    </row>
  </sheetData>
  <sheetProtection algorithmName="SHA-512" hashValue="dpXbf0rHilVyFoYFWfFfeeGI2mfbNkyz4lH47KTGCV27VbuFneKFC3Bg9vowKpN323qFWSYg6WGjwx+exAeJUw==" saltValue="z/fGWhB59odjmJffp6i7BQ==" spinCount="100000" sheet="1" objects="1" scenarios="1" selectLockedCells="1"/>
  <mergeCells count="137">
    <mergeCell ref="R64:S64"/>
    <mergeCell ref="Q58:R58"/>
    <mergeCell ref="B62:E62"/>
    <mergeCell ref="H62:L62"/>
    <mergeCell ref="B50:C50"/>
    <mergeCell ref="D50:E50"/>
    <mergeCell ref="K50:L50"/>
    <mergeCell ref="K52:L52"/>
    <mergeCell ref="H54:J54"/>
    <mergeCell ref="A57:F57"/>
    <mergeCell ref="A55:F55"/>
    <mergeCell ref="Q57:T57"/>
    <mergeCell ref="Q59:V59"/>
    <mergeCell ref="B48:C48"/>
    <mergeCell ref="D48:E48"/>
    <mergeCell ref="K48:L48"/>
    <mergeCell ref="B49:C49"/>
    <mergeCell ref="D49:E49"/>
    <mergeCell ref="K49:L49"/>
    <mergeCell ref="B46:C46"/>
    <mergeCell ref="D46:E46"/>
    <mergeCell ref="K46:L46"/>
    <mergeCell ref="B47:C47"/>
    <mergeCell ref="D47:E47"/>
    <mergeCell ref="K47:L47"/>
    <mergeCell ref="B44:C44"/>
    <mergeCell ref="D44:E44"/>
    <mergeCell ref="K44:L44"/>
    <mergeCell ref="B45:C45"/>
    <mergeCell ref="D45:E45"/>
    <mergeCell ref="K45:L45"/>
    <mergeCell ref="B42:C42"/>
    <mergeCell ref="D42:E42"/>
    <mergeCell ref="K42:L42"/>
    <mergeCell ref="B43:C43"/>
    <mergeCell ref="D43:E43"/>
    <mergeCell ref="K43:L43"/>
    <mergeCell ref="B40:C40"/>
    <mergeCell ref="D40:E40"/>
    <mergeCell ref="K40:L40"/>
    <mergeCell ref="B41:C41"/>
    <mergeCell ref="D41:E41"/>
    <mergeCell ref="K41:L41"/>
    <mergeCell ref="B38:C38"/>
    <mergeCell ref="D38:E38"/>
    <mergeCell ref="K38:L38"/>
    <mergeCell ref="B39:C39"/>
    <mergeCell ref="D39:E39"/>
    <mergeCell ref="K39:L39"/>
    <mergeCell ref="B36:C36"/>
    <mergeCell ref="D36:E36"/>
    <mergeCell ref="K36:L36"/>
    <mergeCell ref="B37:C37"/>
    <mergeCell ref="D37:E37"/>
    <mergeCell ref="K37:L37"/>
    <mergeCell ref="B34:C34"/>
    <mergeCell ref="D34:E34"/>
    <mergeCell ref="K34:L34"/>
    <mergeCell ref="B35:C35"/>
    <mergeCell ref="D35:E35"/>
    <mergeCell ref="K35:L35"/>
    <mergeCell ref="B32:C32"/>
    <mergeCell ref="D32:E32"/>
    <mergeCell ref="K32:L32"/>
    <mergeCell ref="B33:C33"/>
    <mergeCell ref="D33:E33"/>
    <mergeCell ref="K33:L33"/>
    <mergeCell ref="B30:C30"/>
    <mergeCell ref="D30:E30"/>
    <mergeCell ref="K30:L30"/>
    <mergeCell ref="B31:C31"/>
    <mergeCell ref="D31:E31"/>
    <mergeCell ref="K31:L31"/>
    <mergeCell ref="B28:C28"/>
    <mergeCell ref="D28:E28"/>
    <mergeCell ref="K28:L28"/>
    <mergeCell ref="B29:C29"/>
    <mergeCell ref="D29:E29"/>
    <mergeCell ref="K29:L29"/>
    <mergeCell ref="B26:C26"/>
    <mergeCell ref="D26:E26"/>
    <mergeCell ref="K26:L26"/>
    <mergeCell ref="B27:C27"/>
    <mergeCell ref="D27:E27"/>
    <mergeCell ref="K27:L27"/>
    <mergeCell ref="B24:C24"/>
    <mergeCell ref="D24:E24"/>
    <mergeCell ref="K24:L24"/>
    <mergeCell ref="B25:C25"/>
    <mergeCell ref="D25:E25"/>
    <mergeCell ref="K25:L25"/>
    <mergeCell ref="B22:C22"/>
    <mergeCell ref="D22:E22"/>
    <mergeCell ref="K22:L22"/>
    <mergeCell ref="B23:C23"/>
    <mergeCell ref="D23:E23"/>
    <mergeCell ref="K23:L23"/>
    <mergeCell ref="R19:T19"/>
    <mergeCell ref="B20:C20"/>
    <mergeCell ref="D20:E20"/>
    <mergeCell ref="K20:L20"/>
    <mergeCell ref="B21:C21"/>
    <mergeCell ref="D21:E21"/>
    <mergeCell ref="K21:L21"/>
    <mergeCell ref="A16:F16"/>
    <mergeCell ref="G16:L16"/>
    <mergeCell ref="B17:K17"/>
    <mergeCell ref="B19:C19"/>
    <mergeCell ref="D19:E19"/>
    <mergeCell ref="K19:L19"/>
    <mergeCell ref="A13:B13"/>
    <mergeCell ref="A14:B14"/>
    <mergeCell ref="C14:D14"/>
    <mergeCell ref="H14:L14"/>
    <mergeCell ref="M14:N14"/>
    <mergeCell ref="C15:D15"/>
    <mergeCell ref="K15:L15"/>
    <mergeCell ref="A9:B9"/>
    <mergeCell ref="C9:D9"/>
    <mergeCell ref="K9:L9"/>
    <mergeCell ref="A11:B11"/>
    <mergeCell ref="C11:D11"/>
    <mergeCell ref="K11:L11"/>
    <mergeCell ref="M1:O1"/>
    <mergeCell ref="A3:B3"/>
    <mergeCell ref="C3:F3"/>
    <mergeCell ref="K3:L3"/>
    <mergeCell ref="A5:B5"/>
    <mergeCell ref="C5:F5"/>
    <mergeCell ref="K5:L5"/>
    <mergeCell ref="A7:B7"/>
    <mergeCell ref="C7:F7"/>
    <mergeCell ref="K7:L7"/>
    <mergeCell ref="A1:B1"/>
    <mergeCell ref="C1:F1"/>
    <mergeCell ref="H1:J1"/>
    <mergeCell ref="K1:L1"/>
  </mergeCells>
  <conditionalFormatting sqref="F14">
    <cfRule type="cellIs" dxfId="315" priority="397" operator="greaterThan">
      <formula>$C$14+30</formula>
    </cfRule>
    <cfRule type="expression" dxfId="314" priority="436">
      <formula>$F$14&gt;$F$9</formula>
    </cfRule>
    <cfRule type="expression" dxfId="313" priority="442">
      <formula>$F$14&lt;$C$14</formula>
    </cfRule>
  </conditionalFormatting>
  <conditionalFormatting sqref="F9">
    <cfRule type="expression" dxfId="312" priority="440">
      <formula>$F$14&lt;$C$14</formula>
    </cfRule>
  </conditionalFormatting>
  <conditionalFormatting sqref="C9">
    <cfRule type="expression" dxfId="311" priority="437">
      <formula>"$C$9&gt;$C$14"</formula>
    </cfRule>
    <cfRule type="expression" dxfId="310" priority="439">
      <formula>$F$14&lt;$C$14</formula>
    </cfRule>
  </conditionalFormatting>
  <conditionalFormatting sqref="I51">
    <cfRule type="expression" dxfId="309" priority="438">
      <formula>WEEKDAY($A51,2)&gt;5</formula>
    </cfRule>
  </conditionalFormatting>
  <conditionalFormatting sqref="I51">
    <cfRule type="cellIs" dxfId="308" priority="435" operator="lessThan">
      <formula>0</formula>
    </cfRule>
  </conditionalFormatting>
  <conditionalFormatting sqref="C14:D14">
    <cfRule type="expression" dxfId="307" priority="402">
      <formula>"F14&gt;F9"</formula>
    </cfRule>
    <cfRule type="expression" dxfId="306" priority="403">
      <formula>$C$14&lt;$C$9</formula>
    </cfRule>
    <cfRule type="expression" dxfId="305" priority="433">
      <formula>$C$14&gt;$F$9</formula>
    </cfRule>
    <cfRule type="expression" dxfId="304" priority="434">
      <formula>$F$14&lt;$C$9</formula>
    </cfRule>
  </conditionalFormatting>
  <conditionalFormatting sqref="G53">
    <cfRule type="expression" dxfId="303" priority="432">
      <formula>ABS(SUM(#REF!))&gt;$A$61</formula>
    </cfRule>
  </conditionalFormatting>
  <conditionalFormatting sqref="I51 F20:J50">
    <cfRule type="expression" dxfId="302" priority="443">
      <formula>AND(WEEKDAY($A20,2)=3,$I$6=FALSE)</formula>
    </cfRule>
    <cfRule type="expression" dxfId="301" priority="444">
      <formula>AND(WEEKDAY($A20,2)=4,$I$8=TRUE)</formula>
    </cfRule>
    <cfRule type="expression" dxfId="300" priority="445">
      <formula>AND(WEEKDAY($A20,2)=4,$I$8=FALSE)</formula>
    </cfRule>
    <cfRule type="expression" dxfId="299" priority="446">
      <formula>AND(WEEKDAY($A20,2)=5,$I$10=TRUE)</formula>
    </cfRule>
    <cfRule type="expression" dxfId="298" priority="447">
      <formula>AND(WEEKDAY($A20,2)=5,$G$14=FALSE)</formula>
    </cfRule>
  </conditionalFormatting>
  <conditionalFormatting sqref="I51 F20:J50">
    <cfRule type="expression" dxfId="297" priority="448">
      <formula>AND(WEEKDAY($A20,2)=1,$I$2=TRUE)</formula>
    </cfRule>
    <cfRule type="expression" dxfId="296" priority="449">
      <formula>AND(WEEKDAY($A20,2)=1,$I$2=FALSE)</formula>
    </cfRule>
    <cfRule type="expression" dxfId="295" priority="450">
      <formula>AND(WEEKDAY($A20,2)=2,$I$4=TRUE)</formula>
    </cfRule>
    <cfRule type="expression" dxfId="294" priority="451">
      <formula>AND(WEEKDAY($A20,2)=2,$I$4=FALSE)</formula>
    </cfRule>
    <cfRule type="expression" dxfId="293" priority="452">
      <formula>AND(WEEKDAY($A20,2)=3,$I$6=TRUE)</formula>
    </cfRule>
  </conditionalFormatting>
  <conditionalFormatting sqref="K3:L3">
    <cfRule type="expression" dxfId="292" priority="417">
      <formula>AND(I2=TRUE,$C$11&lt;&gt;($K$3+$K$5+$K$7+$K$9+$K$11))</formula>
    </cfRule>
    <cfRule type="expression" dxfId="291" priority="418">
      <formula>(I2=TRUE)</formula>
    </cfRule>
    <cfRule type="expression" dxfId="290" priority="419">
      <formula>AND(I2=FALSE,$K$3&gt;0)</formula>
    </cfRule>
  </conditionalFormatting>
  <conditionalFormatting sqref="K7:L7">
    <cfRule type="expression" dxfId="289" priority="420">
      <formula>AND(I6=TRUE,$C$11&lt;&gt;($K$3+$K$5+$K$7+$K$9+$K$11))</formula>
    </cfRule>
    <cfRule type="expression" dxfId="288" priority="421">
      <formula>(I6=TRUE)</formula>
    </cfRule>
    <cfRule type="expression" dxfId="287" priority="422">
      <formula>AND(I6=FALSE,$K$7&gt;0)</formula>
    </cfRule>
  </conditionalFormatting>
  <conditionalFormatting sqref="K11:L11">
    <cfRule type="expression" dxfId="286" priority="423">
      <formula>AND(I10=TRUE,$C$11&lt;&gt;($K$3+$K$5+$K$7+$K$9+$K$11))</formula>
    </cfRule>
    <cfRule type="expression" dxfId="285" priority="424">
      <formula>(I10=TRUE)</formula>
    </cfRule>
    <cfRule type="expression" dxfId="284" priority="425">
      <formula>AND(I10=FALSE,K11&gt;0)</formula>
    </cfRule>
  </conditionalFormatting>
  <conditionalFormatting sqref="K9:L9">
    <cfRule type="expression" dxfId="283" priority="426">
      <formula>AND(I8=TRUE,$C$11&lt;&gt;($K$3+$K$5+$K$7+$K$9+$K$11))</formula>
    </cfRule>
    <cfRule type="expression" dxfId="282" priority="427">
      <formula>(I8=TRUE)</formula>
    </cfRule>
    <cfRule type="expression" dxfId="281" priority="428">
      <formula>AND(I8=FALSE,K9&gt;0)</formula>
    </cfRule>
  </conditionalFormatting>
  <conditionalFormatting sqref="K5:L5">
    <cfRule type="expression" dxfId="280" priority="415">
      <formula>AND(I4=FALSE,K5&gt;0)</formula>
    </cfRule>
    <cfRule type="expression" dxfId="279" priority="416">
      <formula>AND(I4=TRUE,$C$11&lt;&gt;($K$3+$K$5+$K$7+$K$9+$K$11))</formula>
    </cfRule>
    <cfRule type="expression" dxfId="278" priority="429">
      <formula>($I$4=TRUE)</formula>
    </cfRule>
  </conditionalFormatting>
  <conditionalFormatting sqref="K51">
    <cfRule type="expression" dxfId="277" priority="453">
      <formula>ABS(SUM(#REF!))&gt;$A$53</formula>
    </cfRule>
  </conditionalFormatting>
  <conditionalFormatting sqref="J52">
    <cfRule type="cellIs" dxfId="276" priority="414" operator="lessThan">
      <formula>0</formula>
    </cfRule>
  </conditionalFormatting>
  <conditionalFormatting sqref="F20:F50">
    <cfRule type="expression" dxfId="275" priority="413">
      <formula>WEEKDAY($A20,2)&gt;5</formula>
    </cfRule>
  </conditionalFormatting>
  <conditionalFormatting sqref="H20:I50">
    <cfRule type="expression" dxfId="274" priority="412">
      <formula>WEEKDAY($A20,2)&gt;5</formula>
    </cfRule>
  </conditionalFormatting>
  <conditionalFormatting sqref="I20:I50">
    <cfRule type="cellIs" dxfId="273" priority="411" operator="lessThan">
      <formula>0</formula>
    </cfRule>
  </conditionalFormatting>
  <conditionalFormatting sqref="J20:J50">
    <cfRule type="expression" dxfId="272" priority="405">
      <formula>WEEKDAY($A20,2)&gt;5</formula>
    </cfRule>
  </conditionalFormatting>
  <conditionalFormatting sqref="J20:J50">
    <cfRule type="cellIs" dxfId="271" priority="404" operator="lessThan">
      <formula>0</formula>
    </cfRule>
  </conditionalFormatting>
  <conditionalFormatting sqref="C14">
    <cfRule type="expression" dxfId="270" priority="441">
      <formula>$C$14&lt;$C$9</formula>
    </cfRule>
  </conditionalFormatting>
  <conditionalFormatting sqref="G20:G50">
    <cfRule type="expression" dxfId="269" priority="400">
      <formula>WEEKDAY($A20,2)&gt;5</formula>
    </cfRule>
  </conditionalFormatting>
  <conditionalFormatting sqref="G20:G50">
    <cfRule type="containsText" dxfId="268" priority="399" operator="containsText" text="0,00">
      <formula>NOT(ISERROR(SEARCH("0,00",G20)))</formula>
    </cfRule>
  </conditionalFormatting>
  <conditionalFormatting sqref="H52">
    <cfRule type="cellIs" dxfId="267" priority="377" operator="lessThan">
      <formula>0</formula>
    </cfRule>
  </conditionalFormatting>
  <conditionalFormatting sqref="Q93:Q94">
    <cfRule type="expression" dxfId="266" priority="298">
      <formula>AND(WEEKDAY($A93,2)=3,$I$6=FALSE)</formula>
    </cfRule>
    <cfRule type="expression" dxfId="265" priority="299">
      <formula>AND(WEEKDAY($A93,2)=4,$I$8=TRUE)</formula>
    </cfRule>
    <cfRule type="expression" dxfId="264" priority="300">
      <formula>AND(WEEKDAY($A93,2)=4,$I$8=FALSE)</formula>
    </cfRule>
    <cfRule type="expression" dxfId="263" priority="301">
      <formula>AND(WEEKDAY($A93,2)=5,$I$10=TRUE)</formula>
    </cfRule>
    <cfRule type="expression" dxfId="262" priority="302">
      <formula>AND(WEEKDAY($A93,2)=5,$G$14=FALSE)</formula>
    </cfRule>
  </conditionalFormatting>
  <conditionalFormatting sqref="Q93:Q94">
    <cfRule type="expression" dxfId="261" priority="303">
      <formula>AND(WEEKDAY($A93,2)=1,$I$2=TRUE)</formula>
    </cfRule>
    <cfRule type="expression" dxfId="260" priority="304">
      <formula>AND(WEEKDAY($A93,2)=1,$I$2=FALSE)</formula>
    </cfRule>
    <cfRule type="expression" dxfId="259" priority="305">
      <formula>AND(WEEKDAY($A93,2)=2,$I$4=TRUE)</formula>
    </cfRule>
    <cfRule type="expression" dxfId="258" priority="306">
      <formula>AND(WEEKDAY($A93,2)=2,$I$4=FALSE)</formula>
    </cfRule>
    <cfRule type="expression" dxfId="257" priority="307">
      <formula>AND(WEEKDAY($A93,2)=3,$I$6=TRUE)</formula>
    </cfRule>
  </conditionalFormatting>
  <conditionalFormatting sqref="Q93:Q94">
    <cfRule type="expression" dxfId="256" priority="297">
      <formula>WEEKDAY($A93,2)&gt;5</formula>
    </cfRule>
  </conditionalFormatting>
  <conditionalFormatting sqref="U20:U50 Q81:Q92 P80 Q77:Q79">
    <cfRule type="expression" dxfId="255" priority="275">
      <formula>AND(WEEKDAY($A20,2)=3,$I$6=FALSE)</formula>
    </cfRule>
    <cfRule type="expression" dxfId="254" priority="276">
      <formula>AND(WEEKDAY($A20,2)=4,$I$8=TRUE)</formula>
    </cfRule>
    <cfRule type="expression" dxfId="253" priority="277">
      <formula>AND(WEEKDAY($A20,2)=4,$I$8=FALSE)</formula>
    </cfRule>
    <cfRule type="expression" dxfId="252" priority="278">
      <formula>AND(WEEKDAY($A20,2)=5,$I$10=TRUE)</formula>
    </cfRule>
    <cfRule type="expression" dxfId="251" priority="279">
      <formula>AND(WEEKDAY($A20,2)=5,$G$14=FALSE)</formula>
    </cfRule>
  </conditionalFormatting>
  <conditionalFormatting sqref="U20:U50 Q81:Q92 P80 Q77:Q79">
    <cfRule type="expression" dxfId="250" priority="280">
      <formula>AND(WEEKDAY($A20,2)=1,$I$2=TRUE)</formula>
    </cfRule>
    <cfRule type="expression" dxfId="249" priority="281">
      <formula>AND(WEEKDAY($A20,2)=1,$I$2=FALSE)</formula>
    </cfRule>
    <cfRule type="expression" dxfId="248" priority="282">
      <formula>AND(WEEKDAY($A20,2)=2,$I$4=TRUE)</formula>
    </cfRule>
    <cfRule type="expression" dxfId="247" priority="283">
      <formula>AND(WEEKDAY($A20,2)=2,$I$4=FALSE)</formula>
    </cfRule>
    <cfRule type="expression" dxfId="246" priority="284">
      <formula>AND(WEEKDAY($A20,2)=3,$I$6=TRUE)</formula>
    </cfRule>
  </conditionalFormatting>
  <conditionalFormatting sqref="U20:U50">
    <cfRule type="expression" dxfId="245" priority="274">
      <formula>WEEKDAY($A20,2)&gt;5</formula>
    </cfRule>
  </conditionalFormatting>
  <conditionalFormatting sqref="U20:U50">
    <cfRule type="expression" dxfId="244" priority="285">
      <formula>#REF!&lt;&gt;""</formula>
    </cfRule>
  </conditionalFormatting>
  <conditionalFormatting sqref="Q81:Q92 P80 Q77:Q79">
    <cfRule type="expression" dxfId="243" priority="273">
      <formula>WEEKDAY($A77,2)&gt;5</formula>
    </cfRule>
  </conditionalFormatting>
  <conditionalFormatting sqref="Q80">
    <cfRule type="expression" dxfId="242" priority="263">
      <formula>AND(WEEKDAY($A80,2)=3,$I$6=FALSE)</formula>
    </cfRule>
    <cfRule type="expression" dxfId="241" priority="264">
      <formula>AND(WEEKDAY($A80,2)=4,$I$8=TRUE)</formula>
    </cfRule>
    <cfRule type="expression" dxfId="240" priority="265">
      <formula>AND(WEEKDAY($A80,2)=4,$I$8=FALSE)</formula>
    </cfRule>
    <cfRule type="expression" dxfId="239" priority="266">
      <formula>AND(WEEKDAY($A80,2)=5,$I$10=TRUE)</formula>
    </cfRule>
    <cfRule type="expression" dxfId="238" priority="267">
      <formula>AND(WEEKDAY($A80,2)=5,$G$14=FALSE)</formula>
    </cfRule>
  </conditionalFormatting>
  <conditionalFormatting sqref="Q80">
    <cfRule type="expression" dxfId="237" priority="268">
      <formula>AND(WEEKDAY($A80,2)=1,$I$2=TRUE)</formula>
    </cfRule>
    <cfRule type="expression" dxfId="236" priority="269">
      <formula>AND(WEEKDAY($A80,2)=1,$I$2=FALSE)</formula>
    </cfRule>
    <cfRule type="expression" dxfId="235" priority="270">
      <formula>AND(WEEKDAY($A80,2)=2,$I$4=TRUE)</formula>
    </cfRule>
    <cfRule type="expression" dxfId="234" priority="271">
      <formula>AND(WEEKDAY($A80,2)=2,$I$4=FALSE)</formula>
    </cfRule>
    <cfRule type="expression" dxfId="233" priority="272">
      <formula>AND(WEEKDAY($A80,2)=3,$I$6=TRUE)</formula>
    </cfRule>
  </conditionalFormatting>
  <conditionalFormatting sqref="Q80">
    <cfRule type="expression" dxfId="232" priority="262">
      <formula>WEEKDAY($A80,2)&gt;5</formula>
    </cfRule>
  </conditionalFormatting>
  <conditionalFormatting sqref="C1">
    <cfRule type="expression" dxfId="231" priority="90">
      <formula>ISBLANK($C$1)</formula>
    </cfRule>
  </conditionalFormatting>
  <conditionalFormatting sqref="C3">
    <cfRule type="expression" dxfId="230" priority="89">
      <formula>ISBLANK($C$3)</formula>
    </cfRule>
  </conditionalFormatting>
  <conditionalFormatting sqref="C5">
    <cfRule type="expression" dxfId="229" priority="88">
      <formula>ISBLANK($C$5)</formula>
    </cfRule>
  </conditionalFormatting>
  <conditionalFormatting sqref="C7">
    <cfRule type="expression" dxfId="228" priority="87">
      <formula>ISBLANK($C$7)</formula>
    </cfRule>
  </conditionalFormatting>
  <conditionalFormatting sqref="C11:D11">
    <cfRule type="expression" dxfId="227" priority="85">
      <formula>ISBLANK($C$11)</formula>
    </cfRule>
    <cfRule type="expression" dxfId="226" priority="86">
      <formula>($C$11/24)&lt;&gt;$M$3</formula>
    </cfRule>
  </conditionalFormatting>
  <conditionalFormatting sqref="B45:E45 B47:E47 B46:D46 B48:D50 A20:A50 B20:D44">
    <cfRule type="expression" dxfId="225" priority="57">
      <formula>AND(WEEKDAY($A20,2)=3,$I$6=FALSE)</formula>
    </cfRule>
    <cfRule type="expression" dxfId="224" priority="58">
      <formula>AND(WEEKDAY($A20,2)=4,$I$8=TRUE)</formula>
    </cfRule>
    <cfRule type="expression" dxfId="223" priority="59">
      <formula>AND(WEEKDAY($A20,2)=4,$I$8=FALSE)</formula>
    </cfRule>
    <cfRule type="expression" dxfId="222" priority="60">
      <formula>AND(WEEKDAY($A20,2)=5,$I$10=TRUE)</formula>
    </cfRule>
    <cfRule type="expression" dxfId="221" priority="61">
      <formula>AND(WEEKDAY($A20,2)=5,$G$14=FALSE)</formula>
    </cfRule>
  </conditionalFormatting>
  <conditionalFormatting sqref="A20:E50">
    <cfRule type="expression" dxfId="220" priority="62">
      <formula>AND(WEEKDAY($A20,2)=1,$I$2=TRUE)</formula>
    </cfRule>
    <cfRule type="expression" dxfId="219" priority="63">
      <formula>AND(WEEKDAY($A20,2)=1,$I$2=FALSE)</formula>
    </cfRule>
    <cfRule type="expression" dxfId="218" priority="64">
      <formula>AND(WEEKDAY($A20,2)=2,$I$4=TRUE)</formula>
    </cfRule>
    <cfRule type="expression" dxfId="217" priority="65">
      <formula>AND(WEEKDAY($A20,2)=2,$I$4=FALSE)</formula>
    </cfRule>
    <cfRule type="expression" dxfId="216" priority="66">
      <formula>AND(WEEKDAY($A20,2)=3,$I$6=TRUE)</formula>
    </cfRule>
  </conditionalFormatting>
  <conditionalFormatting sqref="A20:E50">
    <cfRule type="expression" dxfId="215" priority="56">
      <formula>WEEKDAY($A20,2)&gt;5</formula>
    </cfRule>
  </conditionalFormatting>
  <conditionalFormatting sqref="D21:E21">
    <cfRule type="expression" dxfId="214" priority="55">
      <formula>WEEKDAY($A21,2)&gt;5</formula>
    </cfRule>
  </conditionalFormatting>
  <conditionalFormatting sqref="D27:E27">
    <cfRule type="expression" dxfId="213" priority="54">
      <formula>WEEKDAY($A27,2)&gt;5</formula>
    </cfRule>
  </conditionalFormatting>
  <conditionalFormatting sqref="D34:E34">
    <cfRule type="expression" dxfId="212" priority="53">
      <formula>WEEKDAY($A34,2)&gt;5</formula>
    </cfRule>
  </conditionalFormatting>
  <conditionalFormatting sqref="D22:E22">
    <cfRule type="expression" dxfId="211" priority="52">
      <formula>WEEKDAY($A22,2)&gt;5</formula>
    </cfRule>
  </conditionalFormatting>
  <conditionalFormatting sqref="D28:E28">
    <cfRule type="expression" dxfId="210" priority="51">
      <formula>WEEKDAY($A28,2)&gt;5</formula>
    </cfRule>
  </conditionalFormatting>
  <conditionalFormatting sqref="D36:E36">
    <cfRule type="expression" dxfId="209" priority="50">
      <formula>WEEKDAY($A36,2)&gt;5</formula>
    </cfRule>
  </conditionalFormatting>
  <conditionalFormatting sqref="D42:E42">
    <cfRule type="expression" dxfId="208" priority="49">
      <formula>WEEKDAY($A42,2)&gt;5</formula>
    </cfRule>
  </conditionalFormatting>
  <conditionalFormatting sqref="D41:E41">
    <cfRule type="expression" dxfId="207" priority="48">
      <formula>WEEKDAY($A41,2)&gt;5</formula>
    </cfRule>
  </conditionalFormatting>
  <conditionalFormatting sqref="D48:E48">
    <cfRule type="expression" dxfId="206" priority="47">
      <formula>WEEKDAY($A48,2)&gt;5</formula>
    </cfRule>
  </conditionalFormatting>
  <conditionalFormatting sqref="D35:E35">
    <cfRule type="expression" dxfId="205" priority="46">
      <formula>WEEKDAY($A35,2)&gt;5</formula>
    </cfRule>
  </conditionalFormatting>
  <conditionalFormatting sqref="D29:E29">
    <cfRule type="expression" dxfId="204" priority="45">
      <formula>WEEKDAY($A29,2)&gt;5</formula>
    </cfRule>
  </conditionalFormatting>
  <conditionalFormatting sqref="D41:E41">
    <cfRule type="expression" dxfId="203" priority="44">
      <formula>WEEKDAY($A41,2)&gt;5</formula>
    </cfRule>
  </conditionalFormatting>
  <conditionalFormatting sqref="D42:E42">
    <cfRule type="expression" dxfId="202" priority="43">
      <formula>WEEKDAY($A42,2)&gt;5</formula>
    </cfRule>
  </conditionalFormatting>
  <conditionalFormatting sqref="D43:E43">
    <cfRule type="expression" dxfId="201" priority="42">
      <formula>WEEKDAY($A43,2)&gt;5</formula>
    </cfRule>
  </conditionalFormatting>
  <conditionalFormatting sqref="D41:E41">
    <cfRule type="expression" dxfId="200" priority="41">
      <formula>WEEKDAY($A41,2)&gt;5</formula>
    </cfRule>
  </conditionalFormatting>
  <conditionalFormatting sqref="D42:E42">
    <cfRule type="expression" dxfId="199" priority="40">
      <formula>WEEKDAY($A42,2)&gt;5</formula>
    </cfRule>
  </conditionalFormatting>
  <conditionalFormatting sqref="D35:E35">
    <cfRule type="expression" dxfId="198" priority="39">
      <formula>WEEKDAY($A35,2)&gt;5</formula>
    </cfRule>
  </conditionalFormatting>
  <conditionalFormatting sqref="D36:E36">
    <cfRule type="expression" dxfId="197" priority="38">
      <formula>WEEKDAY($A36,2)&gt;5</formula>
    </cfRule>
  </conditionalFormatting>
  <conditionalFormatting sqref="D35:E35">
    <cfRule type="expression" dxfId="196" priority="37">
      <formula>WEEKDAY($A35,2)&gt;5</formula>
    </cfRule>
  </conditionalFormatting>
  <conditionalFormatting sqref="D36:E36">
    <cfRule type="expression" dxfId="195" priority="36">
      <formula>WEEKDAY($A36,2)&gt;5</formula>
    </cfRule>
  </conditionalFormatting>
  <conditionalFormatting sqref="D23:E23">
    <cfRule type="expression" dxfId="194" priority="35">
      <formula>WEEKDAY($A23,2)&gt;5</formula>
    </cfRule>
  </conditionalFormatting>
  <conditionalFormatting sqref="D49:E49">
    <cfRule type="expression" dxfId="193" priority="34">
      <formula>WEEKDAY($A49,2)&gt;5</formula>
    </cfRule>
  </conditionalFormatting>
  <conditionalFormatting sqref="D41:E41">
    <cfRule type="expression" dxfId="192" priority="33">
      <formula>WEEKDAY($A41,2)&gt;5</formula>
    </cfRule>
  </conditionalFormatting>
  <conditionalFormatting sqref="D41:E41">
    <cfRule type="expression" dxfId="191" priority="32">
      <formula>WEEKDAY($A41,2)&gt;5</formula>
    </cfRule>
  </conditionalFormatting>
  <conditionalFormatting sqref="D41:E41">
    <cfRule type="expression" dxfId="190" priority="31">
      <formula>WEEKDAY($A41,2)&gt;5</formula>
    </cfRule>
  </conditionalFormatting>
  <conditionalFormatting sqref="A20:A50">
    <cfRule type="expression" dxfId="189" priority="29">
      <formula>V20&lt;&gt;""</formula>
    </cfRule>
    <cfRule type="expression" dxfId="188" priority="30">
      <formula>T20&lt;&gt;""</formula>
    </cfRule>
    <cfRule type="expression" dxfId="187" priority="67">
      <formula>T20&lt;&gt;""</formula>
    </cfRule>
  </conditionalFormatting>
  <conditionalFormatting sqref="B20:B50">
    <cfRule type="expression" dxfId="186" priority="68">
      <formula>#REF!&lt;&gt;""</formula>
    </cfRule>
  </conditionalFormatting>
  <conditionalFormatting sqref="D29:E29">
    <cfRule type="expression" dxfId="185" priority="28">
      <formula>WEEKDAY($A29,2)&gt;5</formula>
    </cfRule>
  </conditionalFormatting>
  <conditionalFormatting sqref="D30:E30">
    <cfRule type="expression" dxfId="184" priority="27">
      <formula>WEEKDAY($A30,2)&gt;5</formula>
    </cfRule>
  </conditionalFormatting>
  <conditionalFormatting sqref="D31:E31">
    <cfRule type="expression" dxfId="183" priority="26">
      <formula>WEEKDAY($A31,2)&gt;5</formula>
    </cfRule>
  </conditionalFormatting>
  <conditionalFormatting sqref="D36:E36">
    <cfRule type="expression" dxfId="182" priority="25">
      <formula>WEEKDAY($A36,2)&gt;5</formula>
    </cfRule>
  </conditionalFormatting>
  <conditionalFormatting sqref="D37:E37">
    <cfRule type="expression" dxfId="181" priority="24">
      <formula>WEEKDAY($A37,2)&gt;5</formula>
    </cfRule>
  </conditionalFormatting>
  <conditionalFormatting sqref="D38:E38">
    <cfRule type="expression" dxfId="180" priority="23">
      <formula>WEEKDAY($A38,2)&gt;5</formula>
    </cfRule>
  </conditionalFormatting>
  <conditionalFormatting sqref="D42:E42">
    <cfRule type="expression" dxfId="179" priority="22">
      <formula>WEEKDAY($A42,2)&gt;5</formula>
    </cfRule>
  </conditionalFormatting>
  <conditionalFormatting sqref="D43:E43">
    <cfRule type="expression" dxfId="178" priority="21">
      <formula>WEEKDAY($A43,2)&gt;5</formula>
    </cfRule>
  </conditionalFormatting>
  <conditionalFormatting sqref="D44:E44">
    <cfRule type="expression" dxfId="177" priority="20">
      <formula>WEEKDAY($A44,2)&gt;5</formula>
    </cfRule>
  </conditionalFormatting>
  <conditionalFormatting sqref="D33:E33">
    <cfRule type="expression" dxfId="176" priority="19">
      <formula>WEEKDAY($A33,2)&gt;5</formula>
    </cfRule>
  </conditionalFormatting>
  <conditionalFormatting sqref="D40:E40">
    <cfRule type="expression" dxfId="175" priority="18">
      <formula>WEEKDAY($A40,2)&gt;5</formula>
    </cfRule>
  </conditionalFormatting>
  <conditionalFormatting sqref="K20:K50">
    <cfRule type="expression" dxfId="174" priority="8">
      <formula>AND(WEEKDAY($A20,2)=3,$I$6=FALSE)</formula>
    </cfRule>
    <cfRule type="expression" dxfId="173" priority="9">
      <formula>AND(WEEKDAY($A20,2)=4,$I$8=TRUE)</formula>
    </cfRule>
    <cfRule type="expression" dxfId="172" priority="10">
      <formula>AND(WEEKDAY($A20,2)=4,$I$8=FALSE)</formula>
    </cfRule>
    <cfRule type="expression" dxfId="171" priority="11">
      <formula>AND(WEEKDAY($A20,2)=5,$I$10=TRUE)</formula>
    </cfRule>
    <cfRule type="expression" dxfId="170" priority="12">
      <formula>AND(WEEKDAY($A20,2)=5,$G$14=FALSE)</formula>
    </cfRule>
  </conditionalFormatting>
  <conditionalFormatting sqref="K20:L50">
    <cfRule type="expression" dxfId="169" priority="13">
      <formula>AND(WEEKDAY($A20,2)=1,$I$2=TRUE)</formula>
    </cfRule>
    <cfRule type="expression" dxfId="168" priority="14">
      <formula>AND(WEEKDAY($A20,2)=1,$I$2=FALSE)</formula>
    </cfRule>
    <cfRule type="expression" dxfId="167" priority="15">
      <formula>AND(WEEKDAY($A20,2)=2,$I$4=TRUE)</formula>
    </cfRule>
    <cfRule type="expression" dxfId="166" priority="16">
      <formula>AND(WEEKDAY($A20,2)=2,$I$4=FALSE)</formula>
    </cfRule>
    <cfRule type="expression" dxfId="165" priority="17">
      <formula>AND(WEEKDAY($A20,2)=3,$I$6=TRUE)</formula>
    </cfRule>
  </conditionalFormatting>
  <conditionalFormatting sqref="K20:L50">
    <cfRule type="containsText" dxfId="164" priority="3" operator="containsText" text="Angaben überprüfen">
      <formula>NOT(ISERROR(SEARCH("Angaben überprüfen",K20)))</formula>
    </cfRule>
    <cfRule type="cellIs" dxfId="163" priority="4" operator="equal">
      <formula>"30 min. Pause erforderlich"</formula>
    </cfRule>
    <cfRule type="expression" dxfId="162" priority="7">
      <formula>WEEKDAY($A20,2)&gt;5</formula>
    </cfRule>
  </conditionalFormatting>
  <conditionalFormatting sqref="K20:L50">
    <cfRule type="expression" dxfId="161" priority="6">
      <formula>WEEKDAY($A20,2)&gt;5</formula>
    </cfRule>
  </conditionalFormatting>
  <conditionalFormatting sqref="K20:L50">
    <cfRule type="expression" dxfId="160" priority="5">
      <formula>WEEKDAY($A20,2)&gt;5</formula>
    </cfRule>
  </conditionalFormatting>
  <conditionalFormatting sqref="B17:K17">
    <cfRule type="expression" dxfId="159" priority="1">
      <formula>ISBLANK($C$14)</formula>
    </cfRule>
  </conditionalFormatting>
  <dataValidations count="5">
    <dataValidation type="date" allowBlank="1" showInputMessage="1" showErrorMessage="1" error="Kein gültiges Datum" prompt="TT.MM.JJJJ" sqref="C9:D9 F9 C14:D14 F14">
      <formula1>40178</formula1>
      <formula2>71588</formula2>
    </dataValidation>
    <dataValidation type="decimal" allowBlank="1" showInputMessage="1" showErrorMessage="1" errorTitle="Achtung" error="Kein Dezimalwert" sqref="K3:L11">
      <formula1>0.25</formula1>
      <formula2>24</formula2>
    </dataValidation>
    <dataValidation type="decimal" allowBlank="1" showInputMessage="1" showErrorMessage="1" errorTitle="Falsches Zahlenformat" error="Bitte Dezimal oder ganze Zahlen eingeben." promptTitle="                 INFO" prompt="_x000a_Beim Ausfüllen unbedingt den Leitfaden zum Arbeitszeitkonto beachten_x000a_ -Siehe Hilfebutton" sqref="C11:D11">
      <formula1>1</formula1>
      <formula2>40</formula2>
    </dataValidation>
    <dataValidation type="textLength" operator="greaterThan" allowBlank="1" showInputMessage="1" showErrorMessage="1" errorTitle="Arbeitszeitkonto beendet" error="Ihr Arbeitszeitkonto überschreitet 12 Monate und ist damit beendet. Bitte erstellen Sie ein neues Konto." sqref="G16:L16">
      <formula1>40</formula1>
    </dataValidation>
    <dataValidation type="time" errorStyle="warning" allowBlank="1" showInputMessage="1" showErrorMessage="1" error="Außerhalb des Arbeitszeitrahmens" sqref="B20:E50">
      <formula1>0.25</formula1>
      <formula2>0.958333333333333</formula2>
    </dataValidation>
  </dataValidations>
  <pageMargins left="0.7" right="0.53156250000000005" top="1.6752083333333334" bottom="0.28125" header="0.47125" footer="0.3"/>
  <pageSetup paperSize="9" scale="87" orientation="portrait" r:id="rId1"/>
  <headerFooter>
    <oddHeader>&amp;L&amp;"BO Regular Bold,Fett"&amp;12Stundennachweis&amp;"-,Standard"&amp;10
&amp;"BO Regular Normal,Standard"nach §17 MiLoG
für SHK, WHK, studentische Aushilfskräfte TV-L 
und geringfügig Beschäftigte&amp;R&amp;G</oddHeader>
  </headerFooter>
  <ignoredErrors>
    <ignoredError sqref="C1:F7 K20:L50" unlockedFormula="1"/>
  </ignoredError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5361" r:id="rId5" name="Check Box 1">
              <controlPr locked="0" defaultSize="0" autoFill="0" autoLine="0" autoPict="0">
                <anchor moveWithCells="1">
                  <from>
                    <xdr:col>7</xdr:col>
                    <xdr:colOff>361950</xdr:colOff>
                    <xdr:row>1</xdr:row>
                    <xdr:rowOff>28575</xdr:rowOff>
                  </from>
                  <to>
                    <xdr:col>10</xdr:col>
                    <xdr:colOff>180975</xdr:colOff>
                    <xdr:row>3</xdr:row>
                    <xdr:rowOff>85725</xdr:rowOff>
                  </to>
                </anchor>
              </controlPr>
            </control>
          </mc:Choice>
        </mc:AlternateContent>
        <mc:AlternateContent xmlns:mc="http://schemas.openxmlformats.org/markup-compatibility/2006">
          <mc:Choice Requires="x14">
            <control shapeId="15362" r:id="rId6" name="Check Box 2">
              <controlPr locked="0" defaultSize="0" autoFill="0" autoLine="0" autoPict="0">
                <anchor moveWithCells="1">
                  <from>
                    <xdr:col>7</xdr:col>
                    <xdr:colOff>361950</xdr:colOff>
                    <xdr:row>3</xdr:row>
                    <xdr:rowOff>38100</xdr:rowOff>
                  </from>
                  <to>
                    <xdr:col>9</xdr:col>
                    <xdr:colOff>800100</xdr:colOff>
                    <xdr:row>5</xdr:row>
                    <xdr:rowOff>85725</xdr:rowOff>
                  </to>
                </anchor>
              </controlPr>
            </control>
          </mc:Choice>
        </mc:AlternateContent>
        <mc:AlternateContent xmlns:mc="http://schemas.openxmlformats.org/markup-compatibility/2006">
          <mc:Choice Requires="x14">
            <control shapeId="15363" r:id="rId7" name="Check Box 3">
              <controlPr locked="0" defaultSize="0" autoFill="0" autoLine="0" autoPict="0">
                <anchor moveWithCells="1">
                  <from>
                    <xdr:col>7</xdr:col>
                    <xdr:colOff>361950</xdr:colOff>
                    <xdr:row>5</xdr:row>
                    <xdr:rowOff>38100</xdr:rowOff>
                  </from>
                  <to>
                    <xdr:col>10</xdr:col>
                    <xdr:colOff>38100</xdr:colOff>
                    <xdr:row>7</xdr:row>
                    <xdr:rowOff>76200</xdr:rowOff>
                  </to>
                </anchor>
              </controlPr>
            </control>
          </mc:Choice>
        </mc:AlternateContent>
        <mc:AlternateContent xmlns:mc="http://schemas.openxmlformats.org/markup-compatibility/2006">
          <mc:Choice Requires="x14">
            <control shapeId="15364" r:id="rId8" name="Check Box 4">
              <controlPr locked="0" defaultSize="0" autoFill="0" autoLine="0" autoPict="0">
                <anchor moveWithCells="1">
                  <from>
                    <xdr:col>7</xdr:col>
                    <xdr:colOff>361950</xdr:colOff>
                    <xdr:row>7</xdr:row>
                    <xdr:rowOff>38100</xdr:rowOff>
                  </from>
                  <to>
                    <xdr:col>10</xdr:col>
                    <xdr:colOff>47625</xdr:colOff>
                    <xdr:row>9</xdr:row>
                    <xdr:rowOff>85725</xdr:rowOff>
                  </to>
                </anchor>
              </controlPr>
            </control>
          </mc:Choice>
        </mc:AlternateContent>
        <mc:AlternateContent xmlns:mc="http://schemas.openxmlformats.org/markup-compatibility/2006">
          <mc:Choice Requires="x14">
            <control shapeId="15365" r:id="rId9" name="Check Box 5">
              <controlPr locked="0" defaultSize="0" autoFill="0" autoLine="0" autoPict="0">
                <anchor moveWithCells="1">
                  <from>
                    <xdr:col>7</xdr:col>
                    <xdr:colOff>361950</xdr:colOff>
                    <xdr:row>9</xdr:row>
                    <xdr:rowOff>38100</xdr:rowOff>
                  </from>
                  <to>
                    <xdr:col>10</xdr:col>
                    <xdr:colOff>171450</xdr:colOff>
                    <xdr:row>11</xdr:row>
                    <xdr:rowOff>85725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2" operator="containsText" id="{C63F2245-0D96-4BF8-9CA7-F17CB8FB787F}">
            <xm:f>NOT(ISERROR(SEARCH("45 min. Pause erforderlich",K20)))</xm:f>
            <xm:f>"45 min. Pause erforderlich"</xm:f>
            <x14:dxf>
              <font>
                <b/>
                <i val="0"/>
                <color rgb="FFA50021"/>
              </font>
            </x14:dxf>
          </x14:cfRule>
          <xm:sqref>K20:L50</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3"/>
  <dimension ref="A1:V96"/>
  <sheetViews>
    <sheetView showGridLines="0" showRowColHeaders="0" view="pageLayout" workbookViewId="0">
      <selection activeCell="C11" sqref="C11:D11"/>
    </sheetView>
  </sheetViews>
  <sheetFormatPr baseColWidth="10" defaultColWidth="12.42578125" defaultRowHeight="15"/>
  <cols>
    <col min="1" max="1" width="11.28515625" customWidth="1"/>
    <col min="2" max="2" width="8.7109375" customWidth="1"/>
    <col min="3" max="3" width="5" customWidth="1"/>
    <col min="4" max="4" width="6" customWidth="1"/>
    <col min="5" max="5" width="10.7109375" customWidth="1"/>
    <col min="6" max="6" width="12.140625" customWidth="1"/>
    <col min="7" max="7" width="9" customWidth="1"/>
    <col min="8" max="8" width="9.85546875" customWidth="1"/>
    <col min="9" max="9" width="6.5703125" hidden="1" customWidth="1"/>
    <col min="10" max="10" width="11.85546875" customWidth="1"/>
    <col min="11" max="11" width="11.140625" customWidth="1"/>
    <col min="12" max="12" width="7" customWidth="1"/>
    <col min="13" max="13" width="5.28515625" style="37" hidden="1" customWidth="1"/>
    <col min="14" max="14" width="5.42578125" style="33" hidden="1" customWidth="1"/>
    <col min="15" max="15" width="14.5703125" hidden="1" customWidth="1"/>
    <col min="16" max="16" width="9.28515625" hidden="1" customWidth="1"/>
    <col min="17" max="17" width="8.42578125" hidden="1" customWidth="1"/>
    <col min="18" max="18" width="7.140625" hidden="1" customWidth="1"/>
    <col min="19" max="21" width="12.42578125" hidden="1" customWidth="1"/>
    <col min="22" max="22" width="1.140625" hidden="1" customWidth="1"/>
    <col min="23" max="16353" width="12.42578125" customWidth="1"/>
    <col min="16354" max="16354" width="3.7109375" customWidth="1"/>
    <col min="16355" max="16384" width="4.42578125" customWidth="1"/>
  </cols>
  <sheetData>
    <row r="1" spans="1:20" s="2" customFormat="1" ht="18" customHeight="1">
      <c r="A1" s="254" t="s">
        <v>0</v>
      </c>
      <c r="B1" s="254"/>
      <c r="C1" s="255" t="str">
        <f>IF('Blatt 1'!C1:F1="","",'Blatt 1'!C1:F1)</f>
        <v/>
      </c>
      <c r="D1" s="255"/>
      <c r="E1" s="255"/>
      <c r="F1" s="255"/>
      <c r="G1" s="1"/>
      <c r="H1" s="260" t="s">
        <v>1</v>
      </c>
      <c r="I1" s="260"/>
      <c r="J1" s="260"/>
      <c r="K1" s="259" t="s">
        <v>2</v>
      </c>
      <c r="L1" s="259"/>
      <c r="M1" s="253" t="s">
        <v>3</v>
      </c>
      <c r="N1" s="253"/>
      <c r="O1" s="253"/>
    </row>
    <row r="2" spans="1:20" ht="7.5" customHeight="1">
      <c r="A2" s="80"/>
      <c r="B2" s="80"/>
      <c r="C2" s="61"/>
      <c r="D2" s="61"/>
      <c r="E2" s="61"/>
      <c r="F2" s="61"/>
      <c r="G2" s="3"/>
      <c r="H2" s="3"/>
      <c r="I2" s="6" t="b">
        <v>0</v>
      </c>
      <c r="J2" s="3"/>
      <c r="K2" s="3"/>
      <c r="M2" s="143"/>
      <c r="N2" s="212"/>
    </row>
    <row r="3" spans="1:20" s="2" customFormat="1" ht="15.75">
      <c r="A3" s="254" t="s">
        <v>4</v>
      </c>
      <c r="B3" s="254"/>
      <c r="C3" s="255" t="str">
        <f>IF('Blatt 1'!C3:F3="","",'Blatt 1'!C3:F3)</f>
        <v/>
      </c>
      <c r="D3" s="255"/>
      <c r="E3" s="255"/>
      <c r="F3" s="255"/>
      <c r="H3" s="47"/>
      <c r="I3" s="55"/>
      <c r="J3" s="8"/>
      <c r="K3" s="323"/>
      <c r="L3" s="323"/>
      <c r="M3" s="9">
        <f>($K$3+$K$5+$K$7+$K$9+$K$11)/24</f>
        <v>0</v>
      </c>
      <c r="N3" s="10"/>
    </row>
    <row r="4" spans="1:20" ht="7.5" customHeight="1">
      <c r="A4" s="80"/>
      <c r="B4" s="80"/>
      <c r="C4" s="62"/>
      <c r="D4" s="62"/>
      <c r="E4" s="62"/>
      <c r="F4" s="62"/>
      <c r="H4" s="3"/>
      <c r="I4" s="6" t="b">
        <v>0</v>
      </c>
      <c r="J4" s="3"/>
      <c r="K4" s="73"/>
      <c r="L4" s="74"/>
      <c r="M4" s="143"/>
      <c r="N4" s="212"/>
    </row>
    <row r="5" spans="1:20" s="2" customFormat="1" ht="15.75">
      <c r="A5" s="254" t="s">
        <v>5</v>
      </c>
      <c r="B5" s="254"/>
      <c r="C5" s="256" t="str">
        <f>IF('Blatt 1'!C5:F5="","",'Blatt 1'!C5:F5)</f>
        <v/>
      </c>
      <c r="D5" s="255"/>
      <c r="E5" s="255"/>
      <c r="F5" s="255"/>
      <c r="H5" s="47"/>
      <c r="I5" s="55"/>
      <c r="J5" s="8"/>
      <c r="K5" s="300"/>
      <c r="L5" s="300"/>
      <c r="M5" s="143"/>
      <c r="N5" s="212"/>
    </row>
    <row r="6" spans="1:20" ht="7.5" customHeight="1">
      <c r="A6" s="80"/>
      <c r="B6" s="80"/>
      <c r="C6" s="62"/>
      <c r="D6" s="62"/>
      <c r="E6" s="62"/>
      <c r="F6" s="62"/>
      <c r="H6" s="3"/>
      <c r="I6" s="6" t="b">
        <v>0</v>
      </c>
      <c r="J6" s="3"/>
      <c r="K6" s="73"/>
      <c r="L6" s="74"/>
      <c r="M6" s="143"/>
      <c r="N6" s="212"/>
    </row>
    <row r="7" spans="1:20" s="2" customFormat="1" ht="15.75">
      <c r="A7" s="254" t="s">
        <v>6</v>
      </c>
      <c r="B7" s="254"/>
      <c r="C7" s="258" t="str">
        <f>IF('Blatt 1'!C7:F7="","",'Blatt 1'!C7:F7)</f>
        <v/>
      </c>
      <c r="D7" s="258"/>
      <c r="E7" s="258"/>
      <c r="F7" s="258"/>
      <c r="H7" s="11"/>
      <c r="I7" s="55"/>
      <c r="J7" s="11"/>
      <c r="K7" s="300"/>
      <c r="L7" s="300"/>
      <c r="M7" s="143"/>
      <c r="N7" s="212"/>
    </row>
    <row r="8" spans="1:20" ht="7.5" customHeight="1">
      <c r="A8" s="80"/>
      <c r="B8" s="80"/>
      <c r="C8" s="62"/>
      <c r="D8" s="62"/>
      <c r="E8" s="62"/>
      <c r="F8" s="62"/>
      <c r="H8" s="3"/>
      <c r="I8" s="6" t="b">
        <v>0</v>
      </c>
      <c r="J8" s="3"/>
      <c r="K8" s="73"/>
      <c r="L8" s="74"/>
      <c r="M8" s="143"/>
      <c r="N8" s="212"/>
    </row>
    <row r="9" spans="1:20" ht="15.75">
      <c r="A9" s="254" t="s">
        <v>146</v>
      </c>
      <c r="B9" s="254"/>
      <c r="C9" s="265"/>
      <c r="D9" s="265"/>
      <c r="E9" s="82" t="s">
        <v>7</v>
      </c>
      <c r="F9" s="105"/>
      <c r="H9" s="3"/>
      <c r="I9" s="55"/>
      <c r="J9" s="3"/>
      <c r="K9" s="300"/>
      <c r="L9" s="300"/>
      <c r="M9" s="143"/>
      <c r="N9" s="212"/>
    </row>
    <row r="10" spans="1:20" ht="7.5" customHeight="1">
      <c r="A10" s="80"/>
      <c r="B10" s="80"/>
      <c r="C10" s="62"/>
      <c r="D10" s="62"/>
      <c r="E10" s="80"/>
      <c r="F10" s="62"/>
      <c r="H10" s="3"/>
      <c r="I10" s="12" t="b">
        <v>0</v>
      </c>
      <c r="J10" s="3"/>
      <c r="K10" s="73"/>
      <c r="L10" s="74"/>
      <c r="M10" s="143"/>
      <c r="N10" s="212"/>
    </row>
    <row r="11" spans="1:20" ht="15.75">
      <c r="A11" s="254" t="s">
        <v>8</v>
      </c>
      <c r="B11" s="254"/>
      <c r="C11" s="326"/>
      <c r="D11" s="326"/>
      <c r="E11" s="83" t="s">
        <v>9</v>
      </c>
      <c r="F11" s="64"/>
      <c r="H11" s="3"/>
      <c r="I11" s="12"/>
      <c r="J11" s="3"/>
      <c r="K11" s="300"/>
      <c r="L11" s="300"/>
      <c r="M11" s="143"/>
      <c r="N11" s="212"/>
      <c r="S11" s="146"/>
      <c r="T11" s="146"/>
    </row>
    <row r="12" spans="1:20" ht="7.5" customHeight="1">
      <c r="A12" s="211"/>
      <c r="B12" s="211"/>
      <c r="C12" s="65"/>
      <c r="D12" s="65"/>
      <c r="E12" s="84"/>
      <c r="F12" s="51"/>
      <c r="H12" s="50"/>
      <c r="I12" s="55"/>
      <c r="J12" s="3"/>
      <c r="K12" s="50"/>
      <c r="L12" s="50"/>
      <c r="M12" s="143"/>
      <c r="N12" s="212"/>
      <c r="S12" s="146"/>
    </row>
    <row r="13" spans="1:20" ht="4.5" customHeight="1">
      <c r="A13" s="254"/>
      <c r="B13" s="254"/>
      <c r="C13" s="65"/>
      <c r="D13" s="65"/>
      <c r="E13" s="80"/>
      <c r="F13" s="62"/>
      <c r="H13" s="3"/>
      <c r="I13" s="55"/>
      <c r="J13" s="3"/>
      <c r="M13" s="143"/>
      <c r="N13" s="212"/>
    </row>
    <row r="14" spans="1:20" ht="16.5" customHeight="1">
      <c r="A14" s="305" t="s">
        <v>141</v>
      </c>
      <c r="B14" s="305"/>
      <c r="C14" s="327"/>
      <c r="D14" s="327"/>
      <c r="E14" s="196" t="s">
        <v>7</v>
      </c>
      <c r="F14" s="213"/>
      <c r="G14" s="52" t="b">
        <v>0</v>
      </c>
      <c r="H14" s="320" t="str">
        <f>IF($C$14="","",IF(AND($O$16&lt;&gt;$C$14,$O$16&lt;$F$9),"Achtung! Stundennachweis unterbrochen",""))</f>
        <v/>
      </c>
      <c r="I14" s="320"/>
      <c r="J14" s="320"/>
      <c r="K14" s="320"/>
      <c r="L14" s="320"/>
      <c r="M14" s="304" t="s">
        <v>21</v>
      </c>
      <c r="N14" s="304"/>
      <c r="O14" s="147"/>
    </row>
    <row r="15" spans="1:20" ht="15" hidden="1" customHeight="1">
      <c r="A15" s="43"/>
      <c r="B15" s="47"/>
      <c r="C15" s="262"/>
      <c r="D15" s="262"/>
      <c r="E15" s="14"/>
      <c r="F15" s="39"/>
      <c r="G15" s="52"/>
      <c r="H15" s="3"/>
      <c r="I15" s="3"/>
      <c r="J15" s="3"/>
      <c r="K15" s="263"/>
      <c r="L15" s="263"/>
      <c r="M15" s="216"/>
      <c r="N15" s="149"/>
      <c r="O15" s="147"/>
    </row>
    <row r="16" spans="1:20" ht="41.25" customHeight="1">
      <c r="A16" s="321" t="str">
        <f ca="1">IF(($C$14+30)&lt;$F$14,"                                       Bitte nur einen Monat angeben! ",IF(COUNTIF(R20:R50,1)&gt;0,"Hinweis: Es erfolgt keine Berechnung der Zukunftswerte",""))</f>
        <v/>
      </c>
      <c r="B16" s="321"/>
      <c r="C16" s="321"/>
      <c r="D16" s="321"/>
      <c r="E16" s="321"/>
      <c r="F16" s="321"/>
      <c r="G16" s="303" t="str">
        <f>IF(AND(Q59&lt;365,Q59&gt;300),"Ihnen verbleiben noch "&amp;(364-Q59)&amp;" Tage um Ihr Arbeitszeitkonto auszugleichen",IF(Q59&gt;365,"Sie haben Ihr Arbeitszeitkonto überschritten, bitte erstellen Sie ein neues Konto",""))</f>
        <v/>
      </c>
      <c r="H16" s="303"/>
      <c r="I16" s="303"/>
      <c r="J16" s="303"/>
      <c r="K16" s="303"/>
      <c r="L16" s="303"/>
      <c r="M16" s="153">
        <f ca="1">IF(AND($H$14="Achtung! Stundennachweis unterbrochen",'Blatt 11'!J52&gt;0),0,'Blatt 11'!J52)</f>
        <v>0</v>
      </c>
      <c r="N16" s="154">
        <f ca="1">+$M$16+$N$56</f>
        <v>0</v>
      </c>
      <c r="O16" s="155" t="str">
        <f>IF($F$9=$F$14,"",'Blatt 11'!$F$14+1)</f>
        <v/>
      </c>
    </row>
    <row r="17" spans="1:22" ht="18.75">
      <c r="A17" s="40"/>
      <c r="B17" s="264">
        <f ca="1">IF(ISBLANK($C$14),EOMONTH('Blatt 11'!$B$17,0)+1,DATE(YEAR($C$14),MONTH($C$14),1))</f>
        <v>42490</v>
      </c>
      <c r="C17" s="264"/>
      <c r="D17" s="264"/>
      <c r="E17" s="264"/>
      <c r="F17" s="264"/>
      <c r="G17" s="264"/>
      <c r="H17" s="264"/>
      <c r="I17" s="264"/>
      <c r="J17" s="264"/>
      <c r="K17" s="264"/>
      <c r="L17" s="41"/>
      <c r="M17" s="15"/>
      <c r="N17" s="212"/>
    </row>
    <row r="18" spans="1:22" ht="8.4499999999999993" customHeight="1" thickBot="1">
      <c r="A18" s="3"/>
      <c r="B18" s="3"/>
      <c r="C18" s="3"/>
      <c r="D18" s="3"/>
      <c r="E18" s="3"/>
      <c r="F18" s="3"/>
      <c r="G18" s="3"/>
      <c r="H18" s="3"/>
      <c r="I18" s="3"/>
      <c r="J18" s="3"/>
      <c r="K18" s="3"/>
      <c r="L18" s="3"/>
      <c r="M18" s="143"/>
      <c r="N18" s="212"/>
    </row>
    <row r="19" spans="1:22" s="17" customFormat="1" ht="42.75" customHeight="1" thickBot="1">
      <c r="A19" s="187" t="s">
        <v>10</v>
      </c>
      <c r="B19" s="278" t="s">
        <v>11</v>
      </c>
      <c r="C19" s="279"/>
      <c r="D19" s="278" t="s">
        <v>12</v>
      </c>
      <c r="E19" s="279"/>
      <c r="F19" s="86" t="s">
        <v>27</v>
      </c>
      <c r="G19" s="210" t="s">
        <v>13</v>
      </c>
      <c r="H19" s="86" t="s">
        <v>14</v>
      </c>
      <c r="I19" s="88"/>
      <c r="J19" s="89" t="s">
        <v>15</v>
      </c>
      <c r="K19" s="278" t="s">
        <v>16</v>
      </c>
      <c r="L19" s="280"/>
      <c r="M19" s="16" t="s">
        <v>17</v>
      </c>
      <c r="N19" s="16"/>
      <c r="O19" s="58" t="s">
        <v>24</v>
      </c>
      <c r="P19" s="126" t="s">
        <v>28</v>
      </c>
      <c r="Q19" s="126" t="s">
        <v>31</v>
      </c>
      <c r="R19" s="289" t="s">
        <v>49</v>
      </c>
      <c r="S19" s="289"/>
      <c r="T19" s="289"/>
    </row>
    <row r="20" spans="1:22" s="2" customFormat="1" ht="12.6" customHeight="1">
      <c r="A20" s="188">
        <f ca="1">($B$17+ROW(A1)-1)*(MONTH(B17+1)=MONTH($B$17))</f>
        <v>42490</v>
      </c>
      <c r="B20" s="271"/>
      <c r="C20" s="272"/>
      <c r="D20" s="273"/>
      <c r="E20" s="274"/>
      <c r="F20" s="209"/>
      <c r="G20" s="110" t="str">
        <f ca="1">IF(OR(A20&lt;$C$14,A20&gt;$F$14,$G$16="Sie haben Ihr Arbeitszeitkonto überschritten, bitte erstellen Sie ein neues Konto",A20&gt;TODAY()),"0,00",IF(ISBLANK($C$14),"0,00",(D20-B20-F20)))</f>
        <v>0,00</v>
      </c>
      <c r="H20" s="111" t="str">
        <f ca="1">IF(WEEKDAY(A20,2)=7,SUMIF($M$19:$M$50,M20,$G$19:$G$50),"")</f>
        <v/>
      </c>
      <c r="I20" s="112">
        <f ca="1">IF(A20&lt;TODAY(),ROUND(SUM(G20-N20),7),0)</f>
        <v>0</v>
      </c>
      <c r="J20" s="156" t="str">
        <f t="shared" ref="J20:J24" ca="1" si="0">IF($G$16="Sie haben Ihr Arbeitszeitkonto überschritten, bitte erstellen Sie ein neues Konto","",IF(AND(A20&lt;TODAY(),WEEKDAY(A20,2)=7),I20+$N$16,""))</f>
        <v/>
      </c>
      <c r="K20" s="275" t="str">
        <f t="shared" ref="K20:K26" ca="1" si="1">IF(T20&lt;&gt;"",T20,IF(P20="1","Angaben überprüfen",IF(OR(A20&lt;$C$14,A20&gt;$F$14,G20="0,00"),"--------",IF(AND(G20&gt;(6/24),G20&lt;(9/24),F20&lt;0.5/24),"30 min. Pause erforderlich",IF(AND(G20&gt;=(9/24),F20&lt;0.75/24),"45 min. Pause erforderlich ","")))))</f>
        <v>Maifeiertag</v>
      </c>
      <c r="L20" s="276"/>
      <c r="M20" s="93">
        <f ca="1">WEEKNUM(A20,2)</f>
        <v>18</v>
      </c>
      <c r="N20" s="94">
        <f ca="1">IF(AND(A20&gt;=$C$14,A20&lt;=$F$14),IF(AND(WEEKDAY(A20,2)=1,$K$3&gt;0),$K$3,IF(AND(WEEKDAY(A20,2)=2,$K$5&gt;0),$K$5,IF(AND(WEEKDAY(A20,2)=3,$K$7&gt;0),$K$7,IF(AND(WEEKDAY(A20,2)=4,$K$9&gt;0),$K$9,IF(AND(WEEKDAY(A20,2)=5,$K$11&gt;0),$K$11,IF(WEEKDAY(A20,2)&gt;5,0,0))))))/24,0)</f>
        <v>0</v>
      </c>
      <c r="O20" s="95">
        <f ca="1">IF(I20&lt;&gt;0,I20,0)</f>
        <v>0</v>
      </c>
      <c r="P20" s="120" t="str">
        <f ca="1">IF(AND(Q20="1",B20&gt;0),"1","")</f>
        <v/>
      </c>
      <c r="Q20" s="120" t="str">
        <f t="shared" ref="Q20:Q50" ca="1" si="2">IF(OR(A20&lt;$C$14,A20&gt;$F$14,A20&lt;$C$9,A20&gt;$F$9),"1","")</f>
        <v>1</v>
      </c>
      <c r="R20" s="184" t="str">
        <f t="shared" ref="R20:R50" ca="1" si="3">IF(AND(A20&gt;TODAY(),B20&gt;0),"1","")</f>
        <v/>
      </c>
      <c r="S20" s="185" t="str">
        <f t="shared" ref="S20:S50" ca="1" si="4">VLOOKUP(A20,$Q$78:$S$93,2,FALSE)</f>
        <v>Maifeiertag</v>
      </c>
      <c r="T20" s="186" t="str">
        <f t="shared" ref="T20:T49" ca="1" si="5">IF(ISNA(S20),"",S20)</f>
        <v>Maifeiertag</v>
      </c>
      <c r="U20" s="193" t="str">
        <f t="shared" ref="U20:U50" ca="1" si="6">IF(AND(WEEKDAY(A20,2)=1,$I$2=TRUE),"X",IF(AND(WEEKDAY(A20,2)=4,$I$8=TRUE),"X",IF(AND(WEEKDAY(A20,2)=5,$I$10=TRUE),"X",IF(AND(WEEKDAY(A20,2)=2,$I$4=TRUE),"X",IF(AND(WEEKDAY(A20,2)=3,$I$6=TRUE),"X","")
))))</f>
        <v/>
      </c>
      <c r="V20" s="197" t="str">
        <f ca="1">IF(AND(U20&lt;&gt;"",T20&lt;&gt;""),"!","")</f>
        <v/>
      </c>
    </row>
    <row r="21" spans="1:22" s="2" customFormat="1" ht="12.6" customHeight="1">
      <c r="A21" s="189">
        <f t="shared" ref="A21:A29" ca="1" si="7">($B$17+ROW(A2)-1)*(MONTH(A20+1)=MONTH($B$17))</f>
        <v>42491</v>
      </c>
      <c r="B21" s="271"/>
      <c r="C21" s="272"/>
      <c r="D21" s="273"/>
      <c r="E21" s="274"/>
      <c r="F21" s="205"/>
      <c r="G21" s="110" t="str">
        <f t="shared" ref="G21:G49" ca="1" si="8">IF(OR(A21&lt;$C$14,A21&gt;$F$14,$G$16="Sie haben Ihr Arbeitszeitkonto überschritten, bitte erstellen Sie ein neues Konto",A21&gt;TODAY()),"0,00",IF(ISBLANK($C$14),"0,00",(D21-B21-F21)))</f>
        <v>0,00</v>
      </c>
      <c r="H21" s="111" t="str">
        <f t="shared" ref="H21:H50" ca="1" si="9">IF(WEEKDAY(A21,2)=7,SUMIF($M$19:$M$50,M21,$G$19:$G$50),"")</f>
        <v/>
      </c>
      <c r="I21" s="112">
        <f t="shared" ref="I21:I50" ca="1" si="10">IF(A21&lt;TODAY(),ROUND(SUM(G21+I20-N21),7),0)</f>
        <v>0</v>
      </c>
      <c r="J21" s="157" t="str">
        <f t="shared" ca="1" si="0"/>
        <v/>
      </c>
      <c r="K21" s="275" t="str">
        <f t="shared" ca="1" si="1"/>
        <v>--------</v>
      </c>
      <c r="L21" s="276"/>
      <c r="M21" s="93">
        <f t="shared" ref="M21:M49" ca="1" si="11">WEEKNUM(A21,2)</f>
        <v>18</v>
      </c>
      <c r="N21" s="94">
        <f t="shared" ref="N21:N50" ca="1" si="12">IF(AND(A21&gt;=$C$14,A21&lt;=$F$14),IF(AND(WEEKDAY(A21,2)=1,$K$3&gt;0),$K$3,IF(AND(WEEKDAY(A21,2)=2,$K$5&gt;0),$K$5,IF(AND(WEEKDAY(A21,2)=3,$K$7&gt;0),$K$7,IF(AND(WEEKDAY(A21,2)=4,$K$9&gt;0),$K$9,IF(AND(WEEKDAY(A21,2)=5,$K$11&gt;0),$K$11,IF(WEEKDAY(A21,2)&gt;5,0,0))))))/24,0)</f>
        <v>0</v>
      </c>
      <c r="O21" s="95">
        <f t="shared" ref="O21:O50" ca="1" si="13">IF(I21&lt;&gt;0,I21,0)</f>
        <v>0</v>
      </c>
      <c r="P21" s="120" t="str">
        <f t="shared" ref="P21:P50" ca="1" si="14">IF(AND(Q21="1",B21&gt;0),"1","")</f>
        <v/>
      </c>
      <c r="Q21" s="120" t="str">
        <f t="shared" ca="1" si="2"/>
        <v>1</v>
      </c>
      <c r="R21" s="184" t="str">
        <f t="shared" ca="1" si="3"/>
        <v/>
      </c>
      <c r="S21" s="185" t="e">
        <f t="shared" ca="1" si="4"/>
        <v>#N/A</v>
      </c>
      <c r="T21" s="186" t="str">
        <f t="shared" ca="1" si="5"/>
        <v/>
      </c>
      <c r="U21" s="194" t="str">
        <f t="shared" ca="1" si="6"/>
        <v/>
      </c>
      <c r="V21" s="197" t="str">
        <f t="shared" ref="V21:V50" ca="1" si="15">IF(AND(U21&lt;&gt;"",T21&lt;&gt;""),"!","")</f>
        <v/>
      </c>
    </row>
    <row r="22" spans="1:22" s="2" customFormat="1" ht="12.6" customHeight="1">
      <c r="A22" s="189">
        <f t="shared" ca="1" si="7"/>
        <v>42492</v>
      </c>
      <c r="B22" s="285"/>
      <c r="C22" s="286"/>
      <c r="D22" s="273"/>
      <c r="E22" s="274"/>
      <c r="F22" s="205"/>
      <c r="G22" s="110" t="str">
        <f t="shared" ca="1" si="8"/>
        <v>0,00</v>
      </c>
      <c r="H22" s="111">
        <f t="shared" ca="1" si="9"/>
        <v>0</v>
      </c>
      <c r="I22" s="112">
        <f t="shared" ca="1" si="10"/>
        <v>0</v>
      </c>
      <c r="J22" s="157" t="str">
        <f t="shared" ca="1" si="0"/>
        <v/>
      </c>
      <c r="K22" s="275" t="str">
        <f t="shared" ca="1" si="1"/>
        <v>--------</v>
      </c>
      <c r="L22" s="276"/>
      <c r="M22" s="93">
        <f t="shared" ca="1" si="11"/>
        <v>18</v>
      </c>
      <c r="N22" s="94">
        <f t="shared" ca="1" si="12"/>
        <v>0</v>
      </c>
      <c r="O22" s="95">
        <f t="shared" ca="1" si="13"/>
        <v>0</v>
      </c>
      <c r="P22" s="120" t="str">
        <f t="shared" ca="1" si="14"/>
        <v/>
      </c>
      <c r="Q22" s="120" t="str">
        <f t="shared" ca="1" si="2"/>
        <v>1</v>
      </c>
      <c r="R22" s="184" t="str">
        <f t="shared" ca="1" si="3"/>
        <v/>
      </c>
      <c r="S22" s="185" t="e">
        <f t="shared" ca="1" si="4"/>
        <v>#N/A</v>
      </c>
      <c r="T22" s="186" t="str">
        <f t="shared" ca="1" si="5"/>
        <v/>
      </c>
      <c r="U22" s="194" t="str">
        <f t="shared" ca="1" si="6"/>
        <v/>
      </c>
      <c r="V22" s="197" t="str">
        <f t="shared" ca="1" si="15"/>
        <v/>
      </c>
    </row>
    <row r="23" spans="1:22" s="2" customFormat="1" ht="12.6" customHeight="1">
      <c r="A23" s="189">
        <f t="shared" ca="1" si="7"/>
        <v>42493</v>
      </c>
      <c r="B23" s="285"/>
      <c r="C23" s="286"/>
      <c r="D23" s="273"/>
      <c r="E23" s="274"/>
      <c r="F23" s="205"/>
      <c r="G23" s="110" t="str">
        <f t="shared" ca="1" si="8"/>
        <v>0,00</v>
      </c>
      <c r="H23" s="111" t="str">
        <f t="shared" ca="1" si="9"/>
        <v/>
      </c>
      <c r="I23" s="112">
        <f t="shared" ca="1" si="10"/>
        <v>0</v>
      </c>
      <c r="J23" s="157" t="str">
        <f t="shared" ca="1" si="0"/>
        <v/>
      </c>
      <c r="K23" s="275" t="str">
        <f t="shared" ca="1" si="1"/>
        <v>--------</v>
      </c>
      <c r="L23" s="276"/>
      <c r="M23" s="93">
        <f t="shared" ca="1" si="11"/>
        <v>19</v>
      </c>
      <c r="N23" s="94">
        <f t="shared" ca="1" si="12"/>
        <v>0</v>
      </c>
      <c r="O23" s="95">
        <f t="shared" ca="1" si="13"/>
        <v>0</v>
      </c>
      <c r="P23" s="120" t="str">
        <f t="shared" ca="1" si="14"/>
        <v/>
      </c>
      <c r="Q23" s="120" t="str">
        <f t="shared" ca="1" si="2"/>
        <v>1</v>
      </c>
      <c r="R23" s="184" t="str">
        <f t="shared" ca="1" si="3"/>
        <v/>
      </c>
      <c r="S23" s="185" t="e">
        <f t="shared" ca="1" si="4"/>
        <v>#N/A</v>
      </c>
      <c r="T23" s="186" t="str">
        <f t="shared" ca="1" si="5"/>
        <v/>
      </c>
      <c r="U23" s="194" t="str">
        <f t="shared" ca="1" si="6"/>
        <v/>
      </c>
      <c r="V23" s="197" t="str">
        <f t="shared" ca="1" si="15"/>
        <v/>
      </c>
    </row>
    <row r="24" spans="1:22" s="2" customFormat="1" ht="12.6" customHeight="1">
      <c r="A24" s="190">
        <f t="shared" ca="1" si="7"/>
        <v>42494</v>
      </c>
      <c r="B24" s="281"/>
      <c r="C24" s="282"/>
      <c r="D24" s="283"/>
      <c r="E24" s="284"/>
      <c r="F24" s="208"/>
      <c r="G24" s="110" t="str">
        <f t="shared" ca="1" si="8"/>
        <v>0,00</v>
      </c>
      <c r="H24" s="111" t="str">
        <f t="shared" ca="1" si="9"/>
        <v/>
      </c>
      <c r="I24" s="112">
        <f t="shared" ca="1" si="10"/>
        <v>0</v>
      </c>
      <c r="J24" s="157" t="str">
        <f t="shared" ca="1" si="0"/>
        <v/>
      </c>
      <c r="K24" s="275" t="str">
        <f t="shared" ca="1" si="1"/>
        <v>--------</v>
      </c>
      <c r="L24" s="276"/>
      <c r="M24" s="93">
        <f t="shared" ca="1" si="11"/>
        <v>19</v>
      </c>
      <c r="N24" s="94">
        <f t="shared" ca="1" si="12"/>
        <v>0</v>
      </c>
      <c r="O24" s="95">
        <f t="shared" ca="1" si="13"/>
        <v>0</v>
      </c>
      <c r="P24" s="120" t="str">
        <f ca="1">IF(AND(Q24="1",B24&gt;0),"1","")</f>
        <v/>
      </c>
      <c r="Q24" s="120" t="str">
        <f t="shared" ca="1" si="2"/>
        <v>1</v>
      </c>
      <c r="R24" s="184" t="str">
        <f t="shared" ca="1" si="3"/>
        <v/>
      </c>
      <c r="S24" s="185" t="e">
        <f t="shared" ca="1" si="4"/>
        <v>#N/A</v>
      </c>
      <c r="T24" s="186" t="str">
        <f t="shared" ca="1" si="5"/>
        <v/>
      </c>
      <c r="U24" s="194" t="str">
        <f t="shared" ca="1" si="6"/>
        <v/>
      </c>
      <c r="V24" s="197" t="str">
        <f t="shared" ca="1" si="15"/>
        <v/>
      </c>
    </row>
    <row r="25" spans="1:22" s="18" customFormat="1" ht="12.6" customHeight="1">
      <c r="A25" s="190">
        <f t="shared" ca="1" si="7"/>
        <v>42495</v>
      </c>
      <c r="B25" s="281"/>
      <c r="C25" s="282"/>
      <c r="D25" s="283"/>
      <c r="E25" s="284"/>
      <c r="F25" s="207"/>
      <c r="G25" s="110" t="str">
        <f t="shared" ca="1" si="8"/>
        <v>0,00</v>
      </c>
      <c r="H25" s="111" t="str">
        <f t="shared" ca="1" si="9"/>
        <v/>
      </c>
      <c r="I25" s="112">
        <f t="shared" ca="1" si="10"/>
        <v>0</v>
      </c>
      <c r="J25" s="157" t="str">
        <f ca="1">IF($G$16="Sie haben Ihr Arbeitszeitkonto überschritten, bitte erstellen Sie ein neues Konto","",IF(AND(A25&lt;TODAY(),WEEKDAY(A25,2)=7),I25+$N$16,""))</f>
        <v/>
      </c>
      <c r="K25" s="275" t="str">
        <f t="shared" ca="1" si="1"/>
        <v>--------</v>
      </c>
      <c r="L25" s="276"/>
      <c r="M25" s="93">
        <f t="shared" ca="1" si="11"/>
        <v>19</v>
      </c>
      <c r="N25" s="94">
        <f t="shared" ca="1" si="12"/>
        <v>0</v>
      </c>
      <c r="O25" s="95">
        <f t="shared" ca="1" si="13"/>
        <v>0</v>
      </c>
      <c r="P25" s="120" t="str">
        <f t="shared" ca="1" si="14"/>
        <v/>
      </c>
      <c r="Q25" s="120" t="str">
        <f t="shared" ca="1" si="2"/>
        <v>1</v>
      </c>
      <c r="R25" s="184" t="str">
        <f t="shared" ca="1" si="3"/>
        <v/>
      </c>
      <c r="S25" s="185" t="e">
        <f t="shared" ca="1" si="4"/>
        <v>#N/A</v>
      </c>
      <c r="T25" s="186" t="str">
        <f t="shared" ca="1" si="5"/>
        <v/>
      </c>
      <c r="U25" s="194" t="str">
        <f t="shared" ca="1" si="6"/>
        <v/>
      </c>
      <c r="V25" s="197" t="str">
        <f t="shared" ca="1" si="15"/>
        <v/>
      </c>
    </row>
    <row r="26" spans="1:22" s="18" customFormat="1" ht="12.6" customHeight="1">
      <c r="A26" s="190">
        <f t="shared" ca="1" si="7"/>
        <v>42496</v>
      </c>
      <c r="B26" s="285"/>
      <c r="C26" s="286"/>
      <c r="D26" s="301"/>
      <c r="E26" s="276"/>
      <c r="F26" s="117"/>
      <c r="G26" s="110" t="str">
        <f t="shared" ca="1" si="8"/>
        <v>0,00</v>
      </c>
      <c r="H26" s="111" t="str">
        <f t="shared" ca="1" si="9"/>
        <v/>
      </c>
      <c r="I26" s="112">
        <f t="shared" ca="1" si="10"/>
        <v>0</v>
      </c>
      <c r="J26" s="157" t="str">
        <f t="shared" ref="J26:J50" ca="1" si="16">IF($G$16="Sie haben Ihr Arbeitszeitkonto überschritten, bitte erstellen Sie ein neues Konto","",IF(AND(A26&lt;TODAY(),WEEKDAY(A26,2)=7),I26+$N$16,""))</f>
        <v/>
      </c>
      <c r="K26" s="275" t="str">
        <f t="shared" ca="1" si="1"/>
        <v>--------</v>
      </c>
      <c r="L26" s="276"/>
      <c r="M26" s="93">
        <f t="shared" ca="1" si="11"/>
        <v>19</v>
      </c>
      <c r="N26" s="94">
        <f t="shared" ca="1" si="12"/>
        <v>0</v>
      </c>
      <c r="O26" s="95">
        <f t="shared" ca="1" si="13"/>
        <v>0</v>
      </c>
      <c r="P26" s="120" t="str">
        <f t="shared" ca="1" si="14"/>
        <v/>
      </c>
      <c r="Q26" s="120" t="str">
        <f t="shared" ca="1" si="2"/>
        <v>1</v>
      </c>
      <c r="R26" s="184" t="str">
        <f t="shared" ca="1" si="3"/>
        <v/>
      </c>
      <c r="S26" s="185" t="e">
        <f t="shared" ca="1" si="4"/>
        <v>#N/A</v>
      </c>
      <c r="T26" s="186" t="str">
        <f t="shared" ca="1" si="5"/>
        <v/>
      </c>
      <c r="U26" s="194" t="str">
        <f t="shared" ca="1" si="6"/>
        <v/>
      </c>
      <c r="V26" s="197" t="str">
        <f t="shared" ca="1" si="15"/>
        <v/>
      </c>
    </row>
    <row r="27" spans="1:22" ht="12.6" customHeight="1">
      <c r="A27" s="190">
        <f t="shared" ca="1" si="7"/>
        <v>42497</v>
      </c>
      <c r="B27" s="285"/>
      <c r="C27" s="286"/>
      <c r="D27" s="273"/>
      <c r="E27" s="274"/>
      <c r="F27" s="217"/>
      <c r="G27" s="110" t="str">
        <f t="shared" ca="1" si="8"/>
        <v>0,00</v>
      </c>
      <c r="H27" s="111" t="str">
        <f t="shared" ca="1" si="9"/>
        <v/>
      </c>
      <c r="I27" s="112">
        <f t="shared" ca="1" si="10"/>
        <v>0</v>
      </c>
      <c r="J27" s="157" t="str">
        <f t="shared" ca="1" si="16"/>
        <v/>
      </c>
      <c r="K27" s="275" t="str">
        <f ca="1">IF(T27&lt;&gt;"",T27,IF(P27="1","Angaben überprüfen",IF(OR(A27&lt;$C$14,A27&gt;$F$14,G27="0,00"),"--------",IF(AND(G27&gt;(6/24),G27&lt;(9/24),F27&lt;0.5/24),"30 min. Pause erforderlich",IF(AND(G27&gt;=(9/24),F27&lt;0.75/24),"45 min. Pause erforderlich ","")))))</f>
        <v>--------</v>
      </c>
      <c r="L27" s="276"/>
      <c r="M27" s="93">
        <f t="shared" ca="1" si="11"/>
        <v>19</v>
      </c>
      <c r="N27" s="94">
        <f t="shared" ca="1" si="12"/>
        <v>0</v>
      </c>
      <c r="O27" s="95">
        <f t="shared" ca="1" si="13"/>
        <v>0</v>
      </c>
      <c r="P27" s="120" t="str">
        <f t="shared" ca="1" si="14"/>
        <v/>
      </c>
      <c r="Q27" s="120" t="str">
        <f t="shared" ca="1" si="2"/>
        <v>1</v>
      </c>
      <c r="R27" s="184" t="str">
        <f t="shared" ca="1" si="3"/>
        <v/>
      </c>
      <c r="S27" s="185" t="e">
        <f t="shared" ca="1" si="4"/>
        <v>#N/A</v>
      </c>
      <c r="T27" s="186" t="str">
        <f t="shared" ca="1" si="5"/>
        <v/>
      </c>
      <c r="U27" s="194" t="str">
        <f t="shared" ca="1" si="6"/>
        <v/>
      </c>
      <c r="V27" s="197" t="str">
        <f t="shared" ca="1" si="15"/>
        <v/>
      </c>
    </row>
    <row r="28" spans="1:22" ht="12.6" customHeight="1">
      <c r="A28" s="190">
        <f t="shared" ca="1" si="7"/>
        <v>42498</v>
      </c>
      <c r="B28" s="285"/>
      <c r="C28" s="286"/>
      <c r="D28" s="273"/>
      <c r="E28" s="274"/>
      <c r="F28" s="217"/>
      <c r="G28" s="110" t="str">
        <f t="shared" ca="1" si="8"/>
        <v>0,00</v>
      </c>
      <c r="H28" s="111" t="str">
        <f t="shared" ca="1" si="9"/>
        <v/>
      </c>
      <c r="I28" s="112">
        <f t="shared" ca="1" si="10"/>
        <v>0</v>
      </c>
      <c r="J28" s="157" t="str">
        <f t="shared" ca="1" si="16"/>
        <v/>
      </c>
      <c r="K28" s="275" t="str">
        <f t="shared" ref="K28:K50" ca="1" si="17">IF(T28&lt;&gt;"",T28,IF(P28="1","Angaben überprüfen",IF(OR(A28&lt;$C$14,A28&gt;$F$14,G28="0,00"),"--------",IF(AND(G28&gt;(6/24),G28&lt;(9/24),F28&lt;0.5/24),"30 min. Pause erforderlich",IF(AND(G28&gt;=(9/24),F28&lt;0.75/24),"45 min. Pause erforderlich ","")))))</f>
        <v>--------</v>
      </c>
      <c r="L28" s="276"/>
      <c r="M28" s="93">
        <f t="shared" ca="1" si="11"/>
        <v>19</v>
      </c>
      <c r="N28" s="94">
        <f t="shared" ca="1" si="12"/>
        <v>0</v>
      </c>
      <c r="O28" s="95">
        <f t="shared" ca="1" si="13"/>
        <v>0</v>
      </c>
      <c r="P28" s="120" t="str">
        <f t="shared" ca="1" si="14"/>
        <v/>
      </c>
      <c r="Q28" s="120" t="str">
        <f t="shared" ca="1" si="2"/>
        <v>1</v>
      </c>
      <c r="R28" s="184" t="str">
        <f t="shared" ca="1" si="3"/>
        <v/>
      </c>
      <c r="S28" s="185" t="e">
        <f t="shared" ca="1" si="4"/>
        <v>#N/A</v>
      </c>
      <c r="T28" s="186" t="str">
        <f t="shared" ca="1" si="5"/>
        <v/>
      </c>
      <c r="U28" s="194" t="str">
        <f t="shared" ca="1" si="6"/>
        <v/>
      </c>
      <c r="V28" s="197" t="str">
        <f t="shared" ca="1" si="15"/>
        <v/>
      </c>
    </row>
    <row r="29" spans="1:22" ht="12.6" customHeight="1">
      <c r="A29" s="190">
        <f t="shared" ca="1" si="7"/>
        <v>42499</v>
      </c>
      <c r="B29" s="285"/>
      <c r="C29" s="286"/>
      <c r="D29" s="273"/>
      <c r="E29" s="274"/>
      <c r="F29" s="206"/>
      <c r="G29" s="110" t="str">
        <f t="shared" ca="1" si="8"/>
        <v>0,00</v>
      </c>
      <c r="H29" s="111">
        <f t="shared" ca="1" si="9"/>
        <v>0</v>
      </c>
      <c r="I29" s="112">
        <f t="shared" ca="1" si="10"/>
        <v>0</v>
      </c>
      <c r="J29" s="157" t="str">
        <f t="shared" ca="1" si="16"/>
        <v/>
      </c>
      <c r="K29" s="275" t="str">
        <f t="shared" ca="1" si="17"/>
        <v>--------</v>
      </c>
      <c r="L29" s="276"/>
      <c r="M29" s="93">
        <f t="shared" ca="1" si="11"/>
        <v>19</v>
      </c>
      <c r="N29" s="94">
        <f ca="1">IF(AND(A29&gt;=$C$14,A29&lt;=$F$14),IF(AND(WEEKDAY(A29,2)=1,$K$3&gt;0),$K$3,IF(AND(WEEKDAY(A29,2)=2,$K$5&gt;0),$K$5,IF(AND(WEEKDAY(A29,2)=3,$K$7&gt;0),$K$7,IF(AND(WEEKDAY(A29,2)=4,$K$9&gt;0),$K$9,IF(AND(WEEKDAY(A29,2)=5,$K$11&gt;0),$K$11,IF(WEEKDAY(A29,2)&gt;5,0,0))))))/24,0)</f>
        <v>0</v>
      </c>
      <c r="O29" s="95">
        <f t="shared" ca="1" si="13"/>
        <v>0</v>
      </c>
      <c r="P29" s="120" t="str">
        <f t="shared" ca="1" si="14"/>
        <v/>
      </c>
      <c r="Q29" s="120" t="str">
        <f t="shared" ca="1" si="2"/>
        <v>1</v>
      </c>
      <c r="R29" s="184" t="str">
        <f t="shared" ca="1" si="3"/>
        <v/>
      </c>
      <c r="S29" s="185" t="e">
        <f t="shared" ca="1" si="4"/>
        <v>#N/A</v>
      </c>
      <c r="T29" s="186" t="str">
        <f t="shared" ca="1" si="5"/>
        <v/>
      </c>
      <c r="U29" s="194" t="str">
        <f t="shared" ca="1" si="6"/>
        <v/>
      </c>
      <c r="V29" s="197" t="str">
        <f t="shared" ca="1" si="15"/>
        <v/>
      </c>
    </row>
    <row r="30" spans="1:22" ht="12.6" customHeight="1">
      <c r="A30" s="189">
        <f ca="1">($B$17+ROW(A11)-1)*(MONTH(A27+1)=MONTH($B$17))</f>
        <v>42500</v>
      </c>
      <c r="B30" s="285"/>
      <c r="C30" s="286"/>
      <c r="D30" s="273"/>
      <c r="E30" s="274"/>
      <c r="F30" s="206"/>
      <c r="G30" s="110" t="str">
        <f t="shared" ca="1" si="8"/>
        <v>0,00</v>
      </c>
      <c r="H30" s="111" t="str">
        <f t="shared" ca="1" si="9"/>
        <v/>
      </c>
      <c r="I30" s="112">
        <f t="shared" ca="1" si="10"/>
        <v>0</v>
      </c>
      <c r="J30" s="157" t="str">
        <f t="shared" ca="1" si="16"/>
        <v/>
      </c>
      <c r="K30" s="275" t="str">
        <f t="shared" ca="1" si="17"/>
        <v>--------</v>
      </c>
      <c r="L30" s="276"/>
      <c r="M30" s="93">
        <f t="shared" ca="1" si="11"/>
        <v>20</v>
      </c>
      <c r="N30" s="94">
        <f t="shared" ca="1" si="12"/>
        <v>0</v>
      </c>
      <c r="O30" s="95">
        <f t="shared" ca="1" si="13"/>
        <v>0</v>
      </c>
      <c r="P30" s="120" t="str">
        <f t="shared" ca="1" si="14"/>
        <v/>
      </c>
      <c r="Q30" s="120" t="str">
        <f t="shared" ca="1" si="2"/>
        <v>1</v>
      </c>
      <c r="R30" s="184" t="str">
        <f t="shared" ca="1" si="3"/>
        <v/>
      </c>
      <c r="S30" s="185" t="e">
        <f t="shared" ca="1" si="4"/>
        <v>#N/A</v>
      </c>
      <c r="T30" s="186" t="str">
        <f t="shared" ca="1" si="5"/>
        <v/>
      </c>
      <c r="U30" s="194" t="str">
        <f t="shared" ca="1" si="6"/>
        <v/>
      </c>
      <c r="V30" s="197" t="str">
        <f t="shared" ca="1" si="15"/>
        <v/>
      </c>
    </row>
    <row r="31" spans="1:22" ht="12.6" customHeight="1">
      <c r="A31" s="189">
        <f ca="1">($B$17+ROW(A12)-1)*(MONTH(A28+1)=MONTH($B$17))</f>
        <v>42501</v>
      </c>
      <c r="B31" s="281"/>
      <c r="C31" s="282"/>
      <c r="D31" s="283"/>
      <c r="E31" s="284"/>
      <c r="F31" s="206"/>
      <c r="G31" s="110" t="str">
        <f t="shared" ca="1" si="8"/>
        <v>0,00</v>
      </c>
      <c r="H31" s="111" t="str">
        <f t="shared" ca="1" si="9"/>
        <v/>
      </c>
      <c r="I31" s="112">
        <f t="shared" ca="1" si="10"/>
        <v>0</v>
      </c>
      <c r="J31" s="157" t="str">
        <f t="shared" ca="1" si="16"/>
        <v/>
      </c>
      <c r="K31" s="275" t="str">
        <f t="shared" ca="1" si="17"/>
        <v>--------</v>
      </c>
      <c r="L31" s="276"/>
      <c r="M31" s="93">
        <f t="shared" ca="1" si="11"/>
        <v>20</v>
      </c>
      <c r="N31" s="94">
        <f t="shared" ca="1" si="12"/>
        <v>0</v>
      </c>
      <c r="O31" s="95">
        <f t="shared" ca="1" si="13"/>
        <v>0</v>
      </c>
      <c r="P31" s="120" t="str">
        <f t="shared" ca="1" si="14"/>
        <v/>
      </c>
      <c r="Q31" s="120" t="str">
        <f t="shared" ca="1" si="2"/>
        <v>1</v>
      </c>
      <c r="R31" s="184" t="str">
        <f t="shared" ca="1" si="3"/>
        <v/>
      </c>
      <c r="S31" s="185" t="e">
        <f t="shared" ca="1" si="4"/>
        <v>#N/A</v>
      </c>
      <c r="T31" s="186" t="str">
        <f t="shared" ca="1" si="5"/>
        <v/>
      </c>
      <c r="U31" s="194" t="str">
        <f t="shared" ca="1" si="6"/>
        <v/>
      </c>
      <c r="V31" s="197" t="str">
        <f t="shared" ca="1" si="15"/>
        <v/>
      </c>
    </row>
    <row r="32" spans="1:22" ht="12.6" customHeight="1">
      <c r="A32" s="189">
        <f ca="1">($B$17+ROW(A13)-1)*(MONTH(A30+1)=MONTH($B$17))</f>
        <v>42502</v>
      </c>
      <c r="B32" s="285"/>
      <c r="C32" s="286"/>
      <c r="D32" s="301"/>
      <c r="E32" s="276"/>
      <c r="F32" s="206"/>
      <c r="G32" s="110" t="str">
        <f t="shared" ca="1" si="8"/>
        <v>0,00</v>
      </c>
      <c r="H32" s="111" t="str">
        <f t="shared" ca="1" si="9"/>
        <v/>
      </c>
      <c r="I32" s="112">
        <f t="shared" ca="1" si="10"/>
        <v>0</v>
      </c>
      <c r="J32" s="157" t="str">
        <f t="shared" ca="1" si="16"/>
        <v/>
      </c>
      <c r="K32" s="275" t="str">
        <f t="shared" ca="1" si="17"/>
        <v>--------</v>
      </c>
      <c r="L32" s="276"/>
      <c r="M32" s="93">
        <f t="shared" ca="1" si="11"/>
        <v>20</v>
      </c>
      <c r="N32" s="94">
        <f t="shared" ca="1" si="12"/>
        <v>0</v>
      </c>
      <c r="O32" s="95">
        <f t="shared" ca="1" si="13"/>
        <v>0</v>
      </c>
      <c r="P32" s="120" t="str">
        <f t="shared" ca="1" si="14"/>
        <v/>
      </c>
      <c r="Q32" s="120" t="str">
        <f t="shared" ca="1" si="2"/>
        <v>1</v>
      </c>
      <c r="R32" s="184" t="str">
        <f t="shared" ca="1" si="3"/>
        <v/>
      </c>
      <c r="S32" s="185" t="e">
        <f t="shared" ca="1" si="4"/>
        <v>#N/A</v>
      </c>
      <c r="T32" s="186" t="str">
        <f t="shared" ca="1" si="5"/>
        <v/>
      </c>
      <c r="U32" s="194" t="str">
        <f t="shared" ca="1" si="6"/>
        <v/>
      </c>
      <c r="V32" s="197" t="str">
        <f t="shared" ca="1" si="15"/>
        <v/>
      </c>
    </row>
    <row r="33" spans="1:22" ht="12.6" customHeight="1">
      <c r="A33" s="189">
        <f t="shared" ref="A33:A50" ca="1" si="18">($B$17+ROW(A14)-1)*(MONTH(A32+1)=MONTH($B$17))</f>
        <v>42503</v>
      </c>
      <c r="B33" s="285"/>
      <c r="C33" s="286"/>
      <c r="D33" s="273"/>
      <c r="E33" s="274"/>
      <c r="F33" s="206"/>
      <c r="G33" s="110" t="str">
        <f t="shared" ca="1" si="8"/>
        <v>0,00</v>
      </c>
      <c r="H33" s="111" t="str">
        <f t="shared" ca="1" si="9"/>
        <v/>
      </c>
      <c r="I33" s="112">
        <f t="shared" ca="1" si="10"/>
        <v>0</v>
      </c>
      <c r="J33" s="157" t="str">
        <f t="shared" ca="1" si="16"/>
        <v/>
      </c>
      <c r="K33" s="275" t="str">
        <f t="shared" ca="1" si="17"/>
        <v>--------</v>
      </c>
      <c r="L33" s="276"/>
      <c r="M33" s="93">
        <f t="shared" ca="1" si="11"/>
        <v>20</v>
      </c>
      <c r="N33" s="94">
        <f t="shared" ca="1" si="12"/>
        <v>0</v>
      </c>
      <c r="O33" s="95">
        <f t="shared" ca="1" si="13"/>
        <v>0</v>
      </c>
      <c r="P33" s="120" t="str">
        <f t="shared" ca="1" si="14"/>
        <v/>
      </c>
      <c r="Q33" s="120" t="str">
        <f t="shared" ca="1" si="2"/>
        <v>1</v>
      </c>
      <c r="R33" s="184" t="str">
        <f t="shared" ca="1" si="3"/>
        <v/>
      </c>
      <c r="S33" s="185" t="e">
        <f t="shared" ca="1" si="4"/>
        <v>#N/A</v>
      </c>
      <c r="T33" s="186" t="str">
        <f t="shared" ca="1" si="5"/>
        <v/>
      </c>
      <c r="U33" s="194" t="str">
        <f t="shared" ca="1" si="6"/>
        <v/>
      </c>
      <c r="V33" s="197" t="str">
        <f t="shared" ca="1" si="15"/>
        <v/>
      </c>
    </row>
    <row r="34" spans="1:22" ht="12.6" customHeight="1">
      <c r="A34" s="189">
        <f t="shared" ca="1" si="18"/>
        <v>42504</v>
      </c>
      <c r="B34" s="285"/>
      <c r="C34" s="286"/>
      <c r="D34" s="273"/>
      <c r="E34" s="274"/>
      <c r="F34" s="206"/>
      <c r="G34" s="110" t="str">
        <f t="shared" ca="1" si="8"/>
        <v>0,00</v>
      </c>
      <c r="H34" s="111" t="str">
        <f t="shared" ca="1" si="9"/>
        <v/>
      </c>
      <c r="I34" s="112">
        <f t="shared" ca="1" si="10"/>
        <v>0</v>
      </c>
      <c r="J34" s="157" t="str">
        <f t="shared" ca="1" si="16"/>
        <v/>
      </c>
      <c r="K34" s="275" t="str">
        <f t="shared" ca="1" si="17"/>
        <v>--------</v>
      </c>
      <c r="L34" s="276"/>
      <c r="M34" s="93">
        <f t="shared" ca="1" si="11"/>
        <v>20</v>
      </c>
      <c r="N34" s="94">
        <f t="shared" ca="1" si="12"/>
        <v>0</v>
      </c>
      <c r="O34" s="95">
        <f t="shared" ca="1" si="13"/>
        <v>0</v>
      </c>
      <c r="P34" s="120" t="str">
        <f t="shared" ca="1" si="14"/>
        <v/>
      </c>
      <c r="Q34" s="120" t="str">
        <f t="shared" ca="1" si="2"/>
        <v>1</v>
      </c>
      <c r="R34" s="184" t="str">
        <f t="shared" ca="1" si="3"/>
        <v/>
      </c>
      <c r="S34" s="185" t="e">
        <f t="shared" ca="1" si="4"/>
        <v>#N/A</v>
      </c>
      <c r="T34" s="186" t="str">
        <f t="shared" ca="1" si="5"/>
        <v/>
      </c>
      <c r="U34" s="194" t="str">
        <f t="shared" ca="1" si="6"/>
        <v/>
      </c>
      <c r="V34" s="197" t="str">
        <f t="shared" ca="1" si="15"/>
        <v/>
      </c>
    </row>
    <row r="35" spans="1:22" ht="12.6" customHeight="1">
      <c r="A35" s="189">
        <f t="shared" ca="1" si="18"/>
        <v>42505</v>
      </c>
      <c r="B35" s="285"/>
      <c r="C35" s="286"/>
      <c r="D35" s="273"/>
      <c r="E35" s="274"/>
      <c r="F35" s="206"/>
      <c r="G35" s="110" t="str">
        <f t="shared" ca="1" si="8"/>
        <v>0,00</v>
      </c>
      <c r="H35" s="111" t="str">
        <f t="shared" ca="1" si="9"/>
        <v/>
      </c>
      <c r="I35" s="112">
        <f t="shared" ca="1" si="10"/>
        <v>0</v>
      </c>
      <c r="J35" s="157" t="str">
        <f t="shared" ca="1" si="16"/>
        <v/>
      </c>
      <c r="K35" s="275" t="str">
        <f t="shared" ca="1" si="17"/>
        <v>--------</v>
      </c>
      <c r="L35" s="276"/>
      <c r="M35" s="93">
        <f t="shared" ca="1" si="11"/>
        <v>20</v>
      </c>
      <c r="N35" s="94">
        <f t="shared" ca="1" si="12"/>
        <v>0</v>
      </c>
      <c r="O35" s="95">
        <f t="shared" ca="1" si="13"/>
        <v>0</v>
      </c>
      <c r="P35" s="120" t="str">
        <f t="shared" ca="1" si="14"/>
        <v/>
      </c>
      <c r="Q35" s="120" t="str">
        <f t="shared" ca="1" si="2"/>
        <v>1</v>
      </c>
      <c r="R35" s="184" t="str">
        <f t="shared" ca="1" si="3"/>
        <v/>
      </c>
      <c r="S35" s="185" t="e">
        <f t="shared" ca="1" si="4"/>
        <v>#N/A</v>
      </c>
      <c r="T35" s="186" t="str">
        <f t="shared" ca="1" si="5"/>
        <v/>
      </c>
      <c r="U35" s="194" t="str">
        <f t="shared" ca="1" si="6"/>
        <v/>
      </c>
      <c r="V35" s="197" t="str">
        <f t="shared" ca="1" si="15"/>
        <v/>
      </c>
    </row>
    <row r="36" spans="1:22" ht="12.6" customHeight="1">
      <c r="A36" s="189">
        <f t="shared" ca="1" si="18"/>
        <v>42506</v>
      </c>
      <c r="B36" s="285"/>
      <c r="C36" s="286"/>
      <c r="D36" s="273"/>
      <c r="E36" s="274"/>
      <c r="F36" s="205"/>
      <c r="G36" s="110" t="str">
        <f t="shared" ca="1" si="8"/>
        <v>0,00</v>
      </c>
      <c r="H36" s="111">
        <f t="shared" ca="1" si="9"/>
        <v>0</v>
      </c>
      <c r="I36" s="112">
        <f t="shared" ca="1" si="10"/>
        <v>0</v>
      </c>
      <c r="J36" s="157" t="str">
        <f t="shared" ca="1" si="16"/>
        <v/>
      </c>
      <c r="K36" s="275" t="str">
        <f t="shared" ca="1" si="17"/>
        <v>--------</v>
      </c>
      <c r="L36" s="276"/>
      <c r="M36" s="93">
        <f t="shared" ca="1" si="11"/>
        <v>20</v>
      </c>
      <c r="N36" s="94">
        <f t="shared" ca="1" si="12"/>
        <v>0</v>
      </c>
      <c r="O36" s="95">
        <f t="shared" ca="1" si="13"/>
        <v>0</v>
      </c>
      <c r="P36" s="120" t="str">
        <f t="shared" ca="1" si="14"/>
        <v/>
      </c>
      <c r="Q36" s="120" t="str">
        <f t="shared" ca="1" si="2"/>
        <v>1</v>
      </c>
      <c r="R36" s="184" t="str">
        <f t="shared" ca="1" si="3"/>
        <v/>
      </c>
      <c r="S36" s="185" t="e">
        <f t="shared" ca="1" si="4"/>
        <v>#N/A</v>
      </c>
      <c r="T36" s="186" t="str">
        <f t="shared" ca="1" si="5"/>
        <v/>
      </c>
      <c r="U36" s="194" t="str">
        <f t="shared" ca="1" si="6"/>
        <v/>
      </c>
      <c r="V36" s="197" t="str">
        <f t="shared" ca="1" si="15"/>
        <v/>
      </c>
    </row>
    <row r="37" spans="1:22" ht="12.6" customHeight="1">
      <c r="A37" s="189">
        <f t="shared" ca="1" si="18"/>
        <v>42507</v>
      </c>
      <c r="B37" s="285"/>
      <c r="C37" s="286"/>
      <c r="D37" s="273"/>
      <c r="E37" s="274"/>
      <c r="F37" s="205"/>
      <c r="G37" s="110" t="str">
        <f t="shared" ca="1" si="8"/>
        <v>0,00</v>
      </c>
      <c r="H37" s="111" t="str">
        <f t="shared" ca="1" si="9"/>
        <v/>
      </c>
      <c r="I37" s="112">
        <f t="shared" ca="1" si="10"/>
        <v>0</v>
      </c>
      <c r="J37" s="157" t="str">
        <f t="shared" ca="1" si="16"/>
        <v/>
      </c>
      <c r="K37" s="275" t="str">
        <f t="shared" ca="1" si="17"/>
        <v>--------</v>
      </c>
      <c r="L37" s="276"/>
      <c r="M37" s="93">
        <f t="shared" ca="1" si="11"/>
        <v>21</v>
      </c>
      <c r="N37" s="94">
        <f t="shared" ca="1" si="12"/>
        <v>0</v>
      </c>
      <c r="O37" s="95">
        <f t="shared" ca="1" si="13"/>
        <v>0</v>
      </c>
      <c r="P37" s="120" t="str">
        <f t="shared" ca="1" si="14"/>
        <v/>
      </c>
      <c r="Q37" s="120" t="str">
        <f t="shared" ca="1" si="2"/>
        <v>1</v>
      </c>
      <c r="R37" s="184" t="str">
        <f t="shared" ca="1" si="3"/>
        <v/>
      </c>
      <c r="S37" s="185" t="e">
        <f t="shared" ca="1" si="4"/>
        <v>#N/A</v>
      </c>
      <c r="T37" s="186" t="str">
        <f t="shared" ca="1" si="5"/>
        <v/>
      </c>
      <c r="U37" s="194" t="str">
        <f t="shared" ca="1" si="6"/>
        <v/>
      </c>
      <c r="V37" s="197" t="str">
        <f t="shared" ca="1" si="15"/>
        <v/>
      </c>
    </row>
    <row r="38" spans="1:22" ht="12.6" customHeight="1">
      <c r="A38" s="189">
        <f t="shared" ca="1" si="18"/>
        <v>42508</v>
      </c>
      <c r="B38" s="281"/>
      <c r="C38" s="282"/>
      <c r="D38" s="283"/>
      <c r="E38" s="284"/>
      <c r="F38" s="206"/>
      <c r="G38" s="110" t="str">
        <f t="shared" ca="1" si="8"/>
        <v>0,00</v>
      </c>
      <c r="H38" s="111" t="str">
        <f t="shared" ca="1" si="9"/>
        <v/>
      </c>
      <c r="I38" s="112">
        <f t="shared" ca="1" si="10"/>
        <v>0</v>
      </c>
      <c r="J38" s="157" t="str">
        <f t="shared" ca="1" si="16"/>
        <v/>
      </c>
      <c r="K38" s="275" t="str">
        <f t="shared" ca="1" si="17"/>
        <v>--------</v>
      </c>
      <c r="L38" s="276"/>
      <c r="M38" s="93">
        <f t="shared" ca="1" si="11"/>
        <v>21</v>
      </c>
      <c r="N38" s="94">
        <f t="shared" ca="1" si="12"/>
        <v>0</v>
      </c>
      <c r="O38" s="95">
        <f t="shared" ca="1" si="13"/>
        <v>0</v>
      </c>
      <c r="P38" s="120" t="str">
        <f t="shared" ca="1" si="14"/>
        <v/>
      </c>
      <c r="Q38" s="120" t="str">
        <f t="shared" ca="1" si="2"/>
        <v>1</v>
      </c>
      <c r="R38" s="184" t="str">
        <f t="shared" ca="1" si="3"/>
        <v/>
      </c>
      <c r="S38" s="185" t="e">
        <f t="shared" ca="1" si="4"/>
        <v>#N/A</v>
      </c>
      <c r="T38" s="186" t="str">
        <f t="shared" ca="1" si="5"/>
        <v/>
      </c>
      <c r="U38" s="194" t="str">
        <f t="shared" ca="1" si="6"/>
        <v/>
      </c>
      <c r="V38" s="197" t="str">
        <f t="shared" ca="1" si="15"/>
        <v/>
      </c>
    </row>
    <row r="39" spans="1:22" ht="12.6" customHeight="1">
      <c r="A39" s="189">
        <f t="shared" ca="1" si="18"/>
        <v>42509</v>
      </c>
      <c r="B39" s="285"/>
      <c r="C39" s="286"/>
      <c r="D39" s="301"/>
      <c r="E39" s="276"/>
      <c r="F39" s="206"/>
      <c r="G39" s="110" t="str">
        <f t="shared" ca="1" si="8"/>
        <v>0,00</v>
      </c>
      <c r="H39" s="111" t="str">
        <f t="shared" ca="1" si="9"/>
        <v/>
      </c>
      <c r="I39" s="112">
        <f t="shared" ca="1" si="10"/>
        <v>0</v>
      </c>
      <c r="J39" s="157" t="str">
        <f t="shared" ca="1" si="16"/>
        <v/>
      </c>
      <c r="K39" s="275" t="str">
        <f t="shared" ca="1" si="17"/>
        <v>--------</v>
      </c>
      <c r="L39" s="276"/>
      <c r="M39" s="93">
        <f t="shared" ca="1" si="11"/>
        <v>21</v>
      </c>
      <c r="N39" s="94">
        <f t="shared" ca="1" si="12"/>
        <v>0</v>
      </c>
      <c r="O39" s="95">
        <f t="shared" ca="1" si="13"/>
        <v>0</v>
      </c>
      <c r="P39" s="120" t="str">
        <f t="shared" ca="1" si="14"/>
        <v/>
      </c>
      <c r="Q39" s="120" t="str">
        <f t="shared" ca="1" si="2"/>
        <v>1</v>
      </c>
      <c r="R39" s="184" t="str">
        <f t="shared" ca="1" si="3"/>
        <v/>
      </c>
      <c r="S39" s="185" t="e">
        <f t="shared" ca="1" si="4"/>
        <v>#N/A</v>
      </c>
      <c r="T39" s="186" t="str">
        <f t="shared" ca="1" si="5"/>
        <v/>
      </c>
      <c r="U39" s="194" t="str">
        <f t="shared" ca="1" si="6"/>
        <v/>
      </c>
      <c r="V39" s="197" t="str">
        <f t="shared" ca="1" si="15"/>
        <v/>
      </c>
    </row>
    <row r="40" spans="1:22" ht="12.6" customHeight="1">
      <c r="A40" s="189">
        <f t="shared" ca="1" si="18"/>
        <v>42510</v>
      </c>
      <c r="B40" s="285"/>
      <c r="C40" s="286"/>
      <c r="D40" s="273"/>
      <c r="E40" s="274"/>
      <c r="F40" s="206"/>
      <c r="G40" s="110" t="str">
        <f t="shared" ca="1" si="8"/>
        <v>0,00</v>
      </c>
      <c r="H40" s="111" t="str">
        <f t="shared" ca="1" si="9"/>
        <v/>
      </c>
      <c r="I40" s="112">
        <f t="shared" ca="1" si="10"/>
        <v>0</v>
      </c>
      <c r="J40" s="157" t="str">
        <f t="shared" ca="1" si="16"/>
        <v/>
      </c>
      <c r="K40" s="275" t="str">
        <f t="shared" ca="1" si="17"/>
        <v>Christi Himmelfahrt</v>
      </c>
      <c r="L40" s="276"/>
      <c r="M40" s="93">
        <f t="shared" ca="1" si="11"/>
        <v>21</v>
      </c>
      <c r="N40" s="94">
        <f t="shared" ca="1" si="12"/>
        <v>0</v>
      </c>
      <c r="O40" s="95">
        <f t="shared" ca="1" si="13"/>
        <v>0</v>
      </c>
      <c r="P40" s="120" t="str">
        <f t="shared" ca="1" si="14"/>
        <v/>
      </c>
      <c r="Q40" s="120" t="str">
        <f t="shared" ca="1" si="2"/>
        <v>1</v>
      </c>
      <c r="R40" s="184" t="str">
        <f t="shared" ca="1" si="3"/>
        <v/>
      </c>
      <c r="S40" s="185" t="str">
        <f t="shared" ca="1" si="4"/>
        <v>Christi Himmelfahrt</v>
      </c>
      <c r="T40" s="186" t="str">
        <f t="shared" ca="1" si="5"/>
        <v>Christi Himmelfahrt</v>
      </c>
      <c r="U40" s="194" t="str">
        <f t="shared" ca="1" si="6"/>
        <v/>
      </c>
      <c r="V40" s="197" t="str">
        <f t="shared" ca="1" si="15"/>
        <v/>
      </c>
    </row>
    <row r="41" spans="1:22" ht="12.6" customHeight="1">
      <c r="A41" s="189">
        <f t="shared" ca="1" si="18"/>
        <v>42511</v>
      </c>
      <c r="B41" s="285"/>
      <c r="C41" s="286"/>
      <c r="D41" s="273"/>
      <c r="E41" s="274"/>
      <c r="F41" s="206"/>
      <c r="G41" s="110" t="str">
        <f t="shared" ca="1" si="8"/>
        <v>0,00</v>
      </c>
      <c r="H41" s="111" t="str">
        <f t="shared" ca="1" si="9"/>
        <v/>
      </c>
      <c r="I41" s="112">
        <f t="shared" ca="1" si="10"/>
        <v>0</v>
      </c>
      <c r="J41" s="157" t="str">
        <f t="shared" ca="1" si="16"/>
        <v/>
      </c>
      <c r="K41" s="275" t="str">
        <f t="shared" ca="1" si="17"/>
        <v>--------</v>
      </c>
      <c r="L41" s="276"/>
      <c r="M41" s="93">
        <f t="shared" ca="1" si="11"/>
        <v>21</v>
      </c>
      <c r="N41" s="94">
        <f t="shared" ca="1" si="12"/>
        <v>0</v>
      </c>
      <c r="O41" s="95">
        <f t="shared" ca="1" si="13"/>
        <v>0</v>
      </c>
      <c r="P41" s="120" t="str">
        <f t="shared" ca="1" si="14"/>
        <v/>
      </c>
      <c r="Q41" s="120" t="str">
        <f t="shared" ca="1" si="2"/>
        <v>1</v>
      </c>
      <c r="R41" s="184" t="str">
        <f t="shared" ca="1" si="3"/>
        <v/>
      </c>
      <c r="S41" s="185" t="e">
        <f t="shared" ca="1" si="4"/>
        <v>#N/A</v>
      </c>
      <c r="T41" s="186" t="str">
        <f t="shared" ca="1" si="5"/>
        <v/>
      </c>
      <c r="U41" s="194" t="str">
        <f t="shared" ca="1" si="6"/>
        <v/>
      </c>
      <c r="V41" s="197" t="str">
        <f t="shared" ca="1" si="15"/>
        <v/>
      </c>
    </row>
    <row r="42" spans="1:22" ht="12.6" customHeight="1">
      <c r="A42" s="189">
        <f t="shared" ca="1" si="18"/>
        <v>42512</v>
      </c>
      <c r="B42" s="285"/>
      <c r="C42" s="286"/>
      <c r="D42" s="273"/>
      <c r="E42" s="274"/>
      <c r="F42" s="206"/>
      <c r="G42" s="110" t="str">
        <f t="shared" ca="1" si="8"/>
        <v>0,00</v>
      </c>
      <c r="H42" s="111" t="str">
        <f t="shared" ca="1" si="9"/>
        <v/>
      </c>
      <c r="I42" s="112">
        <f t="shared" ca="1" si="10"/>
        <v>0</v>
      </c>
      <c r="J42" s="157" t="str">
        <f t="shared" ca="1" si="16"/>
        <v/>
      </c>
      <c r="K42" s="275" t="str">
        <f t="shared" ca="1" si="17"/>
        <v>--------</v>
      </c>
      <c r="L42" s="276"/>
      <c r="M42" s="93">
        <f t="shared" ca="1" si="11"/>
        <v>21</v>
      </c>
      <c r="N42" s="94">
        <f t="shared" ca="1" si="12"/>
        <v>0</v>
      </c>
      <c r="O42" s="95">
        <f t="shared" ca="1" si="13"/>
        <v>0</v>
      </c>
      <c r="P42" s="120" t="str">
        <f t="shared" ca="1" si="14"/>
        <v/>
      </c>
      <c r="Q42" s="120" t="str">
        <f t="shared" ca="1" si="2"/>
        <v>1</v>
      </c>
      <c r="R42" s="184" t="str">
        <f t="shared" ca="1" si="3"/>
        <v/>
      </c>
      <c r="S42" s="185" t="e">
        <f t="shared" ca="1" si="4"/>
        <v>#N/A</v>
      </c>
      <c r="T42" s="186" t="str">
        <f t="shared" ca="1" si="5"/>
        <v/>
      </c>
      <c r="U42" s="194" t="str">
        <f t="shared" ca="1" si="6"/>
        <v/>
      </c>
      <c r="V42" s="197" t="str">
        <f t="shared" ca="1" si="15"/>
        <v/>
      </c>
    </row>
    <row r="43" spans="1:22" ht="12.6" customHeight="1">
      <c r="A43" s="189">
        <f t="shared" ca="1" si="18"/>
        <v>42513</v>
      </c>
      <c r="B43" s="285"/>
      <c r="C43" s="286"/>
      <c r="D43" s="273"/>
      <c r="E43" s="274"/>
      <c r="F43" s="205"/>
      <c r="G43" s="110" t="str">
        <f t="shared" ca="1" si="8"/>
        <v>0,00</v>
      </c>
      <c r="H43" s="111">
        <f t="shared" ca="1" si="9"/>
        <v>0</v>
      </c>
      <c r="I43" s="112">
        <f t="shared" ca="1" si="10"/>
        <v>0</v>
      </c>
      <c r="J43" s="157" t="str">
        <f t="shared" ca="1" si="16"/>
        <v/>
      </c>
      <c r="K43" s="275" t="str">
        <f t="shared" ca="1" si="17"/>
        <v>--------</v>
      </c>
      <c r="L43" s="276"/>
      <c r="M43" s="93">
        <f t="shared" ca="1" si="11"/>
        <v>21</v>
      </c>
      <c r="N43" s="94">
        <f t="shared" ca="1" si="12"/>
        <v>0</v>
      </c>
      <c r="O43" s="95">
        <f t="shared" ca="1" si="13"/>
        <v>0</v>
      </c>
      <c r="P43" s="120" t="str">
        <f t="shared" ca="1" si="14"/>
        <v/>
      </c>
      <c r="Q43" s="120" t="str">
        <f t="shared" ca="1" si="2"/>
        <v>1</v>
      </c>
      <c r="R43" s="184" t="str">
        <f t="shared" ca="1" si="3"/>
        <v/>
      </c>
      <c r="S43" s="185" t="e">
        <f ca="1">VLOOKUP(A43,$Q$78:$S$93,2,FALSE)</f>
        <v>#N/A</v>
      </c>
      <c r="T43" s="186" t="str">
        <f t="shared" ca="1" si="5"/>
        <v/>
      </c>
      <c r="U43" s="194" t="str">
        <f t="shared" ca="1" si="6"/>
        <v/>
      </c>
      <c r="V43" s="197" t="str">
        <f t="shared" ca="1" si="15"/>
        <v/>
      </c>
    </row>
    <row r="44" spans="1:22" ht="12.6" customHeight="1">
      <c r="A44" s="189">
        <f t="shared" ca="1" si="18"/>
        <v>42514</v>
      </c>
      <c r="B44" s="285"/>
      <c r="C44" s="286"/>
      <c r="D44" s="273"/>
      <c r="E44" s="274"/>
      <c r="F44" s="205"/>
      <c r="G44" s="110" t="str">
        <f t="shared" ca="1" si="8"/>
        <v>0,00</v>
      </c>
      <c r="H44" s="111" t="str">
        <f t="shared" ca="1" si="9"/>
        <v/>
      </c>
      <c r="I44" s="112">
        <f t="shared" ca="1" si="10"/>
        <v>0</v>
      </c>
      <c r="J44" s="157" t="str">
        <f t="shared" ca="1" si="16"/>
        <v/>
      </c>
      <c r="K44" s="275" t="str">
        <f t="shared" ca="1" si="17"/>
        <v>--------</v>
      </c>
      <c r="L44" s="276"/>
      <c r="M44" s="93">
        <f t="shared" ca="1" si="11"/>
        <v>22</v>
      </c>
      <c r="N44" s="94">
        <f t="shared" ca="1" si="12"/>
        <v>0</v>
      </c>
      <c r="O44" s="95">
        <f t="shared" ca="1" si="13"/>
        <v>0</v>
      </c>
      <c r="P44" s="120" t="str">
        <f t="shared" ca="1" si="14"/>
        <v/>
      </c>
      <c r="Q44" s="120" t="str">
        <f t="shared" ca="1" si="2"/>
        <v>1</v>
      </c>
      <c r="R44" s="184" t="str">
        <f t="shared" ca="1" si="3"/>
        <v/>
      </c>
      <c r="S44" s="185" t="e">
        <f t="shared" ca="1" si="4"/>
        <v>#N/A</v>
      </c>
      <c r="T44" s="186" t="str">
        <f t="shared" ca="1" si="5"/>
        <v/>
      </c>
      <c r="U44" s="194" t="str">
        <f t="shared" ca="1" si="6"/>
        <v/>
      </c>
      <c r="V44" s="197" t="str">
        <f t="shared" ca="1" si="15"/>
        <v/>
      </c>
    </row>
    <row r="45" spans="1:22" ht="12.6" customHeight="1">
      <c r="A45" s="189">
        <f t="shared" ca="1" si="18"/>
        <v>42515</v>
      </c>
      <c r="B45" s="308"/>
      <c r="C45" s="309"/>
      <c r="D45" s="308"/>
      <c r="E45" s="309"/>
      <c r="F45" s="206"/>
      <c r="G45" s="110" t="str">
        <f t="shared" ca="1" si="8"/>
        <v>0,00</v>
      </c>
      <c r="H45" s="111" t="str">
        <f t="shared" ca="1" si="9"/>
        <v/>
      </c>
      <c r="I45" s="112">
        <f t="shared" ca="1" si="10"/>
        <v>0</v>
      </c>
      <c r="J45" s="157" t="str">
        <f t="shared" ca="1" si="16"/>
        <v/>
      </c>
      <c r="K45" s="275" t="str">
        <f t="shared" ca="1" si="17"/>
        <v>--------</v>
      </c>
      <c r="L45" s="276"/>
      <c r="M45" s="93">
        <f t="shared" ca="1" si="11"/>
        <v>22</v>
      </c>
      <c r="N45" s="94">
        <f t="shared" ca="1" si="12"/>
        <v>0</v>
      </c>
      <c r="O45" s="95">
        <f t="shared" ca="1" si="13"/>
        <v>0</v>
      </c>
      <c r="P45" s="120" t="str">
        <f t="shared" ca="1" si="14"/>
        <v/>
      </c>
      <c r="Q45" s="120" t="str">
        <f t="shared" ca="1" si="2"/>
        <v>1</v>
      </c>
      <c r="R45" s="184" t="str">
        <f t="shared" ca="1" si="3"/>
        <v/>
      </c>
      <c r="S45" s="185" t="e">
        <f t="shared" ca="1" si="4"/>
        <v>#N/A</v>
      </c>
      <c r="T45" s="186" t="str">
        <f t="shared" ca="1" si="5"/>
        <v/>
      </c>
      <c r="U45" s="194" t="str">
        <f t="shared" ca="1" si="6"/>
        <v/>
      </c>
      <c r="V45" s="197" t="str">
        <f t="shared" ca="1" si="15"/>
        <v/>
      </c>
    </row>
    <row r="46" spans="1:22" ht="12.6" customHeight="1">
      <c r="A46" s="189">
        <f t="shared" ca="1" si="18"/>
        <v>42516</v>
      </c>
      <c r="B46" s="308"/>
      <c r="C46" s="309"/>
      <c r="D46" s="313"/>
      <c r="E46" s="314"/>
      <c r="F46" s="206"/>
      <c r="G46" s="110" t="str">
        <f t="shared" ca="1" si="8"/>
        <v>0,00</v>
      </c>
      <c r="H46" s="111" t="str">
        <f t="shared" ca="1" si="9"/>
        <v/>
      </c>
      <c r="I46" s="112">
        <f t="shared" ca="1" si="10"/>
        <v>0</v>
      </c>
      <c r="J46" s="157" t="str">
        <f t="shared" ca="1" si="16"/>
        <v/>
      </c>
      <c r="K46" s="275" t="str">
        <f t="shared" ca="1" si="17"/>
        <v>--------</v>
      </c>
      <c r="L46" s="276"/>
      <c r="M46" s="93">
        <f t="shared" ca="1" si="11"/>
        <v>22</v>
      </c>
      <c r="N46" s="94">
        <f t="shared" ca="1" si="12"/>
        <v>0</v>
      </c>
      <c r="O46" s="95">
        <f t="shared" ca="1" si="13"/>
        <v>0</v>
      </c>
      <c r="P46" s="120" t="str">
        <f t="shared" ca="1" si="14"/>
        <v/>
      </c>
      <c r="Q46" s="120" t="str">
        <f t="shared" ca="1" si="2"/>
        <v>1</v>
      </c>
      <c r="R46" s="184" t="str">
        <f t="shared" ca="1" si="3"/>
        <v/>
      </c>
      <c r="S46" s="185" t="e">
        <f t="shared" ca="1" si="4"/>
        <v>#N/A</v>
      </c>
      <c r="T46" s="186" t="str">
        <f t="shared" ca="1" si="5"/>
        <v/>
      </c>
      <c r="U46" s="194" t="str">
        <f t="shared" ca="1" si="6"/>
        <v/>
      </c>
      <c r="V46" s="197" t="str">
        <f t="shared" ca="1" si="15"/>
        <v/>
      </c>
    </row>
    <row r="47" spans="1:22" ht="12.6" customHeight="1">
      <c r="A47" s="189">
        <f t="shared" ca="1" si="18"/>
        <v>42517</v>
      </c>
      <c r="B47" s="308"/>
      <c r="C47" s="309"/>
      <c r="D47" s="309"/>
      <c r="E47" s="309"/>
      <c r="F47" s="206"/>
      <c r="G47" s="110" t="str">
        <f t="shared" ca="1" si="8"/>
        <v>0,00</v>
      </c>
      <c r="H47" s="111" t="str">
        <f t="shared" ca="1" si="9"/>
        <v/>
      </c>
      <c r="I47" s="112">
        <f t="shared" ca="1" si="10"/>
        <v>0</v>
      </c>
      <c r="J47" s="157" t="str">
        <f t="shared" ca="1" si="16"/>
        <v/>
      </c>
      <c r="K47" s="275" t="str">
        <f t="shared" ca="1" si="17"/>
        <v>--------</v>
      </c>
      <c r="L47" s="276"/>
      <c r="M47" s="93">
        <f t="shared" ca="1" si="11"/>
        <v>22</v>
      </c>
      <c r="N47" s="94">
        <f t="shared" ca="1" si="12"/>
        <v>0</v>
      </c>
      <c r="O47" s="95">
        <f t="shared" ca="1" si="13"/>
        <v>0</v>
      </c>
      <c r="P47" s="120" t="str">
        <f t="shared" ca="1" si="14"/>
        <v/>
      </c>
      <c r="Q47" s="120" t="str">
        <f t="shared" ca="1" si="2"/>
        <v>1</v>
      </c>
      <c r="R47" s="184" t="str">
        <f t="shared" ca="1" si="3"/>
        <v/>
      </c>
      <c r="S47" s="185" t="e">
        <f t="shared" ca="1" si="4"/>
        <v>#N/A</v>
      </c>
      <c r="T47" s="186" t="str">
        <f t="shared" ca="1" si="5"/>
        <v/>
      </c>
      <c r="U47" s="194" t="str">
        <f t="shared" ca="1" si="6"/>
        <v/>
      </c>
      <c r="V47" s="197" t="str">
        <f t="shared" ca="1" si="15"/>
        <v/>
      </c>
    </row>
    <row r="48" spans="1:22" ht="12.6" customHeight="1">
      <c r="A48" s="189">
        <f t="shared" ca="1" si="18"/>
        <v>42518</v>
      </c>
      <c r="B48" s="285"/>
      <c r="C48" s="286"/>
      <c r="D48" s="273"/>
      <c r="E48" s="274"/>
      <c r="F48" s="206"/>
      <c r="G48" s="110" t="str">
        <f t="shared" ca="1" si="8"/>
        <v>0,00</v>
      </c>
      <c r="H48" s="111" t="str">
        <f t="shared" ca="1" si="9"/>
        <v/>
      </c>
      <c r="I48" s="112">
        <f t="shared" ca="1" si="10"/>
        <v>0</v>
      </c>
      <c r="J48" s="157" t="str">
        <f t="shared" ca="1" si="16"/>
        <v/>
      </c>
      <c r="K48" s="275" t="str">
        <f t="shared" ca="1" si="17"/>
        <v>--------</v>
      </c>
      <c r="L48" s="276"/>
      <c r="M48" s="93">
        <f t="shared" ca="1" si="11"/>
        <v>22</v>
      </c>
      <c r="N48" s="94">
        <f t="shared" ca="1" si="12"/>
        <v>0</v>
      </c>
      <c r="O48" s="95">
        <f t="shared" ca="1" si="13"/>
        <v>0</v>
      </c>
      <c r="P48" s="120" t="str">
        <f t="shared" ca="1" si="14"/>
        <v/>
      </c>
      <c r="Q48" s="120" t="str">
        <f t="shared" ca="1" si="2"/>
        <v>1</v>
      </c>
      <c r="R48" s="184" t="str">
        <f t="shared" ca="1" si="3"/>
        <v/>
      </c>
      <c r="S48" s="185" t="e">
        <f t="shared" ca="1" si="4"/>
        <v>#N/A</v>
      </c>
      <c r="T48" s="186" t="str">
        <f t="shared" ca="1" si="5"/>
        <v/>
      </c>
      <c r="U48" s="194" t="str">
        <f t="shared" ca="1" si="6"/>
        <v/>
      </c>
      <c r="V48" s="197" t="str">
        <f t="shared" ca="1" si="15"/>
        <v/>
      </c>
    </row>
    <row r="49" spans="1:22" ht="12.6" customHeight="1">
      <c r="A49" s="189">
        <f t="shared" ca="1" si="18"/>
        <v>42519</v>
      </c>
      <c r="B49" s="285"/>
      <c r="C49" s="286"/>
      <c r="D49" s="273"/>
      <c r="E49" s="274"/>
      <c r="F49" s="206"/>
      <c r="G49" s="110" t="str">
        <f t="shared" ca="1" si="8"/>
        <v>0,00</v>
      </c>
      <c r="H49" s="111" t="str">
        <f t="shared" ca="1" si="9"/>
        <v/>
      </c>
      <c r="I49" s="112">
        <f t="shared" ca="1" si="10"/>
        <v>0</v>
      </c>
      <c r="J49" s="157" t="str">
        <f t="shared" ca="1" si="16"/>
        <v/>
      </c>
      <c r="K49" s="275" t="str">
        <f t="shared" ca="1" si="17"/>
        <v>--------</v>
      </c>
      <c r="L49" s="276"/>
      <c r="M49" s="93">
        <f t="shared" ca="1" si="11"/>
        <v>22</v>
      </c>
      <c r="N49" s="94">
        <f t="shared" ca="1" si="12"/>
        <v>0</v>
      </c>
      <c r="O49" s="95">
        <f t="shared" ca="1" si="13"/>
        <v>0</v>
      </c>
      <c r="P49" s="120" t="str">
        <f t="shared" ca="1" si="14"/>
        <v/>
      </c>
      <c r="Q49" s="120" t="str">
        <f t="shared" ca="1" si="2"/>
        <v>1</v>
      </c>
      <c r="R49" s="184" t="str">
        <f t="shared" ca="1" si="3"/>
        <v/>
      </c>
      <c r="S49" s="185" t="e">
        <f t="shared" ca="1" si="4"/>
        <v>#N/A</v>
      </c>
      <c r="T49" s="186" t="str">
        <f t="shared" ca="1" si="5"/>
        <v/>
      </c>
      <c r="U49" s="194" t="str">
        <f t="shared" ca="1" si="6"/>
        <v/>
      </c>
      <c r="V49" s="197" t="str">
        <f t="shared" ca="1" si="15"/>
        <v/>
      </c>
    </row>
    <row r="50" spans="1:22" ht="12.6" customHeight="1" thickBot="1">
      <c r="A50" s="191">
        <f t="shared" ca="1" si="18"/>
        <v>42520</v>
      </c>
      <c r="B50" s="293"/>
      <c r="C50" s="294"/>
      <c r="D50" s="295"/>
      <c r="E50" s="296"/>
      <c r="F50" s="204"/>
      <c r="G50" s="135" t="str">
        <f ca="1">IF(OR(A50&lt;$C$14,A50&gt;$F$14,A50&gt;TODAY()),"0,00",IF(ISBLANK($C$14),"0,00",(D50-B50-F50)))</f>
        <v>0,00</v>
      </c>
      <c r="H50" s="136">
        <f t="shared" ca="1" si="9"/>
        <v>0</v>
      </c>
      <c r="I50" s="137">
        <f t="shared" ca="1" si="10"/>
        <v>0</v>
      </c>
      <c r="J50" s="158" t="str">
        <f t="shared" ca="1" si="16"/>
        <v/>
      </c>
      <c r="K50" s="318" t="str">
        <f t="shared" ca="1" si="17"/>
        <v>Pfingstsonntag</v>
      </c>
      <c r="L50" s="296"/>
      <c r="M50" s="93">
        <f ca="1">IF(A50&gt;DATE(1904,1,1),WEEKNUM(A50,2),"")</f>
        <v>22</v>
      </c>
      <c r="N50" s="94">
        <f t="shared" ca="1" si="12"/>
        <v>0</v>
      </c>
      <c r="O50" s="95">
        <f t="shared" ca="1" si="13"/>
        <v>0</v>
      </c>
      <c r="P50" s="120" t="str">
        <f t="shared" ca="1" si="14"/>
        <v/>
      </c>
      <c r="Q50" s="120" t="str">
        <f t="shared" ca="1" si="2"/>
        <v>1</v>
      </c>
      <c r="R50" s="184" t="str">
        <f t="shared" ca="1" si="3"/>
        <v/>
      </c>
      <c r="S50" s="185" t="str">
        <f t="shared" ca="1" si="4"/>
        <v>Pfingstsonntag</v>
      </c>
      <c r="T50" s="186" t="str">
        <f ca="1">IF(ISNA(S50),"",S50)</f>
        <v>Pfingstsonntag</v>
      </c>
      <c r="U50" s="195" t="str">
        <f t="shared" ca="1" si="6"/>
        <v/>
      </c>
      <c r="V50" s="197" t="str">
        <f t="shared" ca="1" si="15"/>
        <v/>
      </c>
    </row>
    <row r="51" spans="1:22" ht="11.25" hidden="1" customHeight="1">
      <c r="A51" s="188"/>
      <c r="B51" s="271"/>
      <c r="C51" s="272"/>
      <c r="D51" s="273"/>
      <c r="E51" s="274"/>
      <c r="I51" s="42"/>
      <c r="K51" s="21"/>
      <c r="L51" s="11"/>
      <c r="M51" s="143"/>
      <c r="N51" s="230"/>
      <c r="O51" s="59"/>
      <c r="S51" s="183"/>
      <c r="V51" s="198">
        <f ca="1">COUNTIF(V20:V50,"!")</f>
        <v>0</v>
      </c>
    </row>
    <row r="52" spans="1:22" ht="11.25" customHeight="1">
      <c r="A52" s="179"/>
      <c r="B52" s="246"/>
      <c r="C52" s="247"/>
      <c r="D52" s="248"/>
      <c r="E52" s="249"/>
      <c r="I52" s="42"/>
      <c r="K52" s="21"/>
      <c r="L52" s="11"/>
      <c r="M52" s="143"/>
      <c r="N52" s="245"/>
      <c r="O52" s="59"/>
      <c r="S52" s="183"/>
      <c r="V52" s="198"/>
    </row>
    <row r="53" spans="1:22" ht="14.1" customHeight="1">
      <c r="D53" s="104"/>
      <c r="E53" s="22"/>
      <c r="F53" s="140" t="s">
        <v>29</v>
      </c>
      <c r="G53" s="141">
        <f ca="1">IF($G$16="Sie haben Ihr Arbeitszeitkonto überschritten, bitte erstellen Sie ein neues Konto","",SUM($G$20:$G$50))</f>
        <v>0</v>
      </c>
      <c r="H53" s="130" t="s">
        <v>30</v>
      </c>
      <c r="J53" s="142">
        <f ca="1">IF($G$16="Sie haben Ihr Arbeitszeitkonto überschritten, bitte erstellen Sie ein neues Konto","",IF(ISNA($H$57),0,IF($H$57&gt;$D$54,($D$54+$D$55),($H$57+$D$55))))</f>
        <v>0</v>
      </c>
      <c r="K53" s="290" t="str">
        <f ca="1">IF(ISNA($H$57),"",IF($H$57&gt;$D$54,"Kappung erfolgt",""))</f>
        <v/>
      </c>
      <c r="L53" s="290"/>
      <c r="M53" s="143"/>
      <c r="N53" s="230">
        <f ca="1">SUM(N20:N50)</f>
        <v>0</v>
      </c>
      <c r="O53" s="59"/>
    </row>
    <row r="54" spans="1:22">
      <c r="A54" s="100" t="s">
        <v>26</v>
      </c>
      <c r="B54" s="100"/>
      <c r="C54" s="100"/>
      <c r="D54" s="101">
        <f ca="1">$N$53*0.5</f>
        <v>0</v>
      </c>
      <c r="E54" s="23"/>
      <c r="F54" s="23"/>
      <c r="G54" s="24"/>
      <c r="H54" s="2"/>
      <c r="I54" s="2"/>
      <c r="K54" s="127"/>
      <c r="L54" s="127"/>
      <c r="M54" s="143"/>
      <c r="N54" s="38">
        <f ca="1">SUM(N20:N50)</f>
        <v>0</v>
      </c>
      <c r="O54" s="60"/>
    </row>
    <row r="55" spans="1:22">
      <c r="A55" s="215" t="s">
        <v>25</v>
      </c>
      <c r="B55" s="215"/>
      <c r="C55" s="215"/>
      <c r="D55" s="102">
        <f ca="1">$M$16</f>
        <v>0</v>
      </c>
      <c r="F55" s="106"/>
      <c r="G55" s="106"/>
      <c r="H55" s="299" t="str">
        <f ca="1">IF($K$53="Kappung erfolgt","INFO: (Gekappte Std.: "&amp;$J$57,"")</f>
        <v/>
      </c>
      <c r="I55" s="299"/>
      <c r="J55" s="299"/>
      <c r="K55" s="127" t="str">
        <f ca="1">IF($K$53="Kappung erfolgt","von insg. "&amp;$L$57&amp;" Mehrstunden)","")</f>
        <v/>
      </c>
      <c r="L55" s="131"/>
      <c r="M55" s="143"/>
      <c r="N55" s="28">
        <f>IF($A$56="Wg.Unterbrechung  keine Stundenübernahme möglich! Bitte Angaben prüfen","1",0)</f>
        <v>0</v>
      </c>
      <c r="O55" t="str">
        <f ca="1">IF(O50="",0,"")</f>
        <v/>
      </c>
      <c r="P55" s="164"/>
      <c r="Q55" s="164"/>
      <c r="R55" s="164"/>
      <c r="S55" s="164"/>
      <c r="T55" s="164"/>
      <c r="U55" s="164"/>
      <c r="V55" s="164"/>
    </row>
    <row r="56" spans="1:22" hidden="1">
      <c r="A56" s="319" t="str">
        <f>IF($H$14="Achtung! Stundennachweis unterbrochen","Wg.Unterbrechung  keine Stundenübernahme möglich! Bitte Angaben prüfen","")</f>
        <v/>
      </c>
      <c r="B56" s="319"/>
      <c r="C56" s="319"/>
      <c r="D56" s="319"/>
      <c r="E56" s="319"/>
      <c r="F56" s="319"/>
      <c r="G56" s="2"/>
      <c r="M56" s="143"/>
      <c r="N56" s="123" t="str">
        <f>IF($N$55&gt;0,($D$55*-1),"0:00")</f>
        <v>0:00</v>
      </c>
      <c r="O56" s="239"/>
    </row>
    <row r="57" spans="1:22">
      <c r="E57" s="27"/>
      <c r="F57" s="2"/>
      <c r="G57" s="124">
        <f ca="1">+$H$57+$D$55</f>
        <v>0</v>
      </c>
      <c r="H57" s="38">
        <f>IF($C$14&gt;DATE(1904,1,1),LOOKUP(10000000,O19:O52),0)</f>
        <v>0</v>
      </c>
      <c r="I57" s="60">
        <f ca="1">+($H$57+$N$16)-J53</f>
        <v>0</v>
      </c>
      <c r="J57" s="233">
        <f ca="1">ROUND(I57*24,2)</f>
        <v>0</v>
      </c>
      <c r="K57">
        <f ca="1">($H$57+$N$16)*24</f>
        <v>0</v>
      </c>
      <c r="L57">
        <f ca="1">ROUND(K57,1)</f>
        <v>0</v>
      </c>
      <c r="M57" s="143"/>
      <c r="N57" s="28"/>
    </row>
    <row r="58" spans="1:22">
      <c r="A58" s="322" t="str">
        <f ca="1">IF(V51&gt;0,"Achtung! Bitte bei den blau markierten Feldern die Regelstunden eintragen.","")</f>
        <v/>
      </c>
      <c r="B58" s="322"/>
      <c r="C58" s="322"/>
      <c r="D58" s="322"/>
      <c r="E58" s="322"/>
      <c r="F58" s="322"/>
      <c r="G58" s="199"/>
      <c r="M58" s="143"/>
      <c r="N58" s="28"/>
      <c r="Q58" s="251" t="s">
        <v>32</v>
      </c>
      <c r="R58" s="251"/>
      <c r="S58" s="251"/>
      <c r="T58" s="251"/>
    </row>
    <row r="59" spans="1:22">
      <c r="A59" s="25"/>
      <c r="B59" s="25"/>
      <c r="C59" s="38"/>
      <c r="D59" s="26"/>
      <c r="E59" s="27"/>
      <c r="F59" s="144"/>
      <c r="G59" s="2"/>
      <c r="H59" s="38"/>
      <c r="J59" s="132"/>
      <c r="M59" s="219"/>
      <c r="N59" s="219"/>
      <c r="O59" s="219"/>
      <c r="Q59" s="250">
        <f>+F14-C14</f>
        <v>0</v>
      </c>
      <c r="R59" s="250"/>
    </row>
    <row r="60" spans="1:22">
      <c r="A60" s="25"/>
      <c r="B60" s="25"/>
      <c r="C60" s="38"/>
      <c r="D60" s="26"/>
      <c r="E60" s="27"/>
      <c r="F60" s="144"/>
      <c r="G60" s="2"/>
      <c r="H60" s="145"/>
      <c r="M60" s="143"/>
      <c r="N60" s="28"/>
      <c r="Q60" s="252" t="s">
        <v>33</v>
      </c>
      <c r="R60" s="252"/>
      <c r="S60" s="252"/>
      <c r="T60" s="252"/>
      <c r="U60" s="252"/>
      <c r="V60" s="252"/>
    </row>
    <row r="61" spans="1:22" ht="12.75" customHeight="1">
      <c r="A61" s="29"/>
      <c r="B61" s="11"/>
      <c r="C61" s="11"/>
      <c r="D61" s="11"/>
      <c r="E61" s="11"/>
      <c r="F61" s="11"/>
      <c r="G61" s="11"/>
      <c r="H61" s="30"/>
      <c r="I61" s="30"/>
      <c r="J61" s="31"/>
      <c r="K61" s="31"/>
      <c r="L61" s="31"/>
      <c r="M61" s="143"/>
      <c r="N61" s="28"/>
    </row>
    <row r="62" spans="1:22" ht="12.75" customHeight="1">
      <c r="A62" s="226"/>
      <c r="B62" s="34"/>
      <c r="C62" s="34"/>
      <c r="D62" s="34"/>
      <c r="E62" s="34"/>
      <c r="F62" s="11"/>
      <c r="G62" s="11"/>
      <c r="H62" s="34"/>
      <c r="I62" s="34"/>
      <c r="J62" s="35"/>
      <c r="K62" s="35"/>
      <c r="L62" s="35"/>
    </row>
    <row r="63" spans="1:22" ht="18.75" customHeight="1" thickBot="1">
      <c r="A63" s="203" t="s">
        <v>18</v>
      </c>
      <c r="B63" s="292" t="s">
        <v>19</v>
      </c>
      <c r="C63" s="292"/>
      <c r="D63" s="292"/>
      <c r="E63" s="292"/>
      <c r="F63" s="3"/>
      <c r="G63" s="36" t="s">
        <v>18</v>
      </c>
      <c r="H63" s="292" t="s">
        <v>20</v>
      </c>
      <c r="I63" s="292"/>
      <c r="J63" s="292"/>
      <c r="K63" s="292"/>
      <c r="L63" s="292"/>
    </row>
    <row r="64" spans="1:22" ht="17.25" thickTop="1" thickBot="1">
      <c r="P64" s="160">
        <f ca="1">YEAR($B$17)</f>
        <v>2020</v>
      </c>
      <c r="Q64" s="3"/>
    </row>
    <row r="65" spans="15:20" ht="15.75" thickTop="1">
      <c r="O65" s="218"/>
      <c r="Q65" s="3">
        <f ca="1">MOD(P64,19)</f>
        <v>6</v>
      </c>
      <c r="R65" s="287" t="s">
        <v>34</v>
      </c>
      <c r="S65" s="287"/>
      <c r="T65" s="231"/>
    </row>
    <row r="66" spans="15:20">
      <c r="P66" s="3"/>
      <c r="Q66" s="3">
        <f ca="1">MOD(P64,4)</f>
        <v>0</v>
      </c>
    </row>
    <row r="67" spans="15:20">
      <c r="P67" s="3"/>
      <c r="Q67" s="3">
        <f ca="1">MOD(P64,7)</f>
        <v>4</v>
      </c>
    </row>
    <row r="68" spans="15:20">
      <c r="P68" s="3"/>
      <c r="Q68" s="3">
        <f ca="1">TRUNC((8*(TRUNC(P64/100))+13)/25)-2</f>
        <v>4</v>
      </c>
    </row>
    <row r="69" spans="15:20">
      <c r="P69" s="3"/>
      <c r="Q69" s="3">
        <f ca="1">TRUNC(P64/100)-TRUNC(P64/400)-2</f>
        <v>13</v>
      </c>
    </row>
    <row r="70" spans="15:20">
      <c r="P70" s="3"/>
      <c r="Q70" s="3">
        <f ca="1">MOD(15+Q69-Q68,30)</f>
        <v>24</v>
      </c>
    </row>
    <row r="71" spans="15:20">
      <c r="P71" s="161"/>
      <c r="Q71" s="3">
        <f ca="1">MOD(6+Q69,7)</f>
        <v>5</v>
      </c>
    </row>
    <row r="72" spans="15:20">
      <c r="P72" s="3"/>
      <c r="Q72" s="3">
        <f ca="1">MOD(Q70+19*Q65,30)</f>
        <v>18</v>
      </c>
    </row>
    <row r="73" spans="15:20">
      <c r="P73" s="3"/>
      <c r="Q73" s="3">
        <f ca="1">IF(Q72=29,28,IF(AND(Q72=28,Q65&gt;=11),27,IF(AND(Q72&lt;28,Q72&gt;29),,Q72)))</f>
        <v>18</v>
      </c>
    </row>
    <row r="74" spans="15:20">
      <c r="P74" s="3"/>
      <c r="Q74" s="3">
        <f ca="1">MOD(2*Q66+4*Q67+6*Q73+Q71,7)</f>
        <v>3</v>
      </c>
    </row>
    <row r="75" spans="15:20">
      <c r="P75" s="3"/>
      <c r="Q75" s="3">
        <f ca="1">Q73+Q74+1</f>
        <v>22</v>
      </c>
    </row>
    <row r="76" spans="15:20">
      <c r="P76" s="3"/>
      <c r="Q76" s="3">
        <f>DATEVALUE("21.märz")</f>
        <v>40988</v>
      </c>
    </row>
    <row r="78" spans="15:20">
      <c r="P78" s="183"/>
      <c r="Q78" s="228">
        <f ca="1">+T78</f>
        <v>42369</v>
      </c>
      <c r="R78" s="30" t="s">
        <v>35</v>
      </c>
      <c r="T78" s="229">
        <f ca="1">DATE($P$64,1,1)</f>
        <v>42369</v>
      </c>
    </row>
    <row r="79" spans="15:20">
      <c r="P79" s="2"/>
      <c r="Q79" s="220">
        <f ca="1">+$Q$81-2</f>
        <v>42469</v>
      </c>
      <c r="R79" s="30" t="s">
        <v>36</v>
      </c>
      <c r="S79" s="221"/>
      <c r="T79" s="2"/>
    </row>
    <row r="80" spans="15:20">
      <c r="P80" s="2"/>
      <c r="Q80" s="220">
        <f ca="1">+Q81-1</f>
        <v>42470</v>
      </c>
      <c r="R80" s="30" t="s">
        <v>37</v>
      </c>
      <c r="S80" s="221"/>
      <c r="T80" s="2"/>
    </row>
    <row r="81" spans="15:20">
      <c r="P81" s="222">
        <f ca="1">IF(R81="Ostersonntag",Q75+Q76,"")</f>
        <v>41010</v>
      </c>
      <c r="Q81" s="220">
        <f ca="1">T81</f>
        <v>42471</v>
      </c>
      <c r="R81" s="181" t="str">
        <f ca="1">IF(P64&lt;1583,"Der gregorianische Kalender gilt erst seit dem 15.10.1582  !!!",IF(P64&gt;8202,"Die gauß´sche Osterformel gilt nur bis zum Jahre    8202  !!!","Ostersonntag"))</f>
        <v>Ostersonntag</v>
      </c>
      <c r="S81">
        <f ca="1">DAY(T82)</f>
        <v>12</v>
      </c>
      <c r="T81" s="146">
        <f ca="1">DATE($P$64,S82,S81)</f>
        <v>42471</v>
      </c>
    </row>
    <row r="82" spans="15:20">
      <c r="P82" s="2"/>
      <c r="Q82" s="220">
        <f ca="1">+Q81+1</f>
        <v>42472</v>
      </c>
      <c r="R82" s="223" t="s">
        <v>38</v>
      </c>
      <c r="S82" s="182">
        <f ca="1">MONTH(P81)</f>
        <v>4</v>
      </c>
      <c r="T82" s="183" t="str">
        <f ca="1">DAY(P81)&amp;"."&amp;MONTH(P81)&amp;"."&amp;YEAR($B$17)</f>
        <v>12.4.2020</v>
      </c>
    </row>
    <row r="83" spans="15:20">
      <c r="O83" s="183"/>
      <c r="P83" s="2"/>
      <c r="Q83" s="220">
        <v>40846</v>
      </c>
      <c r="R83" s="224" t="s">
        <v>50</v>
      </c>
      <c r="S83" s="221"/>
      <c r="T83" s="2"/>
    </row>
    <row r="84" spans="15:20">
      <c r="P84" s="2"/>
      <c r="Q84" s="220">
        <f ca="1">+T84</f>
        <v>42490</v>
      </c>
      <c r="R84" s="224" t="s">
        <v>39</v>
      </c>
      <c r="S84" s="221"/>
      <c r="T84" s="144">
        <f ca="1">DATE($P$64,5,1)</f>
        <v>42490</v>
      </c>
    </row>
    <row r="85" spans="15:20">
      <c r="P85" s="2"/>
      <c r="Q85" s="220">
        <f ca="1">+Q81+39</f>
        <v>42510</v>
      </c>
      <c r="R85" s="224" t="s">
        <v>40</v>
      </c>
      <c r="S85" s="221"/>
      <c r="T85" s="2"/>
    </row>
    <row r="86" spans="15:20">
      <c r="P86" s="2"/>
      <c r="Q86" s="220">
        <f ca="1">+Q81+49</f>
        <v>42520</v>
      </c>
      <c r="R86" s="224" t="s">
        <v>41</v>
      </c>
      <c r="S86" s="221"/>
      <c r="T86" s="2"/>
    </row>
    <row r="87" spans="15:20">
      <c r="P87" s="2"/>
      <c r="Q87" s="220">
        <f ca="1">+Q86+1</f>
        <v>42521</v>
      </c>
      <c r="R87" s="224" t="s">
        <v>42</v>
      </c>
      <c r="S87" s="221"/>
      <c r="T87" s="2"/>
    </row>
    <row r="88" spans="15:20">
      <c r="P88" s="2"/>
      <c r="Q88" s="220">
        <f ca="1">+Q81+60</f>
        <v>42531</v>
      </c>
      <c r="R88" s="224" t="s">
        <v>43</v>
      </c>
      <c r="S88" s="221"/>
      <c r="T88" s="2"/>
    </row>
    <row r="89" spans="15:20">
      <c r="P89" s="2"/>
      <c r="Q89" s="220">
        <f ca="1">+T89</f>
        <v>42645</v>
      </c>
      <c r="R89" s="224" t="s">
        <v>44</v>
      </c>
      <c r="S89" s="221"/>
      <c r="T89" s="144">
        <f ca="1">DATE($P$64,10,3)</f>
        <v>42645</v>
      </c>
    </row>
    <row r="90" spans="15:20">
      <c r="P90" s="2"/>
      <c r="Q90" s="220">
        <f ca="1">+T90</f>
        <v>42727</v>
      </c>
      <c r="R90" s="224" t="s">
        <v>45</v>
      </c>
      <c r="S90" s="221"/>
      <c r="T90" s="144">
        <f ca="1">DATE($P$64,12,24)</f>
        <v>42727</v>
      </c>
    </row>
    <row r="91" spans="15:20">
      <c r="P91" s="2"/>
      <c r="Q91" s="220">
        <f ca="1">+Q90+1</f>
        <v>42728</v>
      </c>
      <c r="R91" s="221" t="s">
        <v>46</v>
      </c>
      <c r="S91" s="221"/>
      <c r="T91" s="2"/>
    </row>
    <row r="92" spans="15:20">
      <c r="P92" s="2"/>
      <c r="Q92" s="220">
        <f ca="1">Q91+1</f>
        <v>42729</v>
      </c>
      <c r="R92" s="224" t="s">
        <v>47</v>
      </c>
      <c r="S92" s="221"/>
      <c r="T92" s="2"/>
    </row>
    <row r="93" spans="15:20">
      <c r="P93" s="2"/>
      <c r="Q93" s="220">
        <f ca="1">+Q92+5</f>
        <v>42734</v>
      </c>
      <c r="R93" s="224" t="s">
        <v>48</v>
      </c>
      <c r="S93" s="221"/>
      <c r="T93" s="2"/>
    </row>
    <row r="94" spans="15:20">
      <c r="P94" s="2"/>
      <c r="Q94" s="220"/>
      <c r="R94" s="224"/>
      <c r="S94" s="221"/>
      <c r="T94" s="2"/>
    </row>
    <row r="95" spans="15:20">
      <c r="P95" s="2"/>
      <c r="Q95" s="220"/>
      <c r="R95" s="224"/>
      <c r="S95" s="221"/>
      <c r="T95" s="2"/>
    </row>
    <row r="96" spans="15:20">
      <c r="P96" s="180"/>
      <c r="Q96" s="180"/>
    </row>
  </sheetData>
  <sheetProtection algorithmName="SHA-512" hashValue="mPIK83BspWmAoAQefpzTeoFF7WTmQeSg8WvOgHvRJDWoiK8dAoASz16l9K5fMugATei2/6P8Xvwo/OihRQe69A==" saltValue="QCfC9gHUCOS8MrsjOQ2Sqw==" spinCount="100000" sheet="1" objects="1" scenarios="1" selectLockedCells="1"/>
  <mergeCells count="139">
    <mergeCell ref="R65:S65"/>
    <mergeCell ref="A56:F56"/>
    <mergeCell ref="Q59:R59"/>
    <mergeCell ref="B63:E63"/>
    <mergeCell ref="H63:L63"/>
    <mergeCell ref="B50:C50"/>
    <mergeCell ref="D50:E50"/>
    <mergeCell ref="K50:L50"/>
    <mergeCell ref="K53:L53"/>
    <mergeCell ref="H55:J55"/>
    <mergeCell ref="A58:F58"/>
    <mergeCell ref="Q58:T58"/>
    <mergeCell ref="Q60:V60"/>
    <mergeCell ref="B51:C51"/>
    <mergeCell ref="D51:E51"/>
    <mergeCell ref="B48:C48"/>
    <mergeCell ref="D48:E48"/>
    <mergeCell ref="K48:L48"/>
    <mergeCell ref="B49:C49"/>
    <mergeCell ref="D49:E49"/>
    <mergeCell ref="K49:L49"/>
    <mergeCell ref="B46:C46"/>
    <mergeCell ref="D46:E46"/>
    <mergeCell ref="K46:L46"/>
    <mergeCell ref="B47:C47"/>
    <mergeCell ref="D47:E47"/>
    <mergeCell ref="K47:L47"/>
    <mergeCell ref="B44:C44"/>
    <mergeCell ref="D44:E44"/>
    <mergeCell ref="K44:L44"/>
    <mergeCell ref="B45:C45"/>
    <mergeCell ref="D45:E45"/>
    <mergeCell ref="K45:L45"/>
    <mergeCell ref="B42:C42"/>
    <mergeCell ref="D42:E42"/>
    <mergeCell ref="K42:L42"/>
    <mergeCell ref="B43:C43"/>
    <mergeCell ref="D43:E43"/>
    <mergeCell ref="K43:L43"/>
    <mergeCell ref="B40:C40"/>
    <mergeCell ref="D40:E40"/>
    <mergeCell ref="K40:L40"/>
    <mergeCell ref="B41:C41"/>
    <mergeCell ref="D41:E41"/>
    <mergeCell ref="K41:L41"/>
    <mergeCell ref="B38:C38"/>
    <mergeCell ref="D38:E38"/>
    <mergeCell ref="K38:L38"/>
    <mergeCell ref="B39:C39"/>
    <mergeCell ref="D39:E39"/>
    <mergeCell ref="K39:L39"/>
    <mergeCell ref="B36:C36"/>
    <mergeCell ref="D36:E36"/>
    <mergeCell ref="K36:L36"/>
    <mergeCell ref="B37:C37"/>
    <mergeCell ref="D37:E37"/>
    <mergeCell ref="K37:L37"/>
    <mergeCell ref="B34:C34"/>
    <mergeCell ref="D34:E34"/>
    <mergeCell ref="K34:L34"/>
    <mergeCell ref="B35:C35"/>
    <mergeCell ref="D35:E35"/>
    <mergeCell ref="K35:L35"/>
    <mergeCell ref="B32:C32"/>
    <mergeCell ref="D32:E32"/>
    <mergeCell ref="K32:L32"/>
    <mergeCell ref="B33:C33"/>
    <mergeCell ref="D33:E33"/>
    <mergeCell ref="K33:L33"/>
    <mergeCell ref="B30:C30"/>
    <mergeCell ref="D30:E30"/>
    <mergeCell ref="K30:L30"/>
    <mergeCell ref="B31:C31"/>
    <mergeCell ref="D31:E31"/>
    <mergeCell ref="K31:L31"/>
    <mergeCell ref="B28:C28"/>
    <mergeCell ref="D28:E28"/>
    <mergeCell ref="K28:L28"/>
    <mergeCell ref="B29:C29"/>
    <mergeCell ref="D29:E29"/>
    <mergeCell ref="K29:L29"/>
    <mergeCell ref="B26:C26"/>
    <mergeCell ref="D26:E26"/>
    <mergeCell ref="K26:L26"/>
    <mergeCell ref="B27:C27"/>
    <mergeCell ref="D27:E27"/>
    <mergeCell ref="K27:L27"/>
    <mergeCell ref="B24:C24"/>
    <mergeCell ref="D24:E24"/>
    <mergeCell ref="K24:L24"/>
    <mergeCell ref="B25:C25"/>
    <mergeCell ref="D25:E25"/>
    <mergeCell ref="K25:L25"/>
    <mergeCell ref="B22:C22"/>
    <mergeCell ref="D22:E22"/>
    <mergeCell ref="K22:L22"/>
    <mergeCell ref="B23:C23"/>
    <mergeCell ref="D23:E23"/>
    <mergeCell ref="K23:L23"/>
    <mergeCell ref="R19:T19"/>
    <mergeCell ref="B20:C20"/>
    <mergeCell ref="D20:E20"/>
    <mergeCell ref="K20:L20"/>
    <mergeCell ref="B21:C21"/>
    <mergeCell ref="D21:E21"/>
    <mergeCell ref="K21:L21"/>
    <mergeCell ref="A16:F16"/>
    <mergeCell ref="G16:L16"/>
    <mergeCell ref="B17:K17"/>
    <mergeCell ref="B19:C19"/>
    <mergeCell ref="D19:E19"/>
    <mergeCell ref="K19:L19"/>
    <mergeCell ref="A13:B13"/>
    <mergeCell ref="A14:B14"/>
    <mergeCell ref="C14:D14"/>
    <mergeCell ref="H14:L14"/>
    <mergeCell ref="M14:N14"/>
    <mergeCell ref="C15:D15"/>
    <mergeCell ref="K15:L15"/>
    <mergeCell ref="A9:B9"/>
    <mergeCell ref="C9:D9"/>
    <mergeCell ref="K9:L9"/>
    <mergeCell ref="A11:B11"/>
    <mergeCell ref="C11:D11"/>
    <mergeCell ref="K11:L11"/>
    <mergeCell ref="M1:O1"/>
    <mergeCell ref="A3:B3"/>
    <mergeCell ref="C3:F3"/>
    <mergeCell ref="K3:L3"/>
    <mergeCell ref="A5:B5"/>
    <mergeCell ref="C5:F5"/>
    <mergeCell ref="K5:L5"/>
    <mergeCell ref="A7:B7"/>
    <mergeCell ref="C7:F7"/>
    <mergeCell ref="K7:L7"/>
    <mergeCell ref="A1:B1"/>
    <mergeCell ref="C1:F1"/>
    <mergeCell ref="H1:J1"/>
    <mergeCell ref="K1:L1"/>
  </mergeCells>
  <conditionalFormatting sqref="F14">
    <cfRule type="cellIs" dxfId="157" priority="312" operator="greaterThan">
      <formula>$C$14+30</formula>
    </cfRule>
    <cfRule type="expression" dxfId="156" priority="351">
      <formula>$F$14&gt;$F$9</formula>
    </cfRule>
    <cfRule type="expression" dxfId="155" priority="357">
      <formula>$F$14&lt;$C$14</formula>
    </cfRule>
  </conditionalFormatting>
  <conditionalFormatting sqref="F9">
    <cfRule type="expression" dxfId="154" priority="355">
      <formula>$F$14&lt;$C$14</formula>
    </cfRule>
  </conditionalFormatting>
  <conditionalFormatting sqref="C9">
    <cfRule type="expression" dxfId="153" priority="352">
      <formula>"$C$9&gt;$C$14"</formula>
    </cfRule>
    <cfRule type="expression" dxfId="152" priority="354">
      <formula>$F$14&lt;$C$14</formula>
    </cfRule>
  </conditionalFormatting>
  <conditionalFormatting sqref="I51:I52">
    <cfRule type="expression" dxfId="151" priority="353">
      <formula>WEEKDAY($A51,2)&gt;5</formula>
    </cfRule>
  </conditionalFormatting>
  <conditionalFormatting sqref="I51:I52">
    <cfRule type="cellIs" dxfId="150" priority="350" operator="lessThan">
      <formula>0</formula>
    </cfRule>
  </conditionalFormatting>
  <conditionalFormatting sqref="C14:D14">
    <cfRule type="expression" dxfId="149" priority="317">
      <formula>"F14&gt;F9"</formula>
    </cfRule>
    <cfRule type="expression" dxfId="148" priority="318">
      <formula>$C$14&lt;$C$9</formula>
    </cfRule>
    <cfRule type="expression" dxfId="147" priority="348">
      <formula>$C$14&gt;$F$9</formula>
    </cfRule>
    <cfRule type="expression" dxfId="146" priority="349">
      <formula>$F$14&lt;$C$9</formula>
    </cfRule>
  </conditionalFormatting>
  <conditionalFormatting sqref="G54">
    <cfRule type="expression" dxfId="145" priority="347">
      <formula>ABS(SUM(#REF!))&gt;$A$62</formula>
    </cfRule>
  </conditionalFormatting>
  <conditionalFormatting sqref="I51:I52 F20:J50">
    <cfRule type="expression" dxfId="144" priority="358">
      <formula>AND(WEEKDAY($A20,2)=3,$I$6=FALSE)</formula>
    </cfRule>
    <cfRule type="expression" dxfId="143" priority="359">
      <formula>AND(WEEKDAY($A20,2)=4,$I$8=TRUE)</formula>
    </cfRule>
    <cfRule type="expression" dxfId="142" priority="360">
      <formula>AND(WEEKDAY($A20,2)=4,$I$8=FALSE)</formula>
    </cfRule>
    <cfRule type="expression" dxfId="141" priority="361">
      <formula>AND(WEEKDAY($A20,2)=5,$I$10=TRUE)</formula>
    </cfRule>
    <cfRule type="expression" dxfId="140" priority="362">
      <formula>AND(WEEKDAY($A20,2)=5,$G$14=FALSE)</formula>
    </cfRule>
  </conditionalFormatting>
  <conditionalFormatting sqref="I51:I52 F20:J50">
    <cfRule type="expression" dxfId="139" priority="363">
      <formula>AND(WEEKDAY($A20,2)=1,$I$2=TRUE)</formula>
    </cfRule>
    <cfRule type="expression" dxfId="138" priority="364">
      <formula>AND(WEEKDAY($A20,2)=1,$I$2=FALSE)</formula>
    </cfRule>
    <cfRule type="expression" dxfId="137" priority="365">
      <formula>AND(WEEKDAY($A20,2)=2,$I$4=TRUE)</formula>
    </cfRule>
    <cfRule type="expression" dxfId="136" priority="366">
      <formula>AND(WEEKDAY($A20,2)=2,$I$4=FALSE)</formula>
    </cfRule>
    <cfRule type="expression" dxfId="135" priority="367">
      <formula>AND(WEEKDAY($A20,2)=3,$I$6=TRUE)</formula>
    </cfRule>
  </conditionalFormatting>
  <conditionalFormatting sqref="K3:L3">
    <cfRule type="expression" dxfId="134" priority="332">
      <formula>AND(I2=TRUE,$C$11&lt;&gt;($K$3+$K$5+$K$7+$K$9+$K$11))</formula>
    </cfRule>
    <cfRule type="expression" dxfId="133" priority="333">
      <formula>(I2=TRUE)</formula>
    </cfRule>
    <cfRule type="expression" dxfId="132" priority="334">
      <formula>AND(I2=FALSE,$K$3&gt;0)</formula>
    </cfRule>
  </conditionalFormatting>
  <conditionalFormatting sqref="K7:L7">
    <cfRule type="expression" dxfId="131" priority="335">
      <formula>AND(I6=TRUE,$C$11&lt;&gt;($K$3+$K$5+$K$7+$K$9+$K$11))</formula>
    </cfRule>
    <cfRule type="expression" dxfId="130" priority="336">
      <formula>(I6=TRUE)</formula>
    </cfRule>
    <cfRule type="expression" dxfId="129" priority="337">
      <formula>AND(I6=FALSE,$K$7&gt;0)</formula>
    </cfRule>
  </conditionalFormatting>
  <conditionalFormatting sqref="K11:L11">
    <cfRule type="expression" dxfId="128" priority="338">
      <formula>AND(I10=TRUE,$C$11&lt;&gt;($K$3+$K$5+$K$7+$K$9+$K$11))</formula>
    </cfRule>
    <cfRule type="expression" dxfId="127" priority="339">
      <formula>(I10=TRUE)</formula>
    </cfRule>
    <cfRule type="expression" dxfId="126" priority="340">
      <formula>AND(I10=FALSE,K11&gt;0)</formula>
    </cfRule>
  </conditionalFormatting>
  <conditionalFormatting sqref="K9:L9">
    <cfRule type="expression" dxfId="125" priority="341">
      <formula>AND(I8=TRUE,$C$11&lt;&gt;($K$3+$K$5+$K$7+$K$9+$K$11))</formula>
    </cfRule>
    <cfRule type="expression" dxfId="124" priority="342">
      <formula>(I8=TRUE)</formula>
    </cfRule>
    <cfRule type="expression" dxfId="123" priority="343">
      <formula>AND(I8=FALSE,K9&gt;0)</formula>
    </cfRule>
  </conditionalFormatting>
  <conditionalFormatting sqref="K5:L5">
    <cfRule type="expression" dxfId="122" priority="330">
      <formula>AND(I4=FALSE,K5&gt;0)</formula>
    </cfRule>
    <cfRule type="expression" dxfId="121" priority="331">
      <formula>AND(I4=TRUE,$C$11&lt;&gt;($K$3+$K$5+$K$7+$K$9+$K$11))</formula>
    </cfRule>
    <cfRule type="expression" dxfId="120" priority="344">
      <formula>($I$4=TRUE)</formula>
    </cfRule>
  </conditionalFormatting>
  <conditionalFormatting sqref="K51:K52">
    <cfRule type="expression" dxfId="119" priority="368">
      <formula>ABS(SUM(#REF!))&gt;$A$54</formula>
    </cfRule>
  </conditionalFormatting>
  <conditionalFormatting sqref="J53">
    <cfRule type="cellIs" dxfId="118" priority="329" operator="lessThan">
      <formula>0</formula>
    </cfRule>
  </conditionalFormatting>
  <conditionalFormatting sqref="F20:F50">
    <cfRule type="expression" dxfId="117" priority="328">
      <formula>WEEKDAY($A20,2)&gt;5</formula>
    </cfRule>
  </conditionalFormatting>
  <conditionalFormatting sqref="H20:I50">
    <cfRule type="expression" dxfId="116" priority="327">
      <formula>WEEKDAY($A20,2)&gt;5</formula>
    </cfRule>
  </conditionalFormatting>
  <conditionalFormatting sqref="I20:I50">
    <cfRule type="cellIs" dxfId="115" priority="326" operator="lessThan">
      <formula>0</formula>
    </cfRule>
  </conditionalFormatting>
  <conditionalFormatting sqref="J20:J50">
    <cfRule type="expression" dxfId="114" priority="320">
      <formula>WEEKDAY($A20,2)&gt;5</formula>
    </cfRule>
  </conditionalFormatting>
  <conditionalFormatting sqref="J20:J50">
    <cfRule type="cellIs" dxfId="113" priority="319" operator="lessThan">
      <formula>0</formula>
    </cfRule>
  </conditionalFormatting>
  <conditionalFormatting sqref="C14">
    <cfRule type="expression" dxfId="112" priority="356">
      <formula>$C$14&lt;$C$9</formula>
    </cfRule>
  </conditionalFormatting>
  <conditionalFormatting sqref="G20:G50">
    <cfRule type="expression" dxfId="111" priority="315">
      <formula>WEEKDAY($A20,2)&gt;5</formula>
    </cfRule>
  </conditionalFormatting>
  <conditionalFormatting sqref="G20:G50">
    <cfRule type="containsText" dxfId="110" priority="314" operator="containsText" text="0,00">
      <formula>NOT(ISERROR(SEARCH("0,00",G20)))</formula>
    </cfRule>
  </conditionalFormatting>
  <conditionalFormatting sqref="H53">
    <cfRule type="cellIs" dxfId="109" priority="292" operator="lessThan">
      <formula>0</formula>
    </cfRule>
  </conditionalFormatting>
  <conditionalFormatting sqref="Q94:Q95">
    <cfRule type="expression" dxfId="108" priority="213">
      <formula>AND(WEEKDAY($A94,2)=3,$I$6=FALSE)</formula>
    </cfRule>
    <cfRule type="expression" dxfId="107" priority="214">
      <formula>AND(WEEKDAY($A94,2)=4,$I$8=TRUE)</formula>
    </cfRule>
    <cfRule type="expression" dxfId="106" priority="215">
      <formula>AND(WEEKDAY($A94,2)=4,$I$8=FALSE)</formula>
    </cfRule>
    <cfRule type="expression" dxfId="105" priority="216">
      <formula>AND(WEEKDAY($A94,2)=5,$I$10=TRUE)</formula>
    </cfRule>
    <cfRule type="expression" dxfId="104" priority="217">
      <formula>AND(WEEKDAY($A94,2)=5,$G$14=FALSE)</formula>
    </cfRule>
  </conditionalFormatting>
  <conditionalFormatting sqref="Q94:Q95">
    <cfRule type="expression" dxfId="103" priority="218">
      <formula>AND(WEEKDAY($A94,2)=1,$I$2=TRUE)</formula>
    </cfRule>
    <cfRule type="expression" dxfId="102" priority="219">
      <formula>AND(WEEKDAY($A94,2)=1,$I$2=FALSE)</formula>
    </cfRule>
    <cfRule type="expression" dxfId="101" priority="220">
      <formula>AND(WEEKDAY($A94,2)=2,$I$4=TRUE)</formula>
    </cfRule>
    <cfRule type="expression" dxfId="100" priority="221">
      <formula>AND(WEEKDAY($A94,2)=2,$I$4=FALSE)</formula>
    </cfRule>
    <cfRule type="expression" dxfId="99" priority="222">
      <formula>AND(WEEKDAY($A94,2)=3,$I$6=TRUE)</formula>
    </cfRule>
  </conditionalFormatting>
  <conditionalFormatting sqref="Q94:Q95">
    <cfRule type="expression" dxfId="98" priority="212">
      <formula>WEEKDAY($A94,2)&gt;5</formula>
    </cfRule>
  </conditionalFormatting>
  <conditionalFormatting sqref="U20:U50 Q82:Q93 P81 Q78:Q80">
    <cfRule type="expression" dxfId="97" priority="190">
      <formula>AND(WEEKDAY($A20,2)=3,$I$6=FALSE)</formula>
    </cfRule>
    <cfRule type="expression" dxfId="96" priority="191">
      <formula>AND(WEEKDAY($A20,2)=4,$I$8=TRUE)</formula>
    </cfRule>
    <cfRule type="expression" dxfId="95" priority="192">
      <formula>AND(WEEKDAY($A20,2)=4,$I$8=FALSE)</formula>
    </cfRule>
    <cfRule type="expression" dxfId="94" priority="193">
      <formula>AND(WEEKDAY($A20,2)=5,$I$10=TRUE)</formula>
    </cfRule>
    <cfRule type="expression" dxfId="93" priority="194">
      <formula>AND(WEEKDAY($A20,2)=5,$G$14=FALSE)</formula>
    </cfRule>
  </conditionalFormatting>
  <conditionalFormatting sqref="U20:U50 Q82:Q93 P81 Q78:Q80">
    <cfRule type="expression" dxfId="92" priority="195">
      <formula>AND(WEEKDAY($A20,2)=1,$I$2=TRUE)</formula>
    </cfRule>
    <cfRule type="expression" dxfId="91" priority="196">
      <formula>AND(WEEKDAY($A20,2)=1,$I$2=FALSE)</formula>
    </cfRule>
    <cfRule type="expression" dxfId="90" priority="197">
      <formula>AND(WEEKDAY($A20,2)=2,$I$4=TRUE)</formula>
    </cfRule>
    <cfRule type="expression" dxfId="89" priority="198">
      <formula>AND(WEEKDAY($A20,2)=2,$I$4=FALSE)</formula>
    </cfRule>
    <cfRule type="expression" dxfId="88" priority="199">
      <formula>AND(WEEKDAY($A20,2)=3,$I$6=TRUE)</formula>
    </cfRule>
  </conditionalFormatting>
  <conditionalFormatting sqref="U20:U50">
    <cfRule type="expression" dxfId="87" priority="189">
      <formula>WEEKDAY($A20,2)&gt;5</formula>
    </cfRule>
  </conditionalFormatting>
  <conditionalFormatting sqref="U20:U50">
    <cfRule type="expression" dxfId="86" priority="200">
      <formula>#REF!&lt;&gt;""</formula>
    </cfRule>
  </conditionalFormatting>
  <conditionalFormatting sqref="Q82:Q93 P81 Q78:Q80">
    <cfRule type="expression" dxfId="85" priority="188">
      <formula>WEEKDAY($A78,2)&gt;5</formula>
    </cfRule>
  </conditionalFormatting>
  <conditionalFormatting sqref="Q81">
    <cfRule type="expression" dxfId="84" priority="178">
      <formula>AND(WEEKDAY($A81,2)=3,$I$6=FALSE)</formula>
    </cfRule>
    <cfRule type="expression" dxfId="83" priority="179">
      <formula>AND(WEEKDAY($A81,2)=4,$I$8=TRUE)</formula>
    </cfRule>
    <cfRule type="expression" dxfId="82" priority="180">
      <formula>AND(WEEKDAY($A81,2)=4,$I$8=FALSE)</formula>
    </cfRule>
    <cfRule type="expression" dxfId="81" priority="181">
      <formula>AND(WEEKDAY($A81,2)=5,$I$10=TRUE)</formula>
    </cfRule>
    <cfRule type="expression" dxfId="80" priority="182">
      <formula>AND(WEEKDAY($A81,2)=5,$G$14=FALSE)</formula>
    </cfRule>
  </conditionalFormatting>
  <conditionalFormatting sqref="Q81">
    <cfRule type="expression" dxfId="79" priority="183">
      <formula>AND(WEEKDAY($A81,2)=1,$I$2=TRUE)</formula>
    </cfRule>
    <cfRule type="expression" dxfId="78" priority="184">
      <formula>AND(WEEKDAY($A81,2)=1,$I$2=FALSE)</formula>
    </cfRule>
    <cfRule type="expression" dxfId="77" priority="185">
      <formula>AND(WEEKDAY($A81,2)=2,$I$4=TRUE)</formula>
    </cfRule>
    <cfRule type="expression" dxfId="76" priority="186">
      <formula>AND(WEEKDAY($A81,2)=2,$I$4=FALSE)</formula>
    </cfRule>
    <cfRule type="expression" dxfId="75" priority="187">
      <formula>AND(WEEKDAY($A81,2)=3,$I$6=TRUE)</formula>
    </cfRule>
  </conditionalFormatting>
  <conditionalFormatting sqref="Q81">
    <cfRule type="expression" dxfId="74" priority="177">
      <formula>WEEKDAY($A81,2)&gt;5</formula>
    </cfRule>
  </conditionalFormatting>
  <conditionalFormatting sqref="C1">
    <cfRule type="expression" dxfId="73" priority="90">
      <formula>ISBLANK($C$1)</formula>
    </cfRule>
  </conditionalFormatting>
  <conditionalFormatting sqref="C3">
    <cfRule type="expression" dxfId="72" priority="89">
      <formula>ISBLANK($C$3)</formula>
    </cfRule>
  </conditionalFormatting>
  <conditionalFormatting sqref="C5">
    <cfRule type="expression" dxfId="71" priority="88">
      <formula>ISBLANK($C$5)</formula>
    </cfRule>
  </conditionalFormatting>
  <conditionalFormatting sqref="C7">
    <cfRule type="expression" dxfId="70" priority="87">
      <formula>ISBLANK($C$7)</formula>
    </cfRule>
  </conditionalFormatting>
  <conditionalFormatting sqref="C11:D11">
    <cfRule type="expression" dxfId="69" priority="85">
      <formula>ISBLANK($C$11)</formula>
    </cfRule>
    <cfRule type="expression" dxfId="68" priority="86">
      <formula>($C$11/24)&lt;&gt;$M$3</formula>
    </cfRule>
  </conditionalFormatting>
  <conditionalFormatting sqref="B45:E45 B47:E47 B46:D46 B48:D50 A20:A50 B20:D44 A51:D52">
    <cfRule type="expression" dxfId="67" priority="57">
      <formula>AND(WEEKDAY($A20,2)=3,$I$6=FALSE)</formula>
    </cfRule>
    <cfRule type="expression" dxfId="66" priority="58">
      <formula>AND(WEEKDAY($A20,2)=4,$I$8=TRUE)</formula>
    </cfRule>
    <cfRule type="expression" dxfId="65" priority="59">
      <formula>AND(WEEKDAY($A20,2)=4,$I$8=FALSE)</formula>
    </cfRule>
    <cfRule type="expression" dxfId="64" priority="60">
      <formula>AND(WEEKDAY($A20,2)=5,$I$10=TRUE)</formula>
    </cfRule>
    <cfRule type="expression" dxfId="63" priority="61">
      <formula>AND(WEEKDAY($A20,2)=5,$G$14=FALSE)</formula>
    </cfRule>
  </conditionalFormatting>
  <conditionalFormatting sqref="A20:E52">
    <cfRule type="expression" dxfId="62" priority="62">
      <formula>AND(WEEKDAY($A20,2)=1,$I$2=TRUE)</formula>
    </cfRule>
    <cfRule type="expression" dxfId="61" priority="63">
      <formula>AND(WEEKDAY($A20,2)=1,$I$2=FALSE)</formula>
    </cfRule>
    <cfRule type="expression" dxfId="60" priority="64">
      <formula>AND(WEEKDAY($A20,2)=2,$I$4=TRUE)</formula>
    </cfRule>
    <cfRule type="expression" dxfId="59" priority="65">
      <formula>AND(WEEKDAY($A20,2)=2,$I$4=FALSE)</formula>
    </cfRule>
    <cfRule type="expression" dxfId="58" priority="66">
      <formula>AND(WEEKDAY($A20,2)=3,$I$6=TRUE)</formula>
    </cfRule>
  </conditionalFormatting>
  <conditionalFormatting sqref="A20:E52">
    <cfRule type="expression" dxfId="57" priority="56">
      <formula>WEEKDAY($A20,2)&gt;5</formula>
    </cfRule>
  </conditionalFormatting>
  <conditionalFormatting sqref="D21:E21">
    <cfRule type="expression" dxfId="56" priority="55">
      <formula>WEEKDAY($A21,2)&gt;5</formula>
    </cfRule>
  </conditionalFormatting>
  <conditionalFormatting sqref="D27:E27">
    <cfRule type="expression" dxfId="55" priority="54">
      <formula>WEEKDAY($A27,2)&gt;5</formula>
    </cfRule>
  </conditionalFormatting>
  <conditionalFormatting sqref="D34:E34">
    <cfRule type="expression" dxfId="54" priority="53">
      <formula>WEEKDAY($A34,2)&gt;5</formula>
    </cfRule>
  </conditionalFormatting>
  <conditionalFormatting sqref="D22:E22">
    <cfRule type="expression" dxfId="53" priority="52">
      <formula>WEEKDAY($A22,2)&gt;5</formula>
    </cfRule>
  </conditionalFormatting>
  <conditionalFormatting sqref="D28:E28">
    <cfRule type="expression" dxfId="52" priority="51">
      <formula>WEEKDAY($A28,2)&gt;5</formula>
    </cfRule>
  </conditionalFormatting>
  <conditionalFormatting sqref="D36:E36">
    <cfRule type="expression" dxfId="51" priority="50">
      <formula>WEEKDAY($A36,2)&gt;5</formula>
    </cfRule>
  </conditionalFormatting>
  <conditionalFormatting sqref="D42:E42">
    <cfRule type="expression" dxfId="50" priority="49">
      <formula>WEEKDAY($A42,2)&gt;5</formula>
    </cfRule>
  </conditionalFormatting>
  <conditionalFormatting sqref="D41:E41">
    <cfRule type="expression" dxfId="49" priority="48">
      <formula>WEEKDAY($A41,2)&gt;5</formula>
    </cfRule>
  </conditionalFormatting>
  <conditionalFormatting sqref="D48:E48">
    <cfRule type="expression" dxfId="48" priority="47">
      <formula>WEEKDAY($A48,2)&gt;5</formula>
    </cfRule>
  </conditionalFormatting>
  <conditionalFormatting sqref="D35:E35">
    <cfRule type="expression" dxfId="47" priority="46">
      <formula>WEEKDAY($A35,2)&gt;5</formula>
    </cfRule>
  </conditionalFormatting>
  <conditionalFormatting sqref="D29:E29">
    <cfRule type="expression" dxfId="46" priority="45">
      <formula>WEEKDAY($A29,2)&gt;5</formula>
    </cfRule>
  </conditionalFormatting>
  <conditionalFormatting sqref="D41:E41">
    <cfRule type="expression" dxfId="45" priority="44">
      <formula>WEEKDAY($A41,2)&gt;5</formula>
    </cfRule>
  </conditionalFormatting>
  <conditionalFormatting sqref="D42:E42">
    <cfRule type="expression" dxfId="44" priority="43">
      <formula>WEEKDAY($A42,2)&gt;5</formula>
    </cfRule>
  </conditionalFormatting>
  <conditionalFormatting sqref="D43:E43">
    <cfRule type="expression" dxfId="43" priority="42">
      <formula>WEEKDAY($A43,2)&gt;5</formula>
    </cfRule>
  </conditionalFormatting>
  <conditionalFormatting sqref="D41:E41">
    <cfRule type="expression" dxfId="42" priority="41">
      <formula>WEEKDAY($A41,2)&gt;5</formula>
    </cfRule>
  </conditionalFormatting>
  <conditionalFormatting sqref="D42:E42">
    <cfRule type="expression" dxfId="41" priority="40">
      <formula>WEEKDAY($A42,2)&gt;5</formula>
    </cfRule>
  </conditionalFormatting>
  <conditionalFormatting sqref="D35:E35">
    <cfRule type="expression" dxfId="40" priority="39">
      <formula>WEEKDAY($A35,2)&gt;5</formula>
    </cfRule>
  </conditionalFormatting>
  <conditionalFormatting sqref="D36:E36">
    <cfRule type="expression" dxfId="39" priority="38">
      <formula>WEEKDAY($A36,2)&gt;5</formula>
    </cfRule>
  </conditionalFormatting>
  <conditionalFormatting sqref="D35:E35">
    <cfRule type="expression" dxfId="38" priority="37">
      <formula>WEEKDAY($A35,2)&gt;5</formula>
    </cfRule>
  </conditionalFormatting>
  <conditionalFormatting sqref="D36:E36">
    <cfRule type="expression" dxfId="37" priority="36">
      <formula>WEEKDAY($A36,2)&gt;5</formula>
    </cfRule>
  </conditionalFormatting>
  <conditionalFormatting sqref="D23:E23">
    <cfRule type="expression" dxfId="36" priority="35">
      <formula>WEEKDAY($A23,2)&gt;5</formula>
    </cfRule>
  </conditionalFormatting>
  <conditionalFormatting sqref="D49:E49">
    <cfRule type="expression" dxfId="35" priority="34">
      <formula>WEEKDAY($A49,2)&gt;5</formula>
    </cfRule>
  </conditionalFormatting>
  <conditionalFormatting sqref="D41:E41">
    <cfRule type="expression" dxfId="34" priority="33">
      <formula>WEEKDAY($A41,2)&gt;5</formula>
    </cfRule>
  </conditionalFormatting>
  <conditionalFormatting sqref="D41:E41">
    <cfRule type="expression" dxfId="33" priority="32">
      <formula>WEEKDAY($A41,2)&gt;5</formula>
    </cfRule>
  </conditionalFormatting>
  <conditionalFormatting sqref="D41:E41">
    <cfRule type="expression" dxfId="32" priority="31">
      <formula>WEEKDAY($A41,2)&gt;5</formula>
    </cfRule>
  </conditionalFormatting>
  <conditionalFormatting sqref="A20:A52">
    <cfRule type="expression" dxfId="31" priority="29">
      <formula>V20&lt;&gt;""</formula>
    </cfRule>
    <cfRule type="expression" dxfId="30" priority="30">
      <formula>T20&lt;&gt;""</formula>
    </cfRule>
    <cfRule type="expression" dxfId="29" priority="67">
      <formula>T20&lt;&gt;""</formula>
    </cfRule>
  </conditionalFormatting>
  <conditionalFormatting sqref="B20:B52">
    <cfRule type="expression" dxfId="28" priority="68">
      <formula>#REF!&lt;&gt;""</formula>
    </cfRule>
  </conditionalFormatting>
  <conditionalFormatting sqref="D29:E29">
    <cfRule type="expression" dxfId="27" priority="28">
      <formula>WEEKDAY($A29,2)&gt;5</formula>
    </cfRule>
  </conditionalFormatting>
  <conditionalFormatting sqref="D30:E30">
    <cfRule type="expression" dxfId="26" priority="27">
      <formula>WEEKDAY($A30,2)&gt;5</formula>
    </cfRule>
  </conditionalFormatting>
  <conditionalFormatting sqref="D31:E31">
    <cfRule type="expression" dxfId="25" priority="26">
      <formula>WEEKDAY($A31,2)&gt;5</formula>
    </cfRule>
  </conditionalFormatting>
  <conditionalFormatting sqref="D36:E36">
    <cfRule type="expression" dxfId="24" priority="25">
      <formula>WEEKDAY($A36,2)&gt;5</formula>
    </cfRule>
  </conditionalFormatting>
  <conditionalFormatting sqref="D37:E37">
    <cfRule type="expression" dxfId="23" priority="24">
      <formula>WEEKDAY($A37,2)&gt;5</formula>
    </cfRule>
  </conditionalFormatting>
  <conditionalFormatting sqref="D38:E38">
    <cfRule type="expression" dxfId="22" priority="23">
      <formula>WEEKDAY($A38,2)&gt;5</formula>
    </cfRule>
  </conditionalFormatting>
  <conditionalFormatting sqref="D42:E42">
    <cfRule type="expression" dxfId="21" priority="22">
      <formula>WEEKDAY($A42,2)&gt;5</formula>
    </cfRule>
  </conditionalFormatting>
  <conditionalFormatting sqref="D43:E43">
    <cfRule type="expression" dxfId="20" priority="21">
      <formula>WEEKDAY($A43,2)&gt;5</formula>
    </cfRule>
  </conditionalFormatting>
  <conditionalFormatting sqref="D44:E44">
    <cfRule type="expression" dxfId="19" priority="20">
      <formula>WEEKDAY($A44,2)&gt;5</formula>
    </cfRule>
  </conditionalFormatting>
  <conditionalFormatting sqref="D33:E33">
    <cfRule type="expression" dxfId="18" priority="19">
      <formula>WEEKDAY($A33,2)&gt;5</formula>
    </cfRule>
  </conditionalFormatting>
  <conditionalFormatting sqref="D40:E40">
    <cfRule type="expression" dxfId="17" priority="18">
      <formula>WEEKDAY($A40,2)&gt;5</formula>
    </cfRule>
  </conditionalFormatting>
  <conditionalFormatting sqref="K20:K50">
    <cfRule type="expression" dxfId="16" priority="8">
      <formula>AND(WEEKDAY($A20,2)=3,$I$6=FALSE)</formula>
    </cfRule>
    <cfRule type="expression" dxfId="15" priority="9">
      <formula>AND(WEEKDAY($A20,2)=4,$I$8=TRUE)</formula>
    </cfRule>
    <cfRule type="expression" dxfId="14" priority="10">
      <formula>AND(WEEKDAY($A20,2)=4,$I$8=FALSE)</formula>
    </cfRule>
    <cfRule type="expression" dxfId="13" priority="11">
      <formula>AND(WEEKDAY($A20,2)=5,$I$10=TRUE)</formula>
    </cfRule>
    <cfRule type="expression" dxfId="12" priority="12">
      <formula>AND(WEEKDAY($A20,2)=5,$G$14=FALSE)</formula>
    </cfRule>
  </conditionalFormatting>
  <conditionalFormatting sqref="K20:L50">
    <cfRule type="expression" dxfId="11" priority="13">
      <formula>AND(WEEKDAY($A20,2)=1,$I$2=TRUE)</formula>
    </cfRule>
    <cfRule type="expression" dxfId="10" priority="14">
      <formula>AND(WEEKDAY($A20,2)=1,$I$2=FALSE)</formula>
    </cfRule>
    <cfRule type="expression" dxfId="9" priority="15">
      <formula>AND(WEEKDAY($A20,2)=2,$I$4=TRUE)</formula>
    </cfRule>
    <cfRule type="expression" dxfId="8" priority="16">
      <formula>AND(WEEKDAY($A20,2)=2,$I$4=FALSE)</formula>
    </cfRule>
    <cfRule type="expression" dxfId="7" priority="17">
      <formula>AND(WEEKDAY($A20,2)=3,$I$6=TRUE)</formula>
    </cfRule>
  </conditionalFormatting>
  <conditionalFormatting sqref="K20:L50">
    <cfRule type="containsText" dxfId="6" priority="3" operator="containsText" text="Angaben überprüfen">
      <formula>NOT(ISERROR(SEARCH("Angaben überprüfen",K20)))</formula>
    </cfRule>
    <cfRule type="cellIs" dxfId="5" priority="4" operator="equal">
      <formula>"30 min. Pause erforderlich"</formula>
    </cfRule>
    <cfRule type="expression" dxfId="4" priority="7">
      <formula>WEEKDAY($A20,2)&gt;5</formula>
    </cfRule>
  </conditionalFormatting>
  <conditionalFormatting sqref="K20:L50">
    <cfRule type="expression" dxfId="3" priority="6">
      <formula>WEEKDAY($A20,2)&gt;5</formula>
    </cfRule>
  </conditionalFormatting>
  <conditionalFormatting sqref="K20:L50">
    <cfRule type="expression" dxfId="2" priority="5">
      <formula>WEEKDAY($A20,2)&gt;5</formula>
    </cfRule>
  </conditionalFormatting>
  <conditionalFormatting sqref="B17:K17">
    <cfRule type="expression" dxfId="1" priority="1">
      <formula>ISBLANK($C$14)</formula>
    </cfRule>
  </conditionalFormatting>
  <dataValidations count="5">
    <dataValidation type="time" errorStyle="warning" allowBlank="1" showInputMessage="1" showErrorMessage="1" error="Außerhalb des Arbeitszeitrahmens" sqref="B20:E50">
      <formula1>0.25</formula1>
      <formula2>0.958333333333333</formula2>
    </dataValidation>
    <dataValidation type="textLength" operator="greaterThan" allowBlank="1" showInputMessage="1" showErrorMessage="1" errorTitle="Arbeitszeitkonto beendet" error="Ihr Arbeitszeitkonto überschreitet 12 Monate und ist damit beendet. Bitte erstellen Sie ein neues Konto." sqref="G16:L16">
      <formula1>40</formula1>
    </dataValidation>
    <dataValidation type="decimal" allowBlank="1" showInputMessage="1" showErrorMessage="1" errorTitle="Falsches Zahlenformat" error="Bitte Dezimal oder ganze Zahlen eingeben." promptTitle="                 INFO" prompt="_x000a_Beim Ausfüllen unbedingt den Leitfaden zum Arbeitszeitkonto beachten_x000a_ -Siehe Hilfebutton" sqref="C11:D11">
      <formula1>1</formula1>
      <formula2>40</formula2>
    </dataValidation>
    <dataValidation type="decimal" allowBlank="1" showInputMessage="1" showErrorMessage="1" errorTitle="Achtung" error="Kein Dezimalwert" sqref="K3:L11">
      <formula1>0.25</formula1>
      <formula2>24</formula2>
    </dataValidation>
    <dataValidation type="date" allowBlank="1" showInputMessage="1" showErrorMessage="1" error="Kein gültiges Datum" prompt="TT.MM.JJJJ" sqref="C9:D9 F9 C14:D14 F14">
      <formula1>40178</formula1>
      <formula2>71588</formula2>
    </dataValidation>
  </dataValidations>
  <pageMargins left="0.7" right="0.53156250000000005" top="1.6752083333333334" bottom="0.28125" header="0.47125" footer="0.3"/>
  <pageSetup paperSize="9" scale="87" orientation="portrait" r:id="rId1"/>
  <headerFooter>
    <oddHeader>&amp;L&amp;"BO Regular Bold,Fett"&amp;12Stundennachweis&amp;"-,Standard"&amp;10
&amp;"BO Regular Normal,Standard"nach §17 MiLoG
für SHK, WHK, studentische Aushilfskräfte TV-L 
und geringfügig Beschäftigte&amp;R&amp;G</oddHeader>
  </headerFooter>
  <ignoredErrors>
    <ignoredError sqref="C1:F7 K20:L50" unlockedFormula="1"/>
  </ignoredError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6385" r:id="rId5" name="Check Box 1">
              <controlPr locked="0" defaultSize="0" autoFill="0" autoLine="0" autoPict="0">
                <anchor moveWithCells="1">
                  <from>
                    <xdr:col>7</xdr:col>
                    <xdr:colOff>342900</xdr:colOff>
                    <xdr:row>1</xdr:row>
                    <xdr:rowOff>9525</xdr:rowOff>
                  </from>
                  <to>
                    <xdr:col>10</xdr:col>
                    <xdr:colOff>171450</xdr:colOff>
                    <xdr:row>3</xdr:row>
                    <xdr:rowOff>85725</xdr:rowOff>
                  </to>
                </anchor>
              </controlPr>
            </control>
          </mc:Choice>
        </mc:AlternateContent>
        <mc:AlternateContent xmlns:mc="http://schemas.openxmlformats.org/markup-compatibility/2006">
          <mc:Choice Requires="x14">
            <control shapeId="16386" r:id="rId6" name="Check Box 2">
              <controlPr locked="0" defaultSize="0" autoFill="0" autoLine="0" autoPict="0">
                <anchor moveWithCells="1">
                  <from>
                    <xdr:col>7</xdr:col>
                    <xdr:colOff>342900</xdr:colOff>
                    <xdr:row>3</xdr:row>
                    <xdr:rowOff>19050</xdr:rowOff>
                  </from>
                  <to>
                    <xdr:col>10</xdr:col>
                    <xdr:colOff>0</xdr:colOff>
                    <xdr:row>5</xdr:row>
                    <xdr:rowOff>85725</xdr:rowOff>
                  </to>
                </anchor>
              </controlPr>
            </control>
          </mc:Choice>
        </mc:AlternateContent>
        <mc:AlternateContent xmlns:mc="http://schemas.openxmlformats.org/markup-compatibility/2006">
          <mc:Choice Requires="x14">
            <control shapeId="16387" r:id="rId7" name="Check Box 3">
              <controlPr locked="0" defaultSize="0" autoFill="0" autoLine="0" autoPict="0">
                <anchor moveWithCells="1">
                  <from>
                    <xdr:col>7</xdr:col>
                    <xdr:colOff>342900</xdr:colOff>
                    <xdr:row>5</xdr:row>
                    <xdr:rowOff>19050</xdr:rowOff>
                  </from>
                  <to>
                    <xdr:col>9</xdr:col>
                    <xdr:colOff>781050</xdr:colOff>
                    <xdr:row>7</xdr:row>
                    <xdr:rowOff>85725</xdr:rowOff>
                  </to>
                </anchor>
              </controlPr>
            </control>
          </mc:Choice>
        </mc:AlternateContent>
        <mc:AlternateContent xmlns:mc="http://schemas.openxmlformats.org/markup-compatibility/2006">
          <mc:Choice Requires="x14">
            <control shapeId="16388" r:id="rId8" name="Check Box 4">
              <controlPr locked="0" defaultSize="0" autoFill="0" autoLine="0" autoPict="0">
                <anchor moveWithCells="1">
                  <from>
                    <xdr:col>7</xdr:col>
                    <xdr:colOff>342900</xdr:colOff>
                    <xdr:row>7</xdr:row>
                    <xdr:rowOff>19050</xdr:rowOff>
                  </from>
                  <to>
                    <xdr:col>9</xdr:col>
                    <xdr:colOff>828675</xdr:colOff>
                    <xdr:row>9</xdr:row>
                    <xdr:rowOff>85725</xdr:rowOff>
                  </to>
                </anchor>
              </controlPr>
            </control>
          </mc:Choice>
        </mc:AlternateContent>
        <mc:AlternateContent xmlns:mc="http://schemas.openxmlformats.org/markup-compatibility/2006">
          <mc:Choice Requires="x14">
            <control shapeId="16389" r:id="rId9" name="Check Box 5">
              <controlPr locked="0" defaultSize="0" autoFill="0" autoLine="0" autoPict="0">
                <anchor moveWithCells="1">
                  <from>
                    <xdr:col>7</xdr:col>
                    <xdr:colOff>342900</xdr:colOff>
                    <xdr:row>9</xdr:row>
                    <xdr:rowOff>28575</xdr:rowOff>
                  </from>
                  <to>
                    <xdr:col>9</xdr:col>
                    <xdr:colOff>838200</xdr:colOff>
                    <xdr:row>11</xdr:row>
                    <xdr:rowOff>47625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2" operator="containsText" id="{EFC21372-FF7A-445C-AA10-0754196F486D}">
            <xm:f>NOT(ISERROR(SEARCH("45 min. Pause erforderlich",K20)))</xm:f>
            <xm:f>"45 min. Pause erforderlich"</xm:f>
            <x14:dxf>
              <font>
                <b/>
                <i val="0"/>
                <color rgb="FFA50021"/>
              </font>
            </x14:dxf>
          </x14:cfRule>
          <xm:sqref>K20:L50</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pageSetUpPr autoPageBreaks="0"/>
  </sheetPr>
  <dimension ref="B1:L124"/>
  <sheetViews>
    <sheetView showGridLines="0" showRowColHeaders="0" zoomScale="120" zoomScaleNormal="120" zoomScalePageLayoutView="150" workbookViewId="0"/>
  </sheetViews>
  <sheetFormatPr baseColWidth="10" defaultRowHeight="15"/>
  <cols>
    <col min="1" max="1" width="2.5703125" customWidth="1"/>
    <col min="2" max="2" width="8.42578125" style="164" customWidth="1"/>
    <col min="3" max="3" width="9.140625" style="164" customWidth="1"/>
    <col min="4" max="4" width="12" style="164" customWidth="1"/>
    <col min="5" max="5" width="13.85546875" style="164" customWidth="1"/>
    <col min="6" max="6" width="10.7109375" style="164" customWidth="1"/>
    <col min="7" max="7" width="15.42578125" style="164" customWidth="1"/>
    <col min="8" max="8" width="18.140625" style="164" customWidth="1"/>
  </cols>
  <sheetData>
    <row r="1" spans="2:12" ht="60.75" customHeight="1">
      <c r="B1" s="328" t="s">
        <v>51</v>
      </c>
      <c r="C1" s="328"/>
      <c r="D1" s="328"/>
      <c r="E1" s="328"/>
      <c r="F1" s="328"/>
      <c r="G1" s="328"/>
      <c r="H1" s="328"/>
      <c r="I1" s="236"/>
      <c r="J1" s="236"/>
      <c r="K1" s="236"/>
      <c r="L1" s="236"/>
    </row>
    <row r="3" spans="2:12">
      <c r="B3" s="331" t="s">
        <v>140</v>
      </c>
      <c r="C3" s="331"/>
      <c r="E3" s="330" t="s">
        <v>138</v>
      </c>
      <c r="F3" s="330"/>
      <c r="G3" s="330"/>
      <c r="H3" s="238"/>
      <c r="I3" s="238"/>
    </row>
    <row r="4" spans="2:12">
      <c r="E4" s="330" t="s">
        <v>127</v>
      </c>
      <c r="F4" s="330"/>
      <c r="G4" s="330"/>
      <c r="H4" s="238"/>
      <c r="I4" s="238"/>
    </row>
    <row r="5" spans="2:12">
      <c r="E5" s="330" t="s">
        <v>136</v>
      </c>
      <c r="F5" s="330"/>
      <c r="G5" s="330"/>
      <c r="H5" s="238"/>
      <c r="I5" s="238"/>
    </row>
    <row r="6" spans="2:12">
      <c r="E6" s="330" t="s">
        <v>135</v>
      </c>
      <c r="F6" s="330"/>
      <c r="G6" s="330"/>
      <c r="H6" s="238"/>
      <c r="I6" s="238"/>
    </row>
    <row r="7" spans="2:12">
      <c r="E7" s="330" t="s">
        <v>128</v>
      </c>
      <c r="F7" s="330"/>
      <c r="G7" s="330"/>
      <c r="H7" s="238"/>
      <c r="I7" s="238"/>
    </row>
    <row r="8" spans="2:12">
      <c r="E8" s="330" t="s">
        <v>131</v>
      </c>
      <c r="F8" s="330"/>
      <c r="G8" s="330"/>
      <c r="H8" s="238"/>
      <c r="I8" s="238"/>
    </row>
    <row r="9" spans="2:12">
      <c r="E9" s="330" t="s">
        <v>132</v>
      </c>
      <c r="F9" s="330"/>
      <c r="G9" s="330"/>
      <c r="H9" s="238"/>
      <c r="I9" s="238"/>
    </row>
    <row r="10" spans="2:12">
      <c r="E10" s="330" t="s">
        <v>130</v>
      </c>
      <c r="F10" s="330"/>
      <c r="G10" s="330"/>
      <c r="H10" s="238"/>
      <c r="I10" s="238"/>
    </row>
    <row r="11" spans="2:12">
      <c r="E11" s="330" t="s">
        <v>134</v>
      </c>
      <c r="F11" s="330"/>
      <c r="G11" s="330"/>
      <c r="H11" s="238"/>
      <c r="I11" s="238"/>
    </row>
    <row r="12" spans="2:12">
      <c r="E12" s="330" t="s">
        <v>126</v>
      </c>
      <c r="F12" s="330"/>
      <c r="G12" s="330"/>
      <c r="H12" s="238"/>
      <c r="I12" s="238"/>
    </row>
    <row r="13" spans="2:12">
      <c r="E13" s="330" t="s">
        <v>133</v>
      </c>
      <c r="F13" s="330"/>
      <c r="G13" s="330"/>
      <c r="H13" s="238"/>
      <c r="I13" s="238"/>
    </row>
    <row r="14" spans="2:12">
      <c r="E14" s="330" t="s">
        <v>9</v>
      </c>
      <c r="F14" s="330"/>
      <c r="G14" s="330"/>
      <c r="H14" s="238"/>
      <c r="I14" s="238"/>
    </row>
    <row r="15" spans="2:12">
      <c r="E15" s="330" t="s">
        <v>129</v>
      </c>
      <c r="F15" s="330"/>
      <c r="G15" s="330"/>
      <c r="H15" s="238"/>
      <c r="I15" s="238"/>
    </row>
    <row r="16" spans="2:12">
      <c r="E16" s="330" t="s">
        <v>124</v>
      </c>
      <c r="F16" s="330"/>
      <c r="G16" s="330"/>
      <c r="H16" s="238"/>
      <c r="I16" s="238"/>
    </row>
    <row r="17" spans="2:12">
      <c r="E17" s="330" t="s">
        <v>125</v>
      </c>
      <c r="F17" s="330"/>
      <c r="G17" s="330"/>
      <c r="H17" s="238"/>
      <c r="I17" s="238"/>
    </row>
    <row r="18" spans="2:12">
      <c r="E18" s="330" t="s">
        <v>137</v>
      </c>
      <c r="F18" s="330"/>
      <c r="G18" s="330"/>
      <c r="H18" s="238"/>
      <c r="I18" s="238"/>
    </row>
    <row r="19" spans="2:12">
      <c r="E19"/>
      <c r="F19"/>
      <c r="G19" s="238"/>
      <c r="H19" s="238"/>
      <c r="I19" s="238"/>
    </row>
    <row r="20" spans="2:12">
      <c r="E20" s="238"/>
      <c r="F20" s="238"/>
      <c r="G20" s="238"/>
      <c r="H20" s="238"/>
      <c r="I20" s="238"/>
    </row>
    <row r="21" spans="2:12">
      <c r="B21" s="332" t="s">
        <v>123</v>
      </c>
      <c r="C21" s="332"/>
      <c r="D21" s="332"/>
      <c r="E21" s="332"/>
      <c r="F21" s="332"/>
      <c r="G21" s="332"/>
      <c r="H21" s="332"/>
      <c r="L21" s="236"/>
    </row>
    <row r="22" spans="2:12">
      <c r="B22" s="237"/>
      <c r="I22" s="236"/>
      <c r="J22" s="236"/>
    </row>
    <row r="23" spans="2:12" ht="76.5" customHeight="1">
      <c r="B23" s="329" t="s">
        <v>52</v>
      </c>
      <c r="C23" s="329"/>
      <c r="D23" s="329"/>
      <c r="E23" s="329"/>
      <c r="F23" s="329"/>
      <c r="G23" s="329"/>
      <c r="H23" s="329"/>
      <c r="I23" s="236"/>
      <c r="J23" s="236"/>
    </row>
    <row r="24" spans="2:12">
      <c r="B24" s="329"/>
      <c r="C24" s="329"/>
      <c r="D24" s="329"/>
      <c r="E24" s="329"/>
      <c r="F24" s="329"/>
      <c r="G24" s="329"/>
      <c r="H24" s="329"/>
      <c r="I24" s="236"/>
      <c r="J24" s="236"/>
    </row>
    <row r="25" spans="2:12" ht="85.5" customHeight="1">
      <c r="B25" s="329" t="s">
        <v>147</v>
      </c>
      <c r="C25" s="329"/>
      <c r="D25" s="329"/>
      <c r="E25" s="329"/>
      <c r="F25" s="329"/>
      <c r="G25" s="329"/>
      <c r="H25" s="329"/>
      <c r="I25" s="236"/>
      <c r="J25" s="236"/>
      <c r="K25" s="236"/>
      <c r="L25" s="236"/>
    </row>
    <row r="26" spans="2:12">
      <c r="B26" s="329"/>
      <c r="C26" s="329"/>
      <c r="D26" s="329"/>
      <c r="E26" s="329"/>
      <c r="F26" s="329"/>
      <c r="G26" s="329"/>
      <c r="H26" s="329"/>
      <c r="I26" s="236"/>
      <c r="J26" s="236"/>
      <c r="K26" s="236"/>
      <c r="L26" s="236"/>
    </row>
    <row r="27" spans="2:12">
      <c r="B27" s="329" t="s">
        <v>53</v>
      </c>
      <c r="C27" s="329"/>
      <c r="D27" s="329"/>
      <c r="E27" s="329"/>
      <c r="F27" s="329"/>
      <c r="G27" s="329"/>
      <c r="H27" s="329"/>
      <c r="I27" s="236"/>
      <c r="J27" s="236"/>
      <c r="K27" s="236"/>
      <c r="L27" s="236"/>
    </row>
    <row r="28" spans="2:12" ht="60.75" customHeight="1">
      <c r="B28" s="329" t="s">
        <v>54</v>
      </c>
      <c r="C28" s="329"/>
      <c r="D28" s="329"/>
      <c r="E28" s="329"/>
      <c r="F28" s="329"/>
      <c r="G28" s="329"/>
      <c r="H28" s="329"/>
      <c r="I28" s="236"/>
      <c r="J28" s="236"/>
      <c r="K28" s="236"/>
      <c r="L28" s="236"/>
    </row>
    <row r="29" spans="2:12">
      <c r="B29" s="329"/>
      <c r="C29" s="329"/>
      <c r="D29" s="329"/>
      <c r="E29" s="329"/>
      <c r="F29" s="329"/>
      <c r="G29" s="329"/>
      <c r="H29" s="329"/>
      <c r="I29" s="236"/>
      <c r="J29" s="236"/>
      <c r="K29" s="236"/>
      <c r="L29" s="236"/>
    </row>
    <row r="30" spans="2:12">
      <c r="B30" s="329" t="s">
        <v>55</v>
      </c>
      <c r="C30" s="329"/>
      <c r="D30" s="329"/>
      <c r="E30" s="329"/>
      <c r="F30" s="329"/>
      <c r="G30" s="329"/>
      <c r="H30" s="329"/>
      <c r="I30" s="236"/>
      <c r="J30" s="236"/>
      <c r="K30" s="236"/>
      <c r="L30" s="236"/>
    </row>
    <row r="31" spans="2:12" ht="52.5" customHeight="1">
      <c r="B31" s="329" t="s">
        <v>142</v>
      </c>
      <c r="C31" s="329"/>
      <c r="D31" s="329"/>
      <c r="E31" s="329"/>
      <c r="F31" s="329"/>
      <c r="G31" s="329"/>
      <c r="H31" s="329"/>
      <c r="I31" s="236"/>
      <c r="J31" s="236"/>
      <c r="K31" s="236"/>
      <c r="L31" s="236"/>
    </row>
    <row r="32" spans="2:12">
      <c r="B32" s="329"/>
      <c r="C32" s="329"/>
      <c r="D32" s="329"/>
      <c r="E32" s="329"/>
      <c r="F32" s="329"/>
      <c r="G32" s="329"/>
      <c r="H32" s="329"/>
      <c r="I32" s="236"/>
      <c r="J32" s="236"/>
      <c r="K32" s="236"/>
      <c r="L32" s="236"/>
    </row>
    <row r="33" spans="2:12">
      <c r="B33" s="329" t="s">
        <v>56</v>
      </c>
      <c r="C33" s="329"/>
      <c r="D33" s="329"/>
      <c r="E33" s="329"/>
      <c r="F33" s="329"/>
      <c r="G33" s="329"/>
      <c r="H33" s="329"/>
      <c r="I33" s="236"/>
      <c r="J33" s="236"/>
      <c r="K33" s="236"/>
      <c r="L33" s="236"/>
    </row>
    <row r="34" spans="2:12">
      <c r="B34" s="329" t="s">
        <v>57</v>
      </c>
      <c r="C34" s="329"/>
      <c r="D34" s="329"/>
      <c r="E34" s="329"/>
      <c r="F34" s="329"/>
      <c r="G34" s="329"/>
      <c r="H34" s="329"/>
      <c r="I34" s="236"/>
      <c r="J34" s="236"/>
      <c r="K34" s="236"/>
      <c r="L34" s="236"/>
    </row>
    <row r="35" spans="2:12">
      <c r="B35" s="329"/>
      <c r="C35" s="329"/>
      <c r="D35" s="329"/>
      <c r="E35" s="329"/>
      <c r="F35" s="329"/>
      <c r="G35" s="329"/>
      <c r="H35" s="329"/>
      <c r="I35" s="236"/>
      <c r="J35" s="236"/>
      <c r="K35" s="236"/>
      <c r="L35" s="236"/>
    </row>
    <row r="36" spans="2:12">
      <c r="B36" s="329" t="s">
        <v>58</v>
      </c>
      <c r="C36" s="329"/>
      <c r="D36" s="329"/>
      <c r="E36" s="329"/>
      <c r="F36" s="329"/>
      <c r="G36" s="329"/>
      <c r="H36" s="329"/>
      <c r="I36" s="236"/>
      <c r="J36" s="236"/>
      <c r="K36" s="236"/>
      <c r="L36" s="236"/>
    </row>
    <row r="37" spans="2:12">
      <c r="B37" s="329"/>
      <c r="C37" s="329"/>
      <c r="D37" s="329"/>
      <c r="E37" s="329"/>
      <c r="F37" s="329"/>
      <c r="G37" s="329"/>
      <c r="H37" s="329"/>
      <c r="I37" s="236"/>
      <c r="J37" s="236"/>
      <c r="K37" s="236"/>
      <c r="L37" s="236"/>
    </row>
    <row r="38" spans="2:12">
      <c r="B38" s="329" t="s">
        <v>59</v>
      </c>
      <c r="C38" s="329"/>
      <c r="D38" s="329"/>
      <c r="E38" s="329"/>
      <c r="F38" s="329"/>
      <c r="G38" s="329"/>
      <c r="H38" s="329"/>
      <c r="I38" s="236"/>
      <c r="J38" s="236"/>
      <c r="K38" s="236"/>
      <c r="L38" s="236"/>
    </row>
    <row r="39" spans="2:12">
      <c r="B39" s="329"/>
      <c r="C39" s="329"/>
      <c r="D39" s="329"/>
      <c r="E39" s="329"/>
      <c r="F39" s="329"/>
      <c r="G39" s="329"/>
      <c r="H39" s="329"/>
      <c r="I39" s="236"/>
      <c r="J39" s="236"/>
      <c r="K39" s="236"/>
      <c r="L39" s="236"/>
    </row>
    <row r="40" spans="2:12">
      <c r="B40" s="329" t="s">
        <v>60</v>
      </c>
      <c r="C40" s="329"/>
      <c r="D40" s="329"/>
      <c r="E40" s="329"/>
      <c r="F40" s="329"/>
      <c r="G40" s="329"/>
      <c r="H40" s="329"/>
      <c r="I40" s="236"/>
      <c r="J40" s="236"/>
      <c r="K40" s="236"/>
      <c r="L40" s="236"/>
    </row>
    <row r="41" spans="2:12">
      <c r="B41" s="329"/>
      <c r="C41" s="329"/>
      <c r="D41" s="329"/>
      <c r="E41" s="329"/>
      <c r="F41" s="329"/>
      <c r="G41" s="329"/>
      <c r="H41" s="329"/>
      <c r="I41" s="236"/>
      <c r="J41" s="236"/>
      <c r="K41" s="236"/>
      <c r="L41" s="236"/>
    </row>
    <row r="42" spans="2:12">
      <c r="B42" s="329" t="s">
        <v>61</v>
      </c>
      <c r="C42" s="329"/>
      <c r="D42" s="329"/>
      <c r="E42" s="329"/>
      <c r="F42" s="329"/>
      <c r="G42" s="329"/>
      <c r="H42" s="329"/>
      <c r="I42" s="236"/>
      <c r="J42" s="236"/>
      <c r="K42" s="236"/>
      <c r="L42" s="236"/>
    </row>
    <row r="43" spans="2:12">
      <c r="B43" s="329"/>
      <c r="C43" s="329"/>
      <c r="D43" s="329"/>
      <c r="E43" s="329"/>
      <c r="F43" s="329"/>
      <c r="G43" s="329"/>
      <c r="H43" s="329"/>
      <c r="I43" s="236"/>
      <c r="J43" s="236"/>
      <c r="K43" s="236"/>
      <c r="L43" s="236"/>
    </row>
    <row r="44" spans="2:12" ht="30" customHeight="1">
      <c r="B44" s="329" t="s">
        <v>115</v>
      </c>
      <c r="C44" s="329"/>
      <c r="D44" s="329"/>
      <c r="E44" s="329"/>
      <c r="F44" s="329"/>
      <c r="G44" s="329"/>
      <c r="H44" s="329"/>
      <c r="I44" s="236"/>
      <c r="J44" s="236"/>
      <c r="K44" s="236"/>
      <c r="L44" s="236"/>
    </row>
    <row r="45" spans="2:12">
      <c r="B45" s="329"/>
      <c r="C45" s="329"/>
      <c r="D45" s="329"/>
      <c r="E45" s="329"/>
      <c r="F45" s="329"/>
      <c r="G45" s="329"/>
      <c r="H45" s="329"/>
      <c r="I45" s="236"/>
      <c r="J45" s="236"/>
      <c r="K45" s="236"/>
      <c r="L45" s="236"/>
    </row>
    <row r="46" spans="2:12">
      <c r="B46" s="329" t="s">
        <v>62</v>
      </c>
      <c r="C46" s="329"/>
      <c r="D46" s="329"/>
      <c r="E46" s="329"/>
      <c r="F46" s="329"/>
      <c r="G46" s="329"/>
      <c r="H46" s="329"/>
      <c r="I46" s="236"/>
      <c r="J46" s="236"/>
      <c r="K46" s="236"/>
      <c r="L46" s="236"/>
    </row>
    <row r="47" spans="2:12">
      <c r="B47" s="329"/>
      <c r="C47" s="329"/>
      <c r="D47" s="329"/>
      <c r="E47" s="329"/>
      <c r="F47" s="329"/>
      <c r="G47" s="329"/>
      <c r="H47" s="329"/>
      <c r="I47" s="236"/>
      <c r="J47" s="236"/>
      <c r="K47" s="236"/>
      <c r="L47" s="236"/>
    </row>
    <row r="48" spans="2:12" ht="72" customHeight="1">
      <c r="B48" s="329" t="s">
        <v>143</v>
      </c>
      <c r="C48" s="329"/>
      <c r="D48" s="329"/>
      <c r="E48" s="329"/>
      <c r="F48" s="329"/>
      <c r="G48" s="329"/>
      <c r="H48" s="329"/>
      <c r="I48" s="236"/>
      <c r="J48" s="236"/>
      <c r="K48" s="236"/>
      <c r="L48" s="236"/>
    </row>
    <row r="49" spans="2:12">
      <c r="B49" s="329" t="s">
        <v>63</v>
      </c>
      <c r="C49" s="329"/>
      <c r="D49" s="329"/>
      <c r="E49" s="329"/>
      <c r="F49" s="329"/>
      <c r="G49" s="329"/>
      <c r="H49" s="329"/>
      <c r="I49" s="236"/>
      <c r="J49" s="236"/>
      <c r="K49" s="236"/>
      <c r="L49" s="236"/>
    </row>
    <row r="50" spans="2:12">
      <c r="B50" s="329" t="s">
        <v>64</v>
      </c>
      <c r="C50" s="329"/>
      <c r="D50" s="329"/>
      <c r="E50" s="329"/>
      <c r="F50" s="329"/>
      <c r="G50" s="329"/>
      <c r="H50" s="329"/>
      <c r="I50" s="236"/>
      <c r="J50" s="236"/>
      <c r="K50" s="236"/>
      <c r="L50" s="236"/>
    </row>
    <row r="51" spans="2:12">
      <c r="B51" s="329" t="s">
        <v>65</v>
      </c>
      <c r="C51" s="329"/>
      <c r="D51" s="329"/>
      <c r="E51" s="329"/>
      <c r="F51" s="329"/>
      <c r="G51" s="329"/>
      <c r="H51" s="329"/>
      <c r="I51" s="236"/>
      <c r="J51" s="236"/>
      <c r="K51" s="236"/>
      <c r="L51" s="236"/>
    </row>
    <row r="52" spans="2:12">
      <c r="B52" s="329" t="s">
        <v>66</v>
      </c>
      <c r="C52" s="329"/>
      <c r="D52" s="329"/>
      <c r="E52" s="329"/>
      <c r="F52" s="329"/>
      <c r="G52" s="329"/>
      <c r="H52" s="329"/>
      <c r="I52" s="236"/>
      <c r="J52" s="236"/>
      <c r="K52" s="236"/>
      <c r="L52" s="236"/>
    </row>
    <row r="53" spans="2:12">
      <c r="B53" s="329"/>
      <c r="C53" s="329"/>
      <c r="D53" s="329"/>
      <c r="E53" s="329"/>
      <c r="F53" s="329"/>
      <c r="G53" s="329"/>
      <c r="H53" s="329"/>
      <c r="I53" s="236"/>
      <c r="J53" s="236"/>
      <c r="K53" s="236"/>
      <c r="L53" s="236"/>
    </row>
    <row r="54" spans="2:12" ht="93" customHeight="1">
      <c r="B54" s="329" t="s">
        <v>116</v>
      </c>
      <c r="C54" s="329"/>
      <c r="D54" s="329"/>
      <c r="E54" s="329"/>
      <c r="F54" s="329"/>
      <c r="G54" s="329"/>
      <c r="H54" s="329"/>
      <c r="I54" s="236"/>
      <c r="J54" s="236"/>
      <c r="K54" s="236"/>
      <c r="L54" s="236"/>
    </row>
    <row r="55" spans="2:12">
      <c r="B55" s="329"/>
      <c r="C55" s="329"/>
      <c r="D55" s="329"/>
      <c r="E55" s="329"/>
      <c r="F55" s="329"/>
      <c r="G55" s="329"/>
      <c r="H55" s="329"/>
      <c r="I55" s="236"/>
      <c r="J55" s="236"/>
      <c r="K55" s="236"/>
      <c r="L55" s="236"/>
    </row>
    <row r="56" spans="2:12" ht="75.75" customHeight="1">
      <c r="B56" s="329" t="s">
        <v>122</v>
      </c>
      <c r="C56" s="329"/>
      <c r="D56" s="329"/>
      <c r="E56" s="329"/>
      <c r="F56" s="329"/>
      <c r="G56" s="329"/>
      <c r="H56" s="329"/>
      <c r="I56" s="236"/>
      <c r="J56" s="236"/>
      <c r="K56" s="236"/>
      <c r="L56" s="236"/>
    </row>
    <row r="57" spans="2:12">
      <c r="B57" s="329"/>
      <c r="C57" s="329"/>
      <c r="D57" s="329"/>
      <c r="E57" s="329"/>
      <c r="F57" s="329"/>
      <c r="G57" s="329"/>
      <c r="H57" s="329"/>
      <c r="I57" s="236"/>
      <c r="J57" s="236"/>
      <c r="K57" s="236"/>
      <c r="L57" s="236"/>
    </row>
    <row r="58" spans="2:12" ht="47.25" customHeight="1">
      <c r="B58" s="329" t="s">
        <v>117</v>
      </c>
      <c r="C58" s="329"/>
      <c r="D58" s="329"/>
      <c r="E58" s="329"/>
      <c r="F58" s="329"/>
      <c r="G58" s="329"/>
      <c r="H58" s="329"/>
      <c r="I58" s="236"/>
      <c r="J58" s="236"/>
      <c r="K58" s="236"/>
      <c r="L58" s="236"/>
    </row>
    <row r="59" spans="2:12" ht="17.25" customHeight="1">
      <c r="B59" s="329"/>
      <c r="C59" s="329"/>
      <c r="D59" s="329"/>
      <c r="E59" s="329"/>
      <c r="F59" s="329"/>
      <c r="G59" s="329"/>
      <c r="H59" s="329"/>
      <c r="I59" s="236"/>
      <c r="J59" s="236"/>
      <c r="K59" s="236"/>
      <c r="L59" s="236"/>
    </row>
    <row r="60" spans="2:12" ht="233.25" customHeight="1">
      <c r="B60" s="329" t="s">
        <v>139</v>
      </c>
      <c r="C60" s="329"/>
      <c r="D60" s="329"/>
      <c r="E60" s="329"/>
      <c r="F60" s="329"/>
      <c r="G60" s="329"/>
      <c r="H60" s="329"/>
      <c r="I60" s="236"/>
      <c r="J60" s="236"/>
      <c r="K60" s="236"/>
      <c r="L60" s="236"/>
    </row>
    <row r="61" spans="2:12" ht="123" customHeight="1">
      <c r="B61" s="329" t="s">
        <v>121</v>
      </c>
      <c r="C61" s="329"/>
      <c r="D61" s="329"/>
      <c r="E61" s="329"/>
      <c r="F61" s="329"/>
      <c r="G61" s="329"/>
      <c r="H61" s="329"/>
      <c r="I61" s="236"/>
      <c r="J61" s="236"/>
      <c r="K61" s="236"/>
      <c r="L61" s="236"/>
    </row>
    <row r="62" spans="2:12">
      <c r="B62" s="329" t="s">
        <v>68</v>
      </c>
      <c r="C62" s="329"/>
      <c r="D62" s="329"/>
      <c r="E62" s="329"/>
      <c r="F62" s="329"/>
      <c r="G62" s="329"/>
      <c r="H62" s="329"/>
      <c r="I62" s="236"/>
      <c r="J62" s="236"/>
      <c r="K62" s="236"/>
      <c r="L62" s="236"/>
    </row>
    <row r="63" spans="2:12" ht="48" customHeight="1">
      <c r="B63" s="329" t="s">
        <v>69</v>
      </c>
      <c r="C63" s="329"/>
      <c r="D63" s="329"/>
      <c r="E63" s="329"/>
      <c r="F63" s="329"/>
      <c r="G63" s="329"/>
      <c r="H63" s="329"/>
      <c r="I63" s="236"/>
      <c r="J63" s="236"/>
      <c r="K63" s="236"/>
      <c r="L63" s="236"/>
    </row>
    <row r="64" spans="2:12" ht="105" customHeight="1">
      <c r="B64" s="329" t="s">
        <v>70</v>
      </c>
      <c r="C64" s="329"/>
      <c r="D64" s="329"/>
      <c r="E64" s="329"/>
      <c r="F64" s="329"/>
      <c r="G64" s="329"/>
      <c r="H64" s="329"/>
      <c r="I64" s="236"/>
      <c r="J64" s="236"/>
      <c r="K64" s="236"/>
      <c r="L64" s="236"/>
    </row>
    <row r="65" spans="2:12">
      <c r="B65" s="329" t="s">
        <v>71</v>
      </c>
      <c r="C65" s="329"/>
      <c r="D65" s="329"/>
      <c r="E65" s="329"/>
      <c r="F65" s="329"/>
      <c r="G65" s="329"/>
      <c r="H65" s="329"/>
      <c r="I65" s="236"/>
      <c r="J65" s="236"/>
      <c r="K65" s="236"/>
      <c r="L65" s="236"/>
    </row>
    <row r="66" spans="2:12">
      <c r="B66" s="329" t="s">
        <v>67</v>
      </c>
      <c r="C66" s="329"/>
      <c r="D66" s="329"/>
      <c r="E66" s="329"/>
      <c r="F66" s="329"/>
      <c r="G66" s="329"/>
      <c r="H66" s="329"/>
      <c r="I66" s="236"/>
      <c r="J66" s="236"/>
      <c r="K66" s="236"/>
      <c r="L66" s="236"/>
    </row>
    <row r="67" spans="2:12">
      <c r="B67" s="329" t="s">
        <v>72</v>
      </c>
      <c r="C67" s="329"/>
      <c r="D67" s="329"/>
      <c r="E67" s="329"/>
      <c r="F67" s="329"/>
      <c r="G67" s="329"/>
      <c r="H67" s="329"/>
      <c r="I67" s="236"/>
      <c r="J67" s="236"/>
      <c r="K67" s="236"/>
      <c r="L67" s="236"/>
    </row>
    <row r="68" spans="2:12">
      <c r="B68" s="329" t="s">
        <v>73</v>
      </c>
      <c r="C68" s="329"/>
      <c r="D68" s="329"/>
      <c r="E68" s="329"/>
      <c r="F68" s="329"/>
      <c r="G68" s="329"/>
      <c r="H68" s="329"/>
      <c r="I68" s="236"/>
      <c r="J68" s="236"/>
      <c r="K68" s="236"/>
      <c r="L68" s="236"/>
    </row>
    <row r="69" spans="2:12">
      <c r="B69" s="329" t="s">
        <v>74</v>
      </c>
      <c r="C69" s="329"/>
      <c r="D69" s="329"/>
      <c r="E69" s="329"/>
      <c r="F69" s="329"/>
      <c r="G69" s="329"/>
      <c r="H69" s="329"/>
      <c r="I69" s="236"/>
      <c r="J69" s="236"/>
      <c r="K69" s="236"/>
      <c r="L69" s="236"/>
    </row>
    <row r="70" spans="2:12">
      <c r="B70" s="329"/>
      <c r="C70" s="329"/>
      <c r="D70" s="329"/>
      <c r="E70" s="329"/>
      <c r="F70" s="329"/>
      <c r="G70" s="329"/>
      <c r="H70" s="329"/>
      <c r="I70" s="236"/>
      <c r="J70" s="236"/>
      <c r="K70" s="236"/>
      <c r="L70" s="236"/>
    </row>
    <row r="71" spans="2:12">
      <c r="B71" s="329" t="s">
        <v>75</v>
      </c>
      <c r="C71" s="329"/>
      <c r="D71" s="329"/>
      <c r="E71" s="329"/>
      <c r="F71" s="329"/>
      <c r="G71" s="329"/>
      <c r="H71" s="329"/>
      <c r="I71" s="236"/>
      <c r="J71" s="236"/>
      <c r="K71" s="236"/>
      <c r="L71" s="236"/>
    </row>
    <row r="72" spans="2:12">
      <c r="B72" s="329" t="s">
        <v>76</v>
      </c>
      <c r="C72" s="329"/>
      <c r="D72" s="329"/>
      <c r="E72" s="329"/>
      <c r="F72" s="329"/>
      <c r="G72" s="329"/>
      <c r="H72" s="329"/>
      <c r="I72" s="236"/>
      <c r="J72" s="236"/>
      <c r="K72" s="236"/>
      <c r="L72" s="236"/>
    </row>
    <row r="73" spans="2:12">
      <c r="B73" s="329"/>
      <c r="C73" s="329"/>
      <c r="D73" s="329"/>
      <c r="E73" s="329"/>
      <c r="F73" s="329"/>
      <c r="G73" s="329"/>
      <c r="H73" s="329"/>
      <c r="I73" s="236"/>
      <c r="J73" s="236"/>
      <c r="K73" s="236"/>
      <c r="L73" s="236"/>
    </row>
    <row r="74" spans="2:12">
      <c r="B74" s="329" t="s">
        <v>77</v>
      </c>
      <c r="C74" s="329"/>
      <c r="D74" s="329"/>
      <c r="E74" s="329"/>
      <c r="F74" s="329"/>
      <c r="G74" s="329"/>
      <c r="H74" s="329"/>
      <c r="I74" s="236"/>
      <c r="J74" s="236"/>
      <c r="K74" s="236"/>
      <c r="L74" s="236"/>
    </row>
    <row r="75" spans="2:12">
      <c r="B75" s="329"/>
      <c r="C75" s="329"/>
      <c r="D75" s="329"/>
      <c r="E75" s="329"/>
      <c r="F75" s="329"/>
      <c r="G75" s="329"/>
      <c r="H75" s="329"/>
      <c r="I75" s="236"/>
      <c r="J75" s="236"/>
      <c r="K75" s="236"/>
      <c r="L75" s="236"/>
    </row>
    <row r="76" spans="2:12">
      <c r="B76" s="329" t="s">
        <v>113</v>
      </c>
      <c r="C76" s="329"/>
      <c r="D76" s="329"/>
      <c r="E76" s="329"/>
      <c r="F76" s="329"/>
      <c r="G76" s="329"/>
      <c r="H76" s="329"/>
      <c r="I76" s="236"/>
      <c r="J76" s="236"/>
      <c r="K76" s="236"/>
      <c r="L76" s="236"/>
    </row>
    <row r="77" spans="2:12">
      <c r="B77" s="329" t="s">
        <v>78</v>
      </c>
      <c r="C77" s="329"/>
      <c r="D77" s="329"/>
      <c r="E77" s="329"/>
      <c r="F77" s="329"/>
      <c r="G77" s="329"/>
      <c r="H77" s="329"/>
      <c r="I77" s="236"/>
      <c r="J77" s="236"/>
      <c r="K77" s="236"/>
      <c r="L77" s="236"/>
    </row>
    <row r="78" spans="2:12" ht="81.75" customHeight="1">
      <c r="B78" s="329" t="s">
        <v>79</v>
      </c>
      <c r="C78" s="329"/>
      <c r="D78" s="329"/>
      <c r="E78" s="329"/>
      <c r="F78" s="329"/>
      <c r="G78" s="329"/>
      <c r="H78" s="329"/>
      <c r="I78" s="236"/>
      <c r="J78" s="236"/>
      <c r="K78" s="236"/>
      <c r="L78" s="236"/>
    </row>
    <row r="79" spans="2:12" ht="42" customHeight="1">
      <c r="B79" s="329" t="s">
        <v>80</v>
      </c>
      <c r="C79" s="329"/>
      <c r="D79" s="329"/>
      <c r="E79" s="329"/>
      <c r="F79" s="329"/>
      <c r="G79" s="329"/>
      <c r="H79" s="329"/>
      <c r="I79" s="236"/>
      <c r="J79" s="236"/>
      <c r="K79" s="236"/>
      <c r="L79" s="236"/>
    </row>
    <row r="80" spans="2:12" ht="65.25" customHeight="1">
      <c r="B80" s="329" t="s">
        <v>81</v>
      </c>
      <c r="C80" s="329"/>
      <c r="D80" s="329"/>
      <c r="E80" s="329"/>
      <c r="F80" s="329"/>
      <c r="G80" s="329"/>
      <c r="H80" s="329"/>
      <c r="I80" s="236"/>
      <c r="J80" s="236"/>
      <c r="K80" s="236"/>
      <c r="L80" s="236"/>
    </row>
    <row r="81" spans="2:12">
      <c r="B81" s="329"/>
      <c r="C81" s="329"/>
      <c r="D81" s="329"/>
      <c r="E81" s="329"/>
      <c r="F81" s="329"/>
      <c r="G81" s="329"/>
      <c r="H81" s="329"/>
      <c r="I81" s="236"/>
      <c r="J81" s="236"/>
      <c r="K81" s="236"/>
      <c r="L81" s="236"/>
    </row>
    <row r="82" spans="2:12" ht="98.25" customHeight="1">
      <c r="B82" s="329" t="s">
        <v>144</v>
      </c>
      <c r="C82" s="329"/>
      <c r="D82" s="329"/>
      <c r="E82" s="329"/>
      <c r="F82" s="329"/>
      <c r="G82" s="329"/>
      <c r="H82" s="329"/>
      <c r="I82" s="236"/>
      <c r="J82" s="236"/>
      <c r="K82" s="236"/>
      <c r="L82" s="236"/>
    </row>
    <row r="83" spans="2:12">
      <c r="B83" s="329" t="s">
        <v>78</v>
      </c>
      <c r="C83" s="329"/>
      <c r="D83" s="329"/>
      <c r="E83" s="329"/>
      <c r="F83" s="329"/>
      <c r="G83" s="329"/>
      <c r="H83" s="329"/>
      <c r="I83" s="236"/>
      <c r="J83" s="236"/>
      <c r="K83" s="236"/>
      <c r="L83" s="236"/>
    </row>
    <row r="84" spans="2:12" ht="21.75" customHeight="1">
      <c r="B84" s="329" t="s">
        <v>120</v>
      </c>
      <c r="C84" s="329"/>
      <c r="D84" s="329"/>
      <c r="E84" s="329"/>
      <c r="F84" s="329"/>
      <c r="G84" s="329"/>
      <c r="H84" s="329"/>
      <c r="I84" s="236"/>
      <c r="J84" s="236"/>
      <c r="K84" s="236"/>
      <c r="L84" s="236"/>
    </row>
    <row r="85" spans="2:12" ht="71.25" customHeight="1">
      <c r="B85" s="329" t="s">
        <v>119</v>
      </c>
      <c r="C85" s="329"/>
      <c r="D85" s="329"/>
      <c r="E85" s="329"/>
      <c r="F85" s="329"/>
      <c r="G85" s="329"/>
      <c r="H85" s="329"/>
      <c r="I85" s="236"/>
      <c r="J85" s="236"/>
      <c r="K85" s="236"/>
      <c r="L85" s="236"/>
    </row>
    <row r="86" spans="2:12">
      <c r="B86" s="329" t="s">
        <v>80</v>
      </c>
      <c r="C86" s="329"/>
      <c r="D86" s="329"/>
      <c r="E86" s="329"/>
      <c r="F86" s="329"/>
      <c r="G86" s="329"/>
      <c r="H86" s="329"/>
      <c r="I86" s="236"/>
      <c r="J86" s="236"/>
      <c r="K86" s="236"/>
      <c r="L86" s="236"/>
    </row>
    <row r="87" spans="2:12" ht="47.25" customHeight="1">
      <c r="B87" s="329" t="s">
        <v>145</v>
      </c>
      <c r="C87" s="329"/>
      <c r="D87" s="329"/>
      <c r="E87" s="329"/>
      <c r="F87" s="329"/>
      <c r="G87" s="329"/>
      <c r="H87" s="329"/>
      <c r="I87" s="236"/>
      <c r="J87" s="236"/>
      <c r="K87" s="236"/>
      <c r="L87" s="236"/>
    </row>
    <row r="88" spans="2:12">
      <c r="B88" s="329"/>
      <c r="C88" s="329"/>
      <c r="D88" s="329"/>
      <c r="E88" s="329"/>
      <c r="F88" s="329"/>
      <c r="G88" s="329"/>
      <c r="H88" s="329"/>
      <c r="I88" s="236"/>
      <c r="J88" s="236"/>
      <c r="K88" s="236"/>
      <c r="L88" s="236"/>
    </row>
    <row r="89" spans="2:12">
      <c r="B89" s="329" t="s">
        <v>114</v>
      </c>
      <c r="C89" s="329"/>
      <c r="D89" s="329"/>
      <c r="E89" s="329"/>
      <c r="F89" s="329"/>
      <c r="G89" s="329"/>
      <c r="H89" s="329"/>
      <c r="I89" s="236"/>
      <c r="J89" s="236"/>
      <c r="K89" s="236"/>
      <c r="L89" s="236"/>
    </row>
    <row r="90" spans="2:12" ht="77.25" customHeight="1">
      <c r="B90" s="329" t="s">
        <v>82</v>
      </c>
      <c r="C90" s="329"/>
      <c r="D90" s="329"/>
      <c r="E90" s="329"/>
      <c r="F90" s="329"/>
      <c r="G90" s="329"/>
      <c r="H90" s="329"/>
      <c r="I90" s="236"/>
      <c r="J90" s="236"/>
      <c r="K90" s="236"/>
      <c r="L90" s="236"/>
    </row>
    <row r="91" spans="2:12">
      <c r="B91" s="329"/>
      <c r="C91" s="329"/>
      <c r="D91" s="329"/>
      <c r="E91" s="329"/>
      <c r="F91" s="329"/>
      <c r="G91" s="329"/>
      <c r="H91" s="329"/>
      <c r="I91" s="236"/>
      <c r="J91" s="236"/>
      <c r="K91" s="236"/>
      <c r="L91" s="236"/>
    </row>
    <row r="92" spans="2:12">
      <c r="B92" s="329" t="s">
        <v>83</v>
      </c>
      <c r="C92" s="329"/>
      <c r="D92" s="329"/>
      <c r="E92" s="329"/>
      <c r="F92" s="329"/>
      <c r="G92" s="329"/>
      <c r="H92" s="329"/>
      <c r="I92" s="236"/>
      <c r="J92" s="236"/>
      <c r="K92" s="236"/>
      <c r="L92" s="236"/>
    </row>
    <row r="93" spans="2:12" ht="54.75" customHeight="1">
      <c r="B93" s="329" t="s">
        <v>84</v>
      </c>
      <c r="C93" s="329"/>
      <c r="D93" s="329"/>
      <c r="E93" s="329"/>
      <c r="F93" s="329"/>
      <c r="G93" s="329"/>
      <c r="H93" s="329"/>
      <c r="I93" s="236"/>
      <c r="J93" s="236"/>
      <c r="K93" s="236"/>
      <c r="L93" s="236"/>
    </row>
    <row r="94" spans="2:12" ht="39.75" customHeight="1">
      <c r="B94" s="329" t="s">
        <v>85</v>
      </c>
      <c r="C94" s="329"/>
      <c r="D94" s="329"/>
      <c r="E94" s="329"/>
      <c r="F94" s="329"/>
      <c r="G94" s="329"/>
      <c r="H94" s="329"/>
      <c r="I94" s="236"/>
      <c r="J94" s="236"/>
      <c r="K94" s="236"/>
      <c r="L94" s="236"/>
    </row>
    <row r="95" spans="2:12">
      <c r="B95" s="329" t="s">
        <v>86</v>
      </c>
      <c r="C95" s="329"/>
      <c r="D95" s="329"/>
      <c r="E95" s="329"/>
      <c r="F95" s="329"/>
      <c r="G95" s="329"/>
      <c r="H95" s="329"/>
      <c r="I95" s="236"/>
      <c r="J95" s="236"/>
      <c r="K95" s="236"/>
      <c r="L95" s="236"/>
    </row>
    <row r="96" spans="2:12" ht="39.75" customHeight="1">
      <c r="B96" s="329" t="s">
        <v>87</v>
      </c>
      <c r="C96" s="329"/>
      <c r="D96" s="329"/>
      <c r="E96" s="329"/>
      <c r="F96" s="329"/>
      <c r="G96" s="329"/>
      <c r="H96" s="329"/>
      <c r="I96" s="236"/>
      <c r="J96" s="236"/>
      <c r="K96" s="236"/>
      <c r="L96" s="236"/>
    </row>
    <row r="97" spans="2:12">
      <c r="B97" s="329"/>
      <c r="C97" s="329"/>
      <c r="D97" s="329"/>
      <c r="E97" s="329"/>
      <c r="F97" s="329"/>
      <c r="G97" s="329"/>
      <c r="H97" s="329"/>
      <c r="I97" s="236"/>
      <c r="J97" s="236"/>
      <c r="K97" s="236"/>
      <c r="L97" s="236"/>
    </row>
    <row r="98" spans="2:12">
      <c r="B98" s="329" t="s">
        <v>88</v>
      </c>
      <c r="C98" s="329"/>
      <c r="D98" s="329"/>
      <c r="E98" s="329"/>
      <c r="F98" s="329"/>
      <c r="G98" s="329"/>
      <c r="H98" s="329"/>
      <c r="I98" s="236"/>
      <c r="J98" s="236"/>
      <c r="K98" s="236"/>
      <c r="L98" s="236"/>
    </row>
    <row r="99" spans="2:12" ht="33" customHeight="1">
      <c r="B99" s="329" t="s">
        <v>89</v>
      </c>
      <c r="C99" s="329"/>
      <c r="D99" s="329"/>
      <c r="E99" s="329"/>
      <c r="F99" s="329"/>
      <c r="G99" s="329"/>
      <c r="H99" s="329"/>
      <c r="I99" s="236"/>
      <c r="J99" s="236"/>
      <c r="K99" s="236"/>
      <c r="L99" s="236"/>
    </row>
    <row r="100" spans="2:12">
      <c r="B100" s="329"/>
      <c r="C100" s="329"/>
      <c r="D100" s="329"/>
      <c r="E100" s="329"/>
      <c r="F100" s="329"/>
      <c r="G100" s="329"/>
      <c r="H100" s="329"/>
      <c r="I100" s="236"/>
      <c r="J100" s="236"/>
      <c r="K100" s="236"/>
      <c r="L100" s="236"/>
    </row>
    <row r="101" spans="2:12">
      <c r="B101" s="329" t="s">
        <v>90</v>
      </c>
      <c r="C101" s="329"/>
      <c r="D101" s="329"/>
      <c r="E101" s="329"/>
      <c r="F101" s="329"/>
      <c r="G101" s="329"/>
      <c r="H101" s="329"/>
      <c r="I101" s="236"/>
      <c r="J101" s="236"/>
      <c r="K101" s="236"/>
      <c r="L101" s="236"/>
    </row>
    <row r="102" spans="2:12" ht="106.5" customHeight="1">
      <c r="B102" s="329" t="s">
        <v>91</v>
      </c>
      <c r="C102" s="329"/>
      <c r="D102" s="329"/>
      <c r="E102" s="329"/>
      <c r="F102" s="329"/>
      <c r="G102" s="329"/>
      <c r="H102" s="329"/>
      <c r="I102" s="236"/>
      <c r="J102" s="236"/>
      <c r="K102" s="236"/>
      <c r="L102" s="236"/>
    </row>
    <row r="103" spans="2:12" ht="122.25" customHeight="1">
      <c r="B103" s="329" t="s">
        <v>92</v>
      </c>
      <c r="C103" s="329"/>
      <c r="D103" s="329"/>
      <c r="E103" s="329"/>
      <c r="F103" s="329"/>
      <c r="G103" s="329"/>
      <c r="H103" s="329"/>
      <c r="I103" s="236"/>
      <c r="J103" s="236"/>
      <c r="K103" s="236"/>
      <c r="L103" s="236"/>
    </row>
    <row r="104" spans="2:12">
      <c r="B104" s="329" t="s">
        <v>93</v>
      </c>
      <c r="C104" s="329"/>
      <c r="D104" s="329"/>
      <c r="E104" s="329"/>
      <c r="F104" s="329"/>
      <c r="G104" s="329"/>
      <c r="H104" s="329"/>
      <c r="I104" s="236"/>
      <c r="J104" s="236"/>
      <c r="K104" s="236"/>
      <c r="L104" s="236"/>
    </row>
    <row r="105" spans="2:12">
      <c r="B105" s="329" t="s">
        <v>94</v>
      </c>
      <c r="C105" s="329"/>
      <c r="D105" s="329"/>
      <c r="E105" s="329"/>
      <c r="F105" s="329"/>
      <c r="G105" s="329"/>
      <c r="H105" s="329"/>
      <c r="I105" s="236"/>
      <c r="J105" s="236"/>
      <c r="K105" s="236"/>
      <c r="L105" s="236"/>
    </row>
    <row r="106" spans="2:12" ht="153.75" customHeight="1">
      <c r="B106" s="329" t="s">
        <v>118</v>
      </c>
      <c r="C106" s="329" t="s">
        <v>95</v>
      </c>
      <c r="D106" s="329" t="s">
        <v>96</v>
      </c>
      <c r="E106" s="329" t="s">
        <v>97</v>
      </c>
      <c r="F106" s="329" t="s">
        <v>98</v>
      </c>
      <c r="G106" s="329" t="s">
        <v>99</v>
      </c>
      <c r="H106" s="329" t="s">
        <v>100</v>
      </c>
      <c r="I106" s="235"/>
      <c r="J106" s="235"/>
      <c r="K106" s="235"/>
      <c r="L106" s="235"/>
    </row>
    <row r="107" spans="2:12">
      <c r="B107" s="329" t="s">
        <v>101</v>
      </c>
      <c r="C107" s="329"/>
      <c r="D107" s="329"/>
      <c r="E107" s="329"/>
      <c r="F107" s="329"/>
      <c r="G107" s="329"/>
      <c r="H107" s="329"/>
      <c r="I107" s="236"/>
      <c r="J107" s="236"/>
      <c r="K107" s="236"/>
      <c r="L107" s="236"/>
    </row>
    <row r="108" spans="2:12" ht="65.25" customHeight="1">
      <c r="B108" s="329" t="s">
        <v>102</v>
      </c>
      <c r="C108" s="329"/>
      <c r="D108" s="329"/>
      <c r="E108" s="329"/>
      <c r="F108" s="329"/>
      <c r="G108" s="329"/>
      <c r="H108" s="329"/>
      <c r="I108" s="236"/>
      <c r="J108" s="236"/>
      <c r="K108" s="236"/>
      <c r="L108" s="236"/>
    </row>
    <row r="109" spans="2:12" ht="176.25" customHeight="1">
      <c r="B109" s="329" t="s">
        <v>103</v>
      </c>
      <c r="C109" s="329"/>
      <c r="D109" s="329"/>
      <c r="E109" s="329"/>
      <c r="F109" s="329"/>
      <c r="G109" s="329"/>
      <c r="H109" s="329"/>
      <c r="I109" s="236"/>
      <c r="J109" s="236"/>
      <c r="K109" s="236"/>
      <c r="L109" s="236"/>
    </row>
    <row r="110" spans="2:12">
      <c r="B110" s="329"/>
      <c r="C110" s="329"/>
      <c r="D110" s="329"/>
      <c r="E110" s="329"/>
      <c r="F110" s="329"/>
      <c r="G110" s="329"/>
      <c r="H110" s="329"/>
      <c r="I110" s="236"/>
      <c r="J110" s="236"/>
      <c r="K110" s="236"/>
      <c r="L110" s="236"/>
    </row>
    <row r="111" spans="2:12">
      <c r="B111" s="329" t="s">
        <v>104</v>
      </c>
      <c r="C111" s="329"/>
      <c r="D111" s="329"/>
      <c r="E111" s="329"/>
      <c r="F111" s="329"/>
      <c r="G111" s="329"/>
      <c r="H111" s="329"/>
      <c r="I111" s="236"/>
      <c r="J111" s="236"/>
      <c r="K111" s="236"/>
      <c r="L111" s="236"/>
    </row>
    <row r="112" spans="2:12">
      <c r="B112" s="329" t="s">
        <v>105</v>
      </c>
      <c r="C112" s="329"/>
      <c r="D112" s="329"/>
      <c r="E112" s="329"/>
      <c r="F112" s="329"/>
      <c r="G112" s="329"/>
      <c r="H112" s="329"/>
      <c r="I112" s="236"/>
      <c r="J112" s="236"/>
      <c r="K112" s="236"/>
      <c r="L112" s="236"/>
    </row>
    <row r="113" spans="2:12">
      <c r="B113" s="329"/>
      <c r="C113" s="329"/>
      <c r="D113" s="329"/>
      <c r="E113" s="329"/>
      <c r="F113" s="329"/>
      <c r="G113" s="329"/>
      <c r="H113" s="329"/>
      <c r="I113" s="236"/>
      <c r="J113" s="236"/>
      <c r="K113" s="236"/>
      <c r="L113" s="236"/>
    </row>
    <row r="114" spans="2:12">
      <c r="B114" s="329" t="s">
        <v>106</v>
      </c>
      <c r="C114" s="329"/>
      <c r="D114" s="329"/>
      <c r="E114" s="329"/>
      <c r="F114" s="329"/>
      <c r="G114" s="329"/>
      <c r="H114" s="329"/>
      <c r="I114" s="236"/>
      <c r="J114" s="236"/>
      <c r="K114" s="236"/>
      <c r="L114" s="236"/>
    </row>
    <row r="115" spans="2:12">
      <c r="B115" s="329"/>
      <c r="C115" s="329"/>
      <c r="D115" s="329"/>
      <c r="E115" s="329"/>
      <c r="F115" s="329"/>
      <c r="G115" s="329"/>
      <c r="H115" s="329"/>
      <c r="I115" s="236"/>
      <c r="J115" s="236"/>
      <c r="K115" s="236"/>
      <c r="L115" s="236"/>
    </row>
    <row r="116" spans="2:12" ht="39.75" customHeight="1">
      <c r="B116" s="329" t="s">
        <v>107</v>
      </c>
      <c r="C116" s="329"/>
      <c r="D116" s="329"/>
      <c r="E116" s="329"/>
      <c r="F116" s="329"/>
      <c r="G116" s="329"/>
      <c r="H116" s="329"/>
      <c r="I116" s="236"/>
      <c r="J116" s="236"/>
      <c r="K116" s="236"/>
      <c r="L116" s="236"/>
    </row>
    <row r="117" spans="2:12" ht="43.5" customHeight="1">
      <c r="B117" s="329" t="s">
        <v>108</v>
      </c>
      <c r="C117" s="329"/>
      <c r="D117" s="329"/>
      <c r="E117" s="329"/>
      <c r="F117" s="329"/>
      <c r="G117" s="329"/>
      <c r="H117" s="329"/>
      <c r="I117" s="236"/>
      <c r="J117" s="236"/>
      <c r="K117" s="236"/>
      <c r="L117" s="236"/>
    </row>
    <row r="118" spans="2:12" ht="46.5" customHeight="1">
      <c r="B118" s="329" t="s">
        <v>109</v>
      </c>
      <c r="C118" s="329"/>
      <c r="D118" s="329"/>
      <c r="E118" s="329"/>
      <c r="F118" s="329"/>
      <c r="G118" s="329"/>
      <c r="H118" s="329"/>
      <c r="I118" s="236"/>
      <c r="J118" s="236"/>
      <c r="K118" s="236"/>
      <c r="L118" s="236"/>
    </row>
    <row r="119" spans="2:12" ht="52.5" customHeight="1">
      <c r="B119" s="329" t="s">
        <v>110</v>
      </c>
      <c r="C119" s="329"/>
      <c r="D119" s="329"/>
      <c r="E119" s="329"/>
      <c r="F119" s="329"/>
      <c r="G119" s="329"/>
      <c r="H119" s="329"/>
      <c r="I119" s="236"/>
      <c r="J119" s="236"/>
      <c r="K119" s="236"/>
      <c r="L119" s="236"/>
    </row>
    <row r="120" spans="2:12">
      <c r="B120" s="329"/>
      <c r="C120" s="329"/>
      <c r="D120" s="329"/>
      <c r="E120" s="329"/>
      <c r="F120" s="329"/>
      <c r="G120" s="329"/>
      <c r="H120" s="329"/>
      <c r="I120" s="236"/>
      <c r="J120" s="236"/>
      <c r="K120" s="236"/>
      <c r="L120" s="236"/>
    </row>
    <row r="121" spans="2:12">
      <c r="B121" s="329" t="s">
        <v>111</v>
      </c>
      <c r="C121" s="329"/>
      <c r="D121" s="329"/>
      <c r="E121" s="329"/>
      <c r="F121" s="329"/>
      <c r="G121" s="329"/>
      <c r="H121" s="329"/>
      <c r="I121" s="236"/>
      <c r="J121" s="236"/>
      <c r="K121" s="236"/>
      <c r="L121" s="236"/>
    </row>
    <row r="122" spans="2:12" ht="72.75" customHeight="1">
      <c r="B122" s="329" t="s">
        <v>112</v>
      </c>
      <c r="C122" s="329"/>
      <c r="D122" s="329"/>
      <c r="E122" s="329"/>
      <c r="F122" s="329"/>
      <c r="G122" s="329"/>
      <c r="H122" s="329"/>
      <c r="I122" s="236"/>
      <c r="J122" s="236"/>
      <c r="K122" s="236"/>
      <c r="L122" s="236"/>
    </row>
    <row r="123" spans="2:12">
      <c r="B123" s="329"/>
      <c r="C123" s="329"/>
      <c r="D123" s="329"/>
      <c r="E123" s="329"/>
      <c r="F123" s="329"/>
      <c r="G123" s="329"/>
      <c r="H123" s="329"/>
    </row>
    <row r="124" spans="2:12">
      <c r="B124" s="329"/>
      <c r="C124" s="329"/>
      <c r="D124" s="329"/>
      <c r="E124" s="329"/>
      <c r="F124" s="329"/>
      <c r="G124" s="329"/>
      <c r="H124" s="329"/>
    </row>
  </sheetData>
  <sortState ref="D3:D20">
    <sortCondition ref="D2"/>
  </sortState>
  <mergeCells count="121">
    <mergeCell ref="B108:H108"/>
    <mergeCell ref="B109:H109"/>
    <mergeCell ref="B110:H110"/>
    <mergeCell ref="B111:H111"/>
    <mergeCell ref="B112:H112"/>
    <mergeCell ref="B113:H113"/>
    <mergeCell ref="B102:H102"/>
    <mergeCell ref="B103:H103"/>
    <mergeCell ref="B104:H104"/>
    <mergeCell ref="B105:H105"/>
    <mergeCell ref="B106:H106"/>
    <mergeCell ref="B107:H107"/>
    <mergeCell ref="B120:H120"/>
    <mergeCell ref="B121:H121"/>
    <mergeCell ref="B122:H122"/>
    <mergeCell ref="B123:H123"/>
    <mergeCell ref="B124:H124"/>
    <mergeCell ref="B114:H114"/>
    <mergeCell ref="B115:H115"/>
    <mergeCell ref="B116:H116"/>
    <mergeCell ref="B117:H117"/>
    <mergeCell ref="B118:H118"/>
    <mergeCell ref="B119:H119"/>
    <mergeCell ref="B96:H96"/>
    <mergeCell ref="B97:H97"/>
    <mergeCell ref="B98:H98"/>
    <mergeCell ref="B99:H99"/>
    <mergeCell ref="B100:H100"/>
    <mergeCell ref="B101:H101"/>
    <mergeCell ref="B90:H90"/>
    <mergeCell ref="B91:H91"/>
    <mergeCell ref="B92:H92"/>
    <mergeCell ref="B93:H93"/>
    <mergeCell ref="B94:H94"/>
    <mergeCell ref="B95:H95"/>
    <mergeCell ref="B85:H85"/>
    <mergeCell ref="B86:H86"/>
    <mergeCell ref="B87:H87"/>
    <mergeCell ref="B88:H88"/>
    <mergeCell ref="B89:H89"/>
    <mergeCell ref="B78:H78"/>
    <mergeCell ref="B79:H79"/>
    <mergeCell ref="B80:H80"/>
    <mergeCell ref="B81:H81"/>
    <mergeCell ref="B82:H82"/>
    <mergeCell ref="B83:H83"/>
    <mergeCell ref="B76:H76"/>
    <mergeCell ref="B77:H77"/>
    <mergeCell ref="B66:H66"/>
    <mergeCell ref="B67:H67"/>
    <mergeCell ref="B68:H68"/>
    <mergeCell ref="B69:H69"/>
    <mergeCell ref="B70:H70"/>
    <mergeCell ref="B71:H71"/>
    <mergeCell ref="B84:H84"/>
    <mergeCell ref="B61:H61"/>
    <mergeCell ref="B62:H62"/>
    <mergeCell ref="B63:H63"/>
    <mergeCell ref="B64:H64"/>
    <mergeCell ref="B65:H65"/>
    <mergeCell ref="B72:H72"/>
    <mergeCell ref="B73:H73"/>
    <mergeCell ref="B74:H74"/>
    <mergeCell ref="B75:H75"/>
    <mergeCell ref="B58:H58"/>
    <mergeCell ref="B59:H59"/>
    <mergeCell ref="B60:H60"/>
    <mergeCell ref="B52:H52"/>
    <mergeCell ref="B53:H53"/>
    <mergeCell ref="B54:H54"/>
    <mergeCell ref="B55:H55"/>
    <mergeCell ref="B56:H56"/>
    <mergeCell ref="B57:H57"/>
    <mergeCell ref="B46:H46"/>
    <mergeCell ref="B47:H47"/>
    <mergeCell ref="B48:H48"/>
    <mergeCell ref="B49:H49"/>
    <mergeCell ref="B50:H50"/>
    <mergeCell ref="B51:H51"/>
    <mergeCell ref="B40:H40"/>
    <mergeCell ref="B41:H41"/>
    <mergeCell ref="B42:H42"/>
    <mergeCell ref="B43:H43"/>
    <mergeCell ref="B44:H44"/>
    <mergeCell ref="B45:H45"/>
    <mergeCell ref="B34:H34"/>
    <mergeCell ref="B35:H35"/>
    <mergeCell ref="B36:H36"/>
    <mergeCell ref="B37:H37"/>
    <mergeCell ref="B38:H38"/>
    <mergeCell ref="B39:H39"/>
    <mergeCell ref="B28:H28"/>
    <mergeCell ref="B29:H29"/>
    <mergeCell ref="B30:H30"/>
    <mergeCell ref="B31:H31"/>
    <mergeCell ref="B32:H32"/>
    <mergeCell ref="B33:H33"/>
    <mergeCell ref="B1:H1"/>
    <mergeCell ref="B23:H23"/>
    <mergeCell ref="B24:H24"/>
    <mergeCell ref="B25:H25"/>
    <mergeCell ref="B26:H26"/>
    <mergeCell ref="B27:H27"/>
    <mergeCell ref="E3:G3"/>
    <mergeCell ref="E4:G4"/>
    <mergeCell ref="E5:G5"/>
    <mergeCell ref="E6:G6"/>
    <mergeCell ref="E7:G7"/>
    <mergeCell ref="E8:G8"/>
    <mergeCell ref="E9:G9"/>
    <mergeCell ref="E10:G10"/>
    <mergeCell ref="E11:G11"/>
    <mergeCell ref="E12:G12"/>
    <mergeCell ref="E13:G13"/>
    <mergeCell ref="E14:G14"/>
    <mergeCell ref="E15:G15"/>
    <mergeCell ref="E16:G16"/>
    <mergeCell ref="E17:G17"/>
    <mergeCell ref="E18:G18"/>
    <mergeCell ref="B3:C3"/>
    <mergeCell ref="B21:H21"/>
  </mergeCells>
  <hyperlinks>
    <hyperlink ref="E3:G3" location="Leitfaden!B60" display="Arbeitsbeginn und Arbeitsende"/>
    <hyperlink ref="E12:G12" location="Leitfaden!B49" display="Monatsnachweis vom -bis"/>
    <hyperlink ref="E16:G16" location="Leitfaden!B44" display="Vertragslaufzeit"/>
    <hyperlink ref="E17:G17" location="Leitfaden!B46" display="Wöchentliche Arbeitszeit"/>
    <hyperlink ref="E15:G15" location="Leitfaden!B76" display="Urlaub"/>
    <hyperlink ref="E14:G14" location="Leitfaden!B56" display="Stunden"/>
    <hyperlink ref="E11:G11" location="Leitfaden!B98" display="Minusstunden"/>
    <hyperlink ref="E13:G13" location="Leitfaden!B95" display="Plusstunden"/>
    <hyperlink ref="E5:G5" location="Leitfaden!B107" display="Arbeitszeitausgleich"/>
    <hyperlink ref="E6:G6" location="Leitfaden!B105" display="Aufbewahrung"/>
    <hyperlink ref="E7:G7" location="Leitfaden!B71" display="Bemerkungen"/>
    <hyperlink ref="E8:G8" location="Leitfaden!B82" display="Feiertage "/>
    <hyperlink ref="E9:G9" location="Leitfaden!B92" display="Freizeitausgleich"/>
    <hyperlink ref="E10:G10" location="Leitfaden!B99" display="Krankheit"/>
    <hyperlink ref="E4:G4" location="Leitfaden!B54" display="Arbeitstage"/>
    <hyperlink ref="E18:G18" location="Leitfaden!B61" display="Zeitabzug/Pause/Unterbrechung"/>
  </hyperlinks>
  <pageMargins left="0.11458333333333333"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pageSetUpPr fitToPage="1"/>
  </sheetPr>
  <dimension ref="A1:Y95"/>
  <sheetViews>
    <sheetView showGridLines="0" showRowColHeaders="0" view="pageLayout" zoomScaleNormal="100" workbookViewId="0">
      <selection activeCell="C11" sqref="C11:D11"/>
    </sheetView>
  </sheetViews>
  <sheetFormatPr baseColWidth="10" defaultColWidth="12.42578125" defaultRowHeight="15"/>
  <cols>
    <col min="1" max="1" width="13.140625" customWidth="1"/>
    <col min="2" max="2" width="8.42578125" customWidth="1"/>
    <col min="3" max="3" width="4.85546875" customWidth="1"/>
    <col min="4" max="4" width="6" customWidth="1"/>
    <col min="5" max="5" width="11" customWidth="1"/>
    <col min="6" max="6" width="11.85546875" customWidth="1"/>
    <col min="7" max="7" width="8" customWidth="1"/>
    <col min="8" max="8" width="8.140625" customWidth="1"/>
    <col min="9" max="9" width="8.140625" hidden="1" customWidth="1"/>
    <col min="10" max="10" width="8.140625" customWidth="1"/>
    <col min="11" max="11" width="11" customWidth="1"/>
    <col min="12" max="12" width="8" customWidth="1"/>
    <col min="13" max="13" width="4" style="37" hidden="1" customWidth="1"/>
    <col min="14" max="14" width="11" style="33" hidden="1" customWidth="1"/>
    <col min="15" max="15" width="15.7109375" hidden="1" customWidth="1"/>
    <col min="16" max="16" width="10" hidden="1" customWidth="1"/>
    <col min="17" max="17" width="8.140625" hidden="1" customWidth="1"/>
    <col min="18" max="18" width="7.7109375" hidden="1" customWidth="1"/>
    <col min="19" max="20" width="12.42578125" hidden="1" customWidth="1"/>
    <col min="21" max="21" width="2.5703125" hidden="1" customWidth="1"/>
    <col min="22" max="22" width="2" hidden="1" customWidth="1"/>
    <col min="23" max="16353" width="12.42578125" customWidth="1"/>
    <col min="16354" max="16354" width="3.7109375" customWidth="1"/>
    <col min="16355" max="16384" width="4.42578125" customWidth="1"/>
  </cols>
  <sheetData>
    <row r="1" spans="1:25" s="2" customFormat="1" ht="19.5" customHeight="1">
      <c r="A1" s="254" t="s">
        <v>0</v>
      </c>
      <c r="B1" s="254"/>
      <c r="C1" s="255" t="str">
        <f>IF('Blatt 1'!C1:F1="","",'Blatt 1'!C1:F1)</f>
        <v/>
      </c>
      <c r="D1" s="255"/>
      <c r="E1" s="255"/>
      <c r="F1" s="255"/>
      <c r="G1" s="1"/>
      <c r="H1" s="260" t="s">
        <v>1</v>
      </c>
      <c r="I1" s="260"/>
      <c r="J1" s="260"/>
      <c r="K1" s="259" t="s">
        <v>2</v>
      </c>
      <c r="L1" s="259"/>
      <c r="M1" s="253" t="s">
        <v>3</v>
      </c>
      <c r="N1" s="253"/>
    </row>
    <row r="2" spans="1:25" ht="7.5" customHeight="1">
      <c r="A2" s="80"/>
      <c r="B2" s="80"/>
      <c r="C2" s="61"/>
      <c r="D2" s="61"/>
      <c r="E2" s="61"/>
      <c r="F2" s="61"/>
      <c r="G2" s="3"/>
      <c r="H2" s="3"/>
      <c r="I2" s="90" t="b">
        <v>0</v>
      </c>
      <c r="J2" s="91"/>
      <c r="K2" s="91"/>
      <c r="L2" s="92"/>
      <c r="M2" s="4"/>
      <c r="N2" s="44"/>
    </row>
    <row r="3" spans="1:25" s="2" customFormat="1" ht="15.75">
      <c r="A3" s="254" t="s">
        <v>4</v>
      </c>
      <c r="B3" s="254"/>
      <c r="C3" s="255" t="str">
        <f>IF('Blatt 1'!C3:F3="","",'Blatt 1'!C3:F3)</f>
        <v/>
      </c>
      <c r="D3" s="255"/>
      <c r="E3" s="255"/>
      <c r="F3" s="255"/>
      <c r="H3" s="47"/>
      <c r="I3" s="55"/>
      <c r="J3" s="8"/>
      <c r="K3" s="300"/>
      <c r="L3" s="300"/>
      <c r="M3" s="9">
        <f>($K$3+$K$5+$K$7+$K$9+$K$11)/24</f>
        <v>0</v>
      </c>
      <c r="N3" s="10"/>
    </row>
    <row r="4" spans="1:25" ht="7.5" customHeight="1">
      <c r="A4" s="80"/>
      <c r="B4" s="80"/>
      <c r="C4" s="62"/>
      <c r="D4" s="62"/>
      <c r="E4" s="62"/>
      <c r="F4" s="62"/>
      <c r="H4" s="3"/>
      <c r="I4" s="6" t="b">
        <v>0</v>
      </c>
      <c r="J4" s="3"/>
      <c r="K4" s="73"/>
      <c r="L4" s="74"/>
      <c r="M4" s="68"/>
      <c r="N4" s="44"/>
    </row>
    <row r="5" spans="1:25" s="2" customFormat="1" ht="15.75">
      <c r="A5" s="254" t="s">
        <v>5</v>
      </c>
      <c r="B5" s="254"/>
      <c r="C5" s="256" t="str">
        <f>IF('Blatt 1'!C5:F5="","",'Blatt 1'!C5:F5)</f>
        <v/>
      </c>
      <c r="D5" s="255"/>
      <c r="E5" s="255"/>
      <c r="F5" s="255"/>
      <c r="H5" s="47"/>
      <c r="I5" s="55"/>
      <c r="J5" s="8"/>
      <c r="K5" s="300"/>
      <c r="L5" s="300"/>
      <c r="M5" s="68"/>
      <c r="N5" s="44"/>
    </row>
    <row r="6" spans="1:25" ht="7.5" customHeight="1">
      <c r="A6" s="80"/>
      <c r="B6" s="80"/>
      <c r="C6" s="62"/>
      <c r="D6" s="62"/>
      <c r="E6" s="62"/>
      <c r="F6" s="62"/>
      <c r="H6" s="3"/>
      <c r="I6" s="6" t="b">
        <v>0</v>
      </c>
      <c r="J6" s="3"/>
      <c r="K6" s="73"/>
      <c r="L6" s="74"/>
      <c r="M6" s="68"/>
      <c r="N6" s="44"/>
    </row>
    <row r="7" spans="1:25" s="2" customFormat="1" ht="15.75">
      <c r="A7" s="254" t="s">
        <v>6</v>
      </c>
      <c r="B7" s="254"/>
      <c r="C7" s="258" t="str">
        <f>IF('Blatt 1'!C7:F7="","",'Blatt 1'!C7:F7)</f>
        <v/>
      </c>
      <c r="D7" s="258"/>
      <c r="E7" s="258"/>
      <c r="F7" s="258"/>
      <c r="H7" s="11"/>
      <c r="I7" s="55"/>
      <c r="J7" s="11"/>
      <c r="K7" s="300"/>
      <c r="L7" s="300"/>
      <c r="M7" s="68"/>
      <c r="N7" s="44"/>
    </row>
    <row r="8" spans="1:25" ht="7.5" customHeight="1">
      <c r="A8" s="80"/>
      <c r="B8" s="80"/>
      <c r="C8" s="62"/>
      <c r="D8" s="62"/>
      <c r="E8" s="62"/>
      <c r="F8" s="62"/>
      <c r="H8" s="3"/>
      <c r="I8" s="6" t="b">
        <v>0</v>
      </c>
      <c r="J8" s="3"/>
      <c r="K8" s="73"/>
      <c r="L8" s="74"/>
      <c r="M8" s="68"/>
      <c r="N8" s="44"/>
    </row>
    <row r="9" spans="1:25" ht="15.75">
      <c r="A9" s="254" t="s">
        <v>146</v>
      </c>
      <c r="B9" s="254"/>
      <c r="C9" s="265"/>
      <c r="D9" s="265"/>
      <c r="E9" s="82" t="s">
        <v>7</v>
      </c>
      <c r="F9" s="63"/>
      <c r="H9" s="3"/>
      <c r="I9" s="55"/>
      <c r="J9" s="3"/>
      <c r="K9" s="300"/>
      <c r="L9" s="300"/>
      <c r="M9" s="68"/>
      <c r="N9" s="44"/>
      <c r="X9" s="146"/>
      <c r="Y9" s="146"/>
    </row>
    <row r="10" spans="1:25" ht="7.5" customHeight="1">
      <c r="A10" s="80"/>
      <c r="B10" s="80"/>
      <c r="C10" s="62"/>
      <c r="D10" s="62"/>
      <c r="E10" s="80"/>
      <c r="F10" s="62"/>
      <c r="H10" s="3"/>
      <c r="I10" s="12" t="b">
        <v>0</v>
      </c>
      <c r="J10" s="3"/>
      <c r="K10" s="73"/>
      <c r="L10" s="74"/>
      <c r="M10" s="68"/>
      <c r="N10" s="44"/>
    </row>
    <row r="11" spans="1:25" ht="15.75">
      <c r="A11" s="254" t="s">
        <v>8</v>
      </c>
      <c r="B11" s="254"/>
      <c r="C11" s="267"/>
      <c r="D11" s="267"/>
      <c r="E11" s="83" t="s">
        <v>9</v>
      </c>
      <c r="F11" s="64"/>
      <c r="H11" s="3"/>
      <c r="I11" s="12"/>
      <c r="J11" s="3"/>
      <c r="K11" s="300"/>
      <c r="L11" s="300"/>
      <c r="M11" s="68"/>
      <c r="N11" s="44"/>
    </row>
    <row r="12" spans="1:25" ht="6" customHeight="1">
      <c r="A12" s="78"/>
      <c r="B12" s="78"/>
      <c r="C12" s="65"/>
      <c r="D12" s="65"/>
      <c r="E12" s="84"/>
      <c r="F12" s="51"/>
      <c r="H12" s="50"/>
      <c r="I12" s="55"/>
      <c r="J12" s="3"/>
      <c r="K12" s="50"/>
      <c r="L12" s="50"/>
      <c r="M12" s="4"/>
      <c r="N12" s="44"/>
    </row>
    <row r="13" spans="1:25" ht="4.5" customHeight="1">
      <c r="A13" s="254"/>
      <c r="B13" s="254"/>
      <c r="C13" s="65"/>
      <c r="D13" s="65"/>
      <c r="E13" s="80"/>
      <c r="F13" s="62"/>
      <c r="H13" s="3"/>
      <c r="I13" s="55"/>
      <c r="J13" s="3"/>
      <c r="M13" s="4"/>
      <c r="N13" s="44"/>
    </row>
    <row r="14" spans="1:25" ht="15" customHeight="1">
      <c r="A14" s="305" t="s">
        <v>141</v>
      </c>
      <c r="B14" s="305"/>
      <c r="C14" s="306"/>
      <c r="D14" s="306"/>
      <c r="E14" s="196" t="s">
        <v>7</v>
      </c>
      <c r="F14" s="107"/>
      <c r="G14" s="52" t="b">
        <v>0</v>
      </c>
      <c r="H14" s="307" t="str">
        <f>IF($C$14="","",IF(AND($O$16&lt;&gt;$C$14,$O$16&lt;$F$9),"Achtung! Stundennachweis unterbrochen",""))</f>
        <v/>
      </c>
      <c r="I14" s="307"/>
      <c r="J14" s="307"/>
      <c r="K14" s="307"/>
      <c r="L14" s="307"/>
      <c r="M14" s="304" t="s">
        <v>21</v>
      </c>
      <c r="N14" s="304"/>
      <c r="O14" s="147"/>
    </row>
    <row r="15" spans="1:25" hidden="1">
      <c r="A15" s="43"/>
      <c r="B15" s="45"/>
      <c r="C15" s="262"/>
      <c r="D15" s="262"/>
      <c r="E15" s="14"/>
      <c r="F15" s="39"/>
      <c r="G15" s="52"/>
      <c r="H15" s="3"/>
      <c r="I15" s="3"/>
      <c r="J15" s="3"/>
      <c r="K15" s="263"/>
      <c r="L15" s="263"/>
      <c r="M15" s="148"/>
      <c r="N15" s="149"/>
      <c r="O15" s="147"/>
    </row>
    <row r="16" spans="1:25" ht="41.25" customHeight="1">
      <c r="A16" s="302" t="str">
        <f ca="1">IF(($C$14+30)&lt;$F$14,"Bitte nur einen Monat angeben! ",IF(COUNTIF(R20:R50,1)&gt;0,"Hinweis: Es erfolgt keine Berechnung der Zukunftswerte",""))</f>
        <v/>
      </c>
      <c r="B16" s="302"/>
      <c r="C16" s="302"/>
      <c r="D16" s="302"/>
      <c r="E16" s="302"/>
      <c r="F16" s="302"/>
      <c r="G16" s="303" t="str">
        <f>IF(AND(Q58&lt;365,Q58&gt;300),"Ihnen verbleiben noch "&amp;(364-Q58)&amp;" Tage um Ihr Arbeitszeitkonto auszugleichen",IF(Q58&gt;365,"Sie haben Ihr Arbeitszeitkonto überschritten, bitte erstellen Sie ein neues Konto",""))</f>
        <v/>
      </c>
      <c r="H16" s="303"/>
      <c r="I16" s="303"/>
      <c r="J16" s="303"/>
      <c r="K16" s="303"/>
      <c r="L16" s="303"/>
      <c r="M16" s="150">
        <f ca="1">IF(AND($H$14="Achtung! Stundennachweis unterbrochen",'Blatt 1'!J52&gt;0),0,'Blatt 1'!J52)</f>
        <v>0</v>
      </c>
      <c r="N16" s="151">
        <f ca="1">$M$16+$N$55</f>
        <v>0</v>
      </c>
      <c r="O16" s="152" t="str">
        <f>IF($F$9=$F$14,"",'Blatt 1'!$F$14+1)</f>
        <v/>
      </c>
      <c r="Q16" s="60"/>
    </row>
    <row r="17" spans="1:22" ht="18.75">
      <c r="A17" s="40"/>
      <c r="B17" s="264">
        <f ca="1">IF(ISBLANK($C$14),EOMONTH('Blatt 1'!$B$17,0)+1,DATE(YEAR($C$14),MONTH($C$14),1))</f>
        <v>42185</v>
      </c>
      <c r="C17" s="264"/>
      <c r="D17" s="264"/>
      <c r="E17" s="264"/>
      <c r="F17" s="264"/>
      <c r="G17" s="264"/>
      <c r="H17" s="264"/>
      <c r="I17" s="264"/>
      <c r="J17" s="264"/>
      <c r="K17" s="264"/>
      <c r="L17" s="41"/>
      <c r="M17" s="15"/>
      <c r="N17" s="44"/>
    </row>
    <row r="18" spans="1:22" ht="8.4499999999999993" customHeight="1" thickBot="1">
      <c r="A18" s="3"/>
      <c r="B18" s="3"/>
      <c r="C18" s="3"/>
      <c r="D18" s="3"/>
      <c r="E18" s="3"/>
      <c r="F18" s="3"/>
      <c r="G18" s="3"/>
      <c r="H18" s="3"/>
      <c r="I18" s="3"/>
      <c r="J18" s="3"/>
      <c r="K18" s="3"/>
      <c r="L18" s="3"/>
      <c r="M18" s="4"/>
      <c r="N18" s="44"/>
    </row>
    <row r="19" spans="1:22" s="17" customFormat="1" ht="42.75" customHeight="1" thickBot="1">
      <c r="A19" s="187" t="s">
        <v>10</v>
      </c>
      <c r="B19" s="277" t="s">
        <v>11</v>
      </c>
      <c r="C19" s="277"/>
      <c r="D19" s="278" t="s">
        <v>12</v>
      </c>
      <c r="E19" s="279"/>
      <c r="F19" s="86" t="s">
        <v>27</v>
      </c>
      <c r="G19" s="87" t="s">
        <v>13</v>
      </c>
      <c r="H19" s="86" t="s">
        <v>14</v>
      </c>
      <c r="I19" s="88"/>
      <c r="J19" s="89" t="s">
        <v>15</v>
      </c>
      <c r="K19" s="278" t="s">
        <v>16</v>
      </c>
      <c r="L19" s="280"/>
      <c r="M19" s="16" t="s">
        <v>17</v>
      </c>
      <c r="N19" s="16"/>
      <c r="O19" s="58" t="s">
        <v>24</v>
      </c>
      <c r="P19" s="126" t="s">
        <v>28</v>
      </c>
      <c r="Q19" s="126" t="s">
        <v>31</v>
      </c>
      <c r="R19" s="289" t="s">
        <v>49</v>
      </c>
      <c r="S19" s="289"/>
      <c r="T19" s="289"/>
    </row>
    <row r="20" spans="1:22" s="2" customFormat="1" ht="12.6" customHeight="1">
      <c r="A20" s="188">
        <f ca="1">($B$17+ROW(A1)-1)*(MONTH(B17+1)=MONTH($B$17))</f>
        <v>42185</v>
      </c>
      <c r="B20" s="271"/>
      <c r="C20" s="272"/>
      <c r="D20" s="273"/>
      <c r="E20" s="274"/>
      <c r="F20" s="109"/>
      <c r="G20" s="110" t="str">
        <f ca="1">IF(OR(A20&lt;$C$14,A20&gt;$F$14,,$G$16="Sie haben Ihr Arbeitszeitkonto überschritten, bitte erstellen Sie ein neues Konto",A20&gt;TODAY()),"0,00",IF(ISBLANK($C$14),"0,00",(D20-B20-F20)))</f>
        <v>0,00</v>
      </c>
      <c r="H20" s="111" t="str">
        <f t="shared" ref="H20:H49" ca="1" si="0">IF(WEEKDAY(A20,2)=7,SUMIF($M$19:$M$50,M20,$G$19:$G$50),"")</f>
        <v/>
      </c>
      <c r="I20" s="112">
        <f ca="1">IF(A20&lt;TODAY(),ROUND(SUM(G20-N20),7),0)</f>
        <v>0</v>
      </c>
      <c r="J20" s="113" t="str">
        <f ca="1">IF($G$16="Sie haben Ihr Arbeitszeitkonto überschritten, bitte erstellen Sie ein neues Konto","",IF(AND(A20&lt;TODAY(),WEEKDAY(A20,2)=7),I20+$N$16,""))</f>
        <v/>
      </c>
      <c r="K20" s="275" t="str">
        <f t="shared" ref="K20:K26" ca="1" si="1">IF(T20&lt;&gt;"",T20,IF(P20="1","Angaben überprüfen",IF(OR(A20&lt;$C$14,A20&gt;$F$14,G20="0,00"),"--------",IF(AND(G20&gt;(6/24),G20&lt;(9/24),F20&lt;0.5/24),"30 min. Pause erforderlich",IF(AND(G20&gt;=(9/24),F20&lt;0.75/24),"45 min. Pause erforderlich ","")))))</f>
        <v>--------</v>
      </c>
      <c r="L20" s="276"/>
      <c r="M20" s="93">
        <f ca="1">WEEKNUM(A20,2)</f>
        <v>27</v>
      </c>
      <c r="N20" s="94">
        <f ca="1">IF(AND(A20&gt;=$C$14,A20&lt;=$F$14),IF(AND(WEEKDAY(A20,2)=1,$K$3&gt;0),$K$3,IF(AND(WEEKDAY(A20,2)=2,$K$5&gt;0),$K$5,IF(AND(WEEKDAY(A20,2)=3,$K$7&gt;0),$K$7,IF(AND(WEEKDAY(A20,2)=4,$K$9&gt;0),$K$9,IF(AND(WEEKDAY(A20,2)=5,$K$11&gt;0),$K$11,IF(WEEKDAY(A20,2)&gt;5,0,0))))))/24,0)</f>
        <v>0</v>
      </c>
      <c r="O20" s="95">
        <f ca="1">IF(I20&lt;&gt;0,I20,0)</f>
        <v>0</v>
      </c>
      <c r="P20" s="120" t="str">
        <f ca="1">IF(AND(Q20="1",B20&gt;0),"1","")</f>
        <v/>
      </c>
      <c r="Q20" s="120" t="str">
        <f t="shared" ref="Q20:Q50" ca="1" si="2">IF(OR(A20&lt;$C$14,A20&gt;$F$14,A20&lt;$C$9,A20&gt;$F$9),"1","")</f>
        <v>1</v>
      </c>
      <c r="R20" s="184" t="str">
        <f t="shared" ref="R20:R50" ca="1" si="3">IF(AND(A20&gt;TODAY(),B20&gt;0),"1","")</f>
        <v/>
      </c>
      <c r="S20" s="185" t="e">
        <f t="shared" ref="S20:S50" ca="1" si="4">VLOOKUP(A20,$Q$77:$S$92,2,FALSE)</f>
        <v>#N/A</v>
      </c>
      <c r="T20" s="186" t="str">
        <f t="shared" ref="T20:T49" ca="1" si="5">IF(ISNA(S20),"",S20)</f>
        <v/>
      </c>
      <c r="U20" s="193" t="str">
        <f t="shared" ref="U20:U50" ca="1" si="6">IF(AND(WEEKDAY(A20,2)=1,$I$2=TRUE),"X",IF(AND(WEEKDAY(A20,2)=4,$I$8=TRUE),"X",IF(AND(WEEKDAY(A20,2)=5,$I$10=TRUE),"X",IF(AND(WEEKDAY(A20,2)=2,$I$4=TRUE),"X",IF(AND(WEEKDAY(A20,2)=3,$I$6=TRUE),"X","")
))))</f>
        <v/>
      </c>
      <c r="V20" s="197" t="str">
        <f ca="1">IF(AND(U20&lt;&gt;"",T20&lt;&gt;""),"!","")</f>
        <v/>
      </c>
    </row>
    <row r="21" spans="1:22" s="2" customFormat="1" ht="12.6" customHeight="1">
      <c r="A21" s="189">
        <f t="shared" ref="A21:A29" ca="1" si="7">($B$17+ROW(A2)-1)*(MONTH(A20+1)=MONTH($B$17))</f>
        <v>42186</v>
      </c>
      <c r="B21" s="271"/>
      <c r="C21" s="272"/>
      <c r="D21" s="273"/>
      <c r="E21" s="274"/>
      <c r="F21" s="114"/>
      <c r="G21" s="110" t="str">
        <f t="shared" ref="G21:G50" ca="1" si="8">IF(OR(A21&lt;$C$14,A21&gt;$F$14,,$G$16="Sie haben Ihr Arbeitszeitkonto überschritten, bitte erstellen Sie ein neues Konto",A21&gt;TODAY()),"0,00",IF(ISBLANK($C$14),"0,00",(D21-B21-F21)))</f>
        <v>0,00</v>
      </c>
      <c r="H21" s="111" t="str">
        <f t="shared" ca="1" si="0"/>
        <v/>
      </c>
      <c r="I21" s="112">
        <f ca="1">IF(A21&lt;TODAY(),ROUND(SUM(G21+I20-N21),7),0)</f>
        <v>0</v>
      </c>
      <c r="J21" s="113" t="str">
        <f ca="1">IF($G$16="Sie haben Ihr Arbeitszeitkonto überschritten, bitte erstellen Sie ein neues Konto","",IF(AND(A21&lt;TODAY(),WEEKDAY(A21,2)=7),I21+$N$16,""))</f>
        <v/>
      </c>
      <c r="K21" s="275" t="str">
        <f t="shared" ca="1" si="1"/>
        <v>--------</v>
      </c>
      <c r="L21" s="276"/>
      <c r="M21" s="93">
        <f t="shared" ref="M21:M49" ca="1" si="9">WEEKNUM(A21,2)</f>
        <v>27</v>
      </c>
      <c r="N21" s="94">
        <f t="shared" ref="N21:N50" ca="1" si="10">IF(AND(A21&gt;=$C$14,A21&lt;=$F$14),IF(AND(WEEKDAY(A21,2)=1,$K$3&gt;0),$K$3,IF(AND(WEEKDAY(A21,2)=2,$K$5&gt;0),$K$5,IF(AND(WEEKDAY(A21,2)=3,$K$7&gt;0),$K$7,IF(AND(WEEKDAY(A21,2)=4,$K$9&gt;0),$K$9,IF(AND(WEEKDAY(A21,2)=5,$K$11&gt;0),$K$11,IF(WEEKDAY(A21,2)&gt;5,0,0))))))/24,0)</f>
        <v>0</v>
      </c>
      <c r="O21" s="95">
        <f t="shared" ref="O21:O49" ca="1" si="11">IF(I21&lt;&gt;0,I21,0)</f>
        <v>0</v>
      </c>
      <c r="P21" s="120" t="str">
        <f t="shared" ref="P21:P50" ca="1" si="12">IF(AND(Q21="1",B21&gt;0),"1","")</f>
        <v/>
      </c>
      <c r="Q21" s="120" t="str">
        <f t="shared" ca="1" si="2"/>
        <v>1</v>
      </c>
      <c r="R21" s="184" t="str">
        <f t="shared" ca="1" si="3"/>
        <v/>
      </c>
      <c r="S21" s="185" t="e">
        <f t="shared" ca="1" si="4"/>
        <v>#N/A</v>
      </c>
      <c r="T21" s="186" t="str">
        <f t="shared" ca="1" si="5"/>
        <v/>
      </c>
      <c r="U21" s="194" t="str">
        <f t="shared" ca="1" si="6"/>
        <v/>
      </c>
      <c r="V21" s="197" t="str">
        <f t="shared" ref="V21:V50" ca="1" si="13">IF(AND(U21&lt;&gt;"",T21&lt;&gt;""),"!","")</f>
        <v/>
      </c>
    </row>
    <row r="22" spans="1:22" s="2" customFormat="1" ht="12.6" customHeight="1">
      <c r="A22" s="189">
        <f t="shared" ca="1" si="7"/>
        <v>42187</v>
      </c>
      <c r="B22" s="271"/>
      <c r="C22" s="272"/>
      <c r="D22" s="273"/>
      <c r="E22" s="274"/>
      <c r="F22" s="114"/>
      <c r="G22" s="110" t="str">
        <f t="shared" ca="1" si="8"/>
        <v>0,00</v>
      </c>
      <c r="H22" s="111" t="str">
        <f ca="1">IF(WEEKDAY(A22,2)=7,SUMIF($M$19:$M$50,M22,$G$19:$G$50),"")</f>
        <v/>
      </c>
      <c r="I22" s="112">
        <f ca="1">IF(A22&lt;TODAY(),ROUND(SUM(G22+I21-N22),7),0)</f>
        <v>0</v>
      </c>
      <c r="J22" s="113" t="str">
        <f t="shared" ref="J22:J50" ca="1" si="14">IF($G$16="Sie haben Ihr Arbeitszeitkonto überschritten, bitte erstellen Sie ein neues Konto","",IF(AND(A22&lt;TODAY(),WEEKDAY(A22,2)=7),I22+$N$16,""))</f>
        <v/>
      </c>
      <c r="K22" s="275" t="str">
        <f t="shared" ca="1" si="1"/>
        <v>--------</v>
      </c>
      <c r="L22" s="276"/>
      <c r="M22" s="93">
        <f t="shared" ca="1" si="9"/>
        <v>27</v>
      </c>
      <c r="N22" s="94">
        <f t="shared" ca="1" si="10"/>
        <v>0</v>
      </c>
      <c r="O22" s="95">
        <f t="shared" ca="1" si="11"/>
        <v>0</v>
      </c>
      <c r="P22" s="120" t="str">
        <f t="shared" ca="1" si="12"/>
        <v/>
      </c>
      <c r="Q22" s="120" t="str">
        <f t="shared" ca="1" si="2"/>
        <v>1</v>
      </c>
      <c r="R22" s="184" t="str">
        <f t="shared" ca="1" si="3"/>
        <v/>
      </c>
      <c r="S22" s="185" t="e">
        <f t="shared" ca="1" si="4"/>
        <v>#N/A</v>
      </c>
      <c r="T22" s="186" t="str">
        <f t="shared" ca="1" si="5"/>
        <v/>
      </c>
      <c r="U22" s="194" t="str">
        <f t="shared" ca="1" si="6"/>
        <v/>
      </c>
      <c r="V22" s="197" t="str">
        <f t="shared" ca="1" si="13"/>
        <v/>
      </c>
    </row>
    <row r="23" spans="1:22" s="2" customFormat="1" ht="12.6" customHeight="1">
      <c r="A23" s="189">
        <f t="shared" ca="1" si="7"/>
        <v>42188</v>
      </c>
      <c r="B23" s="285"/>
      <c r="C23" s="286"/>
      <c r="D23" s="273"/>
      <c r="E23" s="274"/>
      <c r="F23" s="234"/>
      <c r="G23" s="110" t="str">
        <f t="shared" ca="1" si="8"/>
        <v>0,00</v>
      </c>
      <c r="H23" s="111" t="str">
        <f t="shared" ca="1" si="0"/>
        <v/>
      </c>
      <c r="I23" s="112">
        <f ca="1">IF(A23&lt;TODAY(),ROUND(SUM(G23+I22-N23),7),0)</f>
        <v>0</v>
      </c>
      <c r="J23" s="113" t="str">
        <f t="shared" ca="1" si="14"/>
        <v/>
      </c>
      <c r="K23" s="275" t="str">
        <f t="shared" ca="1" si="1"/>
        <v>--------</v>
      </c>
      <c r="L23" s="276"/>
      <c r="M23" s="93">
        <f t="shared" ca="1" si="9"/>
        <v>27</v>
      </c>
      <c r="N23" s="94">
        <f t="shared" ca="1" si="10"/>
        <v>0</v>
      </c>
      <c r="O23" s="95">
        <f t="shared" ca="1" si="11"/>
        <v>0</v>
      </c>
      <c r="P23" s="120" t="str">
        <f t="shared" ca="1" si="12"/>
        <v/>
      </c>
      <c r="Q23" s="120" t="str">
        <f t="shared" ca="1" si="2"/>
        <v>1</v>
      </c>
      <c r="R23" s="184" t="str">
        <f t="shared" ca="1" si="3"/>
        <v/>
      </c>
      <c r="S23" s="185" t="e">
        <f t="shared" ca="1" si="4"/>
        <v>#N/A</v>
      </c>
      <c r="T23" s="186" t="str">
        <f t="shared" ca="1" si="5"/>
        <v/>
      </c>
      <c r="U23" s="194" t="str">
        <f t="shared" ca="1" si="6"/>
        <v/>
      </c>
      <c r="V23" s="197" t="str">
        <f t="shared" ca="1" si="13"/>
        <v/>
      </c>
    </row>
    <row r="24" spans="1:22" s="2" customFormat="1" ht="12.6" customHeight="1">
      <c r="A24" s="190">
        <f t="shared" ca="1" si="7"/>
        <v>42189</v>
      </c>
      <c r="B24" s="281"/>
      <c r="C24" s="282"/>
      <c r="D24" s="283"/>
      <c r="E24" s="284"/>
      <c r="F24" s="115"/>
      <c r="G24" s="110" t="str">
        <f t="shared" ca="1" si="8"/>
        <v>0,00</v>
      </c>
      <c r="H24" s="111" t="str">
        <f t="shared" ca="1" si="0"/>
        <v/>
      </c>
      <c r="I24" s="112">
        <f t="shared" ref="I24:I50" ca="1" si="15">IF(A24&lt;TODAY(),ROUND(SUM(G24+I23-N24),7),0)</f>
        <v>0</v>
      </c>
      <c r="J24" s="113" t="str">
        <f t="shared" ca="1" si="14"/>
        <v/>
      </c>
      <c r="K24" s="275" t="str">
        <f t="shared" ca="1" si="1"/>
        <v>--------</v>
      </c>
      <c r="L24" s="276"/>
      <c r="M24" s="93">
        <f t="shared" ca="1" si="9"/>
        <v>27</v>
      </c>
      <c r="N24" s="94">
        <f t="shared" ca="1" si="10"/>
        <v>0</v>
      </c>
      <c r="O24" s="95">
        <f t="shared" ca="1" si="11"/>
        <v>0</v>
      </c>
      <c r="P24" s="120" t="str">
        <f ca="1">IF(AND(Q24="1",B24&gt;0),"1","")</f>
        <v/>
      </c>
      <c r="Q24" s="120" t="str">
        <f t="shared" ca="1" si="2"/>
        <v>1</v>
      </c>
      <c r="R24" s="184" t="str">
        <f t="shared" ca="1" si="3"/>
        <v/>
      </c>
      <c r="S24" s="185" t="e">
        <f t="shared" ca="1" si="4"/>
        <v>#N/A</v>
      </c>
      <c r="T24" s="186" t="str">
        <f t="shared" ca="1" si="5"/>
        <v/>
      </c>
      <c r="U24" s="194" t="str">
        <f t="shared" ca="1" si="6"/>
        <v/>
      </c>
      <c r="V24" s="197" t="str">
        <f t="shared" ca="1" si="13"/>
        <v/>
      </c>
    </row>
    <row r="25" spans="1:22" s="18" customFormat="1" ht="12.6" customHeight="1">
      <c r="A25" s="190">
        <f t="shared" ca="1" si="7"/>
        <v>42190</v>
      </c>
      <c r="B25" s="281"/>
      <c r="C25" s="282"/>
      <c r="D25" s="283"/>
      <c r="E25" s="284"/>
      <c r="F25" s="116"/>
      <c r="G25" s="110" t="str">
        <f t="shared" ca="1" si="8"/>
        <v>0,00</v>
      </c>
      <c r="H25" s="111" t="str">
        <f t="shared" ca="1" si="0"/>
        <v/>
      </c>
      <c r="I25" s="112">
        <f t="shared" ca="1" si="15"/>
        <v>0</v>
      </c>
      <c r="J25" s="113" t="str">
        <f ca="1">IF($G$16="Sie haben Ihr Arbeitszeitkonto überschritten, bitte erstellen Sie ein neues Konto","",IF(AND(A25&lt;TODAY(),WEEKDAY(A25,2)=7),I25+$N$16,""))</f>
        <v/>
      </c>
      <c r="K25" s="275" t="str">
        <f t="shared" ca="1" si="1"/>
        <v>--------</v>
      </c>
      <c r="L25" s="276"/>
      <c r="M25" s="93">
        <f t="shared" ca="1" si="9"/>
        <v>27</v>
      </c>
      <c r="N25" s="94">
        <f t="shared" ca="1" si="10"/>
        <v>0</v>
      </c>
      <c r="O25" s="95">
        <f t="shared" ca="1" si="11"/>
        <v>0</v>
      </c>
      <c r="P25" s="120" t="str">
        <f t="shared" ca="1" si="12"/>
        <v/>
      </c>
      <c r="Q25" s="120" t="str">
        <f t="shared" ca="1" si="2"/>
        <v>1</v>
      </c>
      <c r="R25" s="184" t="str">
        <f t="shared" ca="1" si="3"/>
        <v/>
      </c>
      <c r="S25" s="185" t="e">
        <f t="shared" ca="1" si="4"/>
        <v>#N/A</v>
      </c>
      <c r="T25" s="186" t="str">
        <f t="shared" ca="1" si="5"/>
        <v/>
      </c>
      <c r="U25" s="194" t="str">
        <f t="shared" ca="1" si="6"/>
        <v/>
      </c>
      <c r="V25" s="197" t="str">
        <f t="shared" ca="1" si="13"/>
        <v/>
      </c>
    </row>
    <row r="26" spans="1:22" s="18" customFormat="1" ht="12.6" customHeight="1">
      <c r="A26" s="190">
        <f t="shared" ca="1" si="7"/>
        <v>42191</v>
      </c>
      <c r="B26" s="285"/>
      <c r="C26" s="286"/>
      <c r="D26" s="301"/>
      <c r="E26" s="276"/>
      <c r="F26" s="117"/>
      <c r="G26" s="110" t="str">
        <f t="shared" ca="1" si="8"/>
        <v>0,00</v>
      </c>
      <c r="H26" s="111">
        <f t="shared" ca="1" si="0"/>
        <v>0</v>
      </c>
      <c r="I26" s="112">
        <f t="shared" ca="1" si="15"/>
        <v>0</v>
      </c>
      <c r="J26" s="113" t="str">
        <f t="shared" ca="1" si="14"/>
        <v/>
      </c>
      <c r="K26" s="275" t="str">
        <f t="shared" ca="1" si="1"/>
        <v>--------</v>
      </c>
      <c r="L26" s="276"/>
      <c r="M26" s="93">
        <f t="shared" ca="1" si="9"/>
        <v>27</v>
      </c>
      <c r="N26" s="94">
        <f t="shared" ca="1" si="10"/>
        <v>0</v>
      </c>
      <c r="O26" s="95">
        <f t="shared" ca="1" si="11"/>
        <v>0</v>
      </c>
      <c r="P26" s="120" t="str">
        <f t="shared" ca="1" si="12"/>
        <v/>
      </c>
      <c r="Q26" s="120" t="str">
        <f t="shared" ca="1" si="2"/>
        <v>1</v>
      </c>
      <c r="R26" s="184" t="str">
        <f t="shared" ca="1" si="3"/>
        <v/>
      </c>
      <c r="S26" s="185" t="e">
        <f t="shared" ca="1" si="4"/>
        <v>#N/A</v>
      </c>
      <c r="T26" s="186" t="str">
        <f t="shared" ca="1" si="5"/>
        <v/>
      </c>
      <c r="U26" s="194" t="str">
        <f t="shared" ca="1" si="6"/>
        <v/>
      </c>
      <c r="V26" s="197" t="str">
        <f t="shared" ca="1" si="13"/>
        <v/>
      </c>
    </row>
    <row r="27" spans="1:22" ht="12.6" customHeight="1">
      <c r="A27" s="190">
        <f t="shared" ca="1" si="7"/>
        <v>42192</v>
      </c>
      <c r="B27" s="271"/>
      <c r="C27" s="272"/>
      <c r="D27" s="273"/>
      <c r="E27" s="274"/>
      <c r="F27" s="118"/>
      <c r="G27" s="110" t="str">
        <f t="shared" ca="1" si="8"/>
        <v>0,00</v>
      </c>
      <c r="H27" s="111" t="str">
        <f t="shared" ca="1" si="0"/>
        <v/>
      </c>
      <c r="I27" s="112">
        <f t="shared" ca="1" si="15"/>
        <v>0</v>
      </c>
      <c r="J27" s="113" t="str">
        <f t="shared" ca="1" si="14"/>
        <v/>
      </c>
      <c r="K27" s="275" t="str">
        <f ca="1">IF(T27&lt;&gt;"",T27,IF(P27="1","Angaben überprüfen",IF(OR(A27&lt;$C$14,A27&gt;$F$14,G27="0,00"),"--------",IF(AND(G27&gt;(6/24),G27&lt;(9/24),F27&lt;0.5/24),"30 min. Pause erforderlich",IF(AND(G27&gt;=(9/24),F27&lt;0.75/24),"45 min. Pause erforderlich ","")))))</f>
        <v>--------</v>
      </c>
      <c r="L27" s="276"/>
      <c r="M27" s="93">
        <f t="shared" ca="1" si="9"/>
        <v>28</v>
      </c>
      <c r="N27" s="94">
        <f t="shared" ca="1" si="10"/>
        <v>0</v>
      </c>
      <c r="O27" s="95">
        <f t="shared" ca="1" si="11"/>
        <v>0</v>
      </c>
      <c r="P27" s="120" t="str">
        <f t="shared" ca="1" si="12"/>
        <v/>
      </c>
      <c r="Q27" s="120" t="str">
        <f t="shared" ca="1" si="2"/>
        <v>1</v>
      </c>
      <c r="R27" s="184" t="str">
        <f t="shared" ca="1" si="3"/>
        <v/>
      </c>
      <c r="S27" s="185" t="e">
        <f t="shared" ca="1" si="4"/>
        <v>#N/A</v>
      </c>
      <c r="T27" s="186" t="str">
        <f t="shared" ca="1" si="5"/>
        <v/>
      </c>
      <c r="U27" s="194" t="str">
        <f t="shared" ca="1" si="6"/>
        <v/>
      </c>
      <c r="V27" s="197" t="str">
        <f t="shared" ca="1" si="13"/>
        <v/>
      </c>
    </row>
    <row r="28" spans="1:22" ht="12.6" customHeight="1">
      <c r="A28" s="190">
        <f t="shared" ca="1" si="7"/>
        <v>42193</v>
      </c>
      <c r="B28" s="285"/>
      <c r="C28" s="286"/>
      <c r="D28" s="273"/>
      <c r="E28" s="274"/>
      <c r="F28" s="118"/>
      <c r="G28" s="110" t="str">
        <f t="shared" ca="1" si="8"/>
        <v>0,00</v>
      </c>
      <c r="H28" s="111" t="str">
        <f t="shared" ca="1" si="0"/>
        <v/>
      </c>
      <c r="I28" s="112">
        <f t="shared" ca="1" si="15"/>
        <v>0</v>
      </c>
      <c r="J28" s="113" t="str">
        <f t="shared" ca="1" si="14"/>
        <v/>
      </c>
      <c r="K28" s="275" t="str">
        <f t="shared" ref="K28:K50" ca="1" si="16">IF(T28&lt;&gt;"",T28,IF(P28="1","Angaben überprüfen",IF(OR(A28&lt;$C$14,A28&gt;$F$14,G28="0,00"),"--------",IF(AND(G28&gt;(6/24),G28&lt;(9/24),F28&lt;0.5/24),"30 min. Pause erforderlich",IF(AND(G28&gt;=(9/24),F28&lt;0.75/24),"45 min. Pause erforderlich ","")))))</f>
        <v>--------</v>
      </c>
      <c r="L28" s="276"/>
      <c r="M28" s="93">
        <f t="shared" ca="1" si="9"/>
        <v>28</v>
      </c>
      <c r="N28" s="94">
        <f t="shared" ca="1" si="10"/>
        <v>0</v>
      </c>
      <c r="O28" s="95">
        <f t="shared" ca="1" si="11"/>
        <v>0</v>
      </c>
      <c r="P28" s="120" t="str">
        <f t="shared" ca="1" si="12"/>
        <v/>
      </c>
      <c r="Q28" s="120" t="str">
        <f t="shared" ca="1" si="2"/>
        <v>1</v>
      </c>
      <c r="R28" s="184" t="str">
        <f t="shared" ca="1" si="3"/>
        <v/>
      </c>
      <c r="S28" s="185" t="e">
        <f t="shared" ca="1" si="4"/>
        <v>#N/A</v>
      </c>
      <c r="T28" s="186" t="str">
        <f t="shared" ca="1" si="5"/>
        <v/>
      </c>
      <c r="U28" s="194" t="str">
        <f t="shared" ca="1" si="6"/>
        <v/>
      </c>
      <c r="V28" s="197" t="str">
        <f t="shared" ca="1" si="13"/>
        <v/>
      </c>
    </row>
    <row r="29" spans="1:22" ht="12.6" customHeight="1">
      <c r="A29" s="190">
        <f t="shared" ca="1" si="7"/>
        <v>42194</v>
      </c>
      <c r="B29" s="271"/>
      <c r="C29" s="272"/>
      <c r="D29" s="273"/>
      <c r="E29" s="274"/>
      <c r="F29" s="119"/>
      <c r="G29" s="110" t="str">
        <f t="shared" ca="1" si="8"/>
        <v>0,00</v>
      </c>
      <c r="H29" s="111" t="str">
        <f ca="1">IF(WEEKDAY(A29,2)=7,SUMIF($M$19:$M$50,M29,$G$19:$G$50),"")</f>
        <v/>
      </c>
      <c r="I29" s="112">
        <f t="shared" ca="1" si="15"/>
        <v>0</v>
      </c>
      <c r="J29" s="113" t="str">
        <f t="shared" ca="1" si="14"/>
        <v/>
      </c>
      <c r="K29" s="275" t="str">
        <f t="shared" ca="1" si="16"/>
        <v>--------</v>
      </c>
      <c r="L29" s="276"/>
      <c r="M29" s="93">
        <f t="shared" ca="1" si="9"/>
        <v>28</v>
      </c>
      <c r="N29" s="94">
        <f t="shared" ca="1" si="10"/>
        <v>0</v>
      </c>
      <c r="O29" s="95">
        <f t="shared" ca="1" si="11"/>
        <v>0</v>
      </c>
      <c r="P29" s="120" t="str">
        <f t="shared" ca="1" si="12"/>
        <v/>
      </c>
      <c r="Q29" s="120" t="str">
        <f t="shared" ca="1" si="2"/>
        <v>1</v>
      </c>
      <c r="R29" s="184" t="str">
        <f t="shared" ca="1" si="3"/>
        <v/>
      </c>
      <c r="S29" s="185" t="e">
        <f t="shared" ca="1" si="4"/>
        <v>#N/A</v>
      </c>
      <c r="T29" s="186" t="str">
        <f t="shared" ca="1" si="5"/>
        <v/>
      </c>
      <c r="U29" s="194" t="str">
        <f t="shared" ca="1" si="6"/>
        <v/>
      </c>
      <c r="V29" s="197" t="str">
        <f t="shared" ca="1" si="13"/>
        <v/>
      </c>
    </row>
    <row r="30" spans="1:22" ht="12.6" customHeight="1">
      <c r="A30" s="189">
        <f ca="1">($B$17+ROW(A11)-1)*(MONTH(A27+1)=MONTH($B$17))</f>
        <v>42195</v>
      </c>
      <c r="B30" s="271"/>
      <c r="C30" s="272"/>
      <c r="D30" s="273"/>
      <c r="E30" s="274"/>
      <c r="F30" s="119"/>
      <c r="G30" s="110" t="str">
        <f t="shared" ca="1" si="8"/>
        <v>0,00</v>
      </c>
      <c r="H30" s="111" t="str">
        <f t="shared" ca="1" si="0"/>
        <v/>
      </c>
      <c r="I30" s="112">
        <f t="shared" ca="1" si="15"/>
        <v>0</v>
      </c>
      <c r="J30" s="113" t="str">
        <f t="shared" ca="1" si="14"/>
        <v/>
      </c>
      <c r="K30" s="275" t="str">
        <f t="shared" ca="1" si="16"/>
        <v>--------</v>
      </c>
      <c r="L30" s="276"/>
      <c r="M30" s="93">
        <f t="shared" ca="1" si="9"/>
        <v>28</v>
      </c>
      <c r="N30" s="94">
        <f t="shared" ca="1" si="10"/>
        <v>0</v>
      </c>
      <c r="O30" s="95">
        <f t="shared" ca="1" si="11"/>
        <v>0</v>
      </c>
      <c r="P30" s="120" t="str">
        <f t="shared" ca="1" si="12"/>
        <v/>
      </c>
      <c r="Q30" s="120" t="str">
        <f t="shared" ca="1" si="2"/>
        <v>1</v>
      </c>
      <c r="R30" s="184" t="str">
        <f t="shared" ca="1" si="3"/>
        <v/>
      </c>
      <c r="S30" s="185" t="e">
        <f t="shared" ca="1" si="4"/>
        <v>#N/A</v>
      </c>
      <c r="T30" s="186" t="str">
        <f t="shared" ca="1" si="5"/>
        <v/>
      </c>
      <c r="U30" s="194" t="str">
        <f t="shared" ca="1" si="6"/>
        <v/>
      </c>
      <c r="V30" s="197" t="str">
        <f t="shared" ca="1" si="13"/>
        <v/>
      </c>
    </row>
    <row r="31" spans="1:22" ht="12.6" customHeight="1">
      <c r="A31" s="189">
        <f ca="1">($B$17+ROW(A12)-1)*(MONTH(A28+1)=MONTH($B$17))</f>
        <v>42196</v>
      </c>
      <c r="B31" s="281"/>
      <c r="C31" s="282"/>
      <c r="D31" s="283"/>
      <c r="E31" s="284"/>
      <c r="F31" s="119"/>
      <c r="G31" s="110" t="str">
        <f t="shared" ca="1" si="8"/>
        <v>0,00</v>
      </c>
      <c r="H31" s="111" t="str">
        <f t="shared" ca="1" si="0"/>
        <v/>
      </c>
      <c r="I31" s="112">
        <f t="shared" ca="1" si="15"/>
        <v>0</v>
      </c>
      <c r="J31" s="113" t="str">
        <f t="shared" ca="1" si="14"/>
        <v/>
      </c>
      <c r="K31" s="275" t="str">
        <f t="shared" ca="1" si="16"/>
        <v>--------</v>
      </c>
      <c r="L31" s="276"/>
      <c r="M31" s="93">
        <f t="shared" ca="1" si="9"/>
        <v>28</v>
      </c>
      <c r="N31" s="94">
        <f t="shared" ca="1" si="10"/>
        <v>0</v>
      </c>
      <c r="O31" s="95">
        <f t="shared" ca="1" si="11"/>
        <v>0</v>
      </c>
      <c r="P31" s="120" t="str">
        <f t="shared" ca="1" si="12"/>
        <v/>
      </c>
      <c r="Q31" s="120" t="str">
        <f t="shared" ca="1" si="2"/>
        <v>1</v>
      </c>
      <c r="R31" s="184" t="str">
        <f t="shared" ca="1" si="3"/>
        <v/>
      </c>
      <c r="S31" s="185" t="e">
        <f t="shared" ca="1" si="4"/>
        <v>#N/A</v>
      </c>
      <c r="T31" s="186" t="str">
        <f t="shared" ca="1" si="5"/>
        <v/>
      </c>
      <c r="U31" s="194" t="str">
        <f t="shared" ca="1" si="6"/>
        <v/>
      </c>
      <c r="V31" s="197" t="str">
        <f t="shared" ca="1" si="13"/>
        <v/>
      </c>
    </row>
    <row r="32" spans="1:22" ht="12.6" customHeight="1">
      <c r="A32" s="189">
        <f ca="1">($B$17+ROW(A13)-1)*(MONTH(A30+1)=MONTH($B$17))</f>
        <v>42197</v>
      </c>
      <c r="B32" s="285"/>
      <c r="C32" s="286"/>
      <c r="D32" s="301"/>
      <c r="E32" s="276"/>
      <c r="F32" s="119"/>
      <c r="G32" s="110" t="str">
        <f t="shared" ca="1" si="8"/>
        <v>0,00</v>
      </c>
      <c r="H32" s="111" t="str">
        <f t="shared" ca="1" si="0"/>
        <v/>
      </c>
      <c r="I32" s="112">
        <f t="shared" ca="1" si="15"/>
        <v>0</v>
      </c>
      <c r="J32" s="113" t="str">
        <f t="shared" ca="1" si="14"/>
        <v/>
      </c>
      <c r="K32" s="275" t="str">
        <f t="shared" ca="1" si="16"/>
        <v>--------</v>
      </c>
      <c r="L32" s="276"/>
      <c r="M32" s="93">
        <f t="shared" ca="1" si="9"/>
        <v>28</v>
      </c>
      <c r="N32" s="94">
        <f t="shared" ca="1" si="10"/>
        <v>0</v>
      </c>
      <c r="O32" s="95">
        <f t="shared" ca="1" si="11"/>
        <v>0</v>
      </c>
      <c r="P32" s="120" t="str">
        <f t="shared" ca="1" si="12"/>
        <v/>
      </c>
      <c r="Q32" s="120" t="str">
        <f t="shared" ca="1" si="2"/>
        <v>1</v>
      </c>
      <c r="R32" s="184" t="str">
        <f t="shared" ca="1" si="3"/>
        <v/>
      </c>
      <c r="S32" s="185" t="e">
        <f t="shared" ca="1" si="4"/>
        <v>#N/A</v>
      </c>
      <c r="T32" s="186" t="str">
        <f t="shared" ca="1" si="5"/>
        <v/>
      </c>
      <c r="U32" s="194" t="str">
        <f t="shared" ca="1" si="6"/>
        <v/>
      </c>
      <c r="V32" s="197" t="str">
        <f t="shared" ca="1" si="13"/>
        <v/>
      </c>
    </row>
    <row r="33" spans="1:22" ht="12.6" customHeight="1">
      <c r="A33" s="189">
        <f t="shared" ref="A33:A50" ca="1" si="17">($B$17+ROW(A14)-1)*(MONTH(A32+1)=MONTH($B$17))</f>
        <v>42198</v>
      </c>
      <c r="B33" s="285"/>
      <c r="C33" s="286"/>
      <c r="D33" s="273"/>
      <c r="E33" s="274"/>
      <c r="F33" s="119"/>
      <c r="G33" s="110" t="str">
        <f t="shared" ca="1" si="8"/>
        <v>0,00</v>
      </c>
      <c r="H33" s="111">
        <f t="shared" ca="1" si="0"/>
        <v>0</v>
      </c>
      <c r="I33" s="112">
        <f t="shared" ca="1" si="15"/>
        <v>0</v>
      </c>
      <c r="J33" s="113" t="str">
        <f t="shared" ca="1" si="14"/>
        <v/>
      </c>
      <c r="K33" s="275" t="str">
        <f t="shared" ca="1" si="16"/>
        <v>--------</v>
      </c>
      <c r="L33" s="276"/>
      <c r="M33" s="93">
        <f t="shared" ca="1" si="9"/>
        <v>28</v>
      </c>
      <c r="N33" s="94">
        <f t="shared" ca="1" si="10"/>
        <v>0</v>
      </c>
      <c r="O33" s="95">
        <f t="shared" ca="1" si="11"/>
        <v>0</v>
      </c>
      <c r="P33" s="120" t="str">
        <f t="shared" ca="1" si="12"/>
        <v/>
      </c>
      <c r="Q33" s="120" t="str">
        <f t="shared" ca="1" si="2"/>
        <v>1</v>
      </c>
      <c r="R33" s="184" t="str">
        <f t="shared" ca="1" si="3"/>
        <v/>
      </c>
      <c r="S33" s="185" t="e">
        <f t="shared" ca="1" si="4"/>
        <v>#N/A</v>
      </c>
      <c r="T33" s="186" t="str">
        <f t="shared" ca="1" si="5"/>
        <v/>
      </c>
      <c r="U33" s="194" t="str">
        <f t="shared" ca="1" si="6"/>
        <v/>
      </c>
      <c r="V33" s="197" t="str">
        <f t="shared" ca="1" si="13"/>
        <v/>
      </c>
    </row>
    <row r="34" spans="1:22" ht="12.6" customHeight="1">
      <c r="A34" s="189">
        <f t="shared" ca="1" si="17"/>
        <v>42199</v>
      </c>
      <c r="B34" s="271"/>
      <c r="C34" s="272"/>
      <c r="D34" s="273"/>
      <c r="E34" s="274"/>
      <c r="F34" s="125"/>
      <c r="G34" s="110" t="str">
        <f t="shared" ca="1" si="8"/>
        <v>0,00</v>
      </c>
      <c r="H34" s="111" t="str">
        <f t="shared" ca="1" si="0"/>
        <v/>
      </c>
      <c r="I34" s="112">
        <f t="shared" ca="1" si="15"/>
        <v>0</v>
      </c>
      <c r="J34" s="113" t="str">
        <f t="shared" ca="1" si="14"/>
        <v/>
      </c>
      <c r="K34" s="275" t="str">
        <f t="shared" ca="1" si="16"/>
        <v>--------</v>
      </c>
      <c r="L34" s="276"/>
      <c r="M34" s="93">
        <f t="shared" ca="1" si="9"/>
        <v>29</v>
      </c>
      <c r="N34" s="94">
        <f t="shared" ca="1" si="10"/>
        <v>0</v>
      </c>
      <c r="O34" s="95">
        <f t="shared" ca="1" si="11"/>
        <v>0</v>
      </c>
      <c r="P34" s="120" t="str">
        <f t="shared" ca="1" si="12"/>
        <v/>
      </c>
      <c r="Q34" s="120" t="str">
        <f t="shared" ca="1" si="2"/>
        <v>1</v>
      </c>
      <c r="R34" s="184" t="str">
        <f t="shared" ca="1" si="3"/>
        <v/>
      </c>
      <c r="S34" s="185" t="e">
        <f t="shared" ca="1" si="4"/>
        <v>#N/A</v>
      </c>
      <c r="T34" s="186" t="str">
        <f t="shared" ca="1" si="5"/>
        <v/>
      </c>
      <c r="U34" s="194" t="str">
        <f t="shared" ca="1" si="6"/>
        <v/>
      </c>
      <c r="V34" s="197" t="str">
        <f t="shared" ca="1" si="13"/>
        <v/>
      </c>
    </row>
    <row r="35" spans="1:22" ht="12.6" customHeight="1">
      <c r="A35" s="189">
        <f t="shared" ca="1" si="17"/>
        <v>42200</v>
      </c>
      <c r="B35" s="281"/>
      <c r="C35" s="282"/>
      <c r="D35" s="283"/>
      <c r="E35" s="284"/>
      <c r="F35" s="119"/>
      <c r="G35" s="110" t="str">
        <f t="shared" ca="1" si="8"/>
        <v>0,00</v>
      </c>
      <c r="H35" s="111" t="str">
        <f t="shared" ca="1" si="0"/>
        <v/>
      </c>
      <c r="I35" s="112">
        <f t="shared" ca="1" si="15"/>
        <v>0</v>
      </c>
      <c r="J35" s="113" t="str">
        <f t="shared" ca="1" si="14"/>
        <v/>
      </c>
      <c r="K35" s="275" t="str">
        <f t="shared" ca="1" si="16"/>
        <v>--------</v>
      </c>
      <c r="L35" s="276"/>
      <c r="M35" s="93">
        <f t="shared" ca="1" si="9"/>
        <v>29</v>
      </c>
      <c r="N35" s="94">
        <f t="shared" ca="1" si="10"/>
        <v>0</v>
      </c>
      <c r="O35" s="95">
        <f t="shared" ca="1" si="11"/>
        <v>0</v>
      </c>
      <c r="P35" s="120" t="str">
        <f t="shared" ca="1" si="12"/>
        <v/>
      </c>
      <c r="Q35" s="120" t="str">
        <f t="shared" ca="1" si="2"/>
        <v>1</v>
      </c>
      <c r="R35" s="184" t="str">
        <f t="shared" ca="1" si="3"/>
        <v/>
      </c>
      <c r="S35" s="185" t="e">
        <f t="shared" ca="1" si="4"/>
        <v>#N/A</v>
      </c>
      <c r="T35" s="186" t="str">
        <f t="shared" ca="1" si="5"/>
        <v/>
      </c>
      <c r="U35" s="194" t="str">
        <f t="shared" ca="1" si="6"/>
        <v/>
      </c>
      <c r="V35" s="197" t="str">
        <f t="shared" ca="1" si="13"/>
        <v/>
      </c>
    </row>
    <row r="36" spans="1:22" ht="12.6" customHeight="1">
      <c r="A36" s="189">
        <f t="shared" ca="1" si="17"/>
        <v>42201</v>
      </c>
      <c r="B36" s="271"/>
      <c r="C36" s="272"/>
      <c r="D36" s="273"/>
      <c r="E36" s="274"/>
      <c r="F36" s="114"/>
      <c r="G36" s="110" t="str">
        <f t="shared" ca="1" si="8"/>
        <v>0,00</v>
      </c>
      <c r="H36" s="111" t="str">
        <f ca="1">IF(WEEKDAY(A36,2)=7,SUMIF($M$19:$M$50,M36,$G$19:$G$50),"")</f>
        <v/>
      </c>
      <c r="I36" s="112">
        <f t="shared" ca="1" si="15"/>
        <v>0</v>
      </c>
      <c r="J36" s="113" t="str">
        <f t="shared" ca="1" si="14"/>
        <v/>
      </c>
      <c r="K36" s="275" t="str">
        <f t="shared" ca="1" si="16"/>
        <v>--------</v>
      </c>
      <c r="L36" s="276"/>
      <c r="M36" s="93">
        <f t="shared" ca="1" si="9"/>
        <v>29</v>
      </c>
      <c r="N36" s="94">
        <f t="shared" ca="1" si="10"/>
        <v>0</v>
      </c>
      <c r="O36" s="95">
        <f t="shared" ca="1" si="11"/>
        <v>0</v>
      </c>
      <c r="P36" s="120" t="str">
        <f t="shared" ca="1" si="12"/>
        <v/>
      </c>
      <c r="Q36" s="120" t="str">
        <f t="shared" ca="1" si="2"/>
        <v>1</v>
      </c>
      <c r="R36" s="184" t="str">
        <f t="shared" ca="1" si="3"/>
        <v/>
      </c>
      <c r="S36" s="185" t="e">
        <f t="shared" ca="1" si="4"/>
        <v>#N/A</v>
      </c>
      <c r="T36" s="186" t="str">
        <f t="shared" ca="1" si="5"/>
        <v/>
      </c>
      <c r="U36" s="194" t="str">
        <f t="shared" ca="1" si="6"/>
        <v/>
      </c>
      <c r="V36" s="197" t="str">
        <f t="shared" ca="1" si="13"/>
        <v/>
      </c>
    </row>
    <row r="37" spans="1:22" ht="12.6" customHeight="1">
      <c r="A37" s="189">
        <f t="shared" ca="1" si="17"/>
        <v>42202</v>
      </c>
      <c r="B37" s="285"/>
      <c r="C37" s="286"/>
      <c r="D37" s="273"/>
      <c r="E37" s="274"/>
      <c r="F37" s="114"/>
      <c r="G37" s="110" t="str">
        <f t="shared" ca="1" si="8"/>
        <v>0,00</v>
      </c>
      <c r="H37" s="111" t="str">
        <f t="shared" ca="1" si="0"/>
        <v/>
      </c>
      <c r="I37" s="112">
        <f t="shared" ca="1" si="15"/>
        <v>0</v>
      </c>
      <c r="J37" s="113" t="str">
        <f t="shared" ca="1" si="14"/>
        <v/>
      </c>
      <c r="K37" s="275" t="str">
        <f t="shared" ca="1" si="16"/>
        <v>--------</v>
      </c>
      <c r="L37" s="276"/>
      <c r="M37" s="93">
        <f t="shared" ca="1" si="9"/>
        <v>29</v>
      </c>
      <c r="N37" s="94">
        <f t="shared" ca="1" si="10"/>
        <v>0</v>
      </c>
      <c r="O37" s="95">
        <f t="shared" ca="1" si="11"/>
        <v>0</v>
      </c>
      <c r="P37" s="120" t="str">
        <f t="shared" ca="1" si="12"/>
        <v/>
      </c>
      <c r="Q37" s="120" t="str">
        <f t="shared" ca="1" si="2"/>
        <v>1</v>
      </c>
      <c r="R37" s="184" t="str">
        <f t="shared" ca="1" si="3"/>
        <v/>
      </c>
      <c r="S37" s="185" t="e">
        <f t="shared" ca="1" si="4"/>
        <v>#N/A</v>
      </c>
      <c r="T37" s="186" t="str">
        <f t="shared" ca="1" si="5"/>
        <v/>
      </c>
      <c r="U37" s="194" t="str">
        <f t="shared" ca="1" si="6"/>
        <v/>
      </c>
      <c r="V37" s="197" t="str">
        <f t="shared" ca="1" si="13"/>
        <v/>
      </c>
    </row>
    <row r="38" spans="1:22" ht="12.6" customHeight="1">
      <c r="A38" s="189">
        <f t="shared" ca="1" si="17"/>
        <v>42203</v>
      </c>
      <c r="B38" s="281"/>
      <c r="C38" s="282"/>
      <c r="D38" s="283"/>
      <c r="E38" s="284"/>
      <c r="F38" s="119"/>
      <c r="G38" s="110" t="str">
        <f t="shared" ca="1" si="8"/>
        <v>0,00</v>
      </c>
      <c r="H38" s="111" t="str">
        <f t="shared" ca="1" si="0"/>
        <v/>
      </c>
      <c r="I38" s="112">
        <f t="shared" ca="1" si="15"/>
        <v>0</v>
      </c>
      <c r="J38" s="113" t="str">
        <f t="shared" ca="1" si="14"/>
        <v/>
      </c>
      <c r="K38" s="275" t="str">
        <f t="shared" ca="1" si="16"/>
        <v>--------</v>
      </c>
      <c r="L38" s="276"/>
      <c r="M38" s="93">
        <f t="shared" ca="1" si="9"/>
        <v>29</v>
      </c>
      <c r="N38" s="94">
        <f t="shared" ca="1" si="10"/>
        <v>0</v>
      </c>
      <c r="O38" s="95">
        <f t="shared" ca="1" si="11"/>
        <v>0</v>
      </c>
      <c r="P38" s="120" t="str">
        <f t="shared" ca="1" si="12"/>
        <v/>
      </c>
      <c r="Q38" s="120" t="str">
        <f t="shared" ca="1" si="2"/>
        <v>1</v>
      </c>
      <c r="R38" s="184" t="str">
        <f t="shared" ca="1" si="3"/>
        <v/>
      </c>
      <c r="S38" s="185" t="e">
        <f t="shared" ca="1" si="4"/>
        <v>#N/A</v>
      </c>
      <c r="T38" s="186" t="str">
        <f t="shared" ca="1" si="5"/>
        <v/>
      </c>
      <c r="U38" s="194" t="str">
        <f t="shared" ca="1" si="6"/>
        <v/>
      </c>
      <c r="V38" s="197" t="str">
        <f t="shared" ca="1" si="13"/>
        <v/>
      </c>
    </row>
    <row r="39" spans="1:22" ht="12.6" customHeight="1">
      <c r="A39" s="189">
        <f t="shared" ca="1" si="17"/>
        <v>42204</v>
      </c>
      <c r="B39" s="285"/>
      <c r="C39" s="286"/>
      <c r="D39" s="301"/>
      <c r="E39" s="276"/>
      <c r="F39" s="119"/>
      <c r="G39" s="110" t="str">
        <f t="shared" ca="1" si="8"/>
        <v>0,00</v>
      </c>
      <c r="H39" s="111" t="str">
        <f t="shared" ca="1" si="0"/>
        <v/>
      </c>
      <c r="I39" s="112">
        <f t="shared" ca="1" si="15"/>
        <v>0</v>
      </c>
      <c r="J39" s="113" t="str">
        <f t="shared" ca="1" si="14"/>
        <v/>
      </c>
      <c r="K39" s="275" t="str">
        <f t="shared" ca="1" si="16"/>
        <v>--------</v>
      </c>
      <c r="L39" s="276"/>
      <c r="M39" s="93">
        <f t="shared" ca="1" si="9"/>
        <v>29</v>
      </c>
      <c r="N39" s="94">
        <f t="shared" ca="1" si="10"/>
        <v>0</v>
      </c>
      <c r="O39" s="95">
        <f t="shared" ca="1" si="11"/>
        <v>0</v>
      </c>
      <c r="P39" s="120" t="str">
        <f t="shared" ca="1" si="12"/>
        <v/>
      </c>
      <c r="Q39" s="120" t="str">
        <f t="shared" ca="1" si="2"/>
        <v>1</v>
      </c>
      <c r="R39" s="184" t="str">
        <f t="shared" ca="1" si="3"/>
        <v/>
      </c>
      <c r="S39" s="185" t="e">
        <f t="shared" ca="1" si="4"/>
        <v>#N/A</v>
      </c>
      <c r="T39" s="186" t="str">
        <f t="shared" ca="1" si="5"/>
        <v/>
      </c>
      <c r="U39" s="194" t="str">
        <f t="shared" ca="1" si="6"/>
        <v/>
      </c>
      <c r="V39" s="197" t="str">
        <f t="shared" ca="1" si="13"/>
        <v/>
      </c>
    </row>
    <row r="40" spans="1:22" ht="12.6" customHeight="1">
      <c r="A40" s="189">
        <f t="shared" ca="1" si="17"/>
        <v>42205</v>
      </c>
      <c r="B40" s="285"/>
      <c r="C40" s="286"/>
      <c r="D40" s="273"/>
      <c r="E40" s="274"/>
      <c r="F40" s="119"/>
      <c r="G40" s="110" t="str">
        <f t="shared" ca="1" si="8"/>
        <v>0,00</v>
      </c>
      <c r="H40" s="111">
        <f t="shared" ca="1" si="0"/>
        <v>0</v>
      </c>
      <c r="I40" s="112">
        <f t="shared" ca="1" si="15"/>
        <v>0</v>
      </c>
      <c r="J40" s="113" t="str">
        <f t="shared" ca="1" si="14"/>
        <v/>
      </c>
      <c r="K40" s="275" t="str">
        <f t="shared" ca="1" si="16"/>
        <v>--------</v>
      </c>
      <c r="L40" s="276"/>
      <c r="M40" s="93">
        <f t="shared" ca="1" si="9"/>
        <v>29</v>
      </c>
      <c r="N40" s="94">
        <f t="shared" ca="1" si="10"/>
        <v>0</v>
      </c>
      <c r="O40" s="95">
        <f t="shared" ca="1" si="11"/>
        <v>0</v>
      </c>
      <c r="P40" s="120" t="str">
        <f t="shared" ca="1" si="12"/>
        <v/>
      </c>
      <c r="Q40" s="120" t="str">
        <f t="shared" ca="1" si="2"/>
        <v>1</v>
      </c>
      <c r="R40" s="184" t="str">
        <f t="shared" ca="1" si="3"/>
        <v/>
      </c>
      <c r="S40" s="185" t="e">
        <f t="shared" ca="1" si="4"/>
        <v>#N/A</v>
      </c>
      <c r="T40" s="186" t="str">
        <f t="shared" ca="1" si="5"/>
        <v/>
      </c>
      <c r="U40" s="194" t="str">
        <f t="shared" ca="1" si="6"/>
        <v/>
      </c>
      <c r="V40" s="197" t="str">
        <f t="shared" ca="1" si="13"/>
        <v/>
      </c>
    </row>
    <row r="41" spans="1:22" ht="12.6" customHeight="1">
      <c r="A41" s="189">
        <f t="shared" ca="1" si="17"/>
        <v>42206</v>
      </c>
      <c r="B41" s="271"/>
      <c r="C41" s="272"/>
      <c r="D41" s="273"/>
      <c r="E41" s="274"/>
      <c r="F41" s="119"/>
      <c r="G41" s="110" t="str">
        <f t="shared" ca="1" si="8"/>
        <v>0,00</v>
      </c>
      <c r="H41" s="111" t="str">
        <f t="shared" ca="1" si="0"/>
        <v/>
      </c>
      <c r="I41" s="112">
        <f t="shared" ca="1" si="15"/>
        <v>0</v>
      </c>
      <c r="J41" s="113" t="str">
        <f ca="1">IF($G$16="Sie haben Ihr Arbeitszeitkonto überschritten, bitte erstellen Sie ein neues Konto","",IF(AND(A41&lt;TODAY(),WEEKDAY(A41,2)=7),I41+$N$16,""))</f>
        <v/>
      </c>
      <c r="K41" s="275" t="str">
        <f t="shared" ca="1" si="16"/>
        <v>--------</v>
      </c>
      <c r="L41" s="276"/>
      <c r="M41" s="93">
        <f t="shared" ca="1" si="9"/>
        <v>30</v>
      </c>
      <c r="N41" s="94">
        <f t="shared" ca="1" si="10"/>
        <v>0</v>
      </c>
      <c r="O41" s="95">
        <f t="shared" ca="1" si="11"/>
        <v>0</v>
      </c>
      <c r="P41" s="120" t="str">
        <f t="shared" ca="1" si="12"/>
        <v/>
      </c>
      <c r="Q41" s="120" t="str">
        <f t="shared" ca="1" si="2"/>
        <v>1</v>
      </c>
      <c r="R41" s="184" t="str">
        <f t="shared" ca="1" si="3"/>
        <v/>
      </c>
      <c r="S41" s="185" t="e">
        <f t="shared" ca="1" si="4"/>
        <v>#N/A</v>
      </c>
      <c r="T41" s="186" t="str">
        <f t="shared" ca="1" si="5"/>
        <v/>
      </c>
      <c r="U41" s="194" t="str">
        <f t="shared" ca="1" si="6"/>
        <v/>
      </c>
      <c r="V41" s="197" t="str">
        <f t="shared" ca="1" si="13"/>
        <v/>
      </c>
    </row>
    <row r="42" spans="1:22" ht="12.6" customHeight="1">
      <c r="A42" s="189">
        <f t="shared" ca="1" si="17"/>
        <v>42207</v>
      </c>
      <c r="B42" s="271"/>
      <c r="C42" s="272"/>
      <c r="D42" s="273"/>
      <c r="E42" s="274"/>
      <c r="F42" s="119"/>
      <c r="G42" s="110" t="str">
        <f t="shared" ca="1" si="8"/>
        <v>0,00</v>
      </c>
      <c r="H42" s="111" t="str">
        <f t="shared" ca="1" si="0"/>
        <v/>
      </c>
      <c r="I42" s="112">
        <f t="shared" ca="1" si="15"/>
        <v>0</v>
      </c>
      <c r="J42" s="113" t="str">
        <f t="shared" ca="1" si="14"/>
        <v/>
      </c>
      <c r="K42" s="275" t="str">
        <f t="shared" ca="1" si="16"/>
        <v>--------</v>
      </c>
      <c r="L42" s="276"/>
      <c r="M42" s="93">
        <f t="shared" ca="1" si="9"/>
        <v>30</v>
      </c>
      <c r="N42" s="94">
        <f t="shared" ca="1" si="10"/>
        <v>0</v>
      </c>
      <c r="O42" s="95">
        <f t="shared" ca="1" si="11"/>
        <v>0</v>
      </c>
      <c r="P42" s="120" t="str">
        <f t="shared" ca="1" si="12"/>
        <v/>
      </c>
      <c r="Q42" s="120" t="str">
        <f t="shared" ca="1" si="2"/>
        <v>1</v>
      </c>
      <c r="R42" s="184" t="str">
        <f t="shared" ca="1" si="3"/>
        <v/>
      </c>
      <c r="S42" s="185" t="e">
        <f t="shared" ca="1" si="4"/>
        <v>#N/A</v>
      </c>
      <c r="T42" s="186" t="str">
        <f t="shared" ca="1" si="5"/>
        <v/>
      </c>
      <c r="U42" s="194" t="str">
        <f t="shared" ca="1" si="6"/>
        <v/>
      </c>
      <c r="V42" s="197" t="str">
        <f t="shared" ca="1" si="13"/>
        <v/>
      </c>
    </row>
    <row r="43" spans="1:22" ht="12.6" customHeight="1">
      <c r="A43" s="189">
        <f t="shared" ca="1" si="17"/>
        <v>42208</v>
      </c>
      <c r="B43" s="271"/>
      <c r="C43" s="272"/>
      <c r="D43" s="273"/>
      <c r="E43" s="274"/>
      <c r="F43" s="114"/>
      <c r="G43" s="110" t="str">
        <f t="shared" ca="1" si="8"/>
        <v>0,00</v>
      </c>
      <c r="H43" s="111" t="str">
        <f ca="1">IF(WEEKDAY(A43,2)=7,SUMIF($M$19:$M$50,M43,$G$19:$G$50),"")</f>
        <v/>
      </c>
      <c r="I43" s="112">
        <f t="shared" ca="1" si="15"/>
        <v>0</v>
      </c>
      <c r="J43" s="113" t="str">
        <f t="shared" ca="1" si="14"/>
        <v/>
      </c>
      <c r="K43" s="275" t="str">
        <f t="shared" ca="1" si="16"/>
        <v>--------</v>
      </c>
      <c r="L43" s="276"/>
      <c r="M43" s="93">
        <f t="shared" ca="1" si="9"/>
        <v>30</v>
      </c>
      <c r="N43" s="94">
        <f t="shared" ca="1" si="10"/>
        <v>0</v>
      </c>
      <c r="O43" s="95">
        <f t="shared" ca="1" si="11"/>
        <v>0</v>
      </c>
      <c r="P43" s="120" t="str">
        <f t="shared" ca="1" si="12"/>
        <v/>
      </c>
      <c r="Q43" s="120" t="str">
        <f t="shared" ca="1" si="2"/>
        <v>1</v>
      </c>
      <c r="R43" s="184" t="str">
        <f t="shared" ca="1" si="3"/>
        <v/>
      </c>
      <c r="S43" s="185" t="e">
        <f ca="1">VLOOKUP(A43,$Q$77:$S$92,2,FALSE)</f>
        <v>#N/A</v>
      </c>
      <c r="T43" s="186" t="str">
        <f t="shared" ca="1" si="5"/>
        <v/>
      </c>
      <c r="U43" s="194" t="str">
        <f t="shared" ca="1" si="6"/>
        <v/>
      </c>
      <c r="V43" s="197" t="str">
        <f t="shared" ca="1" si="13"/>
        <v/>
      </c>
    </row>
    <row r="44" spans="1:22" ht="12.6" customHeight="1">
      <c r="A44" s="189">
        <f t="shared" ca="1" si="17"/>
        <v>42209</v>
      </c>
      <c r="B44" s="285"/>
      <c r="C44" s="286"/>
      <c r="D44" s="273"/>
      <c r="E44" s="274"/>
      <c r="F44" s="114"/>
      <c r="G44" s="110" t="str">
        <f t="shared" ca="1" si="8"/>
        <v>0,00</v>
      </c>
      <c r="H44" s="111" t="str">
        <f t="shared" ca="1" si="0"/>
        <v/>
      </c>
      <c r="I44" s="112">
        <f t="shared" ca="1" si="15"/>
        <v>0</v>
      </c>
      <c r="J44" s="113" t="str">
        <f t="shared" ca="1" si="14"/>
        <v/>
      </c>
      <c r="K44" s="275" t="str">
        <f t="shared" ca="1" si="16"/>
        <v>--------</v>
      </c>
      <c r="L44" s="276"/>
      <c r="M44" s="93">
        <f t="shared" ca="1" si="9"/>
        <v>30</v>
      </c>
      <c r="N44" s="94">
        <f t="shared" ca="1" si="10"/>
        <v>0</v>
      </c>
      <c r="O44" s="95">
        <f t="shared" ca="1" si="11"/>
        <v>0</v>
      </c>
      <c r="P44" s="120" t="str">
        <f t="shared" ca="1" si="12"/>
        <v/>
      </c>
      <c r="Q44" s="120" t="str">
        <f t="shared" ca="1" si="2"/>
        <v>1</v>
      </c>
      <c r="R44" s="184" t="str">
        <f t="shared" ca="1" si="3"/>
        <v/>
      </c>
      <c r="S44" s="185" t="e">
        <f t="shared" ca="1" si="4"/>
        <v>#N/A</v>
      </c>
      <c r="T44" s="186" t="str">
        <f t="shared" ca="1" si="5"/>
        <v/>
      </c>
      <c r="U44" s="194" t="str">
        <f t="shared" ca="1" si="6"/>
        <v/>
      </c>
      <c r="V44" s="197" t="str">
        <f t="shared" ca="1" si="13"/>
        <v/>
      </c>
    </row>
    <row r="45" spans="1:22" ht="12.6" customHeight="1">
      <c r="A45" s="189">
        <f t="shared" ca="1" si="17"/>
        <v>42210</v>
      </c>
      <c r="B45" s="308"/>
      <c r="C45" s="309"/>
      <c r="D45" s="308"/>
      <c r="E45" s="309"/>
      <c r="F45" s="119"/>
      <c r="G45" s="110" t="str">
        <f t="shared" ca="1" si="8"/>
        <v>0,00</v>
      </c>
      <c r="H45" s="111" t="str">
        <f t="shared" ca="1" si="0"/>
        <v/>
      </c>
      <c r="I45" s="112">
        <f t="shared" ca="1" si="15"/>
        <v>0</v>
      </c>
      <c r="J45" s="113" t="str">
        <f t="shared" ca="1" si="14"/>
        <v/>
      </c>
      <c r="K45" s="275" t="str">
        <f t="shared" ca="1" si="16"/>
        <v>--------</v>
      </c>
      <c r="L45" s="276"/>
      <c r="M45" s="93">
        <f t="shared" ca="1" si="9"/>
        <v>30</v>
      </c>
      <c r="N45" s="94">
        <f t="shared" ca="1" si="10"/>
        <v>0</v>
      </c>
      <c r="O45" s="95">
        <f t="shared" ca="1" si="11"/>
        <v>0</v>
      </c>
      <c r="P45" s="120" t="str">
        <f t="shared" ca="1" si="12"/>
        <v/>
      </c>
      <c r="Q45" s="120" t="str">
        <f t="shared" ca="1" si="2"/>
        <v>1</v>
      </c>
      <c r="R45" s="184" t="str">
        <f t="shared" ca="1" si="3"/>
        <v/>
      </c>
      <c r="S45" s="185" t="e">
        <f t="shared" ca="1" si="4"/>
        <v>#N/A</v>
      </c>
      <c r="T45" s="186" t="str">
        <f t="shared" ca="1" si="5"/>
        <v/>
      </c>
      <c r="U45" s="194" t="str">
        <f t="shared" ca="1" si="6"/>
        <v/>
      </c>
      <c r="V45" s="197" t="str">
        <f t="shared" ca="1" si="13"/>
        <v/>
      </c>
    </row>
    <row r="46" spans="1:22" ht="12.6" customHeight="1">
      <c r="A46" s="189">
        <f t="shared" ca="1" si="17"/>
        <v>42211</v>
      </c>
      <c r="B46" s="308"/>
      <c r="C46" s="309"/>
      <c r="D46" s="313"/>
      <c r="E46" s="314"/>
      <c r="F46" s="119"/>
      <c r="G46" s="110" t="str">
        <f t="shared" ca="1" si="8"/>
        <v>0,00</v>
      </c>
      <c r="H46" s="111" t="str">
        <f t="shared" ca="1" si="0"/>
        <v/>
      </c>
      <c r="I46" s="112">
        <f t="shared" ca="1" si="15"/>
        <v>0</v>
      </c>
      <c r="J46" s="113" t="str">
        <f t="shared" ca="1" si="14"/>
        <v/>
      </c>
      <c r="K46" s="275" t="str">
        <f t="shared" ca="1" si="16"/>
        <v>--------</v>
      </c>
      <c r="L46" s="276"/>
      <c r="M46" s="93">
        <f t="shared" ca="1" si="9"/>
        <v>30</v>
      </c>
      <c r="N46" s="94">
        <f t="shared" ca="1" si="10"/>
        <v>0</v>
      </c>
      <c r="O46" s="95">
        <f t="shared" ca="1" si="11"/>
        <v>0</v>
      </c>
      <c r="P46" s="120" t="str">
        <f t="shared" ca="1" si="12"/>
        <v/>
      </c>
      <c r="Q46" s="120" t="str">
        <f t="shared" ca="1" si="2"/>
        <v>1</v>
      </c>
      <c r="R46" s="184" t="str">
        <f t="shared" ca="1" si="3"/>
        <v/>
      </c>
      <c r="S46" s="185" t="e">
        <f t="shared" ca="1" si="4"/>
        <v>#N/A</v>
      </c>
      <c r="T46" s="186" t="str">
        <f t="shared" ca="1" si="5"/>
        <v/>
      </c>
      <c r="U46" s="194" t="str">
        <f t="shared" ca="1" si="6"/>
        <v/>
      </c>
      <c r="V46" s="197" t="str">
        <f t="shared" ca="1" si="13"/>
        <v/>
      </c>
    </row>
    <row r="47" spans="1:22" ht="12.6" customHeight="1">
      <c r="A47" s="189">
        <f t="shared" ca="1" si="17"/>
        <v>42212</v>
      </c>
      <c r="B47" s="308"/>
      <c r="C47" s="309"/>
      <c r="D47" s="309"/>
      <c r="E47" s="309"/>
      <c r="F47" s="119"/>
      <c r="G47" s="110" t="str">
        <f t="shared" ca="1" si="8"/>
        <v>0,00</v>
      </c>
      <c r="H47" s="111">
        <f t="shared" ca="1" si="0"/>
        <v>0</v>
      </c>
      <c r="I47" s="112">
        <f t="shared" ca="1" si="15"/>
        <v>0</v>
      </c>
      <c r="J47" s="113" t="str">
        <f t="shared" ca="1" si="14"/>
        <v/>
      </c>
      <c r="K47" s="275" t="str">
        <f t="shared" ca="1" si="16"/>
        <v>--------</v>
      </c>
      <c r="L47" s="276"/>
      <c r="M47" s="93">
        <f t="shared" ca="1" si="9"/>
        <v>30</v>
      </c>
      <c r="N47" s="94">
        <f t="shared" ca="1" si="10"/>
        <v>0</v>
      </c>
      <c r="O47" s="95">
        <f t="shared" ca="1" si="11"/>
        <v>0</v>
      </c>
      <c r="P47" s="120" t="str">
        <f t="shared" ca="1" si="12"/>
        <v/>
      </c>
      <c r="Q47" s="120" t="str">
        <f t="shared" ca="1" si="2"/>
        <v>1</v>
      </c>
      <c r="R47" s="184" t="str">
        <f t="shared" ca="1" si="3"/>
        <v/>
      </c>
      <c r="S47" s="185" t="e">
        <f t="shared" ca="1" si="4"/>
        <v>#N/A</v>
      </c>
      <c r="T47" s="186" t="str">
        <f t="shared" ca="1" si="5"/>
        <v/>
      </c>
      <c r="U47" s="194" t="str">
        <f t="shared" ca="1" si="6"/>
        <v/>
      </c>
      <c r="V47" s="197" t="str">
        <f t="shared" ca="1" si="13"/>
        <v/>
      </c>
    </row>
    <row r="48" spans="1:22" ht="12.6" customHeight="1">
      <c r="A48" s="189">
        <f t="shared" ca="1" si="17"/>
        <v>42213</v>
      </c>
      <c r="B48" s="271"/>
      <c r="C48" s="272"/>
      <c r="D48" s="273"/>
      <c r="E48" s="274"/>
      <c r="F48" s="119"/>
      <c r="G48" s="110" t="str">
        <f t="shared" ca="1" si="8"/>
        <v>0,00</v>
      </c>
      <c r="H48" s="111" t="str">
        <f t="shared" ca="1" si="0"/>
        <v/>
      </c>
      <c r="I48" s="112">
        <f t="shared" ca="1" si="15"/>
        <v>0</v>
      </c>
      <c r="J48" s="113" t="str">
        <f t="shared" ca="1" si="14"/>
        <v/>
      </c>
      <c r="K48" s="275" t="str">
        <f t="shared" ca="1" si="16"/>
        <v>--------</v>
      </c>
      <c r="L48" s="276"/>
      <c r="M48" s="93">
        <f t="shared" ca="1" si="9"/>
        <v>31</v>
      </c>
      <c r="N48" s="94">
        <f t="shared" ca="1" si="10"/>
        <v>0</v>
      </c>
      <c r="O48" s="95">
        <f t="shared" ca="1" si="11"/>
        <v>0</v>
      </c>
      <c r="P48" s="120" t="str">
        <f t="shared" ca="1" si="12"/>
        <v/>
      </c>
      <c r="Q48" s="120" t="str">
        <f t="shared" ca="1" si="2"/>
        <v>1</v>
      </c>
      <c r="R48" s="184" t="str">
        <f t="shared" ca="1" si="3"/>
        <v/>
      </c>
      <c r="S48" s="185" t="e">
        <f t="shared" ca="1" si="4"/>
        <v>#N/A</v>
      </c>
      <c r="T48" s="186" t="str">
        <f t="shared" ca="1" si="5"/>
        <v/>
      </c>
      <c r="U48" s="194" t="str">
        <f t="shared" ca="1" si="6"/>
        <v/>
      </c>
      <c r="V48" s="197" t="str">
        <f t="shared" ca="1" si="13"/>
        <v/>
      </c>
    </row>
    <row r="49" spans="1:22" ht="12.6" customHeight="1">
      <c r="A49" s="189">
        <f t="shared" ca="1" si="17"/>
        <v>42214</v>
      </c>
      <c r="B49" s="285"/>
      <c r="C49" s="286"/>
      <c r="D49" s="273"/>
      <c r="E49" s="274"/>
      <c r="F49" s="119"/>
      <c r="G49" s="110" t="str">
        <f t="shared" ca="1" si="8"/>
        <v>0,00</v>
      </c>
      <c r="H49" s="111" t="str">
        <f t="shared" ca="1" si="0"/>
        <v/>
      </c>
      <c r="I49" s="112">
        <f t="shared" ca="1" si="15"/>
        <v>0</v>
      </c>
      <c r="J49" s="113" t="str">
        <f t="shared" ca="1" si="14"/>
        <v/>
      </c>
      <c r="K49" s="275" t="str">
        <f t="shared" ca="1" si="16"/>
        <v>--------</v>
      </c>
      <c r="L49" s="276"/>
      <c r="M49" s="93">
        <f t="shared" ca="1" si="9"/>
        <v>31</v>
      </c>
      <c r="N49" s="94">
        <f t="shared" ca="1" si="10"/>
        <v>0</v>
      </c>
      <c r="O49" s="95">
        <f t="shared" ca="1" si="11"/>
        <v>0</v>
      </c>
      <c r="P49" s="120" t="str">
        <f t="shared" ca="1" si="12"/>
        <v/>
      </c>
      <c r="Q49" s="120" t="str">
        <f t="shared" ca="1" si="2"/>
        <v>1</v>
      </c>
      <c r="R49" s="184" t="str">
        <f t="shared" ca="1" si="3"/>
        <v/>
      </c>
      <c r="S49" s="185" t="e">
        <f t="shared" ca="1" si="4"/>
        <v>#N/A</v>
      </c>
      <c r="T49" s="186" t="str">
        <f t="shared" ca="1" si="5"/>
        <v/>
      </c>
      <c r="U49" s="194" t="str">
        <f t="shared" ca="1" si="6"/>
        <v/>
      </c>
      <c r="V49" s="197" t="str">
        <f t="shared" ca="1" si="13"/>
        <v/>
      </c>
    </row>
    <row r="50" spans="1:22" ht="12.6" customHeight="1" thickBot="1">
      <c r="A50" s="191">
        <f t="shared" ca="1" si="17"/>
        <v>42215</v>
      </c>
      <c r="B50" s="293"/>
      <c r="C50" s="294"/>
      <c r="D50" s="295"/>
      <c r="E50" s="296"/>
      <c r="F50" s="134"/>
      <c r="G50" s="110" t="str">
        <f t="shared" ca="1" si="8"/>
        <v>0,00</v>
      </c>
      <c r="H50" s="136" t="str">
        <f ca="1">IF(WEEKDAY(A50,2)=7,SUMIF($M$19:$M$50,M50,$G$19:$G$50),"")</f>
        <v/>
      </c>
      <c r="I50" s="112">
        <f t="shared" ca="1" si="15"/>
        <v>0</v>
      </c>
      <c r="J50" s="113" t="str">
        <f t="shared" ca="1" si="14"/>
        <v/>
      </c>
      <c r="K50" s="275" t="str">
        <f t="shared" ca="1" si="16"/>
        <v>--------</v>
      </c>
      <c r="L50" s="276"/>
      <c r="M50" s="93">
        <f ca="1">IF(A50&gt;DATE(1904,1,1),WEEKNUM(A50,2),"")</f>
        <v>31</v>
      </c>
      <c r="N50" s="94">
        <f t="shared" ca="1" si="10"/>
        <v>0</v>
      </c>
      <c r="O50" s="95">
        <f ca="1">IF(I50&lt;&gt;0,I50,0)</f>
        <v>0</v>
      </c>
      <c r="P50" s="120" t="str">
        <f t="shared" ca="1" si="12"/>
        <v/>
      </c>
      <c r="Q50" s="120" t="str">
        <f t="shared" ca="1" si="2"/>
        <v>1</v>
      </c>
      <c r="R50" s="184" t="str">
        <f t="shared" ca="1" si="3"/>
        <v/>
      </c>
      <c r="S50" s="185" t="e">
        <f t="shared" ca="1" si="4"/>
        <v>#N/A</v>
      </c>
      <c r="T50" s="186" t="str">
        <f ca="1">IF(ISNA(S50),"",S50)</f>
        <v/>
      </c>
      <c r="U50" s="195" t="str">
        <f t="shared" ca="1" si="6"/>
        <v/>
      </c>
      <c r="V50" s="197" t="str">
        <f t="shared" ca="1" si="13"/>
        <v/>
      </c>
    </row>
    <row r="51" spans="1:22" ht="11.25" customHeight="1">
      <c r="A51" s="19"/>
      <c r="B51" s="43"/>
      <c r="C51" s="43"/>
      <c r="D51" s="43"/>
      <c r="E51" s="20"/>
      <c r="F51" s="56"/>
      <c r="G51" s="56"/>
      <c r="H51" s="56"/>
      <c r="I51" s="96"/>
      <c r="J51" s="56"/>
      <c r="K51" s="21"/>
      <c r="L51" s="11"/>
      <c r="M51" s="4"/>
      <c r="N51" s="44"/>
      <c r="O51" s="31"/>
      <c r="S51" s="183"/>
      <c r="V51" s="198">
        <f ca="1">COUNTIF(V20:V50,"!")</f>
        <v>0</v>
      </c>
    </row>
    <row r="52" spans="1:22" ht="14.1" customHeight="1">
      <c r="D52" s="70"/>
      <c r="E52" s="22"/>
      <c r="F52" s="140" t="s">
        <v>29</v>
      </c>
      <c r="G52" s="139">
        <f ca="1">IF($G$16="Sie haben Ihr Arbeitszeitkonto überschritten, bitte erstellen Sie ein neues Konto","",SUM($G$20:$G$50))</f>
        <v>0</v>
      </c>
      <c r="H52" s="130" t="s">
        <v>30</v>
      </c>
      <c r="I52" s="97"/>
      <c r="J52" s="139">
        <f ca="1">IF($G$16="Sie haben Ihr Arbeitszeitkonto überschritten, bitte erstellen Sie ein neues Konto","",IF(ISNA($H$56),0,IF($H$56&gt;$D$53,($D$53+$D$54),($H$56+$D$54))))</f>
        <v>0</v>
      </c>
      <c r="K52" s="290" t="str">
        <f ca="1">IF(ISNA($E$56),"",IF($E$56&gt;$D$53,"Kappung erfolgt",""))</f>
        <v/>
      </c>
      <c r="L52" s="290"/>
      <c r="M52" s="4"/>
      <c r="N52" s="44">
        <f ca="1">SUM(N20:N50)</f>
        <v>0</v>
      </c>
      <c r="O52" s="31"/>
    </row>
    <row r="53" spans="1:22">
      <c r="A53" s="100" t="s">
        <v>26</v>
      </c>
      <c r="B53" s="100"/>
      <c r="C53" s="100"/>
      <c r="D53" s="101">
        <f ca="1">$N$52*0.5</f>
        <v>0</v>
      </c>
      <c r="E53" s="69"/>
      <c r="F53" s="23"/>
      <c r="G53" s="24"/>
      <c r="H53" s="2"/>
      <c r="I53" s="2"/>
      <c r="M53" s="4"/>
      <c r="N53" s="38">
        <f ca="1">SUM(N20:N50)</f>
        <v>0</v>
      </c>
    </row>
    <row r="54" spans="1:22">
      <c r="A54" s="310" t="s">
        <v>25</v>
      </c>
      <c r="B54" s="310"/>
      <c r="C54" s="310"/>
      <c r="D54" s="102">
        <f ca="1">$M$16</f>
        <v>0</v>
      </c>
      <c r="F54" s="108"/>
      <c r="G54" s="106"/>
      <c r="H54" s="299" t="str">
        <f ca="1">IF($K$52="Kappung erfolgt","INFO: (Gekappte Std.: "&amp;$J$56,"")</f>
        <v/>
      </c>
      <c r="I54" s="299"/>
      <c r="J54" s="299"/>
      <c r="K54" s="127" t="str">
        <f ca="1">IF($K$52="Kappung erfolgt","von insg. "&amp;$L$56&amp;" Mehrstunden)","")</f>
        <v/>
      </c>
      <c r="L54" s="131"/>
      <c r="M54" s="4"/>
      <c r="N54" s="33">
        <f>IF($A$55="Wg.Unterbrechung  keine Stundenübernahme möglich! Bitte Angaben prüfen","1",0)</f>
        <v>0</v>
      </c>
      <c r="P54" s="164"/>
      <c r="Q54" s="164"/>
      <c r="R54" s="164"/>
      <c r="S54" s="164"/>
      <c r="T54" s="164"/>
      <c r="U54" s="164"/>
      <c r="V54" s="164"/>
    </row>
    <row r="55" spans="1:22">
      <c r="A55" s="311" t="str">
        <f>IF($H$14="Achtung! Stundennachweis unterbrochen","Wg.Unterbrechung  keine Stundenübernahme möglich! Bitte Angaben prüfen","")</f>
        <v/>
      </c>
      <c r="B55" s="311"/>
      <c r="C55" s="311"/>
      <c r="D55" s="311"/>
      <c r="E55" s="311"/>
      <c r="F55" s="311"/>
      <c r="G55" s="2"/>
      <c r="M55" s="4"/>
      <c r="N55" s="28" t="str">
        <f>IF($N$54&gt;0,($D$54*-1),"0:00")</f>
        <v>0:00</v>
      </c>
      <c r="O55" s="239" t="str">
        <f ca="1">IF(O50="",0,"")</f>
        <v/>
      </c>
    </row>
    <row r="56" spans="1:22" hidden="1">
      <c r="D56" s="26"/>
      <c r="E56" s="232">
        <f>+H56-F56</f>
        <v>-6.9444444444444447E-4</v>
      </c>
      <c r="F56" s="60">
        <v>6.9444444444444447E-4</v>
      </c>
      <c r="G56" s="124">
        <f ca="1">+$H$56+$D$54</f>
        <v>0</v>
      </c>
      <c r="H56" s="38">
        <f>IF($C$14&gt;DATE(1904,1,1),LOOKUP(10000000,O19:O99),0)</f>
        <v>0</v>
      </c>
      <c r="I56" s="60">
        <f ca="1">+($H$56+$N$16)-J52</f>
        <v>0</v>
      </c>
      <c r="J56" s="233">
        <f ca="1">ROUND(I56*24,2)</f>
        <v>0</v>
      </c>
      <c r="K56">
        <f ca="1">($H$56+$N$16)*24</f>
        <v>0</v>
      </c>
      <c r="L56">
        <f ca="1">ROUND(K56,1)</f>
        <v>0</v>
      </c>
      <c r="M56" s="4"/>
      <c r="N56" s="28"/>
    </row>
    <row r="57" spans="1:22">
      <c r="A57" s="312" t="str">
        <f ca="1">IF(V51&gt;0,"Achtung! Bitte bei den blau markierten Feldern die Regelstunden eintragen.","")</f>
        <v/>
      </c>
      <c r="B57" s="312"/>
      <c r="C57" s="312"/>
      <c r="D57" s="312"/>
      <c r="E57" s="312"/>
      <c r="F57" s="312"/>
      <c r="H57">
        <f>IF($C$14&gt;DATE(1904,1,1),LOOKUP(10000000,O19:O52),0)</f>
        <v>0</v>
      </c>
      <c r="M57" s="143"/>
      <c r="N57" s="28"/>
      <c r="Q57" s="251" t="s">
        <v>32</v>
      </c>
      <c r="R57" s="251"/>
      <c r="S57" s="251"/>
      <c r="T57" s="251"/>
    </row>
    <row r="58" spans="1:22">
      <c r="M58" s="219"/>
      <c r="N58" s="219"/>
      <c r="O58" s="219"/>
      <c r="Q58" s="250">
        <f>+F14-C14</f>
        <v>0</v>
      </c>
      <c r="R58" s="250"/>
    </row>
    <row r="59" spans="1:22">
      <c r="M59" s="143"/>
      <c r="N59" s="28"/>
      <c r="Q59" s="252" t="s">
        <v>33</v>
      </c>
      <c r="R59" s="252"/>
      <c r="S59" s="252"/>
      <c r="T59" s="252"/>
      <c r="U59" s="252"/>
      <c r="V59" s="252"/>
    </row>
    <row r="60" spans="1:22" ht="12.75" customHeight="1">
      <c r="A60" s="29"/>
      <c r="B60" s="11"/>
      <c r="C60" s="11"/>
      <c r="D60" s="11"/>
      <c r="E60" s="11"/>
      <c r="F60" s="57"/>
      <c r="G60" s="11"/>
      <c r="H60" s="30"/>
      <c r="I60" s="30"/>
      <c r="J60" s="31"/>
      <c r="K60" s="31"/>
      <c r="L60" s="31"/>
      <c r="M60" s="143"/>
      <c r="N60" s="28"/>
    </row>
    <row r="61" spans="1:22" ht="12.75" customHeight="1">
      <c r="A61" s="226"/>
      <c r="B61" s="34"/>
      <c r="C61" s="34"/>
      <c r="D61" s="34"/>
      <c r="E61" s="34"/>
      <c r="F61" s="11"/>
      <c r="G61" s="11"/>
      <c r="H61" s="34"/>
      <c r="I61" s="34"/>
      <c r="J61" s="35"/>
      <c r="K61" s="35"/>
      <c r="L61" s="35"/>
    </row>
    <row r="62" spans="1:22" ht="18.75" customHeight="1" thickBot="1">
      <c r="A62" s="203" t="s">
        <v>18</v>
      </c>
      <c r="B62" s="292" t="s">
        <v>19</v>
      </c>
      <c r="C62" s="292"/>
      <c r="D62" s="292"/>
      <c r="E62" s="292"/>
      <c r="F62" s="3"/>
      <c r="G62" s="48"/>
      <c r="H62" s="49" t="s">
        <v>18</v>
      </c>
      <c r="I62" s="292" t="s">
        <v>20</v>
      </c>
      <c r="J62" s="292"/>
      <c r="K62" s="292"/>
      <c r="L62" s="292"/>
    </row>
    <row r="63" spans="1:22" ht="17.25" thickTop="1" thickBot="1">
      <c r="P63" s="160">
        <f ca="1">YEAR($B$17)</f>
        <v>2019</v>
      </c>
      <c r="Q63" s="3"/>
    </row>
    <row r="64" spans="1:22" ht="15.75" thickTop="1">
      <c r="O64" s="218"/>
      <c r="Q64" s="3">
        <f ca="1">MOD(P63,19)</f>
        <v>5</v>
      </c>
      <c r="R64" s="287" t="s">
        <v>34</v>
      </c>
      <c r="S64" s="287"/>
      <c r="T64" s="231"/>
    </row>
    <row r="65" spans="16:20">
      <c r="P65" s="3"/>
      <c r="Q65" s="3">
        <f ca="1">MOD(P63,4)</f>
        <v>3</v>
      </c>
    </row>
    <row r="66" spans="16:20">
      <c r="P66" s="3"/>
      <c r="Q66" s="3">
        <f ca="1">MOD(P63,7)</f>
        <v>3</v>
      </c>
    </row>
    <row r="67" spans="16:20">
      <c r="P67" s="3"/>
      <c r="Q67" s="3">
        <f ca="1">TRUNC((8*(TRUNC(P63/100))+13)/25)-2</f>
        <v>4</v>
      </c>
    </row>
    <row r="68" spans="16:20">
      <c r="P68" s="3"/>
      <c r="Q68" s="3">
        <f ca="1">TRUNC(P63/100)-TRUNC(P63/400)-2</f>
        <v>13</v>
      </c>
    </row>
    <row r="69" spans="16:20">
      <c r="P69" s="3"/>
      <c r="Q69" s="3">
        <f ca="1">MOD(15+Q68-Q67,30)</f>
        <v>24</v>
      </c>
    </row>
    <row r="70" spans="16:20">
      <c r="P70" s="161"/>
      <c r="Q70" s="3">
        <f ca="1">MOD(6+Q68,7)</f>
        <v>5</v>
      </c>
    </row>
    <row r="71" spans="16:20">
      <c r="P71" s="3"/>
      <c r="Q71" s="3">
        <f ca="1">MOD(Q69+19*Q64,30)</f>
        <v>29</v>
      </c>
    </row>
    <row r="72" spans="16:20">
      <c r="P72" s="3"/>
      <c r="Q72" s="3">
        <f ca="1">IF(Q71=29,28,IF(AND(Q71=28,Q64&gt;=11),27,IF(AND(Q71&lt;28,Q71&gt;29),,Q71)))</f>
        <v>28</v>
      </c>
    </row>
    <row r="73" spans="16:20">
      <c r="P73" s="3"/>
      <c r="Q73" s="3">
        <f ca="1">MOD(2*Q65+4*Q66+6*Q72+Q70,7)</f>
        <v>2</v>
      </c>
    </row>
    <row r="74" spans="16:20">
      <c r="P74" s="3"/>
      <c r="Q74" s="3">
        <f ca="1">Q72+Q73+1</f>
        <v>31</v>
      </c>
    </row>
    <row r="75" spans="16:20">
      <c r="P75" s="3"/>
      <c r="Q75" s="3">
        <f>DATEVALUE("21.märz")</f>
        <v>40988</v>
      </c>
    </row>
    <row r="77" spans="16:20">
      <c r="P77" s="183"/>
      <c r="Q77" s="228">
        <f ca="1">+T77</f>
        <v>42004</v>
      </c>
      <c r="R77" s="30" t="s">
        <v>35</v>
      </c>
      <c r="T77" s="229">
        <f ca="1">DATE($P$63,1,1)</f>
        <v>42004</v>
      </c>
    </row>
    <row r="78" spans="16:20">
      <c r="P78" s="2"/>
      <c r="Q78" s="220">
        <f ca="1">+$Q$80-2</f>
        <v>42112</v>
      </c>
      <c r="R78" s="30" t="s">
        <v>36</v>
      </c>
      <c r="S78" s="221"/>
      <c r="T78" s="2"/>
    </row>
    <row r="79" spans="16:20">
      <c r="P79" s="2"/>
      <c r="Q79" s="220">
        <f ca="1">+Q80-1</f>
        <v>42113</v>
      </c>
      <c r="R79" s="30" t="s">
        <v>37</v>
      </c>
      <c r="S79" s="221"/>
      <c r="T79" s="2"/>
    </row>
    <row r="80" spans="16:20">
      <c r="P80" s="222">
        <f ca="1">IF(R80="Ostersonntag",Q74+Q75,"")</f>
        <v>41019</v>
      </c>
      <c r="Q80" s="220">
        <f ca="1">T80</f>
        <v>42114</v>
      </c>
      <c r="R80" s="181" t="str">
        <f ca="1">IF(P63&lt;1583,"Der gregorianische Kalender gilt erst seit dem 15.10.1582  !!!",IF(P63&gt;8202,"Die gauß´sche Osterformel gilt nur bis zum Jahre    8202  !!!","Ostersonntag"))</f>
        <v>Ostersonntag</v>
      </c>
      <c r="S80">
        <f ca="1">DAY(T81)</f>
        <v>21</v>
      </c>
      <c r="T80" s="146">
        <f ca="1">DATE($P$63,S81,S80)</f>
        <v>42114</v>
      </c>
    </row>
    <row r="81" spans="15:20">
      <c r="P81" s="2"/>
      <c r="Q81" s="220">
        <f ca="1">+Q80+1</f>
        <v>42115</v>
      </c>
      <c r="R81" s="223" t="s">
        <v>38</v>
      </c>
      <c r="S81" s="182">
        <f ca="1">MONTH(P80)</f>
        <v>4</v>
      </c>
      <c r="T81" s="183" t="str">
        <f ca="1">DAY(P80)&amp;"."&amp;MONTH(P80)&amp;"."&amp;YEAR($B$17)</f>
        <v>21.4.2019</v>
      </c>
    </row>
    <row r="82" spans="15:20">
      <c r="O82" s="183"/>
      <c r="P82" s="2"/>
      <c r="Q82" s="220">
        <v>40846</v>
      </c>
      <c r="R82" s="224" t="s">
        <v>50</v>
      </c>
      <c r="S82" s="221"/>
      <c r="T82" s="2"/>
    </row>
    <row r="83" spans="15:20">
      <c r="P83" s="2"/>
      <c r="Q83" s="220">
        <f ca="1">+T83</f>
        <v>42124</v>
      </c>
      <c r="R83" s="224" t="s">
        <v>39</v>
      </c>
      <c r="S83" s="221"/>
      <c r="T83" s="144">
        <f ca="1">DATE($P$63,5,1)</f>
        <v>42124</v>
      </c>
    </row>
    <row r="84" spans="15:20">
      <c r="P84" s="2"/>
      <c r="Q84" s="220">
        <f ca="1">+Q80+39</f>
        <v>42153</v>
      </c>
      <c r="R84" s="224" t="s">
        <v>40</v>
      </c>
      <c r="S84" s="221"/>
      <c r="T84" s="2"/>
    </row>
    <row r="85" spans="15:20">
      <c r="P85" s="2"/>
      <c r="Q85" s="220">
        <f ca="1">+Q80+49</f>
        <v>42163</v>
      </c>
      <c r="R85" s="224" t="s">
        <v>41</v>
      </c>
      <c r="S85" s="221"/>
      <c r="T85" s="2"/>
    </row>
    <row r="86" spans="15:20">
      <c r="P86" s="2"/>
      <c r="Q86" s="220">
        <f ca="1">+Q85+1</f>
        <v>42164</v>
      </c>
      <c r="R86" s="224" t="s">
        <v>42</v>
      </c>
      <c r="S86" s="221"/>
      <c r="T86" s="2"/>
    </row>
    <row r="87" spans="15:20">
      <c r="P87" s="2"/>
      <c r="Q87" s="220">
        <f ca="1">+Q80+60</f>
        <v>42174</v>
      </c>
      <c r="R87" s="224" t="s">
        <v>43</v>
      </c>
      <c r="S87" s="221"/>
      <c r="T87" s="2"/>
    </row>
    <row r="88" spans="15:20">
      <c r="P88" s="2"/>
      <c r="Q88" s="220">
        <f ca="1">+T88</f>
        <v>42279</v>
      </c>
      <c r="R88" s="224" t="s">
        <v>44</v>
      </c>
      <c r="S88" s="221"/>
      <c r="T88" s="144">
        <f ca="1">DATE($P$63,10,3)</f>
        <v>42279</v>
      </c>
    </row>
    <row r="89" spans="15:20">
      <c r="P89" s="2"/>
      <c r="Q89" s="220">
        <f ca="1">+T89</f>
        <v>42361</v>
      </c>
      <c r="R89" s="224" t="s">
        <v>45</v>
      </c>
      <c r="S89" s="221"/>
      <c r="T89" s="144">
        <f ca="1">DATE($P$63,12,24)</f>
        <v>42361</v>
      </c>
    </row>
    <row r="90" spans="15:20">
      <c r="P90" s="2"/>
      <c r="Q90" s="220">
        <f ca="1">+Q89+1</f>
        <v>42362</v>
      </c>
      <c r="R90" s="221" t="s">
        <v>46</v>
      </c>
      <c r="S90" s="221"/>
      <c r="T90" s="2"/>
    </row>
    <row r="91" spans="15:20">
      <c r="P91" s="2"/>
      <c r="Q91" s="220">
        <f ca="1">Q90+1</f>
        <v>42363</v>
      </c>
      <c r="R91" s="224" t="s">
        <v>47</v>
      </c>
      <c r="S91" s="221"/>
      <c r="T91" s="2"/>
    </row>
    <row r="92" spans="15:20">
      <c r="P92" s="2"/>
      <c r="Q92" s="220">
        <f ca="1">+Q91+5</f>
        <v>42368</v>
      </c>
      <c r="R92" s="224" t="s">
        <v>48</v>
      </c>
      <c r="S92" s="221"/>
      <c r="T92" s="2"/>
    </row>
    <row r="93" spans="15:20">
      <c r="P93" s="180"/>
      <c r="Q93" s="180"/>
    </row>
    <row r="94" spans="15:20">
      <c r="P94" s="2"/>
      <c r="Q94" s="220"/>
      <c r="R94" s="224"/>
      <c r="S94" s="221"/>
      <c r="T94" s="2"/>
    </row>
    <row r="95" spans="15:20">
      <c r="P95" s="180"/>
      <c r="Q95" s="180"/>
    </row>
  </sheetData>
  <sheetProtection algorithmName="SHA-512" hashValue="VBViUnapXrF+JjL8/drNtWzxS//5utiZvKCzsk132ZTal2+UwJFQi1R71LWlTy5D7jLaz7yGlTnOzv2FtJUfYg==" saltValue="pIzWC9WWqvX5BSOxjs98+Q==" spinCount="100000" sheet="1" objects="1" scenarios="1" selectLockedCells="1"/>
  <customSheetViews>
    <customSheetView guid="{F722B16D-738E-4BDF-960F-9789C414C7F6}" scale="120" showPageBreaks="1" fitToPage="1" hiddenRows="1" topLeftCell="A16">
      <selection activeCell="A21" sqref="A21"/>
      <pageMargins left="0.7" right="0.53125" top="1.2708333333333333" bottom="0.28125" header="0.3" footer="0.3"/>
      <pageSetup paperSize="9" scale="85" orientation="portrait" r:id="rId1"/>
      <headerFooter>
        <oddHeader>&amp;L&amp;"BO Regular Bold,Fett"&amp;12Stundennachweis&amp;"-,Standard"&amp;10
&amp;"BO Regular Normal,Standard"nach §17 MiLoG
für SHK, WHK, studentische Aushilfskräfte TV-L 
und geringfügige Beschäftigte&amp;R&amp;G</oddHeader>
      </headerFooter>
    </customSheetView>
  </customSheetViews>
  <mergeCells count="138">
    <mergeCell ref="R19:T19"/>
    <mergeCell ref="A57:F57"/>
    <mergeCell ref="H1:J1"/>
    <mergeCell ref="B45:C45"/>
    <mergeCell ref="D45:E45"/>
    <mergeCell ref="K45:L45"/>
    <mergeCell ref="B46:C46"/>
    <mergeCell ref="D46:E46"/>
    <mergeCell ref="K46:L46"/>
    <mergeCell ref="B43:C43"/>
    <mergeCell ref="D43:E43"/>
    <mergeCell ref="B41:C41"/>
    <mergeCell ref="D41:E41"/>
    <mergeCell ref="K41:L41"/>
    <mergeCell ref="B42:C42"/>
    <mergeCell ref="D42:E42"/>
    <mergeCell ref="K42:L42"/>
    <mergeCell ref="B39:C39"/>
    <mergeCell ref="D39:E39"/>
    <mergeCell ref="K39:L39"/>
    <mergeCell ref="B40:C40"/>
    <mergeCell ref="D40:E40"/>
    <mergeCell ref="K40:L40"/>
    <mergeCell ref="B37:C37"/>
    <mergeCell ref="K37:L37"/>
    <mergeCell ref="B38:C38"/>
    <mergeCell ref="K52:L52"/>
    <mergeCell ref="K43:L43"/>
    <mergeCell ref="B44:C44"/>
    <mergeCell ref="D44:E44"/>
    <mergeCell ref="K44:L44"/>
    <mergeCell ref="D38:E38"/>
    <mergeCell ref="K38:L38"/>
    <mergeCell ref="D37:E37"/>
    <mergeCell ref="B62:E62"/>
    <mergeCell ref="B49:C49"/>
    <mergeCell ref="D49:E49"/>
    <mergeCell ref="K49:L49"/>
    <mergeCell ref="B50:C50"/>
    <mergeCell ref="D50:E50"/>
    <mergeCell ref="K50:L50"/>
    <mergeCell ref="B47:C47"/>
    <mergeCell ref="D47:E47"/>
    <mergeCell ref="K47:L47"/>
    <mergeCell ref="B48:C48"/>
    <mergeCell ref="D48:E48"/>
    <mergeCell ref="K48:L48"/>
    <mergeCell ref="I62:L62"/>
    <mergeCell ref="A54:C54"/>
    <mergeCell ref="H54:J54"/>
    <mergeCell ref="A55:F55"/>
    <mergeCell ref="K32:L32"/>
    <mergeCell ref="B30:C30"/>
    <mergeCell ref="D30:E30"/>
    <mergeCell ref="K30:L30"/>
    <mergeCell ref="B35:C35"/>
    <mergeCell ref="D35:E35"/>
    <mergeCell ref="K35:L35"/>
    <mergeCell ref="B36:C36"/>
    <mergeCell ref="D36:E36"/>
    <mergeCell ref="K36:L36"/>
    <mergeCell ref="B33:C33"/>
    <mergeCell ref="D33:E33"/>
    <mergeCell ref="K33:L33"/>
    <mergeCell ref="B34:C34"/>
    <mergeCell ref="D34:E34"/>
    <mergeCell ref="K34:L34"/>
    <mergeCell ref="D32:E32"/>
    <mergeCell ref="B31:C31"/>
    <mergeCell ref="D31:E31"/>
    <mergeCell ref="K31:L31"/>
    <mergeCell ref="B32:C32"/>
    <mergeCell ref="M14:N14"/>
    <mergeCell ref="C15:D15"/>
    <mergeCell ref="K15:L15"/>
    <mergeCell ref="B17:K17"/>
    <mergeCell ref="A1:B1"/>
    <mergeCell ref="C1:F1"/>
    <mergeCell ref="K1:L1"/>
    <mergeCell ref="M1:N1"/>
    <mergeCell ref="A3:B3"/>
    <mergeCell ref="C3:F3"/>
    <mergeCell ref="K3:L3"/>
    <mergeCell ref="A9:B9"/>
    <mergeCell ref="C9:D9"/>
    <mergeCell ref="K9:L9"/>
    <mergeCell ref="A11:B11"/>
    <mergeCell ref="C11:D11"/>
    <mergeCell ref="K11:L11"/>
    <mergeCell ref="A5:B5"/>
    <mergeCell ref="C5:F5"/>
    <mergeCell ref="K5:L5"/>
    <mergeCell ref="A14:B14"/>
    <mergeCell ref="A13:B13"/>
    <mergeCell ref="C14:D14"/>
    <mergeCell ref="H14:L14"/>
    <mergeCell ref="D20:E20"/>
    <mergeCell ref="K20:L20"/>
    <mergeCell ref="A16:F16"/>
    <mergeCell ref="B29:C29"/>
    <mergeCell ref="D29:E29"/>
    <mergeCell ref="K29:L29"/>
    <mergeCell ref="B27:C27"/>
    <mergeCell ref="D27:E27"/>
    <mergeCell ref="K27:L27"/>
    <mergeCell ref="B28:C28"/>
    <mergeCell ref="D28:E28"/>
    <mergeCell ref="B21:C21"/>
    <mergeCell ref="D21:E21"/>
    <mergeCell ref="K21:L21"/>
    <mergeCell ref="B22:C22"/>
    <mergeCell ref="D22:E22"/>
    <mergeCell ref="K22:L22"/>
    <mergeCell ref="G16:L16"/>
    <mergeCell ref="Q57:T57"/>
    <mergeCell ref="Q59:V59"/>
    <mergeCell ref="R64:S64"/>
    <mergeCell ref="Q58:R58"/>
    <mergeCell ref="A7:B7"/>
    <mergeCell ref="C7:F7"/>
    <mergeCell ref="K7:L7"/>
    <mergeCell ref="B19:C19"/>
    <mergeCell ref="D19:E19"/>
    <mergeCell ref="K19:L19"/>
    <mergeCell ref="K28:L28"/>
    <mergeCell ref="B23:C23"/>
    <mergeCell ref="D23:E23"/>
    <mergeCell ref="K23:L23"/>
    <mergeCell ref="B24:C24"/>
    <mergeCell ref="D24:E24"/>
    <mergeCell ref="K24:L24"/>
    <mergeCell ref="B26:C26"/>
    <mergeCell ref="D26:E26"/>
    <mergeCell ref="K26:L26"/>
    <mergeCell ref="B25:C25"/>
    <mergeCell ref="D25:E25"/>
    <mergeCell ref="K25:L25"/>
    <mergeCell ref="B20:C20"/>
  </mergeCells>
  <conditionalFormatting sqref="F9">
    <cfRule type="expression" dxfId="1864" priority="688">
      <formula>$F$14&lt;$C$14</formula>
    </cfRule>
  </conditionalFormatting>
  <conditionalFormatting sqref="I51">
    <cfRule type="expression" dxfId="1863" priority="676">
      <formula>WEEKDAY($A51,2)&gt;5</formula>
    </cfRule>
  </conditionalFormatting>
  <conditionalFormatting sqref="I51">
    <cfRule type="cellIs" dxfId="1862" priority="657" operator="lessThan">
      <formula>0</formula>
    </cfRule>
  </conditionalFormatting>
  <conditionalFormatting sqref="G53">
    <cfRule type="expression" dxfId="1861" priority="652">
      <formula>ABS(SUM(#REF!))&gt;$A$61</formula>
    </cfRule>
  </conditionalFormatting>
  <conditionalFormatting sqref="I51">
    <cfRule type="expression" dxfId="1860" priority="878">
      <formula>AND(WEEKDAY($A51,2)=3,$I$6=FALSE)</formula>
    </cfRule>
    <cfRule type="expression" dxfId="1859" priority="879">
      <formula>AND(WEEKDAY($A51,2)=4,$I$8=TRUE)</formula>
    </cfRule>
    <cfRule type="expression" dxfId="1858" priority="880">
      <formula>AND(WEEKDAY($A51,2)=4,$I$8=FALSE)</formula>
    </cfRule>
    <cfRule type="expression" dxfId="1857" priority="881">
      <formula>AND(WEEKDAY($A51,2)=5,$I$10=TRUE)</formula>
    </cfRule>
    <cfRule type="expression" dxfId="1856" priority="882">
      <formula>AND(WEEKDAY($A51,2)=5,$G$14=FALSE)</formula>
    </cfRule>
  </conditionalFormatting>
  <conditionalFormatting sqref="I51">
    <cfRule type="expression" dxfId="1855" priority="923">
      <formula>AND(WEEKDAY($A51,2)=1,$I$2=TRUE)</formula>
    </cfRule>
    <cfRule type="expression" dxfId="1854" priority="924">
      <formula>AND(WEEKDAY($A51,2)=1,$I$2=FALSE)</formula>
    </cfRule>
    <cfRule type="expression" dxfId="1853" priority="925">
      <formula>AND(WEEKDAY($A51,2)=2,$I$4=TRUE)</formula>
    </cfRule>
    <cfRule type="expression" dxfId="1852" priority="926">
      <formula>AND(WEEKDAY($A51,2)=2,$I$4=FALSE)</formula>
    </cfRule>
    <cfRule type="expression" dxfId="1851" priority="927">
      <formula>AND(WEEKDAY($A51,2)=3,$I$6=TRUE)</formula>
    </cfRule>
  </conditionalFormatting>
  <conditionalFormatting sqref="C3">
    <cfRule type="expression" dxfId="1850" priority="596">
      <formula>ISBLANK($C$3)</formula>
    </cfRule>
  </conditionalFormatting>
  <conditionalFormatting sqref="C5">
    <cfRule type="expression" dxfId="1849" priority="595">
      <formula>ISBLANK($C$5)</formula>
    </cfRule>
  </conditionalFormatting>
  <conditionalFormatting sqref="C7">
    <cfRule type="expression" dxfId="1848" priority="594">
      <formula>ISBLANK($C$7)</formula>
    </cfRule>
  </conditionalFormatting>
  <conditionalFormatting sqref="K51">
    <cfRule type="expression" dxfId="1847" priority="928">
      <formula>ABS(SUM(#REF!))&gt;$A$53</formula>
    </cfRule>
  </conditionalFormatting>
  <conditionalFormatting sqref="K3:L3">
    <cfRule type="expression" dxfId="1846" priority="521">
      <formula>AND(I2=TRUE,$C$11&lt;&gt;($K$3+$K$5+$K$7+$K$9+$K$11))</formula>
    </cfRule>
    <cfRule type="expression" dxfId="1845" priority="522">
      <formula>(I2=TRUE)</formula>
    </cfRule>
    <cfRule type="expression" dxfId="1844" priority="523">
      <formula>AND(I2=FALSE,$K$3&gt;0)</formula>
    </cfRule>
  </conditionalFormatting>
  <conditionalFormatting sqref="K7:L7">
    <cfRule type="expression" dxfId="1843" priority="524">
      <formula>AND(I6=TRUE,$C$11&lt;&gt;($K$3+$K$5+$K$7+$K$9+$K$11))</formula>
    </cfRule>
    <cfRule type="expression" dxfId="1842" priority="525">
      <formula>(I6=TRUE)</formula>
    </cfRule>
    <cfRule type="expression" dxfId="1841" priority="526">
      <formula>AND(I6=FALSE,$K$7&gt;0)</formula>
    </cfRule>
  </conditionalFormatting>
  <conditionalFormatting sqref="K11:L11">
    <cfRule type="expression" dxfId="1840" priority="527">
      <formula>AND(I10=TRUE,$C$11&lt;&gt;($K$3+$K$5+$K$7+$K$9+$K$11))</formula>
    </cfRule>
    <cfRule type="expression" dxfId="1839" priority="528">
      <formula>(I10=TRUE)</formula>
    </cfRule>
    <cfRule type="expression" dxfId="1838" priority="529">
      <formula>AND(I10=FALSE,K11&gt;0)</formula>
    </cfRule>
  </conditionalFormatting>
  <conditionalFormatting sqref="K9:L9">
    <cfRule type="expression" dxfId="1837" priority="530">
      <formula>AND(I8=TRUE,$C$11&lt;&gt;($K$3+$K$5+$K$7+$K$9+$K$11))</formula>
    </cfRule>
    <cfRule type="expression" dxfId="1836" priority="531">
      <formula>(I8=TRUE)</formula>
    </cfRule>
    <cfRule type="expression" dxfId="1835" priority="532">
      <formula>AND(I8=FALSE,K9&gt;0)</formula>
    </cfRule>
  </conditionalFormatting>
  <conditionalFormatting sqref="K5:L5">
    <cfRule type="expression" dxfId="1834" priority="519">
      <formula>AND(I4=FALSE,K5&gt;0)</formula>
    </cfRule>
    <cfRule type="expression" dxfId="1833" priority="520">
      <formula>AND(I4=TRUE,$C$11&lt;&gt;($K$3+$K$5+$K$7+$K$9+$K$11))</formula>
    </cfRule>
    <cfRule type="expression" dxfId="1832" priority="533">
      <formula>($I$4=TRUE)</formula>
    </cfRule>
  </conditionalFormatting>
  <conditionalFormatting sqref="J52">
    <cfRule type="cellIs" dxfId="1831" priority="518" operator="lessThan">
      <formula>0</formula>
    </cfRule>
  </conditionalFormatting>
  <conditionalFormatting sqref="F20:F50">
    <cfRule type="expression" dxfId="1830" priority="486">
      <formula>WEEKDAY($A20,2)&gt;5</formula>
    </cfRule>
  </conditionalFormatting>
  <conditionalFormatting sqref="H20:I50">
    <cfRule type="expression" dxfId="1829" priority="485">
      <formula>WEEKDAY($A20,2)&gt;5</formula>
    </cfRule>
  </conditionalFormatting>
  <conditionalFormatting sqref="I20:I50">
    <cfRule type="cellIs" dxfId="1828" priority="482" operator="lessThan">
      <formula>0</formula>
    </cfRule>
  </conditionalFormatting>
  <conditionalFormatting sqref="F20:F50 H20:I50">
    <cfRule type="expression" dxfId="1827" priority="487">
      <formula>AND(WEEKDAY($A20,2)=3,$I$6=FALSE)</formula>
    </cfRule>
    <cfRule type="expression" dxfId="1826" priority="488">
      <formula>AND(WEEKDAY($A20,2)=4,$I$8=TRUE)</formula>
    </cfRule>
    <cfRule type="expression" dxfId="1825" priority="489">
      <formula>AND(WEEKDAY($A20,2)=4,$I$8=FALSE)</formula>
    </cfRule>
    <cfRule type="expression" dxfId="1824" priority="490">
      <formula>AND(WEEKDAY($A20,2)=5,$I$10=TRUE)</formula>
    </cfRule>
    <cfRule type="expression" dxfId="1823" priority="491">
      <formula>AND(WEEKDAY($A20,2)=5,$G$14=FALSE)</formula>
    </cfRule>
  </conditionalFormatting>
  <conditionalFormatting sqref="F20:F50 H20:I50">
    <cfRule type="expression" dxfId="1822" priority="492">
      <formula>AND(WEEKDAY($A20,2)=1,$I$2=TRUE)</formula>
    </cfRule>
    <cfRule type="expression" dxfId="1821" priority="493">
      <formula>AND(WEEKDAY($A20,2)=1,$I$2=FALSE)</formula>
    </cfRule>
    <cfRule type="expression" dxfId="1820" priority="494">
      <formula>AND(WEEKDAY($A20,2)=2,$I$4=TRUE)</formula>
    </cfRule>
    <cfRule type="expression" dxfId="1819" priority="495">
      <formula>AND(WEEKDAY($A20,2)=2,$I$4=FALSE)</formula>
    </cfRule>
    <cfRule type="expression" dxfId="1818" priority="496">
      <formula>AND(WEEKDAY($A20,2)=3,$I$6=TRUE)</formula>
    </cfRule>
  </conditionalFormatting>
  <conditionalFormatting sqref="J20:J50">
    <cfRule type="expression" dxfId="1817" priority="465">
      <formula>WEEKDAY($A20,2)&gt;5</formula>
    </cfRule>
  </conditionalFormatting>
  <conditionalFormatting sqref="J20:J50">
    <cfRule type="cellIs" dxfId="1816" priority="464" operator="lessThan">
      <formula>0</formula>
    </cfRule>
  </conditionalFormatting>
  <conditionalFormatting sqref="J20:J50">
    <cfRule type="expression" dxfId="1815" priority="466">
      <formula>AND(WEEKDAY($A20,2)=3,$I$6=FALSE)</formula>
    </cfRule>
    <cfRule type="expression" dxfId="1814" priority="467">
      <formula>AND(WEEKDAY($A20,2)=4,$I$8=TRUE)</formula>
    </cfRule>
    <cfRule type="expression" dxfId="1813" priority="468">
      <formula>AND(WEEKDAY($A20,2)=4,$I$8=FALSE)</formula>
    </cfRule>
    <cfRule type="expression" dxfId="1812" priority="469">
      <formula>AND(WEEKDAY($A20,2)=5,$I$10=TRUE)</formula>
    </cfRule>
    <cfRule type="expression" dxfId="1811" priority="470">
      <formula>AND(WEEKDAY($A20,2)=5,$G$14=FALSE)</formula>
    </cfRule>
  </conditionalFormatting>
  <conditionalFormatting sqref="J20:J50">
    <cfRule type="expression" dxfId="1810" priority="471">
      <formula>AND(WEEKDAY($A20,2)=1,$I$2=TRUE)</formula>
    </cfRule>
    <cfRule type="expression" dxfId="1809" priority="472">
      <formula>AND(WEEKDAY($A20,2)=1,$I$2=FALSE)</formula>
    </cfRule>
    <cfRule type="expression" dxfId="1808" priority="473">
      <formula>AND(WEEKDAY($A20,2)=2,$I$4=TRUE)</formula>
    </cfRule>
    <cfRule type="expression" dxfId="1807" priority="474">
      <formula>AND(WEEKDAY($A20,2)=2,$I$4=FALSE)</formula>
    </cfRule>
    <cfRule type="expression" dxfId="1806" priority="475">
      <formula>AND(WEEKDAY($A20,2)=3,$I$6=TRUE)</formula>
    </cfRule>
  </conditionalFormatting>
  <conditionalFormatting sqref="C9">
    <cfRule type="expression" dxfId="1805" priority="460">
      <formula>"$C$9&gt;$C$14"</formula>
    </cfRule>
    <cfRule type="expression" dxfId="1804" priority="461">
      <formula>$F$14&lt;$C$14</formula>
    </cfRule>
  </conditionalFormatting>
  <conditionalFormatting sqref="F14">
    <cfRule type="cellIs" dxfId="1803" priority="433" operator="greaterThan">
      <formula>$C$14+30</formula>
    </cfRule>
    <cfRule type="expression" dxfId="1802" priority="458">
      <formula>$F$14&gt;$F$9</formula>
    </cfRule>
    <cfRule type="expression" dxfId="1801" priority="459">
      <formula>$F$14&lt;$C$14</formula>
    </cfRule>
  </conditionalFormatting>
  <conditionalFormatting sqref="C14:D14">
    <cfRule type="expression" dxfId="1800" priority="448">
      <formula>"F14&gt;F9"</formula>
    </cfRule>
    <cfRule type="expression" dxfId="1799" priority="449">
      <formula>$C$14&lt;$C$9</formula>
    </cfRule>
    <cfRule type="expression" dxfId="1798" priority="450">
      <formula>$C$14&gt;$F$9</formula>
    </cfRule>
    <cfRule type="expression" dxfId="1797" priority="451">
      <formula>$F$14&lt;$C$9</formula>
    </cfRule>
  </conditionalFormatting>
  <conditionalFormatting sqref="C14">
    <cfRule type="expression" dxfId="1796" priority="452">
      <formula>$C$14&lt;$C$9</formula>
    </cfRule>
  </conditionalFormatting>
  <conditionalFormatting sqref="G20:G50">
    <cfRule type="containsText" dxfId="1795" priority="435" operator="containsText" text="0,00">
      <formula>NOT(ISERROR(SEARCH("0,00",G20)))</formula>
    </cfRule>
  </conditionalFormatting>
  <conditionalFormatting sqref="G20:G50">
    <cfRule type="expression" dxfId="1794" priority="436">
      <formula>WEEKDAY($A20,2)&gt;5</formula>
    </cfRule>
  </conditionalFormatting>
  <conditionalFormatting sqref="G20:G50">
    <cfRule type="expression" dxfId="1793" priority="437">
      <formula>AND(WEEKDAY($A20,2)=3,$I$6=FALSE)</formula>
    </cfRule>
    <cfRule type="expression" dxfId="1792" priority="438">
      <formula>AND(WEEKDAY($A20,2)=4,$I$8=TRUE)</formula>
    </cfRule>
    <cfRule type="expression" dxfId="1791" priority="439">
      <formula>AND(WEEKDAY($A20,2)=4,$I$8=FALSE)</formula>
    </cfRule>
    <cfRule type="expression" dxfId="1790" priority="440">
      <formula>AND(WEEKDAY($A20,2)=5,$I$10=TRUE)</formula>
    </cfRule>
    <cfRule type="expression" dxfId="1789" priority="441">
      <formula>AND(WEEKDAY($A20,2)=5,$G$14=FALSE)</formula>
    </cfRule>
  </conditionalFormatting>
  <conditionalFormatting sqref="G20:G50">
    <cfRule type="expression" dxfId="1788" priority="442">
      <formula>AND(WEEKDAY($A20,2)=1,$I$2=TRUE)</formula>
    </cfRule>
    <cfRule type="expression" dxfId="1787" priority="443">
      <formula>AND(WEEKDAY($A20,2)=1,$I$2=FALSE)</formula>
    </cfRule>
    <cfRule type="expression" dxfId="1786" priority="444">
      <formula>AND(WEEKDAY($A20,2)=2,$I$4=TRUE)</formula>
    </cfRule>
    <cfRule type="expression" dxfId="1785" priority="445">
      <formula>AND(WEEKDAY($A20,2)=2,$I$4=FALSE)</formula>
    </cfRule>
    <cfRule type="expression" dxfId="1784" priority="446">
      <formula>AND(WEEKDAY($A20,2)=3,$I$6=TRUE)</formula>
    </cfRule>
  </conditionalFormatting>
  <conditionalFormatting sqref="H52">
    <cfRule type="cellIs" dxfId="1783" priority="367" operator="lessThan">
      <formula>0</formula>
    </cfRule>
  </conditionalFormatting>
  <conditionalFormatting sqref="Q94">
    <cfRule type="expression" dxfId="1782" priority="177">
      <formula>AND(WEEKDAY($A94,2)=3,$I$6=FALSE)</formula>
    </cfRule>
    <cfRule type="expression" dxfId="1781" priority="178">
      <formula>AND(WEEKDAY($A94,2)=4,$I$8=TRUE)</formula>
    </cfRule>
    <cfRule type="expression" dxfId="1780" priority="179">
      <formula>AND(WEEKDAY($A94,2)=4,$I$8=FALSE)</formula>
    </cfRule>
    <cfRule type="expression" dxfId="1779" priority="180">
      <formula>AND(WEEKDAY($A94,2)=5,$I$10=TRUE)</formula>
    </cfRule>
    <cfRule type="expression" dxfId="1778" priority="181">
      <formula>AND(WEEKDAY($A94,2)=5,$G$14=FALSE)</formula>
    </cfRule>
  </conditionalFormatting>
  <conditionalFormatting sqref="Q94">
    <cfRule type="expression" dxfId="1777" priority="182">
      <formula>AND(WEEKDAY($A94,2)=1,$I$2=TRUE)</formula>
    </cfRule>
    <cfRule type="expression" dxfId="1776" priority="183">
      <formula>AND(WEEKDAY($A94,2)=1,$I$2=FALSE)</formula>
    </cfRule>
    <cfRule type="expression" dxfId="1775" priority="184">
      <formula>AND(WEEKDAY($A94,2)=2,$I$4=TRUE)</formula>
    </cfRule>
    <cfRule type="expression" dxfId="1774" priority="185">
      <formula>AND(WEEKDAY($A94,2)=2,$I$4=FALSE)</formula>
    </cfRule>
    <cfRule type="expression" dxfId="1773" priority="186">
      <formula>AND(WEEKDAY($A94,2)=3,$I$6=TRUE)</formula>
    </cfRule>
  </conditionalFormatting>
  <conditionalFormatting sqref="Q94">
    <cfRule type="expression" dxfId="1772" priority="176">
      <formula>WEEKDAY($A94,2)&gt;5</formula>
    </cfRule>
  </conditionalFormatting>
  <conditionalFormatting sqref="U20:U50 Q81:Q92 P80 Q77:Q79">
    <cfRule type="expression" dxfId="1771" priority="154">
      <formula>AND(WEEKDAY($A20,2)=3,$I$6=FALSE)</formula>
    </cfRule>
    <cfRule type="expression" dxfId="1770" priority="155">
      <formula>AND(WEEKDAY($A20,2)=4,$I$8=TRUE)</formula>
    </cfRule>
    <cfRule type="expression" dxfId="1769" priority="156">
      <formula>AND(WEEKDAY($A20,2)=4,$I$8=FALSE)</formula>
    </cfRule>
    <cfRule type="expression" dxfId="1768" priority="157">
      <formula>AND(WEEKDAY($A20,2)=5,$I$10=TRUE)</formula>
    </cfRule>
    <cfRule type="expression" dxfId="1767" priority="158">
      <formula>AND(WEEKDAY($A20,2)=5,$G$14=FALSE)</formula>
    </cfRule>
  </conditionalFormatting>
  <conditionalFormatting sqref="U20:U50 Q81:Q92 P80 Q77:Q79">
    <cfRule type="expression" dxfId="1766" priority="159">
      <formula>AND(WEEKDAY($A20,2)=1,$I$2=TRUE)</formula>
    </cfRule>
    <cfRule type="expression" dxfId="1765" priority="160">
      <formula>AND(WEEKDAY($A20,2)=1,$I$2=FALSE)</formula>
    </cfRule>
    <cfRule type="expression" dxfId="1764" priority="161">
      <formula>AND(WEEKDAY($A20,2)=2,$I$4=TRUE)</formula>
    </cfRule>
    <cfRule type="expression" dxfId="1763" priority="162">
      <formula>AND(WEEKDAY($A20,2)=2,$I$4=FALSE)</formula>
    </cfRule>
    <cfRule type="expression" dxfId="1762" priority="163">
      <formula>AND(WEEKDAY($A20,2)=3,$I$6=TRUE)</formula>
    </cfRule>
  </conditionalFormatting>
  <conditionalFormatting sqref="U20:U50">
    <cfRule type="expression" dxfId="1761" priority="153">
      <formula>WEEKDAY($A20,2)&gt;5</formula>
    </cfRule>
  </conditionalFormatting>
  <conditionalFormatting sqref="U20:U50">
    <cfRule type="expression" dxfId="1760" priority="164">
      <formula>#REF!&lt;&gt;""</formula>
    </cfRule>
  </conditionalFormatting>
  <conditionalFormatting sqref="Q81:Q92 P80 Q77:Q79">
    <cfRule type="expression" dxfId="1759" priority="152">
      <formula>WEEKDAY($A77,2)&gt;5</formula>
    </cfRule>
  </conditionalFormatting>
  <conditionalFormatting sqref="Q80">
    <cfRule type="expression" dxfId="1758" priority="142">
      <formula>AND(WEEKDAY($A80,2)=3,$I$6=FALSE)</formula>
    </cfRule>
    <cfRule type="expression" dxfId="1757" priority="143">
      <formula>AND(WEEKDAY($A80,2)=4,$I$8=TRUE)</formula>
    </cfRule>
    <cfRule type="expression" dxfId="1756" priority="144">
      <formula>AND(WEEKDAY($A80,2)=4,$I$8=FALSE)</formula>
    </cfRule>
    <cfRule type="expression" dxfId="1755" priority="145">
      <formula>AND(WEEKDAY($A80,2)=5,$I$10=TRUE)</formula>
    </cfRule>
    <cfRule type="expression" dxfId="1754" priority="146">
      <formula>AND(WEEKDAY($A80,2)=5,$G$14=FALSE)</formula>
    </cfRule>
  </conditionalFormatting>
  <conditionalFormatting sqref="Q80">
    <cfRule type="expression" dxfId="1753" priority="147">
      <formula>AND(WEEKDAY($A80,2)=1,$I$2=TRUE)</formula>
    </cfRule>
    <cfRule type="expression" dxfId="1752" priority="148">
      <formula>AND(WEEKDAY($A80,2)=1,$I$2=FALSE)</formula>
    </cfRule>
    <cfRule type="expression" dxfId="1751" priority="149">
      <formula>AND(WEEKDAY($A80,2)=2,$I$4=TRUE)</formula>
    </cfRule>
    <cfRule type="expression" dxfId="1750" priority="150">
      <formula>AND(WEEKDAY($A80,2)=2,$I$4=FALSE)</formula>
    </cfRule>
    <cfRule type="expression" dxfId="1749" priority="151">
      <formula>AND(WEEKDAY($A80,2)=3,$I$6=TRUE)</formula>
    </cfRule>
  </conditionalFormatting>
  <conditionalFormatting sqref="Q80">
    <cfRule type="expression" dxfId="1748" priority="141">
      <formula>WEEKDAY($A80,2)&gt;5</formula>
    </cfRule>
  </conditionalFormatting>
  <conditionalFormatting sqref="C11:D11">
    <cfRule type="expression" dxfId="1747" priority="82">
      <formula>ISBLANK($C$11)</formula>
    </cfRule>
    <cfRule type="expression" dxfId="1746" priority="83">
      <formula>($C$11/24)&lt;&gt;$M$3</formula>
    </cfRule>
  </conditionalFormatting>
  <conditionalFormatting sqref="B45:E45 B47:E47 B46:D46 A20:A50 B48:D50 B20:D34 B36:D44">
    <cfRule type="expression" dxfId="1745" priority="70">
      <formula>AND(WEEKDAY($A20,2)=3,$I$6=FALSE)</formula>
    </cfRule>
    <cfRule type="expression" dxfId="1744" priority="71">
      <formula>AND(WEEKDAY($A20,2)=4,$I$8=TRUE)</formula>
    </cfRule>
    <cfRule type="expression" dxfId="1743" priority="72">
      <formula>AND(WEEKDAY($A20,2)=4,$I$8=FALSE)</formula>
    </cfRule>
    <cfRule type="expression" dxfId="1742" priority="73">
      <formula>AND(WEEKDAY($A20,2)=5,$I$10=TRUE)</formula>
    </cfRule>
    <cfRule type="expression" dxfId="1741" priority="74">
      <formula>AND(WEEKDAY($A20,2)=5,$G$14=FALSE)</formula>
    </cfRule>
  </conditionalFormatting>
  <conditionalFormatting sqref="A20:E34 A36:E50 A35">
    <cfRule type="expression" dxfId="1740" priority="75">
      <formula>AND(WEEKDAY($A20,2)=1,$I$2=TRUE)</formula>
    </cfRule>
    <cfRule type="expression" dxfId="1739" priority="76">
      <formula>AND(WEEKDAY($A20,2)=1,$I$2=FALSE)</formula>
    </cfRule>
    <cfRule type="expression" dxfId="1738" priority="77">
      <formula>AND(WEEKDAY($A20,2)=2,$I$4=TRUE)</formula>
    </cfRule>
    <cfRule type="expression" dxfId="1737" priority="78">
      <formula>AND(WEEKDAY($A20,2)=2,$I$4=FALSE)</formula>
    </cfRule>
    <cfRule type="expression" dxfId="1736" priority="79">
      <formula>AND(WEEKDAY($A20,2)=3,$I$6=TRUE)</formula>
    </cfRule>
  </conditionalFormatting>
  <conditionalFormatting sqref="A20:E34 A36:E50 A35">
    <cfRule type="expression" dxfId="1735" priority="69">
      <formula>WEEKDAY($A20,2)&gt;5</formula>
    </cfRule>
  </conditionalFormatting>
  <conditionalFormatting sqref="D21:E21">
    <cfRule type="expression" dxfId="1734" priority="68">
      <formula>WEEKDAY($A21,2)&gt;5</formula>
    </cfRule>
  </conditionalFormatting>
  <conditionalFormatting sqref="D27:E27">
    <cfRule type="expression" dxfId="1733" priority="67">
      <formula>WEEKDAY($A27,2)&gt;5</formula>
    </cfRule>
  </conditionalFormatting>
  <conditionalFormatting sqref="D34:E34">
    <cfRule type="expression" dxfId="1732" priority="66">
      <formula>WEEKDAY($A34,2)&gt;5</formula>
    </cfRule>
  </conditionalFormatting>
  <conditionalFormatting sqref="D22:E22">
    <cfRule type="expression" dxfId="1731" priority="65">
      <formula>WEEKDAY($A22,2)&gt;5</formula>
    </cfRule>
  </conditionalFormatting>
  <conditionalFormatting sqref="D28:E28">
    <cfRule type="expression" dxfId="1730" priority="64">
      <formula>WEEKDAY($A28,2)&gt;5</formula>
    </cfRule>
  </conditionalFormatting>
  <conditionalFormatting sqref="D36:E36">
    <cfRule type="expression" dxfId="1729" priority="63">
      <formula>WEEKDAY($A36,2)&gt;5</formula>
    </cfRule>
  </conditionalFormatting>
  <conditionalFormatting sqref="D42:E42">
    <cfRule type="expression" dxfId="1728" priority="62">
      <formula>WEEKDAY($A42,2)&gt;5</formula>
    </cfRule>
  </conditionalFormatting>
  <conditionalFormatting sqref="D41:E41">
    <cfRule type="expression" dxfId="1727" priority="61">
      <formula>WEEKDAY($A41,2)&gt;5</formula>
    </cfRule>
  </conditionalFormatting>
  <conditionalFormatting sqref="D48:E48">
    <cfRule type="expression" dxfId="1726" priority="60">
      <formula>WEEKDAY($A48,2)&gt;5</formula>
    </cfRule>
  </conditionalFormatting>
  <conditionalFormatting sqref="D29:E29">
    <cfRule type="expression" dxfId="1725" priority="58">
      <formula>WEEKDAY($A29,2)&gt;5</formula>
    </cfRule>
  </conditionalFormatting>
  <conditionalFormatting sqref="D41:E41">
    <cfRule type="expression" dxfId="1724" priority="57">
      <formula>WEEKDAY($A41,2)&gt;5</formula>
    </cfRule>
  </conditionalFormatting>
  <conditionalFormatting sqref="D42:E42">
    <cfRule type="expression" dxfId="1723" priority="56">
      <formula>WEEKDAY($A42,2)&gt;5</formula>
    </cfRule>
  </conditionalFormatting>
  <conditionalFormatting sqref="D43:E43">
    <cfRule type="expression" dxfId="1722" priority="55">
      <formula>WEEKDAY($A43,2)&gt;5</formula>
    </cfRule>
  </conditionalFormatting>
  <conditionalFormatting sqref="D41:E41">
    <cfRule type="expression" dxfId="1721" priority="54">
      <formula>WEEKDAY($A41,2)&gt;5</formula>
    </cfRule>
  </conditionalFormatting>
  <conditionalFormatting sqref="D42:E42">
    <cfRule type="expression" dxfId="1720" priority="53">
      <formula>WEEKDAY($A42,2)&gt;5</formula>
    </cfRule>
  </conditionalFormatting>
  <conditionalFormatting sqref="D36:E36">
    <cfRule type="expression" dxfId="1719" priority="51">
      <formula>WEEKDAY($A36,2)&gt;5</formula>
    </cfRule>
  </conditionalFormatting>
  <conditionalFormatting sqref="D36:E36">
    <cfRule type="expression" dxfId="1718" priority="49">
      <formula>WEEKDAY($A36,2)&gt;5</formula>
    </cfRule>
  </conditionalFormatting>
  <conditionalFormatting sqref="D23:E23">
    <cfRule type="expression" dxfId="1717" priority="48">
      <formula>WEEKDAY($A23,2)&gt;5</formula>
    </cfRule>
  </conditionalFormatting>
  <conditionalFormatting sqref="D49:E49">
    <cfRule type="expression" dxfId="1716" priority="47">
      <formula>WEEKDAY($A49,2)&gt;5</formula>
    </cfRule>
  </conditionalFormatting>
  <conditionalFormatting sqref="D41:E41">
    <cfRule type="expression" dxfId="1715" priority="46">
      <formula>WEEKDAY($A41,2)&gt;5</formula>
    </cfRule>
  </conditionalFormatting>
  <conditionalFormatting sqref="D41:E41">
    <cfRule type="expression" dxfId="1714" priority="45">
      <formula>WEEKDAY($A41,2)&gt;5</formula>
    </cfRule>
  </conditionalFormatting>
  <conditionalFormatting sqref="D41:E41">
    <cfRule type="expression" dxfId="1713" priority="44">
      <formula>WEEKDAY($A41,2)&gt;5</formula>
    </cfRule>
  </conditionalFormatting>
  <conditionalFormatting sqref="A20:A50">
    <cfRule type="expression" dxfId="1712" priority="42">
      <formula>V20&lt;&gt;""</formula>
    </cfRule>
    <cfRule type="expression" dxfId="1711" priority="43">
      <formula>T20&lt;&gt;""</formula>
    </cfRule>
    <cfRule type="expression" dxfId="1710" priority="80">
      <formula>T20&lt;&gt;""</formula>
    </cfRule>
  </conditionalFormatting>
  <conditionalFormatting sqref="B20:B34 B36:B50">
    <cfRule type="expression" dxfId="1709" priority="81">
      <formula>#REF!&lt;&gt;""</formula>
    </cfRule>
  </conditionalFormatting>
  <conditionalFormatting sqref="D29:E29">
    <cfRule type="expression" dxfId="1708" priority="41">
      <formula>WEEKDAY($A29,2)&gt;5</formula>
    </cfRule>
  </conditionalFormatting>
  <conditionalFormatting sqref="D30:E30">
    <cfRule type="expression" dxfId="1707" priority="40">
      <formula>WEEKDAY($A30,2)&gt;5</formula>
    </cfRule>
  </conditionalFormatting>
  <conditionalFormatting sqref="D31:E31">
    <cfRule type="expression" dxfId="1706" priority="39">
      <formula>WEEKDAY($A31,2)&gt;5</formula>
    </cfRule>
  </conditionalFormatting>
  <conditionalFormatting sqref="D36:E36">
    <cfRule type="expression" dxfId="1705" priority="38">
      <formula>WEEKDAY($A36,2)&gt;5</formula>
    </cfRule>
  </conditionalFormatting>
  <conditionalFormatting sqref="D37:E37">
    <cfRule type="expression" dxfId="1704" priority="37">
      <formula>WEEKDAY($A37,2)&gt;5</formula>
    </cfRule>
  </conditionalFormatting>
  <conditionalFormatting sqref="D38:E38">
    <cfRule type="expression" dxfId="1703" priority="36">
      <formula>WEEKDAY($A38,2)&gt;5</formula>
    </cfRule>
  </conditionalFormatting>
  <conditionalFormatting sqref="D42:E42">
    <cfRule type="expression" dxfId="1702" priority="35">
      <formula>WEEKDAY($A42,2)&gt;5</formula>
    </cfRule>
  </conditionalFormatting>
  <conditionalFormatting sqref="D43:E43">
    <cfRule type="expression" dxfId="1701" priority="34">
      <formula>WEEKDAY($A43,2)&gt;5</formula>
    </cfRule>
  </conditionalFormatting>
  <conditionalFormatting sqref="D44:E44">
    <cfRule type="expression" dxfId="1700" priority="33">
      <formula>WEEKDAY($A44,2)&gt;5</formula>
    </cfRule>
  </conditionalFormatting>
  <conditionalFormatting sqref="D33:E33">
    <cfRule type="expression" dxfId="1699" priority="32">
      <formula>WEEKDAY($A33,2)&gt;5</formula>
    </cfRule>
  </conditionalFormatting>
  <conditionalFormatting sqref="D40:E40">
    <cfRule type="expression" dxfId="1698" priority="31">
      <formula>WEEKDAY($A40,2)&gt;5</formula>
    </cfRule>
  </conditionalFormatting>
  <conditionalFormatting sqref="K20:K50">
    <cfRule type="expression" dxfId="1697" priority="21">
      <formula>AND(WEEKDAY($A20,2)=3,$I$6=FALSE)</formula>
    </cfRule>
    <cfRule type="expression" dxfId="1696" priority="22">
      <formula>AND(WEEKDAY($A20,2)=4,$I$8=TRUE)</formula>
    </cfRule>
    <cfRule type="expression" dxfId="1695" priority="23">
      <formula>AND(WEEKDAY($A20,2)=4,$I$8=FALSE)</formula>
    </cfRule>
    <cfRule type="expression" dxfId="1694" priority="24">
      <formula>AND(WEEKDAY($A20,2)=5,$I$10=TRUE)</formula>
    </cfRule>
    <cfRule type="expression" dxfId="1693" priority="25">
      <formula>AND(WEEKDAY($A20,2)=5,$G$14=FALSE)</formula>
    </cfRule>
  </conditionalFormatting>
  <conditionalFormatting sqref="K20:L50">
    <cfRule type="expression" dxfId="1692" priority="26">
      <formula>AND(WEEKDAY($A20,2)=1,$I$2=TRUE)</formula>
    </cfRule>
    <cfRule type="expression" dxfId="1691" priority="27">
      <formula>AND(WEEKDAY($A20,2)=1,$I$2=FALSE)</formula>
    </cfRule>
    <cfRule type="expression" dxfId="1690" priority="28">
      <formula>AND(WEEKDAY($A20,2)=2,$I$4=TRUE)</formula>
    </cfRule>
    <cfRule type="expression" dxfId="1689" priority="29">
      <formula>AND(WEEKDAY($A20,2)=2,$I$4=FALSE)</formula>
    </cfRule>
    <cfRule type="expression" dxfId="1688" priority="30">
      <formula>AND(WEEKDAY($A20,2)=3,$I$6=TRUE)</formula>
    </cfRule>
  </conditionalFormatting>
  <conditionalFormatting sqref="K20:L50">
    <cfRule type="containsText" dxfId="1687" priority="16" operator="containsText" text="Angaben überprüfen">
      <formula>NOT(ISERROR(SEARCH("Angaben überprüfen",K20)))</formula>
    </cfRule>
    <cfRule type="cellIs" dxfId="1686" priority="17" operator="equal">
      <formula>"30 min. Pause erforderlich"</formula>
    </cfRule>
    <cfRule type="expression" dxfId="1685" priority="20">
      <formula>WEEKDAY($A20,2)&gt;5</formula>
    </cfRule>
  </conditionalFormatting>
  <conditionalFormatting sqref="K20:L50">
    <cfRule type="expression" dxfId="1684" priority="19">
      <formula>WEEKDAY($A20,2)&gt;5</formula>
    </cfRule>
  </conditionalFormatting>
  <conditionalFormatting sqref="K20:L50">
    <cfRule type="expression" dxfId="1683" priority="18">
      <formula>WEEKDAY($A20,2)&gt;5</formula>
    </cfRule>
  </conditionalFormatting>
  <conditionalFormatting sqref="B17:K17">
    <cfRule type="expression" dxfId="1682" priority="14">
      <formula>ISBLANK($C$14)</formula>
    </cfRule>
  </conditionalFormatting>
  <conditionalFormatting sqref="C1">
    <cfRule type="expression" dxfId="1681" priority="13">
      <formula>ISBLANK($C$1)</formula>
    </cfRule>
  </conditionalFormatting>
  <conditionalFormatting sqref="B35:D35">
    <cfRule type="expression" dxfId="1680" priority="2">
      <formula>AND(WEEKDAY($A35,2)=3,$I$6=FALSE)</formula>
    </cfRule>
    <cfRule type="expression" dxfId="1679" priority="3">
      <formula>AND(WEEKDAY($A35,2)=4,$I$8=TRUE)</formula>
    </cfRule>
    <cfRule type="expression" dxfId="1678" priority="4">
      <formula>AND(WEEKDAY($A35,2)=4,$I$8=FALSE)</formula>
    </cfRule>
    <cfRule type="expression" dxfId="1677" priority="5">
      <formula>AND(WEEKDAY($A35,2)=5,$I$10=TRUE)</formula>
    </cfRule>
    <cfRule type="expression" dxfId="1676" priority="6">
      <formula>AND(WEEKDAY($A35,2)=5,$G$14=FALSE)</formula>
    </cfRule>
  </conditionalFormatting>
  <conditionalFormatting sqref="B35:E35">
    <cfRule type="expression" dxfId="1675" priority="7">
      <formula>AND(WEEKDAY($A35,2)=1,$I$2=TRUE)</formula>
    </cfRule>
    <cfRule type="expression" dxfId="1674" priority="8">
      <formula>AND(WEEKDAY($A35,2)=1,$I$2=FALSE)</formula>
    </cfRule>
    <cfRule type="expression" dxfId="1673" priority="9">
      <formula>AND(WEEKDAY($A35,2)=2,$I$4=TRUE)</formula>
    </cfRule>
    <cfRule type="expression" dxfId="1672" priority="10">
      <formula>AND(WEEKDAY($A35,2)=2,$I$4=FALSE)</formula>
    </cfRule>
    <cfRule type="expression" dxfId="1671" priority="11">
      <formula>AND(WEEKDAY($A35,2)=3,$I$6=TRUE)</formula>
    </cfRule>
  </conditionalFormatting>
  <conditionalFormatting sqref="B35:E35">
    <cfRule type="expression" dxfId="1670" priority="1">
      <formula>WEEKDAY($A35,2)&gt;5</formula>
    </cfRule>
  </conditionalFormatting>
  <conditionalFormatting sqref="B35">
    <cfRule type="expression" dxfId="1669" priority="12">
      <formula>#REF!&lt;&gt;""</formula>
    </cfRule>
  </conditionalFormatting>
  <dataValidations count="6">
    <dataValidation type="date" allowBlank="1" showInputMessage="1" showErrorMessage="1" error="Kein Datumsformat" prompt="TT.MM.JJJJ" sqref="F9">
      <formula1>40178</formula1>
      <formula2>71588</formula2>
    </dataValidation>
    <dataValidation type="decimal" allowBlank="1" showInputMessage="1" showErrorMessage="1" errorTitle="Achtung" error="Kein Dezimalwert" sqref="K3:L11">
      <formula1>0.25</formula1>
      <formula2>24</formula2>
    </dataValidation>
    <dataValidation type="date" allowBlank="1" showInputMessage="1" showErrorMessage="1" error="Kein gültiges Datum" prompt="TT.MM.JJJJ" sqref="C9:D9 F14 C14:D14">
      <formula1>40178</formula1>
      <formula2>71588</formula2>
    </dataValidation>
    <dataValidation type="decimal" allowBlank="1" showInputMessage="1" showErrorMessage="1" errorTitle="Falsches Zahlenformat" error="Bitte nur ganze Zahlen oder Dezimal eingeben." promptTitle="                 INFO" prompt="_x000a_Beim Ausfüllen unbedingt den Leitfaden zum Arbeitszeitkonto beachten_x000a_ -Siehe Hilfebutton" sqref="C11:D11">
      <formula1>1</formula1>
      <formula2>40</formula2>
    </dataValidation>
    <dataValidation type="textLength" operator="greaterThan" allowBlank="1" showInputMessage="1" showErrorMessage="1" errorTitle="Arbeitszeitkonto beendet" error="Ihr Arbeitszeitkonto überschreitet 12 Monate und ist damit beendet. Bitte erstellen Sie ein neues Konto." sqref="G16:L16">
      <formula1>40</formula1>
    </dataValidation>
    <dataValidation type="time" errorStyle="warning" allowBlank="1" showInputMessage="1" showErrorMessage="1" error="Außerhalb des Arbeitszeitrahmens" sqref="B20:E50">
      <formula1>0.25</formula1>
      <formula2>0.958333333333333</formula2>
    </dataValidation>
  </dataValidations>
  <pageMargins left="0.7" right="0.53156250000000005" top="1.6752083333333334" bottom="0.28125" header="0.47125" footer="0.3"/>
  <pageSetup paperSize="9" scale="88" orientation="portrait" r:id="rId2"/>
  <headerFooter>
    <oddHeader>&amp;L&amp;"BO Regular Bold,Fett"&amp;12Stundennachweis&amp;"-,Standard"&amp;10
&amp;"BO Regular Normal,Standard"nach §17 MiLoG
für SHK, WHK, studentische Aushilfskräfte TV-L 
und geringfügig Beschäftigte&amp;R&amp;G</oddHeader>
  </headerFooter>
  <ignoredErrors>
    <ignoredError sqref="C4:F4 C6:F6 C2:F2 C3:F3 C7:F7 C5:F5 K51:L51 K20:L50 C1" unlockedFormula="1"/>
  </ignoredErrors>
  <drawing r:id="rId3"/>
  <legacyDrawing r:id="rId4"/>
  <legacyDrawingHF r:id="rId5"/>
  <mc:AlternateContent xmlns:mc="http://schemas.openxmlformats.org/markup-compatibility/2006">
    <mc:Choice Requires="x14">
      <controls>
        <mc:AlternateContent xmlns:mc="http://schemas.openxmlformats.org/markup-compatibility/2006">
          <mc:Choice Requires="x14">
            <control shapeId="5121" r:id="rId6" name="Check Box 1">
              <controlPr locked="0" defaultSize="0" autoFill="0" autoLine="0" autoPict="0">
                <anchor moveWithCells="1">
                  <from>
                    <xdr:col>7</xdr:col>
                    <xdr:colOff>266700</xdr:colOff>
                    <xdr:row>1</xdr:row>
                    <xdr:rowOff>76200</xdr:rowOff>
                  </from>
                  <to>
                    <xdr:col>10</xdr:col>
                    <xdr:colOff>228600</xdr:colOff>
                    <xdr:row>3</xdr:row>
                    <xdr:rowOff>19050</xdr:rowOff>
                  </to>
                </anchor>
              </controlPr>
            </control>
          </mc:Choice>
        </mc:AlternateContent>
        <mc:AlternateContent xmlns:mc="http://schemas.openxmlformats.org/markup-compatibility/2006">
          <mc:Choice Requires="x14">
            <control shapeId="5122" r:id="rId7" name="Check Box 2">
              <controlPr locked="0" defaultSize="0" autoFill="0" autoLine="0" autoPict="0">
                <anchor moveWithCells="1">
                  <from>
                    <xdr:col>7</xdr:col>
                    <xdr:colOff>266700</xdr:colOff>
                    <xdr:row>4</xdr:row>
                    <xdr:rowOff>28575</xdr:rowOff>
                  </from>
                  <to>
                    <xdr:col>10</xdr:col>
                    <xdr:colOff>400050</xdr:colOff>
                    <xdr:row>4</xdr:row>
                    <xdr:rowOff>190500</xdr:rowOff>
                  </to>
                </anchor>
              </controlPr>
            </control>
          </mc:Choice>
        </mc:AlternateContent>
        <mc:AlternateContent xmlns:mc="http://schemas.openxmlformats.org/markup-compatibility/2006">
          <mc:Choice Requires="x14">
            <control shapeId="5123" r:id="rId8" name="Check Box 3">
              <controlPr locked="0" defaultSize="0" autoFill="0" autoLine="0" autoPict="0">
                <anchor moveWithCells="1">
                  <from>
                    <xdr:col>7</xdr:col>
                    <xdr:colOff>266700</xdr:colOff>
                    <xdr:row>5</xdr:row>
                    <xdr:rowOff>85725</xdr:rowOff>
                  </from>
                  <to>
                    <xdr:col>10</xdr:col>
                    <xdr:colOff>371475</xdr:colOff>
                    <xdr:row>7</xdr:row>
                    <xdr:rowOff>0</xdr:rowOff>
                  </to>
                </anchor>
              </controlPr>
            </control>
          </mc:Choice>
        </mc:AlternateContent>
        <mc:AlternateContent xmlns:mc="http://schemas.openxmlformats.org/markup-compatibility/2006">
          <mc:Choice Requires="x14">
            <control shapeId="5124" r:id="rId9" name="Check Box 4">
              <controlPr locked="0" defaultSize="0" autoFill="0" autoLine="0" autoPict="0">
                <anchor moveWithCells="1">
                  <from>
                    <xdr:col>7</xdr:col>
                    <xdr:colOff>266700</xdr:colOff>
                    <xdr:row>7</xdr:row>
                    <xdr:rowOff>76200</xdr:rowOff>
                  </from>
                  <to>
                    <xdr:col>10</xdr:col>
                    <xdr:colOff>333375</xdr:colOff>
                    <xdr:row>9</xdr:row>
                    <xdr:rowOff>9525</xdr:rowOff>
                  </to>
                </anchor>
              </controlPr>
            </control>
          </mc:Choice>
        </mc:AlternateContent>
        <mc:AlternateContent xmlns:mc="http://schemas.openxmlformats.org/markup-compatibility/2006">
          <mc:Choice Requires="x14">
            <control shapeId="5125" r:id="rId10" name="Check Box 5">
              <controlPr locked="0" defaultSize="0" autoFill="0" autoLine="0" autoPict="0">
                <anchor moveWithCells="1">
                  <from>
                    <xdr:col>7</xdr:col>
                    <xdr:colOff>266700</xdr:colOff>
                    <xdr:row>10</xdr:row>
                    <xdr:rowOff>9525</xdr:rowOff>
                  </from>
                  <to>
                    <xdr:col>10</xdr:col>
                    <xdr:colOff>457200</xdr:colOff>
                    <xdr:row>11</xdr:row>
                    <xdr:rowOff>19050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15" operator="containsText" id="{1B2E7A73-E57E-4A89-9F80-1099A65E5C8B}">
            <xm:f>NOT(ISERROR(SEARCH("45 min. Pause erforderlich",K20)))</xm:f>
            <xm:f>"45 min. Pause erforderlich"</xm:f>
            <x14:dxf>
              <font>
                <b/>
                <i val="0"/>
                <color rgb="FFA50021"/>
              </font>
            </x14:dxf>
          </x14:cfRule>
          <xm:sqref>K20:L50</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dimension ref="A1:V95"/>
  <sheetViews>
    <sheetView showGridLines="0" showRowColHeaders="0" view="pageLayout" zoomScaleNormal="100" workbookViewId="0">
      <selection activeCell="C11" sqref="C11:D11"/>
    </sheetView>
  </sheetViews>
  <sheetFormatPr baseColWidth="10" defaultColWidth="12.42578125" defaultRowHeight="15"/>
  <cols>
    <col min="1" max="1" width="12.28515625" customWidth="1"/>
    <col min="2" max="2" width="8.42578125" customWidth="1"/>
    <col min="3" max="3" width="5" customWidth="1"/>
    <col min="4" max="4" width="6" customWidth="1"/>
    <col min="5" max="5" width="10.7109375" customWidth="1"/>
    <col min="6" max="6" width="12.140625" customWidth="1"/>
    <col min="7" max="7" width="7.7109375" customWidth="1"/>
    <col min="8" max="8" width="8.7109375" bestFit="1" customWidth="1"/>
    <col min="9" max="9" width="6.5703125" hidden="1" customWidth="1"/>
    <col min="10" max="10" width="11.85546875" customWidth="1"/>
    <col min="11" max="11" width="11.140625" customWidth="1"/>
    <col min="12" max="12" width="5.7109375" customWidth="1"/>
    <col min="13" max="13" width="5.28515625" style="37" hidden="1" customWidth="1"/>
    <col min="14" max="14" width="5.85546875" style="33" hidden="1" customWidth="1"/>
    <col min="15" max="15" width="8.7109375" hidden="1" customWidth="1"/>
    <col min="16" max="16" width="8.42578125" hidden="1" customWidth="1"/>
    <col min="17" max="17" width="8.140625" hidden="1" customWidth="1"/>
    <col min="18" max="18" width="21.28515625" hidden="1" customWidth="1"/>
    <col min="19" max="20" width="11.85546875" hidden="1" customWidth="1"/>
    <col min="21" max="21" width="1.7109375" hidden="1" customWidth="1"/>
    <col min="22" max="22" width="2" hidden="1" customWidth="1"/>
    <col min="23" max="16353" width="12.42578125" customWidth="1"/>
    <col min="16354" max="16354" width="3.7109375" customWidth="1"/>
    <col min="16355" max="16384" width="4.42578125" customWidth="1"/>
  </cols>
  <sheetData>
    <row r="1" spans="1:20" s="2" customFormat="1" ht="18" customHeight="1">
      <c r="A1" s="254" t="s">
        <v>0</v>
      </c>
      <c r="B1" s="254"/>
      <c r="C1" s="255" t="str">
        <f>IF('Blatt 1'!C1:F1="","",'Blatt 1'!C1:F1)</f>
        <v/>
      </c>
      <c r="D1" s="255"/>
      <c r="E1" s="255"/>
      <c r="F1" s="255"/>
      <c r="G1" s="1"/>
      <c r="H1" s="260" t="s">
        <v>1</v>
      </c>
      <c r="I1" s="260"/>
      <c r="J1" s="260"/>
      <c r="K1" s="259" t="s">
        <v>2</v>
      </c>
      <c r="L1" s="259"/>
      <c r="M1" s="253" t="s">
        <v>3</v>
      </c>
      <c r="N1" s="253"/>
      <c r="O1" s="253"/>
    </row>
    <row r="2" spans="1:20" ht="7.5" customHeight="1">
      <c r="A2" s="80"/>
      <c r="B2" s="80"/>
      <c r="C2" s="61"/>
      <c r="D2" s="61"/>
      <c r="E2" s="61"/>
      <c r="F2" s="61"/>
      <c r="G2" s="3"/>
      <c r="H2" s="3"/>
      <c r="I2" s="6" t="b">
        <v>0</v>
      </c>
      <c r="J2" s="3"/>
      <c r="K2" s="3"/>
      <c r="M2" s="4"/>
      <c r="N2" s="5"/>
    </row>
    <row r="3" spans="1:20" s="2" customFormat="1" ht="15.75">
      <c r="A3" s="254" t="s">
        <v>4</v>
      </c>
      <c r="B3" s="254"/>
      <c r="C3" s="255" t="str">
        <f>IF('Blatt 1'!C3:F3="","",'Blatt 1'!C3:F3)</f>
        <v/>
      </c>
      <c r="D3" s="255"/>
      <c r="E3" s="255"/>
      <c r="F3" s="255"/>
      <c r="H3" s="47"/>
      <c r="I3" s="55"/>
      <c r="J3" s="8"/>
      <c r="K3" s="323"/>
      <c r="L3" s="323"/>
      <c r="M3" s="9">
        <f>($K$3+$K$5+$K$7+$K$9+$K$11)/24</f>
        <v>0</v>
      </c>
      <c r="N3" s="10"/>
    </row>
    <row r="4" spans="1:20" ht="7.5" customHeight="1">
      <c r="A4" s="80"/>
      <c r="B4" s="80"/>
      <c r="C4" s="62"/>
      <c r="D4" s="62"/>
      <c r="E4" s="62"/>
      <c r="F4" s="62"/>
      <c r="H4" s="3"/>
      <c r="I4" s="6" t="b">
        <v>0</v>
      </c>
      <c r="J4" s="3"/>
      <c r="K4" s="73"/>
      <c r="L4" s="74"/>
      <c r="M4" s="68"/>
      <c r="N4" s="5"/>
    </row>
    <row r="5" spans="1:20" s="2" customFormat="1" ht="15.75">
      <c r="A5" s="254" t="s">
        <v>5</v>
      </c>
      <c r="B5" s="254"/>
      <c r="C5" s="256" t="str">
        <f>IF('Blatt 1'!C5:F5="","",'Blatt 1'!C5:F5)</f>
        <v/>
      </c>
      <c r="D5" s="255"/>
      <c r="E5" s="255"/>
      <c r="F5" s="255"/>
      <c r="H5" s="47"/>
      <c r="I5" s="55"/>
      <c r="J5" s="8"/>
      <c r="K5" s="300"/>
      <c r="L5" s="300"/>
      <c r="M5" s="68"/>
      <c r="N5" s="5"/>
    </row>
    <row r="6" spans="1:20" ht="7.5" customHeight="1">
      <c r="A6" s="80"/>
      <c r="B6" s="80"/>
      <c r="C6" s="62"/>
      <c r="D6" s="62"/>
      <c r="E6" s="62"/>
      <c r="F6" s="62"/>
      <c r="H6" s="3"/>
      <c r="I6" s="6" t="b">
        <v>0</v>
      </c>
      <c r="J6" s="3"/>
      <c r="K6" s="73"/>
      <c r="L6" s="74"/>
      <c r="M6" s="68"/>
      <c r="N6" s="5"/>
    </row>
    <row r="7" spans="1:20" s="2" customFormat="1" ht="15.75">
      <c r="A7" s="254" t="s">
        <v>6</v>
      </c>
      <c r="B7" s="254"/>
      <c r="C7" s="258" t="str">
        <f>IF('Blatt 1'!C7:F7="","",'Blatt 1'!C7:F7)</f>
        <v/>
      </c>
      <c r="D7" s="258"/>
      <c r="E7" s="258"/>
      <c r="F7" s="258"/>
      <c r="H7" s="11"/>
      <c r="I7" s="55"/>
      <c r="J7" s="11"/>
      <c r="K7" s="300"/>
      <c r="L7" s="300"/>
      <c r="M7" s="68"/>
      <c r="N7" s="5"/>
    </row>
    <row r="8" spans="1:20" ht="7.5" customHeight="1">
      <c r="A8" s="80"/>
      <c r="B8" s="80"/>
      <c r="C8" s="62"/>
      <c r="D8" s="62"/>
      <c r="E8" s="62"/>
      <c r="F8" s="62"/>
      <c r="H8" s="3"/>
      <c r="I8" s="6" t="b">
        <v>0</v>
      </c>
      <c r="J8" s="3"/>
      <c r="K8" s="73"/>
      <c r="L8" s="74"/>
      <c r="M8" s="68"/>
      <c r="N8" s="5"/>
    </row>
    <row r="9" spans="1:20" ht="15.75">
      <c r="A9" s="254" t="s">
        <v>146</v>
      </c>
      <c r="B9" s="254"/>
      <c r="C9" s="265"/>
      <c r="D9" s="265"/>
      <c r="E9" s="82" t="s">
        <v>7</v>
      </c>
      <c r="F9" s="63"/>
      <c r="H9" s="3"/>
      <c r="I9" s="55"/>
      <c r="J9" s="3"/>
      <c r="K9" s="300"/>
      <c r="L9" s="300"/>
      <c r="M9" s="68"/>
      <c r="N9" s="5"/>
    </row>
    <row r="10" spans="1:20" ht="7.5" customHeight="1">
      <c r="A10" s="80"/>
      <c r="B10" s="80"/>
      <c r="C10" s="62"/>
      <c r="D10" s="62"/>
      <c r="E10" s="80"/>
      <c r="F10" s="62"/>
      <c r="H10" s="3"/>
      <c r="I10" s="12" t="b">
        <v>0</v>
      </c>
      <c r="J10" s="3"/>
      <c r="K10" s="73"/>
      <c r="L10" s="74"/>
      <c r="M10" s="68"/>
      <c r="N10" s="5"/>
    </row>
    <row r="11" spans="1:20" ht="15.75">
      <c r="A11" s="254" t="s">
        <v>8</v>
      </c>
      <c r="B11" s="254"/>
      <c r="C11" s="267"/>
      <c r="D11" s="267"/>
      <c r="E11" s="83" t="s">
        <v>9</v>
      </c>
      <c r="F11" s="64"/>
      <c r="H11" s="3"/>
      <c r="I11" s="12"/>
      <c r="J11" s="3"/>
      <c r="K11" s="300"/>
      <c r="L11" s="300"/>
      <c r="M11" s="68"/>
      <c r="N11" s="5"/>
      <c r="S11" s="146"/>
      <c r="T11" s="146"/>
    </row>
    <row r="12" spans="1:20" ht="7.5" customHeight="1">
      <c r="A12" s="78"/>
      <c r="B12" s="78"/>
      <c r="C12" s="65"/>
      <c r="D12" s="65"/>
      <c r="E12" s="84"/>
      <c r="F12" s="51"/>
      <c r="H12" s="50"/>
      <c r="I12" s="55"/>
      <c r="J12" s="3"/>
      <c r="K12" s="50"/>
      <c r="L12" s="50"/>
      <c r="M12" s="4"/>
      <c r="N12" s="5"/>
      <c r="S12" s="146"/>
    </row>
    <row r="13" spans="1:20" ht="4.5" customHeight="1">
      <c r="A13" s="254"/>
      <c r="B13" s="254"/>
      <c r="C13" s="65"/>
      <c r="D13" s="65"/>
      <c r="E13" s="80"/>
      <c r="F13" s="62"/>
      <c r="H13" s="3"/>
      <c r="I13" s="55"/>
      <c r="J13" s="3"/>
      <c r="M13" s="4"/>
      <c r="N13" s="5"/>
    </row>
    <row r="14" spans="1:20" ht="16.5" customHeight="1">
      <c r="A14" s="305" t="s">
        <v>141</v>
      </c>
      <c r="B14" s="305"/>
      <c r="C14" s="306"/>
      <c r="D14" s="306"/>
      <c r="E14" s="196" t="s">
        <v>7</v>
      </c>
      <c r="F14" s="66"/>
      <c r="G14" s="52" t="b">
        <v>0</v>
      </c>
      <c r="H14" s="320" t="str">
        <f>IF($C$14="","",IF(AND($O$16&lt;&gt;$C$14,$O$16&lt;$F$9),"Achtung! Stundennachweis unterbrochen",""))</f>
        <v/>
      </c>
      <c r="I14" s="320"/>
      <c r="J14" s="320"/>
      <c r="K14" s="320"/>
      <c r="L14" s="320"/>
      <c r="M14" s="304" t="s">
        <v>21</v>
      </c>
      <c r="N14" s="304"/>
      <c r="O14" s="147"/>
    </row>
    <row r="15" spans="1:20" hidden="1">
      <c r="A15" s="13"/>
      <c r="B15" s="7"/>
      <c r="C15" s="262"/>
      <c r="D15" s="262"/>
      <c r="E15" s="14"/>
      <c r="F15" s="39"/>
      <c r="G15" s="52"/>
      <c r="H15" s="3"/>
      <c r="I15" s="3"/>
      <c r="J15" s="3"/>
      <c r="K15" s="263"/>
      <c r="L15" s="263"/>
      <c r="M15" s="148"/>
      <c r="N15" s="149"/>
      <c r="O15" s="147"/>
    </row>
    <row r="16" spans="1:20" ht="41.25" customHeight="1">
      <c r="A16" s="321" t="str">
        <f ca="1">IF(($C$14+30)&lt;$F$14,"                                       Bitte nur einen Monat angeben! ",IF(COUNTIF(R20:R50,1)&gt;0,"Hinweis: Es erfolgt keine Berechnung der Zukunftswerte",""))</f>
        <v/>
      </c>
      <c r="B16" s="321"/>
      <c r="C16" s="321"/>
      <c r="D16" s="321"/>
      <c r="E16" s="321"/>
      <c r="F16" s="321"/>
      <c r="G16" s="303" t="str">
        <f>IF(AND(Q58&lt;365,Q58&gt;300),"Ihnen verbleiben noch "&amp;(364-Q58)&amp;" Tage um Ihr Arbeitszeitkonto auszugleichen",IF(Q58&gt;365,"Sie haben Ihr Arbeitszeitkonto überschritten, bitte erstellen Sie ein neues Konto",""))</f>
        <v/>
      </c>
      <c r="H16" s="303"/>
      <c r="I16" s="303"/>
      <c r="J16" s="303"/>
      <c r="K16" s="303"/>
      <c r="L16" s="303"/>
      <c r="M16" s="153">
        <f ca="1">IF(AND($H$14="Achtung! Stundennachweis unterbrochen",'Blatt 2'!J52&gt;0),0,'Blatt 2'!J52)</f>
        <v>0</v>
      </c>
      <c r="N16" s="154">
        <f ca="1">+$M$16+$N$55</f>
        <v>0</v>
      </c>
      <c r="O16" s="155" t="str">
        <f>IF($F$9=$F$14,"",'Blatt 2'!$F$14+1)</f>
        <v/>
      </c>
    </row>
    <row r="17" spans="1:22" ht="18.75">
      <c r="A17" s="40"/>
      <c r="B17" s="264">
        <f ca="1">IF(ISBLANK($C$14),EOMONTH('Blatt 2'!$B$17,0)+1,DATE(YEAR($C$14),MONTH($C$14),1))</f>
        <v>42216</v>
      </c>
      <c r="C17" s="264"/>
      <c r="D17" s="264"/>
      <c r="E17" s="264"/>
      <c r="F17" s="264"/>
      <c r="G17" s="264"/>
      <c r="H17" s="264"/>
      <c r="I17" s="264"/>
      <c r="J17" s="264"/>
      <c r="K17" s="264"/>
      <c r="L17" s="41"/>
      <c r="M17" s="15"/>
      <c r="N17" s="5"/>
    </row>
    <row r="18" spans="1:22" ht="8.4499999999999993" customHeight="1" thickBot="1">
      <c r="A18" s="3"/>
      <c r="B18" s="3"/>
      <c r="C18" s="3"/>
      <c r="D18" s="3"/>
      <c r="E18" s="3"/>
      <c r="F18" s="3"/>
      <c r="G18" s="3"/>
      <c r="H18" s="3"/>
      <c r="I18" s="3"/>
      <c r="J18" s="3"/>
      <c r="K18" s="3"/>
      <c r="L18" s="3"/>
      <c r="M18" s="4"/>
      <c r="N18" s="5"/>
    </row>
    <row r="19" spans="1:22" s="17" customFormat="1" ht="42.75" customHeight="1" thickBot="1">
      <c r="A19" s="187" t="s">
        <v>10</v>
      </c>
      <c r="B19" s="277" t="s">
        <v>11</v>
      </c>
      <c r="C19" s="277"/>
      <c r="D19" s="278" t="s">
        <v>12</v>
      </c>
      <c r="E19" s="279"/>
      <c r="F19" s="86" t="s">
        <v>27</v>
      </c>
      <c r="G19" s="87" t="s">
        <v>13</v>
      </c>
      <c r="H19" s="86" t="s">
        <v>14</v>
      </c>
      <c r="I19" s="88"/>
      <c r="J19" s="89" t="s">
        <v>15</v>
      </c>
      <c r="K19" s="278" t="s">
        <v>16</v>
      </c>
      <c r="L19" s="280"/>
      <c r="M19" s="16" t="s">
        <v>17</v>
      </c>
      <c r="N19" s="16"/>
      <c r="O19" s="58" t="s">
        <v>24</v>
      </c>
      <c r="P19" s="126" t="s">
        <v>28</v>
      </c>
      <c r="Q19" s="126" t="s">
        <v>31</v>
      </c>
      <c r="R19" s="289" t="s">
        <v>49</v>
      </c>
      <c r="S19" s="289"/>
      <c r="T19" s="289"/>
    </row>
    <row r="20" spans="1:22" s="2" customFormat="1" ht="12.6" customHeight="1">
      <c r="A20" s="188">
        <f ca="1">($B$17+ROW(A1)-1)*(MONTH(B17+1)=MONTH($B$17))</f>
        <v>42216</v>
      </c>
      <c r="B20" s="271"/>
      <c r="C20" s="272"/>
      <c r="D20" s="273"/>
      <c r="E20" s="274"/>
      <c r="F20" s="109"/>
      <c r="G20" s="110" t="str">
        <f ca="1">IF(OR(A20&lt;$C$14,A20&gt;$F$14,$G$16="Sie haben Ihr Arbeitszeitkonto überschritten, bitte erstellen Sie ein neues Konto",A20&gt;TODAY()),"0,00",IF(ISBLANK($C$14),"0,00",(D20-B20-F20)))</f>
        <v>0,00</v>
      </c>
      <c r="H20" s="111" t="str">
        <f ca="1">IF(WEEKDAY(A20,2)=7,SUMIF($M$19:$M$50,M20,$G$19:$G$50),"")</f>
        <v/>
      </c>
      <c r="I20" s="112">
        <f ca="1">IF(A20&lt;TODAY(),ROUND(SUM(G20-N20),7),0)</f>
        <v>0</v>
      </c>
      <c r="J20" s="156" t="str">
        <f t="shared" ref="J20:J23" ca="1" si="0">IF($G$16="Sie haben Ihr Arbeitszeitkonto überschritten, bitte erstellen Sie ein neues Konto","",IF(AND(A20&lt;TODAY(),WEEKDAY(A20,2)=7),I20+$N$16,""))</f>
        <v/>
      </c>
      <c r="K20" s="275" t="str">
        <f t="shared" ref="K20:K26" ca="1" si="1">IF(T20&lt;&gt;"",T20,IF(P20="1","Angaben überprüfen",IF(OR(A20&lt;$C$14,A20&gt;$F$14,G20="0,00"),"--------",IF(AND(G20&gt;(6/24),G20&lt;(9/24),F20&lt;0.5/24),"30 min. Pause erforderlich",IF(AND(G20&gt;=(9/24),F20&lt;0.75/24),"45 min. Pause erforderlich ","")))))</f>
        <v>--------</v>
      </c>
      <c r="L20" s="276"/>
      <c r="M20" s="93">
        <f ca="1">WEEKNUM(A20,2)</f>
        <v>31</v>
      </c>
      <c r="N20" s="94">
        <f ca="1">IF(AND(A20&gt;=$C$14,A20&lt;=$F$14),IF(AND(WEEKDAY(A20,2)=1,$K$3&gt;0),$K$3,IF(AND(WEEKDAY(A20,2)=2,$K$5&gt;0),$K$5,IF(AND(WEEKDAY(A20,2)=3,$K$7&gt;0),$K$7,IF(AND(WEEKDAY(A20,2)=4,$K$9&gt;0),$K$9,IF(AND(WEEKDAY(A20,2)=5,$K$11&gt;0),$K$11,IF(WEEKDAY(A20,2)&gt;5,0,0))))))/24,0)</f>
        <v>0</v>
      </c>
      <c r="O20" s="95">
        <f ca="1">IF(I20&lt;&gt;0,I20,0)</f>
        <v>0</v>
      </c>
      <c r="P20" s="120" t="str">
        <f ca="1">IF(AND(Q20="1",B20&gt;0),"1","")</f>
        <v/>
      </c>
      <c r="Q20" s="120" t="str">
        <f t="shared" ref="Q20:Q50" ca="1" si="2">IF(OR(A20&lt;$C$14,A20&gt;$F$14,A20&lt;$C$9,A20&gt;$F$9),"1","")</f>
        <v>1</v>
      </c>
      <c r="R20" s="184" t="str">
        <f t="shared" ref="R20:R50" ca="1" si="3">IF(AND(A20&gt;TODAY(),B20&gt;0),"1","")</f>
        <v/>
      </c>
      <c r="S20" s="185" t="e">
        <f t="shared" ref="S20:S50" ca="1" si="4">VLOOKUP(A20,$Q$77:$S$92,2,FALSE)</f>
        <v>#N/A</v>
      </c>
      <c r="T20" s="186" t="str">
        <f t="shared" ref="T20:T49" ca="1" si="5">IF(ISNA(S20),"",S20)</f>
        <v/>
      </c>
      <c r="U20" s="193" t="str">
        <f t="shared" ref="U20:U50" ca="1" si="6">IF(AND(WEEKDAY(A20,2)=1,$I$2=TRUE),"X",IF(AND(WEEKDAY(A20,2)=4,$I$8=TRUE),"X",IF(AND(WEEKDAY(A20,2)=5,$I$10=TRUE),"X",IF(AND(WEEKDAY(A20,2)=2,$I$4=TRUE),"X",IF(AND(WEEKDAY(A20,2)=3,$I$6=TRUE),"X","")
))))</f>
        <v/>
      </c>
      <c r="V20" s="197" t="str">
        <f ca="1">IF(AND(U20&lt;&gt;"",T20&lt;&gt;""),"!","")</f>
        <v/>
      </c>
    </row>
    <row r="21" spans="1:22" s="2" customFormat="1" ht="12.6" customHeight="1">
      <c r="A21" s="189">
        <f t="shared" ref="A21:A29" ca="1" si="7">($B$17+ROW(A2)-1)*(MONTH(A20+1)=MONTH($B$17))</f>
        <v>42217</v>
      </c>
      <c r="B21" s="271"/>
      <c r="C21" s="272"/>
      <c r="D21" s="273"/>
      <c r="E21" s="274"/>
      <c r="F21" s="114"/>
      <c r="G21" s="110" t="str">
        <f t="shared" ref="G21:G49" ca="1" si="8">IF(OR(A21&lt;$C$14,A21&gt;$F$14,$G$16="Sie haben Ihr Arbeitszeitkonto überschritten, bitte erstellen Sie ein neues Konto",A21&gt;TODAY()),"0,00",IF(ISBLANK($C$14),"0,00",(D21-B21-F21)))</f>
        <v>0,00</v>
      </c>
      <c r="H21" s="111" t="str">
        <f t="shared" ref="H21:H50" ca="1" si="9">IF(WEEKDAY(A21,2)=7,SUMIF($M$19:$M$50,M21,$G$19:$G$50),"")</f>
        <v/>
      </c>
      <c r="I21" s="112">
        <f ca="1">IF(A21&lt;TODAY(),ROUND(SUM(G21+I20-N21),7),0)</f>
        <v>0</v>
      </c>
      <c r="J21" s="157" t="str">
        <f t="shared" ca="1" si="0"/>
        <v/>
      </c>
      <c r="K21" s="275" t="str">
        <f t="shared" ca="1" si="1"/>
        <v>--------</v>
      </c>
      <c r="L21" s="276"/>
      <c r="M21" s="93">
        <f t="shared" ref="M21:M49" ca="1" si="10">WEEKNUM(A21,2)</f>
        <v>31</v>
      </c>
      <c r="N21" s="94">
        <f t="shared" ref="N21:N50" ca="1" si="11">IF(AND(A21&gt;=$C$14,A21&lt;=$F$14),IF(AND(WEEKDAY(A21,2)=1,$K$3&gt;0),$K$3,IF(AND(WEEKDAY(A21,2)=2,$K$5&gt;0),$K$5,IF(AND(WEEKDAY(A21,2)=3,$K$7&gt;0),$K$7,IF(AND(WEEKDAY(A21,2)=4,$K$9&gt;0),$K$9,IF(AND(WEEKDAY(A21,2)=5,$K$11&gt;0),$K$11,IF(WEEKDAY(A21,2)&gt;5,0,0))))))/24,0)</f>
        <v>0</v>
      </c>
      <c r="O21" s="95">
        <f t="shared" ref="O21:O50" ca="1" si="12">IF(I21&lt;&gt;0,I21,0)</f>
        <v>0</v>
      </c>
      <c r="P21" s="120" t="str">
        <f t="shared" ref="P21:P50" ca="1" si="13">IF(AND(Q21="1",B21&gt;0),"1","")</f>
        <v/>
      </c>
      <c r="Q21" s="120" t="str">
        <f t="shared" ca="1" si="2"/>
        <v>1</v>
      </c>
      <c r="R21" s="184" t="str">
        <f t="shared" ca="1" si="3"/>
        <v/>
      </c>
      <c r="S21" s="185" t="e">
        <f t="shared" ca="1" si="4"/>
        <v>#N/A</v>
      </c>
      <c r="T21" s="186" t="str">
        <f t="shared" ca="1" si="5"/>
        <v/>
      </c>
      <c r="U21" s="194" t="str">
        <f t="shared" ca="1" si="6"/>
        <v/>
      </c>
      <c r="V21" s="197" t="str">
        <f t="shared" ref="V21:V50" ca="1" si="14">IF(AND(U21&lt;&gt;"",T21&lt;&gt;""),"!","")</f>
        <v/>
      </c>
    </row>
    <row r="22" spans="1:22" s="2" customFormat="1" ht="12.6" customHeight="1">
      <c r="A22" s="189">
        <f t="shared" ca="1" si="7"/>
        <v>42218</v>
      </c>
      <c r="B22" s="285"/>
      <c r="C22" s="286"/>
      <c r="D22" s="273"/>
      <c r="E22" s="274"/>
      <c r="F22" s="114"/>
      <c r="G22" s="110" t="str">
        <f t="shared" ca="1" si="8"/>
        <v>0,00</v>
      </c>
      <c r="H22" s="111" t="str">
        <f t="shared" ca="1" si="9"/>
        <v/>
      </c>
      <c r="I22" s="112">
        <f ca="1">IF(A22&lt;TODAY(),ROUND(SUM(G22+I21-N22),7),0)</f>
        <v>0</v>
      </c>
      <c r="J22" s="157" t="str">
        <f t="shared" ca="1" si="0"/>
        <v/>
      </c>
      <c r="K22" s="275" t="str">
        <f t="shared" ca="1" si="1"/>
        <v>--------</v>
      </c>
      <c r="L22" s="276"/>
      <c r="M22" s="93">
        <f t="shared" ca="1" si="10"/>
        <v>31</v>
      </c>
      <c r="N22" s="94">
        <f t="shared" ca="1" si="11"/>
        <v>0</v>
      </c>
      <c r="O22" s="95">
        <f t="shared" ca="1" si="12"/>
        <v>0</v>
      </c>
      <c r="P22" s="120" t="str">
        <f t="shared" ca="1" si="13"/>
        <v/>
      </c>
      <c r="Q22" s="120" t="str">
        <f t="shared" ca="1" si="2"/>
        <v>1</v>
      </c>
      <c r="R22" s="184" t="str">
        <f t="shared" ca="1" si="3"/>
        <v/>
      </c>
      <c r="S22" s="185" t="e">
        <f t="shared" ca="1" si="4"/>
        <v>#N/A</v>
      </c>
      <c r="T22" s="186" t="str">
        <f t="shared" ca="1" si="5"/>
        <v/>
      </c>
      <c r="U22" s="194" t="str">
        <f t="shared" ca="1" si="6"/>
        <v/>
      </c>
      <c r="V22" s="197" t="str">
        <f t="shared" ca="1" si="14"/>
        <v/>
      </c>
    </row>
    <row r="23" spans="1:22" s="2" customFormat="1" ht="12.6" customHeight="1">
      <c r="A23" s="189">
        <f t="shared" ca="1" si="7"/>
        <v>42219</v>
      </c>
      <c r="B23" s="285"/>
      <c r="C23" s="286"/>
      <c r="D23" s="273"/>
      <c r="E23" s="274"/>
      <c r="F23" s="114"/>
      <c r="G23" s="110" t="str">
        <f t="shared" ca="1" si="8"/>
        <v>0,00</v>
      </c>
      <c r="H23" s="111">
        <f t="shared" ca="1" si="9"/>
        <v>0</v>
      </c>
      <c r="I23" s="112">
        <f ca="1">IF(A23&lt;TODAY(),ROUND(SUM(G23+I22-N23),7),0)</f>
        <v>0</v>
      </c>
      <c r="J23" s="157" t="str">
        <f t="shared" ca="1" si="0"/>
        <v/>
      </c>
      <c r="K23" s="275" t="str">
        <f t="shared" ca="1" si="1"/>
        <v>--------</v>
      </c>
      <c r="L23" s="276"/>
      <c r="M23" s="93">
        <f t="shared" ca="1" si="10"/>
        <v>31</v>
      </c>
      <c r="N23" s="94">
        <f t="shared" ca="1" si="11"/>
        <v>0</v>
      </c>
      <c r="O23" s="95">
        <f t="shared" ca="1" si="12"/>
        <v>0</v>
      </c>
      <c r="P23" s="120" t="str">
        <f t="shared" ca="1" si="13"/>
        <v/>
      </c>
      <c r="Q23" s="120" t="str">
        <f t="shared" ca="1" si="2"/>
        <v>1</v>
      </c>
      <c r="R23" s="184" t="str">
        <f t="shared" ca="1" si="3"/>
        <v/>
      </c>
      <c r="S23" s="185" t="e">
        <f t="shared" ca="1" si="4"/>
        <v>#N/A</v>
      </c>
      <c r="T23" s="186" t="str">
        <f t="shared" ca="1" si="5"/>
        <v/>
      </c>
      <c r="U23" s="194" t="str">
        <f t="shared" ca="1" si="6"/>
        <v/>
      </c>
      <c r="V23" s="197" t="str">
        <f t="shared" ca="1" si="14"/>
        <v/>
      </c>
    </row>
    <row r="24" spans="1:22" s="2" customFormat="1" ht="12.6" customHeight="1">
      <c r="A24" s="190">
        <f t="shared" ca="1" si="7"/>
        <v>42220</v>
      </c>
      <c r="B24" s="281"/>
      <c r="C24" s="282"/>
      <c r="D24" s="283"/>
      <c r="E24" s="284"/>
      <c r="F24" s="115"/>
      <c r="G24" s="110" t="str">
        <f t="shared" ca="1" si="8"/>
        <v>0,00</v>
      </c>
      <c r="H24" s="111" t="str">
        <f t="shared" ca="1" si="9"/>
        <v/>
      </c>
      <c r="I24" s="112">
        <f ca="1">IF(A24&lt;TODAY(),ROUND(SUM(G24+I23-N24),7),0)</f>
        <v>0</v>
      </c>
      <c r="J24" s="157" t="str">
        <f ca="1">IF($G$16="Sie haben Ihr Arbeitszeitkonto überschritten, bitte erstellen Sie ein neues Konto","",IF(AND(A24&lt;TODAY(),WEEKDAY(A24,2)=7),I24+$N$16,""))</f>
        <v/>
      </c>
      <c r="K24" s="275" t="str">
        <f t="shared" ca="1" si="1"/>
        <v>--------</v>
      </c>
      <c r="L24" s="276"/>
      <c r="M24" s="93">
        <f t="shared" ca="1" si="10"/>
        <v>32</v>
      </c>
      <c r="N24" s="94">
        <f t="shared" ca="1" si="11"/>
        <v>0</v>
      </c>
      <c r="O24" s="95">
        <f t="shared" ca="1" si="12"/>
        <v>0</v>
      </c>
      <c r="P24" s="120" t="str">
        <f ca="1">IF(AND(Q24="1",B24&gt;0),"1","")</f>
        <v/>
      </c>
      <c r="Q24" s="120" t="str">
        <f t="shared" ca="1" si="2"/>
        <v>1</v>
      </c>
      <c r="R24" s="184" t="str">
        <f t="shared" ca="1" si="3"/>
        <v/>
      </c>
      <c r="S24" s="185" t="e">
        <f t="shared" ca="1" si="4"/>
        <v>#N/A</v>
      </c>
      <c r="T24" s="186" t="str">
        <f t="shared" ca="1" si="5"/>
        <v/>
      </c>
      <c r="U24" s="194" t="str">
        <f t="shared" ca="1" si="6"/>
        <v/>
      </c>
      <c r="V24" s="197" t="str">
        <f t="shared" ca="1" si="14"/>
        <v/>
      </c>
    </row>
    <row r="25" spans="1:22" s="18" customFormat="1" ht="12.6" customHeight="1">
      <c r="A25" s="190">
        <f t="shared" ca="1" si="7"/>
        <v>42221</v>
      </c>
      <c r="B25" s="281"/>
      <c r="C25" s="282"/>
      <c r="D25" s="283"/>
      <c r="E25" s="284"/>
      <c r="F25" s="116"/>
      <c r="G25" s="110" t="str">
        <f t="shared" ca="1" si="8"/>
        <v>0,00</v>
      </c>
      <c r="H25" s="111" t="str">
        <f t="shared" ca="1" si="9"/>
        <v/>
      </c>
      <c r="I25" s="112">
        <f t="shared" ref="I25:I50" ca="1" si="15">IF(A25&lt;TODAY(),ROUND(SUM(G25+I24-N25),7),0)</f>
        <v>0</v>
      </c>
      <c r="J25" s="157" t="str">
        <f ca="1">IF($G$16="Sie haben Ihr Arbeitszeitkonto überschritten, bitte erstellen Sie ein neues Konto","",IF(AND(A25&lt;TODAY(),WEEKDAY(A25,2)=7),I25+$N$16,""))</f>
        <v/>
      </c>
      <c r="K25" s="275" t="str">
        <f t="shared" ca="1" si="1"/>
        <v>--------</v>
      </c>
      <c r="L25" s="276"/>
      <c r="M25" s="93">
        <f t="shared" ca="1" si="10"/>
        <v>32</v>
      </c>
      <c r="N25" s="94">
        <f t="shared" ca="1" si="11"/>
        <v>0</v>
      </c>
      <c r="O25" s="95">
        <f t="shared" ca="1" si="12"/>
        <v>0</v>
      </c>
      <c r="P25" s="120" t="str">
        <f t="shared" ca="1" si="13"/>
        <v/>
      </c>
      <c r="Q25" s="120" t="str">
        <f t="shared" ca="1" si="2"/>
        <v>1</v>
      </c>
      <c r="R25" s="184" t="str">
        <f t="shared" ca="1" si="3"/>
        <v/>
      </c>
      <c r="S25" s="185" t="e">
        <f t="shared" ca="1" si="4"/>
        <v>#N/A</v>
      </c>
      <c r="T25" s="186" t="str">
        <f t="shared" ca="1" si="5"/>
        <v/>
      </c>
      <c r="U25" s="194" t="str">
        <f t="shared" ca="1" si="6"/>
        <v/>
      </c>
      <c r="V25" s="197" t="str">
        <f t="shared" ca="1" si="14"/>
        <v/>
      </c>
    </row>
    <row r="26" spans="1:22" s="18" customFormat="1" ht="12.6" customHeight="1">
      <c r="A26" s="190">
        <f t="shared" ca="1" si="7"/>
        <v>42222</v>
      </c>
      <c r="B26" s="271"/>
      <c r="C26" s="272"/>
      <c r="D26" s="273"/>
      <c r="E26" s="274"/>
      <c r="F26" s="117"/>
      <c r="G26" s="110" t="str">
        <f t="shared" ca="1" si="8"/>
        <v>0,00</v>
      </c>
      <c r="H26" s="111" t="str">
        <f t="shared" ca="1" si="9"/>
        <v/>
      </c>
      <c r="I26" s="112">
        <f t="shared" ca="1" si="15"/>
        <v>0</v>
      </c>
      <c r="J26" s="157" t="str">
        <f t="shared" ref="J26:J50" ca="1" si="16">IF($G$16="Sie haben Ihr Arbeitszeitkonto überschritten, bitte erstellen Sie ein neues Konto","",IF(AND(A26&lt;TODAY(),WEEKDAY(A26,2)=7),I26+$N$16,""))</f>
        <v/>
      </c>
      <c r="K26" s="275" t="str">
        <f t="shared" ca="1" si="1"/>
        <v>--------</v>
      </c>
      <c r="L26" s="276"/>
      <c r="M26" s="93">
        <f t="shared" ca="1" si="10"/>
        <v>32</v>
      </c>
      <c r="N26" s="94">
        <f t="shared" ca="1" si="11"/>
        <v>0</v>
      </c>
      <c r="O26" s="95">
        <f t="shared" ca="1" si="12"/>
        <v>0</v>
      </c>
      <c r="P26" s="120" t="str">
        <f t="shared" ca="1" si="13"/>
        <v/>
      </c>
      <c r="Q26" s="120" t="str">
        <f t="shared" ca="1" si="2"/>
        <v>1</v>
      </c>
      <c r="R26" s="184" t="str">
        <f t="shared" ca="1" si="3"/>
        <v/>
      </c>
      <c r="S26" s="185" t="e">
        <f t="shared" ca="1" si="4"/>
        <v>#N/A</v>
      </c>
      <c r="T26" s="186" t="str">
        <f t="shared" ca="1" si="5"/>
        <v/>
      </c>
      <c r="U26" s="194" t="str">
        <f t="shared" ca="1" si="6"/>
        <v/>
      </c>
      <c r="V26" s="197" t="str">
        <f t="shared" ca="1" si="14"/>
        <v/>
      </c>
    </row>
    <row r="27" spans="1:22" ht="12.6" customHeight="1">
      <c r="A27" s="190">
        <f t="shared" ca="1" si="7"/>
        <v>42223</v>
      </c>
      <c r="B27" s="285"/>
      <c r="C27" s="286"/>
      <c r="D27" s="273"/>
      <c r="E27" s="274"/>
      <c r="F27" s="118"/>
      <c r="G27" s="110" t="str">
        <f t="shared" ca="1" si="8"/>
        <v>0,00</v>
      </c>
      <c r="H27" s="111" t="str">
        <f t="shared" ca="1" si="9"/>
        <v/>
      </c>
      <c r="I27" s="112">
        <f t="shared" ca="1" si="15"/>
        <v>0</v>
      </c>
      <c r="J27" s="157" t="str">
        <f ca="1">IF($G$16="Sie haben Ihr Arbeitszeitkonto überschritten, bitte erstellen Sie ein neues Konto","",IF(AND(A27&lt;TODAY(),WEEKDAY(A27,2)=7),I27+$N$16,""))</f>
        <v/>
      </c>
      <c r="K27" s="275" t="str">
        <f ca="1">IF(T27&lt;&gt;"",T27,IF(P27="1","Angaben überprüfen",IF(OR(A27&lt;$C$14,A27&gt;$F$14,G27="0,00"),"--------",IF(AND(G27&gt;(6/24),G27&lt;(9/24),F27&lt;0.5/24),"30 min. Pause erforderlich",IF(AND(G27&gt;=(9/24),F27&lt;0.75/24),"45 min. Pause erforderlich ","")))))</f>
        <v>--------</v>
      </c>
      <c r="L27" s="276"/>
      <c r="M27" s="93">
        <f t="shared" ca="1" si="10"/>
        <v>32</v>
      </c>
      <c r="N27" s="94">
        <f t="shared" ca="1" si="11"/>
        <v>0</v>
      </c>
      <c r="O27" s="95">
        <f t="shared" ca="1" si="12"/>
        <v>0</v>
      </c>
      <c r="P27" s="120" t="str">
        <f t="shared" ca="1" si="13"/>
        <v/>
      </c>
      <c r="Q27" s="120" t="str">
        <f t="shared" ca="1" si="2"/>
        <v>1</v>
      </c>
      <c r="R27" s="184" t="str">
        <f t="shared" ca="1" si="3"/>
        <v/>
      </c>
      <c r="S27" s="185" t="e">
        <f t="shared" ca="1" si="4"/>
        <v>#N/A</v>
      </c>
      <c r="T27" s="186" t="str">
        <f t="shared" ca="1" si="5"/>
        <v/>
      </c>
      <c r="U27" s="194" t="str">
        <f t="shared" ca="1" si="6"/>
        <v/>
      </c>
      <c r="V27" s="197" t="str">
        <f t="shared" ca="1" si="14"/>
        <v/>
      </c>
    </row>
    <row r="28" spans="1:22" ht="12.6" customHeight="1">
      <c r="A28" s="190">
        <f t="shared" ca="1" si="7"/>
        <v>42224</v>
      </c>
      <c r="B28" s="271"/>
      <c r="C28" s="272"/>
      <c r="D28" s="273"/>
      <c r="E28" s="274"/>
      <c r="F28" s="118"/>
      <c r="G28" s="110" t="str">
        <f t="shared" ca="1" si="8"/>
        <v>0,00</v>
      </c>
      <c r="H28" s="111" t="str">
        <f t="shared" ca="1" si="9"/>
        <v/>
      </c>
      <c r="I28" s="112">
        <f t="shared" ca="1" si="15"/>
        <v>0</v>
      </c>
      <c r="J28" s="157" t="str">
        <f t="shared" ca="1" si="16"/>
        <v/>
      </c>
      <c r="K28" s="275" t="str">
        <f t="shared" ref="K28:K50" ca="1" si="17">IF(T28&lt;&gt;"",T28,IF(P28="1","Angaben überprüfen",IF(OR(A28&lt;$C$14,A28&gt;$F$14,G28="0,00"),"--------",IF(AND(G28&gt;(6/24),G28&lt;(9/24),F28&lt;0.5/24),"30 min. Pause erforderlich",IF(AND(G28&gt;=(9/24),F28&lt;0.75/24),"45 min. Pause erforderlich ","")))))</f>
        <v>--------</v>
      </c>
      <c r="L28" s="276"/>
      <c r="M28" s="93">
        <f t="shared" ca="1" si="10"/>
        <v>32</v>
      </c>
      <c r="N28" s="94">
        <f t="shared" ca="1" si="11"/>
        <v>0</v>
      </c>
      <c r="O28" s="95">
        <f t="shared" ca="1" si="12"/>
        <v>0</v>
      </c>
      <c r="P28" s="120" t="str">
        <f t="shared" ca="1" si="13"/>
        <v/>
      </c>
      <c r="Q28" s="120" t="str">
        <f t="shared" ca="1" si="2"/>
        <v>1</v>
      </c>
      <c r="R28" s="184" t="str">
        <f t="shared" ca="1" si="3"/>
        <v/>
      </c>
      <c r="S28" s="185" t="e">
        <f t="shared" ca="1" si="4"/>
        <v>#N/A</v>
      </c>
      <c r="T28" s="186" t="str">
        <f t="shared" ca="1" si="5"/>
        <v/>
      </c>
      <c r="U28" s="194" t="str">
        <f t="shared" ca="1" si="6"/>
        <v/>
      </c>
      <c r="V28" s="197" t="str">
        <f t="shared" ca="1" si="14"/>
        <v/>
      </c>
    </row>
    <row r="29" spans="1:22" ht="12.6" customHeight="1">
      <c r="A29" s="190">
        <f t="shared" ca="1" si="7"/>
        <v>42225</v>
      </c>
      <c r="B29" s="285"/>
      <c r="C29" s="286"/>
      <c r="D29" s="273"/>
      <c r="E29" s="274"/>
      <c r="F29" s="119"/>
      <c r="G29" s="110" t="str">
        <f t="shared" ca="1" si="8"/>
        <v>0,00</v>
      </c>
      <c r="H29" s="111" t="str">
        <f t="shared" ca="1" si="9"/>
        <v/>
      </c>
      <c r="I29" s="112">
        <f t="shared" ca="1" si="15"/>
        <v>0</v>
      </c>
      <c r="J29" s="157" t="str">
        <f t="shared" ca="1" si="16"/>
        <v/>
      </c>
      <c r="K29" s="275" t="str">
        <f t="shared" ca="1" si="17"/>
        <v>--------</v>
      </c>
      <c r="L29" s="276"/>
      <c r="M29" s="93">
        <f t="shared" ca="1" si="10"/>
        <v>32</v>
      </c>
      <c r="N29" s="94">
        <f t="shared" ca="1" si="11"/>
        <v>0</v>
      </c>
      <c r="O29" s="95">
        <f t="shared" ca="1" si="12"/>
        <v>0</v>
      </c>
      <c r="P29" s="120" t="str">
        <f t="shared" ca="1" si="13"/>
        <v/>
      </c>
      <c r="Q29" s="120" t="str">
        <f t="shared" ca="1" si="2"/>
        <v>1</v>
      </c>
      <c r="R29" s="184" t="str">
        <f t="shared" ca="1" si="3"/>
        <v/>
      </c>
      <c r="S29" s="185" t="e">
        <f t="shared" ca="1" si="4"/>
        <v>#N/A</v>
      </c>
      <c r="T29" s="186" t="str">
        <f t="shared" ca="1" si="5"/>
        <v/>
      </c>
      <c r="U29" s="194" t="str">
        <f t="shared" ca="1" si="6"/>
        <v/>
      </c>
      <c r="V29" s="197" t="str">
        <f t="shared" ca="1" si="14"/>
        <v/>
      </c>
    </row>
    <row r="30" spans="1:22" ht="12.6" customHeight="1">
      <c r="A30" s="189">
        <f ca="1">($B$17+ROW(A11)-1)*(MONTH(A27+1)=MONTH($B$17))</f>
        <v>42226</v>
      </c>
      <c r="B30" s="285"/>
      <c r="C30" s="286"/>
      <c r="D30" s="273"/>
      <c r="E30" s="274"/>
      <c r="F30" s="119"/>
      <c r="G30" s="110" t="str">
        <f t="shared" ca="1" si="8"/>
        <v>0,00</v>
      </c>
      <c r="H30" s="111">
        <f t="shared" ca="1" si="9"/>
        <v>0</v>
      </c>
      <c r="I30" s="112">
        <f t="shared" ca="1" si="15"/>
        <v>0</v>
      </c>
      <c r="J30" s="157" t="str">
        <f t="shared" ca="1" si="16"/>
        <v/>
      </c>
      <c r="K30" s="275" t="str">
        <f t="shared" ca="1" si="17"/>
        <v>--------</v>
      </c>
      <c r="L30" s="276"/>
      <c r="M30" s="93">
        <f t="shared" ca="1" si="10"/>
        <v>32</v>
      </c>
      <c r="N30" s="94">
        <f t="shared" ca="1" si="11"/>
        <v>0</v>
      </c>
      <c r="O30" s="95">
        <f t="shared" ca="1" si="12"/>
        <v>0</v>
      </c>
      <c r="P30" s="120" t="str">
        <f t="shared" ca="1" si="13"/>
        <v/>
      </c>
      <c r="Q30" s="120" t="str">
        <f t="shared" ca="1" si="2"/>
        <v>1</v>
      </c>
      <c r="R30" s="184" t="str">
        <f t="shared" ca="1" si="3"/>
        <v/>
      </c>
      <c r="S30" s="185" t="e">
        <f t="shared" ca="1" si="4"/>
        <v>#N/A</v>
      </c>
      <c r="T30" s="186" t="str">
        <f t="shared" ca="1" si="5"/>
        <v/>
      </c>
      <c r="U30" s="194" t="str">
        <f t="shared" ca="1" si="6"/>
        <v/>
      </c>
      <c r="V30" s="197" t="str">
        <f t="shared" ca="1" si="14"/>
        <v/>
      </c>
    </row>
    <row r="31" spans="1:22" ht="12.6" customHeight="1">
      <c r="A31" s="189">
        <f ca="1">($B$17+ROW(A12)-1)*(MONTH(A28+1)=MONTH($B$17))</f>
        <v>42227</v>
      </c>
      <c r="B31" s="281"/>
      <c r="C31" s="282"/>
      <c r="D31" s="283"/>
      <c r="E31" s="284"/>
      <c r="F31" s="119"/>
      <c r="G31" s="110" t="str">
        <f t="shared" ca="1" si="8"/>
        <v>0,00</v>
      </c>
      <c r="H31" s="111" t="str">
        <f t="shared" ca="1" si="9"/>
        <v/>
      </c>
      <c r="I31" s="112">
        <f t="shared" ca="1" si="15"/>
        <v>0</v>
      </c>
      <c r="J31" s="157" t="str">
        <f t="shared" ca="1" si="16"/>
        <v/>
      </c>
      <c r="K31" s="275" t="str">
        <f t="shared" ca="1" si="17"/>
        <v>--------</v>
      </c>
      <c r="L31" s="276"/>
      <c r="M31" s="93">
        <f t="shared" ca="1" si="10"/>
        <v>33</v>
      </c>
      <c r="N31" s="94">
        <f t="shared" ca="1" si="11"/>
        <v>0</v>
      </c>
      <c r="O31" s="95">
        <f t="shared" ca="1" si="12"/>
        <v>0</v>
      </c>
      <c r="P31" s="120" t="str">
        <f t="shared" ca="1" si="13"/>
        <v/>
      </c>
      <c r="Q31" s="120" t="str">
        <f t="shared" ca="1" si="2"/>
        <v>1</v>
      </c>
      <c r="R31" s="184" t="str">
        <f t="shared" ca="1" si="3"/>
        <v/>
      </c>
      <c r="S31" s="185" t="e">
        <f t="shared" ca="1" si="4"/>
        <v>#N/A</v>
      </c>
      <c r="T31" s="186" t="str">
        <f t="shared" ca="1" si="5"/>
        <v/>
      </c>
      <c r="U31" s="194" t="str">
        <f t="shared" ca="1" si="6"/>
        <v/>
      </c>
      <c r="V31" s="197" t="str">
        <f t="shared" ca="1" si="14"/>
        <v/>
      </c>
    </row>
    <row r="32" spans="1:22" ht="12.6" customHeight="1">
      <c r="A32" s="189">
        <f ca="1">($B$17+ROW(A13)-1)*(MONTH(A30+1)=MONTH($B$17))</f>
        <v>42228</v>
      </c>
      <c r="B32" s="285"/>
      <c r="C32" s="286"/>
      <c r="D32" s="301"/>
      <c r="E32" s="276"/>
      <c r="F32" s="119"/>
      <c r="G32" s="110" t="str">
        <f t="shared" ca="1" si="8"/>
        <v>0,00</v>
      </c>
      <c r="H32" s="111" t="str">
        <f t="shared" ca="1" si="9"/>
        <v/>
      </c>
      <c r="I32" s="112">
        <f t="shared" ca="1" si="15"/>
        <v>0</v>
      </c>
      <c r="J32" s="157" t="str">
        <f t="shared" ca="1" si="16"/>
        <v/>
      </c>
      <c r="K32" s="275" t="str">
        <f t="shared" ca="1" si="17"/>
        <v>--------</v>
      </c>
      <c r="L32" s="276"/>
      <c r="M32" s="93">
        <f t="shared" ca="1" si="10"/>
        <v>33</v>
      </c>
      <c r="N32" s="94">
        <f t="shared" ca="1" si="11"/>
        <v>0</v>
      </c>
      <c r="O32" s="95">
        <f t="shared" ca="1" si="12"/>
        <v>0</v>
      </c>
      <c r="P32" s="120" t="str">
        <f t="shared" ca="1" si="13"/>
        <v/>
      </c>
      <c r="Q32" s="120" t="str">
        <f t="shared" ca="1" si="2"/>
        <v>1</v>
      </c>
      <c r="R32" s="184" t="str">
        <f t="shared" ca="1" si="3"/>
        <v/>
      </c>
      <c r="S32" s="185" t="e">
        <f t="shared" ca="1" si="4"/>
        <v>#N/A</v>
      </c>
      <c r="T32" s="186" t="str">
        <f t="shared" ca="1" si="5"/>
        <v/>
      </c>
      <c r="U32" s="194" t="str">
        <f t="shared" ca="1" si="6"/>
        <v/>
      </c>
      <c r="V32" s="197" t="str">
        <f t="shared" ca="1" si="14"/>
        <v/>
      </c>
    </row>
    <row r="33" spans="1:22" ht="12.6" customHeight="1">
      <c r="A33" s="189">
        <f t="shared" ref="A33:A50" ca="1" si="18">($B$17+ROW(A14)-1)*(MONTH(A32+1)=MONTH($B$17))</f>
        <v>42229</v>
      </c>
      <c r="B33" s="281"/>
      <c r="C33" s="282"/>
      <c r="D33" s="283"/>
      <c r="E33" s="284"/>
      <c r="F33" s="119"/>
      <c r="G33" s="110" t="str">
        <f t="shared" ca="1" si="8"/>
        <v>0,00</v>
      </c>
      <c r="H33" s="111" t="str">
        <f t="shared" ca="1" si="9"/>
        <v/>
      </c>
      <c r="I33" s="112">
        <f t="shared" ca="1" si="15"/>
        <v>0</v>
      </c>
      <c r="J33" s="157" t="str">
        <f t="shared" ca="1" si="16"/>
        <v/>
      </c>
      <c r="K33" s="275" t="str">
        <f t="shared" ca="1" si="17"/>
        <v>--------</v>
      </c>
      <c r="L33" s="276"/>
      <c r="M33" s="93">
        <f t="shared" ca="1" si="10"/>
        <v>33</v>
      </c>
      <c r="N33" s="94">
        <f t="shared" ca="1" si="11"/>
        <v>0</v>
      </c>
      <c r="O33" s="95">
        <f t="shared" ca="1" si="12"/>
        <v>0</v>
      </c>
      <c r="P33" s="120" t="str">
        <f t="shared" ca="1" si="13"/>
        <v/>
      </c>
      <c r="Q33" s="120" t="str">
        <f t="shared" ca="1" si="2"/>
        <v>1</v>
      </c>
      <c r="R33" s="184" t="str">
        <f t="shared" ca="1" si="3"/>
        <v/>
      </c>
      <c r="S33" s="185" t="e">
        <f t="shared" ca="1" si="4"/>
        <v>#N/A</v>
      </c>
      <c r="T33" s="186" t="str">
        <f t="shared" ca="1" si="5"/>
        <v/>
      </c>
      <c r="U33" s="194" t="str">
        <f t="shared" ca="1" si="6"/>
        <v/>
      </c>
      <c r="V33" s="197" t="str">
        <f t="shared" ca="1" si="14"/>
        <v/>
      </c>
    </row>
    <row r="34" spans="1:22" ht="12.6" customHeight="1">
      <c r="A34" s="189">
        <f t="shared" ca="1" si="18"/>
        <v>42230</v>
      </c>
      <c r="B34" s="285"/>
      <c r="C34" s="286"/>
      <c r="D34" s="273"/>
      <c r="E34" s="274"/>
      <c r="F34" s="119"/>
      <c r="G34" s="110" t="str">
        <f t="shared" ca="1" si="8"/>
        <v>0,00</v>
      </c>
      <c r="H34" s="111" t="str">
        <f t="shared" ca="1" si="9"/>
        <v/>
      </c>
      <c r="I34" s="112">
        <f t="shared" ca="1" si="15"/>
        <v>0</v>
      </c>
      <c r="J34" s="157" t="str">
        <f t="shared" ca="1" si="16"/>
        <v/>
      </c>
      <c r="K34" s="275" t="str">
        <f t="shared" ca="1" si="17"/>
        <v>--------</v>
      </c>
      <c r="L34" s="276"/>
      <c r="M34" s="93">
        <f t="shared" ca="1" si="10"/>
        <v>33</v>
      </c>
      <c r="N34" s="94">
        <f t="shared" ca="1" si="11"/>
        <v>0</v>
      </c>
      <c r="O34" s="95">
        <f t="shared" ca="1" si="12"/>
        <v>0</v>
      </c>
      <c r="P34" s="120" t="str">
        <f t="shared" ca="1" si="13"/>
        <v/>
      </c>
      <c r="Q34" s="120" t="str">
        <f t="shared" ca="1" si="2"/>
        <v>1</v>
      </c>
      <c r="R34" s="184" t="str">
        <f t="shared" ca="1" si="3"/>
        <v/>
      </c>
      <c r="S34" s="185" t="e">
        <f t="shared" ca="1" si="4"/>
        <v>#N/A</v>
      </c>
      <c r="T34" s="186" t="str">
        <f t="shared" ca="1" si="5"/>
        <v/>
      </c>
      <c r="U34" s="194" t="str">
        <f t="shared" ca="1" si="6"/>
        <v/>
      </c>
      <c r="V34" s="197" t="str">
        <f t="shared" ca="1" si="14"/>
        <v/>
      </c>
    </row>
    <row r="35" spans="1:22" ht="12.6" customHeight="1">
      <c r="A35" s="189">
        <f t="shared" ca="1" si="18"/>
        <v>42231</v>
      </c>
      <c r="B35" s="271"/>
      <c r="C35" s="272"/>
      <c r="D35" s="273"/>
      <c r="E35" s="274"/>
      <c r="F35" s="119"/>
      <c r="G35" s="110" t="str">
        <f t="shared" ca="1" si="8"/>
        <v>0,00</v>
      </c>
      <c r="H35" s="111" t="str">
        <f t="shared" ca="1" si="9"/>
        <v/>
      </c>
      <c r="I35" s="112">
        <f t="shared" ca="1" si="15"/>
        <v>0</v>
      </c>
      <c r="J35" s="157" t="str">
        <f t="shared" ca="1" si="16"/>
        <v/>
      </c>
      <c r="K35" s="275" t="str">
        <f t="shared" ca="1" si="17"/>
        <v>--------</v>
      </c>
      <c r="L35" s="276"/>
      <c r="M35" s="93">
        <f t="shared" ca="1" si="10"/>
        <v>33</v>
      </c>
      <c r="N35" s="94">
        <f t="shared" ca="1" si="11"/>
        <v>0</v>
      </c>
      <c r="O35" s="95">
        <f t="shared" ca="1" si="12"/>
        <v>0</v>
      </c>
      <c r="P35" s="120" t="str">
        <f t="shared" ca="1" si="13"/>
        <v/>
      </c>
      <c r="Q35" s="120" t="str">
        <f t="shared" ca="1" si="2"/>
        <v>1</v>
      </c>
      <c r="R35" s="184" t="str">
        <f t="shared" ca="1" si="3"/>
        <v/>
      </c>
      <c r="S35" s="185" t="e">
        <f t="shared" ca="1" si="4"/>
        <v>#N/A</v>
      </c>
      <c r="T35" s="186" t="str">
        <f t="shared" ca="1" si="5"/>
        <v/>
      </c>
      <c r="U35" s="194" t="str">
        <f t="shared" ca="1" si="6"/>
        <v/>
      </c>
      <c r="V35" s="197" t="str">
        <f t="shared" ca="1" si="14"/>
        <v/>
      </c>
    </row>
    <row r="36" spans="1:22" ht="12.6" customHeight="1">
      <c r="A36" s="189">
        <f t="shared" ca="1" si="18"/>
        <v>42232</v>
      </c>
      <c r="B36" s="285"/>
      <c r="C36" s="286"/>
      <c r="D36" s="273"/>
      <c r="E36" s="274"/>
      <c r="F36" s="114"/>
      <c r="G36" s="110" t="str">
        <f t="shared" ca="1" si="8"/>
        <v>0,00</v>
      </c>
      <c r="H36" s="111" t="str">
        <f t="shared" ca="1" si="9"/>
        <v/>
      </c>
      <c r="I36" s="112">
        <f t="shared" ca="1" si="15"/>
        <v>0</v>
      </c>
      <c r="J36" s="157" t="str">
        <f t="shared" ca="1" si="16"/>
        <v/>
      </c>
      <c r="K36" s="275" t="str">
        <f t="shared" ca="1" si="17"/>
        <v>--------</v>
      </c>
      <c r="L36" s="276"/>
      <c r="M36" s="93">
        <f t="shared" ca="1" si="10"/>
        <v>33</v>
      </c>
      <c r="N36" s="94">
        <f t="shared" ca="1" si="11"/>
        <v>0</v>
      </c>
      <c r="O36" s="95">
        <f t="shared" ca="1" si="12"/>
        <v>0</v>
      </c>
      <c r="P36" s="120" t="str">
        <f t="shared" ca="1" si="13"/>
        <v/>
      </c>
      <c r="Q36" s="120" t="str">
        <f t="shared" ca="1" si="2"/>
        <v>1</v>
      </c>
      <c r="R36" s="184" t="str">
        <f t="shared" ca="1" si="3"/>
        <v/>
      </c>
      <c r="S36" s="185" t="e">
        <f t="shared" ca="1" si="4"/>
        <v>#N/A</v>
      </c>
      <c r="T36" s="186" t="str">
        <f t="shared" ca="1" si="5"/>
        <v/>
      </c>
      <c r="U36" s="194" t="str">
        <f t="shared" ca="1" si="6"/>
        <v/>
      </c>
      <c r="V36" s="197" t="str">
        <f t="shared" ca="1" si="14"/>
        <v/>
      </c>
    </row>
    <row r="37" spans="1:22" ht="12.6" customHeight="1">
      <c r="A37" s="189">
        <f t="shared" ca="1" si="18"/>
        <v>42233</v>
      </c>
      <c r="B37" s="285"/>
      <c r="C37" s="286"/>
      <c r="D37" s="273"/>
      <c r="E37" s="274"/>
      <c r="F37" s="114"/>
      <c r="G37" s="110" t="str">
        <f t="shared" ca="1" si="8"/>
        <v>0,00</v>
      </c>
      <c r="H37" s="111">
        <f t="shared" ca="1" si="9"/>
        <v>0</v>
      </c>
      <c r="I37" s="112">
        <f t="shared" ca="1" si="15"/>
        <v>0</v>
      </c>
      <c r="J37" s="157" t="str">
        <f t="shared" ca="1" si="16"/>
        <v/>
      </c>
      <c r="K37" s="275" t="str">
        <f t="shared" ca="1" si="17"/>
        <v>--------</v>
      </c>
      <c r="L37" s="276"/>
      <c r="M37" s="93">
        <f t="shared" ca="1" si="10"/>
        <v>33</v>
      </c>
      <c r="N37" s="94">
        <f t="shared" ca="1" si="11"/>
        <v>0</v>
      </c>
      <c r="O37" s="95">
        <f t="shared" ca="1" si="12"/>
        <v>0</v>
      </c>
      <c r="P37" s="120" t="str">
        <f t="shared" ca="1" si="13"/>
        <v/>
      </c>
      <c r="Q37" s="120" t="str">
        <f t="shared" ca="1" si="2"/>
        <v>1</v>
      </c>
      <c r="R37" s="184" t="str">
        <f t="shared" ca="1" si="3"/>
        <v/>
      </c>
      <c r="S37" s="185" t="e">
        <f t="shared" ca="1" si="4"/>
        <v>#N/A</v>
      </c>
      <c r="T37" s="186" t="str">
        <f t="shared" ca="1" si="5"/>
        <v/>
      </c>
      <c r="U37" s="194" t="str">
        <f t="shared" ca="1" si="6"/>
        <v/>
      </c>
      <c r="V37" s="197" t="str">
        <f t="shared" ca="1" si="14"/>
        <v/>
      </c>
    </row>
    <row r="38" spans="1:22" ht="12.6" customHeight="1">
      <c r="A38" s="189">
        <f t="shared" ca="1" si="18"/>
        <v>42234</v>
      </c>
      <c r="B38" s="281"/>
      <c r="C38" s="282"/>
      <c r="D38" s="283"/>
      <c r="E38" s="284"/>
      <c r="F38" s="119"/>
      <c r="G38" s="110" t="str">
        <f t="shared" ca="1" si="8"/>
        <v>0,00</v>
      </c>
      <c r="H38" s="111" t="str">
        <f t="shared" ca="1" si="9"/>
        <v/>
      </c>
      <c r="I38" s="112">
        <f t="shared" ca="1" si="15"/>
        <v>0</v>
      </c>
      <c r="J38" s="157" t="str">
        <f ca="1">IF($G$16="Sie haben Ihr Arbeitszeitkonto überschritten, bitte erstellen Sie ein neues Konto","",IF(AND(A38&lt;TODAY(),WEEKDAY(A38,2)=7),I38+$N$16,""))</f>
        <v/>
      </c>
      <c r="K38" s="275" t="str">
        <f t="shared" ca="1" si="17"/>
        <v>--------</v>
      </c>
      <c r="L38" s="276"/>
      <c r="M38" s="93">
        <f t="shared" ca="1" si="10"/>
        <v>34</v>
      </c>
      <c r="N38" s="94">
        <f t="shared" ca="1" si="11"/>
        <v>0</v>
      </c>
      <c r="O38" s="95">
        <f t="shared" ca="1" si="12"/>
        <v>0</v>
      </c>
      <c r="P38" s="120" t="str">
        <f t="shared" ca="1" si="13"/>
        <v/>
      </c>
      <c r="Q38" s="120" t="str">
        <f t="shared" ca="1" si="2"/>
        <v>1</v>
      </c>
      <c r="R38" s="184" t="str">
        <f t="shared" ca="1" si="3"/>
        <v/>
      </c>
      <c r="S38" s="185" t="e">
        <f t="shared" ca="1" si="4"/>
        <v>#N/A</v>
      </c>
      <c r="T38" s="186" t="str">
        <f t="shared" ca="1" si="5"/>
        <v/>
      </c>
      <c r="U38" s="194" t="str">
        <f t="shared" ca="1" si="6"/>
        <v/>
      </c>
      <c r="V38" s="197" t="str">
        <f t="shared" ca="1" si="14"/>
        <v/>
      </c>
    </row>
    <row r="39" spans="1:22" ht="12.6" customHeight="1">
      <c r="A39" s="189">
        <f t="shared" ca="1" si="18"/>
        <v>42235</v>
      </c>
      <c r="B39" s="285"/>
      <c r="C39" s="286"/>
      <c r="D39" s="301"/>
      <c r="E39" s="276"/>
      <c r="F39" s="119"/>
      <c r="G39" s="110" t="str">
        <f t="shared" ca="1" si="8"/>
        <v>0,00</v>
      </c>
      <c r="H39" s="111" t="str">
        <f t="shared" ca="1" si="9"/>
        <v/>
      </c>
      <c r="I39" s="112">
        <f t="shared" ca="1" si="15"/>
        <v>0</v>
      </c>
      <c r="J39" s="157" t="str">
        <f t="shared" ca="1" si="16"/>
        <v/>
      </c>
      <c r="K39" s="275" t="str">
        <f t="shared" ca="1" si="17"/>
        <v>--------</v>
      </c>
      <c r="L39" s="276"/>
      <c r="M39" s="93">
        <f t="shared" ca="1" si="10"/>
        <v>34</v>
      </c>
      <c r="N39" s="94">
        <f t="shared" ca="1" si="11"/>
        <v>0</v>
      </c>
      <c r="O39" s="95">
        <f t="shared" ca="1" si="12"/>
        <v>0</v>
      </c>
      <c r="P39" s="120" t="str">
        <f t="shared" ca="1" si="13"/>
        <v/>
      </c>
      <c r="Q39" s="120" t="str">
        <f t="shared" ca="1" si="2"/>
        <v>1</v>
      </c>
      <c r="R39" s="184" t="str">
        <f t="shared" ca="1" si="3"/>
        <v/>
      </c>
      <c r="S39" s="185" t="e">
        <f t="shared" ca="1" si="4"/>
        <v>#N/A</v>
      </c>
      <c r="T39" s="186" t="str">
        <f t="shared" ca="1" si="5"/>
        <v/>
      </c>
      <c r="U39" s="194" t="str">
        <f t="shared" ca="1" si="6"/>
        <v/>
      </c>
      <c r="V39" s="197" t="str">
        <f t="shared" ca="1" si="14"/>
        <v/>
      </c>
    </row>
    <row r="40" spans="1:22" ht="12.6" customHeight="1">
      <c r="A40" s="189">
        <f t="shared" ca="1" si="18"/>
        <v>42236</v>
      </c>
      <c r="B40" s="271"/>
      <c r="C40" s="272"/>
      <c r="D40" s="273"/>
      <c r="E40" s="274"/>
      <c r="F40" s="119"/>
      <c r="G40" s="110" t="str">
        <f t="shared" ca="1" si="8"/>
        <v>0,00</v>
      </c>
      <c r="H40" s="111" t="str">
        <f t="shared" ca="1" si="9"/>
        <v/>
      </c>
      <c r="I40" s="112">
        <f t="shared" ca="1" si="15"/>
        <v>0</v>
      </c>
      <c r="J40" s="157" t="str">
        <f t="shared" ca="1" si="16"/>
        <v/>
      </c>
      <c r="K40" s="275" t="str">
        <f t="shared" ca="1" si="17"/>
        <v>--------</v>
      </c>
      <c r="L40" s="276"/>
      <c r="M40" s="93">
        <f t="shared" ca="1" si="10"/>
        <v>34</v>
      </c>
      <c r="N40" s="94">
        <f t="shared" ca="1" si="11"/>
        <v>0</v>
      </c>
      <c r="O40" s="95">
        <f t="shared" ca="1" si="12"/>
        <v>0</v>
      </c>
      <c r="P40" s="120" t="str">
        <f t="shared" ca="1" si="13"/>
        <v/>
      </c>
      <c r="Q40" s="120" t="str">
        <f t="shared" ca="1" si="2"/>
        <v>1</v>
      </c>
      <c r="R40" s="184" t="str">
        <f t="shared" ca="1" si="3"/>
        <v/>
      </c>
      <c r="S40" s="185" t="e">
        <f t="shared" ca="1" si="4"/>
        <v>#N/A</v>
      </c>
      <c r="T40" s="186" t="str">
        <f t="shared" ca="1" si="5"/>
        <v/>
      </c>
      <c r="U40" s="194" t="str">
        <f t="shared" ca="1" si="6"/>
        <v/>
      </c>
      <c r="V40" s="197" t="str">
        <f t="shared" ca="1" si="14"/>
        <v/>
      </c>
    </row>
    <row r="41" spans="1:22" ht="12.6" customHeight="1">
      <c r="A41" s="189">
        <f t="shared" ca="1" si="18"/>
        <v>42237</v>
      </c>
      <c r="B41" s="285"/>
      <c r="C41" s="286"/>
      <c r="D41" s="273"/>
      <c r="E41" s="274"/>
      <c r="F41" s="119"/>
      <c r="G41" s="110" t="str">
        <f t="shared" ca="1" si="8"/>
        <v>0,00</v>
      </c>
      <c r="H41" s="111" t="str">
        <f t="shared" ca="1" si="9"/>
        <v/>
      </c>
      <c r="I41" s="112">
        <f t="shared" ca="1" si="15"/>
        <v>0</v>
      </c>
      <c r="J41" s="157" t="str">
        <f t="shared" ca="1" si="16"/>
        <v/>
      </c>
      <c r="K41" s="275" t="str">
        <f t="shared" ca="1" si="17"/>
        <v>--------</v>
      </c>
      <c r="L41" s="276"/>
      <c r="M41" s="93">
        <f t="shared" ca="1" si="10"/>
        <v>34</v>
      </c>
      <c r="N41" s="94">
        <f t="shared" ca="1" si="11"/>
        <v>0</v>
      </c>
      <c r="O41" s="95">
        <f t="shared" ca="1" si="12"/>
        <v>0</v>
      </c>
      <c r="P41" s="120" t="str">
        <f t="shared" ca="1" si="13"/>
        <v/>
      </c>
      <c r="Q41" s="120" t="str">
        <f t="shared" ca="1" si="2"/>
        <v>1</v>
      </c>
      <c r="R41" s="184" t="str">
        <f t="shared" ca="1" si="3"/>
        <v/>
      </c>
      <c r="S41" s="185" t="e">
        <f t="shared" ca="1" si="4"/>
        <v>#N/A</v>
      </c>
      <c r="T41" s="186" t="str">
        <f t="shared" ca="1" si="5"/>
        <v/>
      </c>
      <c r="U41" s="194" t="str">
        <f t="shared" ca="1" si="6"/>
        <v/>
      </c>
      <c r="V41" s="197" t="str">
        <f t="shared" ca="1" si="14"/>
        <v/>
      </c>
    </row>
    <row r="42" spans="1:22" ht="12.6" customHeight="1">
      <c r="A42" s="189">
        <f t="shared" ca="1" si="18"/>
        <v>42238</v>
      </c>
      <c r="B42" s="271"/>
      <c r="C42" s="272"/>
      <c r="D42" s="273"/>
      <c r="E42" s="274"/>
      <c r="F42" s="119"/>
      <c r="G42" s="110" t="str">
        <f t="shared" ca="1" si="8"/>
        <v>0,00</v>
      </c>
      <c r="H42" s="111" t="str">
        <f t="shared" ca="1" si="9"/>
        <v/>
      </c>
      <c r="I42" s="112">
        <f t="shared" ca="1" si="15"/>
        <v>0</v>
      </c>
      <c r="J42" s="157" t="str">
        <f t="shared" ca="1" si="16"/>
        <v/>
      </c>
      <c r="K42" s="275" t="str">
        <f t="shared" ca="1" si="17"/>
        <v>--------</v>
      </c>
      <c r="L42" s="276"/>
      <c r="M42" s="93">
        <f t="shared" ca="1" si="10"/>
        <v>34</v>
      </c>
      <c r="N42" s="94">
        <f t="shared" ca="1" si="11"/>
        <v>0</v>
      </c>
      <c r="O42" s="95">
        <f t="shared" ca="1" si="12"/>
        <v>0</v>
      </c>
      <c r="P42" s="120" t="str">
        <f t="shared" ca="1" si="13"/>
        <v/>
      </c>
      <c r="Q42" s="120" t="str">
        <f t="shared" ca="1" si="2"/>
        <v>1</v>
      </c>
      <c r="R42" s="184" t="str">
        <f t="shared" ca="1" si="3"/>
        <v/>
      </c>
      <c r="S42" s="185" t="e">
        <f t="shared" ca="1" si="4"/>
        <v>#N/A</v>
      </c>
      <c r="T42" s="186" t="str">
        <f t="shared" ca="1" si="5"/>
        <v/>
      </c>
      <c r="U42" s="194" t="str">
        <f t="shared" ca="1" si="6"/>
        <v/>
      </c>
      <c r="V42" s="197" t="str">
        <f t="shared" ca="1" si="14"/>
        <v/>
      </c>
    </row>
    <row r="43" spans="1:22" ht="12.6" customHeight="1">
      <c r="A43" s="189">
        <f t="shared" ca="1" si="18"/>
        <v>42239</v>
      </c>
      <c r="B43" s="285"/>
      <c r="C43" s="286"/>
      <c r="D43" s="273"/>
      <c r="E43" s="274"/>
      <c r="F43" s="114"/>
      <c r="G43" s="110" t="str">
        <f t="shared" ca="1" si="8"/>
        <v>0,00</v>
      </c>
      <c r="H43" s="111" t="str">
        <f t="shared" ca="1" si="9"/>
        <v/>
      </c>
      <c r="I43" s="112">
        <f t="shared" ca="1" si="15"/>
        <v>0</v>
      </c>
      <c r="J43" s="157" t="str">
        <f t="shared" ca="1" si="16"/>
        <v/>
      </c>
      <c r="K43" s="275" t="str">
        <f t="shared" ca="1" si="17"/>
        <v>--------</v>
      </c>
      <c r="L43" s="276"/>
      <c r="M43" s="93">
        <f t="shared" ca="1" si="10"/>
        <v>34</v>
      </c>
      <c r="N43" s="94">
        <f t="shared" ca="1" si="11"/>
        <v>0</v>
      </c>
      <c r="O43" s="95">
        <f t="shared" ca="1" si="12"/>
        <v>0</v>
      </c>
      <c r="P43" s="120" t="str">
        <f t="shared" ca="1" si="13"/>
        <v/>
      </c>
      <c r="Q43" s="120" t="str">
        <f t="shared" ca="1" si="2"/>
        <v>1</v>
      </c>
      <c r="R43" s="184" t="str">
        <f t="shared" ca="1" si="3"/>
        <v/>
      </c>
      <c r="S43" s="185" t="e">
        <f ca="1">VLOOKUP(A43,$Q$77:$S$92,2,FALSE)</f>
        <v>#N/A</v>
      </c>
      <c r="T43" s="186" t="str">
        <f t="shared" ca="1" si="5"/>
        <v/>
      </c>
      <c r="U43" s="194" t="str">
        <f t="shared" ca="1" si="6"/>
        <v/>
      </c>
      <c r="V43" s="197" t="str">
        <f t="shared" ca="1" si="14"/>
        <v/>
      </c>
    </row>
    <row r="44" spans="1:22" ht="12.6" customHeight="1">
      <c r="A44" s="189">
        <f t="shared" ca="1" si="18"/>
        <v>42240</v>
      </c>
      <c r="B44" s="285"/>
      <c r="C44" s="286"/>
      <c r="D44" s="273"/>
      <c r="E44" s="274"/>
      <c r="F44" s="114"/>
      <c r="G44" s="110" t="str">
        <f t="shared" ca="1" si="8"/>
        <v>0,00</v>
      </c>
      <c r="H44" s="111">
        <f t="shared" ca="1" si="9"/>
        <v>0</v>
      </c>
      <c r="I44" s="112">
        <f t="shared" ca="1" si="15"/>
        <v>0</v>
      </c>
      <c r="J44" s="157" t="str">
        <f t="shared" ca="1" si="16"/>
        <v/>
      </c>
      <c r="K44" s="275" t="str">
        <f t="shared" ca="1" si="17"/>
        <v>--------</v>
      </c>
      <c r="L44" s="276"/>
      <c r="M44" s="93">
        <f t="shared" ca="1" si="10"/>
        <v>34</v>
      </c>
      <c r="N44" s="94">
        <f t="shared" ca="1" si="11"/>
        <v>0</v>
      </c>
      <c r="O44" s="95">
        <f t="shared" ca="1" si="12"/>
        <v>0</v>
      </c>
      <c r="P44" s="120" t="str">
        <f t="shared" ca="1" si="13"/>
        <v/>
      </c>
      <c r="Q44" s="120" t="str">
        <f t="shared" ca="1" si="2"/>
        <v>1</v>
      </c>
      <c r="R44" s="184" t="str">
        <f t="shared" ca="1" si="3"/>
        <v/>
      </c>
      <c r="S44" s="185" t="e">
        <f t="shared" ca="1" si="4"/>
        <v>#N/A</v>
      </c>
      <c r="T44" s="186" t="str">
        <f t="shared" ca="1" si="5"/>
        <v/>
      </c>
      <c r="U44" s="194" t="str">
        <f t="shared" ca="1" si="6"/>
        <v/>
      </c>
      <c r="V44" s="197" t="str">
        <f t="shared" ca="1" si="14"/>
        <v/>
      </c>
    </row>
    <row r="45" spans="1:22" ht="12.6" customHeight="1">
      <c r="A45" s="189">
        <f t="shared" ca="1" si="18"/>
        <v>42241</v>
      </c>
      <c r="B45" s="308"/>
      <c r="C45" s="309"/>
      <c r="D45" s="308"/>
      <c r="E45" s="309"/>
      <c r="F45" s="119"/>
      <c r="G45" s="110" t="str">
        <f t="shared" ca="1" si="8"/>
        <v>0,00</v>
      </c>
      <c r="H45" s="111" t="str">
        <f t="shared" ca="1" si="9"/>
        <v/>
      </c>
      <c r="I45" s="112">
        <f t="shared" ca="1" si="15"/>
        <v>0</v>
      </c>
      <c r="J45" s="157" t="str">
        <f t="shared" ca="1" si="16"/>
        <v/>
      </c>
      <c r="K45" s="275" t="str">
        <f t="shared" ca="1" si="17"/>
        <v>--------</v>
      </c>
      <c r="L45" s="276"/>
      <c r="M45" s="93">
        <f t="shared" ca="1" si="10"/>
        <v>35</v>
      </c>
      <c r="N45" s="94">
        <f t="shared" ca="1" si="11"/>
        <v>0</v>
      </c>
      <c r="O45" s="95">
        <f t="shared" ca="1" si="12"/>
        <v>0</v>
      </c>
      <c r="P45" s="120" t="str">
        <f t="shared" ca="1" si="13"/>
        <v/>
      </c>
      <c r="Q45" s="120" t="str">
        <f t="shared" ca="1" si="2"/>
        <v>1</v>
      </c>
      <c r="R45" s="184" t="str">
        <f t="shared" ca="1" si="3"/>
        <v/>
      </c>
      <c r="S45" s="185" t="e">
        <f t="shared" ca="1" si="4"/>
        <v>#N/A</v>
      </c>
      <c r="T45" s="186" t="str">
        <f t="shared" ca="1" si="5"/>
        <v/>
      </c>
      <c r="U45" s="194" t="str">
        <f t="shared" ca="1" si="6"/>
        <v/>
      </c>
      <c r="V45" s="197" t="str">
        <f t="shared" ca="1" si="14"/>
        <v/>
      </c>
    </row>
    <row r="46" spans="1:22" ht="12.6" customHeight="1">
      <c r="A46" s="189">
        <f t="shared" ca="1" si="18"/>
        <v>42242</v>
      </c>
      <c r="B46" s="308"/>
      <c r="C46" s="309"/>
      <c r="D46" s="313"/>
      <c r="E46" s="314"/>
      <c r="F46" s="119"/>
      <c r="G46" s="110" t="str">
        <f t="shared" ca="1" si="8"/>
        <v>0,00</v>
      </c>
      <c r="H46" s="111" t="str">
        <f t="shared" ca="1" si="9"/>
        <v/>
      </c>
      <c r="I46" s="112">
        <f t="shared" ca="1" si="15"/>
        <v>0</v>
      </c>
      <c r="J46" s="157" t="str">
        <f t="shared" ca="1" si="16"/>
        <v/>
      </c>
      <c r="K46" s="275" t="str">
        <f t="shared" ca="1" si="17"/>
        <v>--------</v>
      </c>
      <c r="L46" s="276"/>
      <c r="M46" s="93">
        <f t="shared" ca="1" si="10"/>
        <v>35</v>
      </c>
      <c r="N46" s="94">
        <f t="shared" ca="1" si="11"/>
        <v>0</v>
      </c>
      <c r="O46" s="95">
        <f t="shared" ca="1" si="12"/>
        <v>0</v>
      </c>
      <c r="P46" s="120" t="str">
        <f t="shared" ca="1" si="13"/>
        <v/>
      </c>
      <c r="Q46" s="120" t="str">
        <f t="shared" ca="1" si="2"/>
        <v>1</v>
      </c>
      <c r="R46" s="184" t="str">
        <f t="shared" ca="1" si="3"/>
        <v/>
      </c>
      <c r="S46" s="185" t="e">
        <f t="shared" ca="1" si="4"/>
        <v>#N/A</v>
      </c>
      <c r="T46" s="186" t="str">
        <f t="shared" ca="1" si="5"/>
        <v/>
      </c>
      <c r="U46" s="194" t="str">
        <f t="shared" ca="1" si="6"/>
        <v/>
      </c>
      <c r="V46" s="197" t="str">
        <f t="shared" ca="1" si="14"/>
        <v/>
      </c>
    </row>
    <row r="47" spans="1:22" ht="12.6" customHeight="1">
      <c r="A47" s="189">
        <f t="shared" ca="1" si="18"/>
        <v>42243</v>
      </c>
      <c r="B47" s="308"/>
      <c r="C47" s="309"/>
      <c r="D47" s="308"/>
      <c r="E47" s="309"/>
      <c r="F47" s="119"/>
      <c r="G47" s="110" t="str">
        <f t="shared" ca="1" si="8"/>
        <v>0,00</v>
      </c>
      <c r="H47" s="111" t="str">
        <f t="shared" ca="1" si="9"/>
        <v/>
      </c>
      <c r="I47" s="112">
        <f t="shared" ca="1" si="15"/>
        <v>0</v>
      </c>
      <c r="J47" s="157" t="str">
        <f t="shared" ca="1" si="16"/>
        <v/>
      </c>
      <c r="K47" s="275" t="str">
        <f t="shared" ca="1" si="17"/>
        <v>--------</v>
      </c>
      <c r="L47" s="276"/>
      <c r="M47" s="93">
        <f t="shared" ca="1" si="10"/>
        <v>35</v>
      </c>
      <c r="N47" s="94">
        <f t="shared" ca="1" si="11"/>
        <v>0</v>
      </c>
      <c r="O47" s="95">
        <f t="shared" ca="1" si="12"/>
        <v>0</v>
      </c>
      <c r="P47" s="120" t="str">
        <f t="shared" ca="1" si="13"/>
        <v/>
      </c>
      <c r="Q47" s="120" t="str">
        <f t="shared" ca="1" si="2"/>
        <v>1</v>
      </c>
      <c r="R47" s="184" t="str">
        <f t="shared" ca="1" si="3"/>
        <v/>
      </c>
      <c r="S47" s="185" t="e">
        <f t="shared" ca="1" si="4"/>
        <v>#N/A</v>
      </c>
      <c r="T47" s="186" t="str">
        <f t="shared" ca="1" si="5"/>
        <v/>
      </c>
      <c r="U47" s="194" t="str">
        <f t="shared" ca="1" si="6"/>
        <v/>
      </c>
      <c r="V47" s="197" t="str">
        <f t="shared" ca="1" si="14"/>
        <v/>
      </c>
    </row>
    <row r="48" spans="1:22" ht="12.6" customHeight="1">
      <c r="A48" s="189">
        <f t="shared" ca="1" si="18"/>
        <v>42244</v>
      </c>
      <c r="B48" s="271"/>
      <c r="C48" s="272"/>
      <c r="D48" s="273"/>
      <c r="E48" s="274"/>
      <c r="F48" s="119"/>
      <c r="G48" s="110" t="str">
        <f t="shared" ca="1" si="8"/>
        <v>0,00</v>
      </c>
      <c r="H48" s="111" t="str">
        <f t="shared" ca="1" si="9"/>
        <v/>
      </c>
      <c r="I48" s="112">
        <f t="shared" ca="1" si="15"/>
        <v>0</v>
      </c>
      <c r="J48" s="157" t="str">
        <f ca="1">IF($G$16="Sie haben Ihr Arbeitszeitkonto überschritten, bitte erstellen Sie ein neues Konto","",IF(AND(A48&lt;TODAY(),WEEKDAY(A48,2)=7),I48+$N$16,""))</f>
        <v/>
      </c>
      <c r="K48" s="275" t="str">
        <f t="shared" ca="1" si="17"/>
        <v>--------</v>
      </c>
      <c r="L48" s="276"/>
      <c r="M48" s="93">
        <f t="shared" ca="1" si="10"/>
        <v>35</v>
      </c>
      <c r="N48" s="94">
        <f t="shared" ca="1" si="11"/>
        <v>0</v>
      </c>
      <c r="O48" s="95">
        <f t="shared" ca="1" si="12"/>
        <v>0</v>
      </c>
      <c r="P48" s="120" t="str">
        <f t="shared" ca="1" si="13"/>
        <v/>
      </c>
      <c r="Q48" s="120" t="str">
        <f t="shared" ca="1" si="2"/>
        <v>1</v>
      </c>
      <c r="R48" s="184" t="str">
        <f t="shared" ca="1" si="3"/>
        <v/>
      </c>
      <c r="S48" s="185" t="e">
        <f t="shared" ca="1" si="4"/>
        <v>#N/A</v>
      </c>
      <c r="T48" s="186" t="str">
        <f t="shared" ca="1" si="5"/>
        <v/>
      </c>
      <c r="U48" s="194" t="str">
        <f t="shared" ca="1" si="6"/>
        <v/>
      </c>
      <c r="V48" s="197" t="str">
        <f t="shared" ca="1" si="14"/>
        <v/>
      </c>
    </row>
    <row r="49" spans="1:22" ht="12.6" customHeight="1">
      <c r="A49" s="189">
        <f t="shared" ca="1" si="18"/>
        <v>42245</v>
      </c>
      <c r="B49" s="285"/>
      <c r="C49" s="286"/>
      <c r="D49" s="273"/>
      <c r="E49" s="274"/>
      <c r="F49" s="119"/>
      <c r="G49" s="110" t="str">
        <f t="shared" ca="1" si="8"/>
        <v>0,00</v>
      </c>
      <c r="H49" s="111" t="str">
        <f t="shared" ca="1" si="9"/>
        <v/>
      </c>
      <c r="I49" s="112">
        <f t="shared" ca="1" si="15"/>
        <v>0</v>
      </c>
      <c r="J49" s="157" t="str">
        <f t="shared" ca="1" si="16"/>
        <v/>
      </c>
      <c r="K49" s="275" t="str">
        <f t="shared" ca="1" si="17"/>
        <v>--------</v>
      </c>
      <c r="L49" s="276"/>
      <c r="M49" s="93">
        <f t="shared" ca="1" si="10"/>
        <v>35</v>
      </c>
      <c r="N49" s="94">
        <f t="shared" ca="1" si="11"/>
        <v>0</v>
      </c>
      <c r="O49" s="95">
        <f t="shared" ca="1" si="12"/>
        <v>0</v>
      </c>
      <c r="P49" s="120" t="str">
        <f t="shared" ca="1" si="13"/>
        <v/>
      </c>
      <c r="Q49" s="120" t="str">
        <f t="shared" ca="1" si="2"/>
        <v>1</v>
      </c>
      <c r="R49" s="184" t="str">
        <f t="shared" ca="1" si="3"/>
        <v/>
      </c>
      <c r="S49" s="185" t="e">
        <f t="shared" ca="1" si="4"/>
        <v>#N/A</v>
      </c>
      <c r="T49" s="186" t="str">
        <f t="shared" ca="1" si="5"/>
        <v/>
      </c>
      <c r="U49" s="194" t="str">
        <f t="shared" ca="1" si="6"/>
        <v/>
      </c>
      <c r="V49" s="197" t="str">
        <f t="shared" ca="1" si="14"/>
        <v/>
      </c>
    </row>
    <row r="50" spans="1:22" ht="12.6" customHeight="1" thickBot="1">
      <c r="A50" s="191">
        <f t="shared" ca="1" si="18"/>
        <v>42246</v>
      </c>
      <c r="B50" s="315"/>
      <c r="C50" s="316"/>
      <c r="D50" s="317"/>
      <c r="E50" s="296"/>
      <c r="F50" s="134"/>
      <c r="G50" s="135" t="str">
        <f ca="1">IF(OR(A50&lt;$C$14,A50&gt;$F$14,A50&gt;TODAY()),"0,00",IF(ISBLANK($C$14),"0,00",(D50-B50-F50)))</f>
        <v>0,00</v>
      </c>
      <c r="H50" s="136" t="str">
        <f t="shared" ca="1" si="9"/>
        <v/>
      </c>
      <c r="I50" s="112">
        <f t="shared" ca="1" si="15"/>
        <v>0</v>
      </c>
      <c r="J50" s="158" t="str">
        <f t="shared" ca="1" si="16"/>
        <v/>
      </c>
      <c r="K50" s="318" t="str">
        <f t="shared" ca="1" si="17"/>
        <v>--------</v>
      </c>
      <c r="L50" s="296"/>
      <c r="M50" s="93">
        <f ca="1">IF(A50&gt;DATE(1904,1,1),WEEKNUM(A50,2),"")</f>
        <v>35</v>
      </c>
      <c r="N50" s="94">
        <f t="shared" ca="1" si="11"/>
        <v>0</v>
      </c>
      <c r="O50" s="95">
        <f t="shared" ca="1" si="12"/>
        <v>0</v>
      </c>
      <c r="P50" s="120" t="str">
        <f t="shared" ca="1" si="13"/>
        <v/>
      </c>
      <c r="Q50" s="120" t="str">
        <f t="shared" ca="1" si="2"/>
        <v>1</v>
      </c>
      <c r="R50" s="184" t="str">
        <f t="shared" ca="1" si="3"/>
        <v/>
      </c>
      <c r="S50" s="185" t="e">
        <f t="shared" ca="1" si="4"/>
        <v>#N/A</v>
      </c>
      <c r="T50" s="186" t="str">
        <f ca="1">IF(ISNA(S50),"",S50)</f>
        <v/>
      </c>
      <c r="U50" s="195" t="str">
        <f t="shared" ca="1" si="6"/>
        <v/>
      </c>
      <c r="V50" s="197" t="str">
        <f t="shared" ca="1" si="14"/>
        <v/>
      </c>
    </row>
    <row r="51" spans="1:22" ht="11.25" customHeight="1">
      <c r="A51" s="19"/>
      <c r="B51" s="13"/>
      <c r="C51" s="13"/>
      <c r="D51" s="13"/>
      <c r="E51" s="20"/>
      <c r="I51" s="42"/>
      <c r="K51" s="21"/>
      <c r="L51" s="11"/>
      <c r="M51" s="143"/>
      <c r="N51" s="230"/>
      <c r="O51" s="59"/>
      <c r="S51" s="183"/>
      <c r="V51" s="198">
        <f ca="1">COUNTIF(V20:V50,"!")</f>
        <v>0</v>
      </c>
    </row>
    <row r="52" spans="1:22" ht="14.1" customHeight="1">
      <c r="D52" s="104"/>
      <c r="E52" s="22"/>
      <c r="F52" s="140" t="s">
        <v>29</v>
      </c>
      <c r="G52" s="141">
        <f ca="1">IF($G$16="Sie haben Ihr Arbeitszeitkonto überschritten, bitte erstellen Sie ein neues Konto","",SUM($G$20:$G$50))</f>
        <v>0</v>
      </c>
      <c r="H52" s="130" t="s">
        <v>30</v>
      </c>
      <c r="J52" s="142">
        <f ca="1">IF($G$16="Sie haben Ihr Arbeitszeitkonto überschritten, bitte erstellen Sie ein neues Konto","",IF(ISNA($H$56),0,IF($H$56&gt;$D$53,($D$53+$D$54),($H$56+$D$54))))</f>
        <v>0</v>
      </c>
      <c r="K52" s="290" t="str">
        <f ca="1">IF(ISNA($E$56),"",IF($E$56&gt;$D$53,"Kappung erfolgt",""))</f>
        <v/>
      </c>
      <c r="L52" s="290"/>
      <c r="M52" s="143"/>
      <c r="N52" s="230">
        <f ca="1">SUM(N20:N50)</f>
        <v>0</v>
      </c>
      <c r="O52" s="59"/>
    </row>
    <row r="53" spans="1:22">
      <c r="A53" s="100" t="s">
        <v>26</v>
      </c>
      <c r="B53" s="100"/>
      <c r="C53" s="100"/>
      <c r="D53" s="101">
        <f ca="1">$N$52*0.5</f>
        <v>0</v>
      </c>
      <c r="E53" s="23"/>
      <c r="F53" s="23"/>
      <c r="G53" s="24"/>
      <c r="H53" s="2"/>
      <c r="I53" s="2"/>
      <c r="K53" s="127"/>
      <c r="L53" s="127"/>
      <c r="M53" s="143"/>
      <c r="N53" s="38">
        <f ca="1">SUM(N20:N50)</f>
        <v>0</v>
      </c>
      <c r="O53" s="60"/>
    </row>
    <row r="54" spans="1:22">
      <c r="A54" s="103" t="s">
        <v>25</v>
      </c>
      <c r="B54" s="103"/>
      <c r="C54" s="103"/>
      <c r="D54" s="102">
        <f ca="1">$M$16</f>
        <v>0</v>
      </c>
      <c r="F54" s="106"/>
      <c r="G54" s="106"/>
      <c r="H54" s="299" t="str">
        <f ca="1">IF($K$52="Kappung erfolgt","INFO: (Gekappte Std.: "&amp;$J$56,"")</f>
        <v/>
      </c>
      <c r="I54" s="299"/>
      <c r="J54" s="299"/>
      <c r="K54" s="127" t="str">
        <f ca="1">IF($K$52="Kappung erfolgt","von insg. "&amp;$L$56&amp;" Mehrstunden)","")</f>
        <v/>
      </c>
      <c r="L54" s="131"/>
      <c r="M54" s="143"/>
      <c r="N54" s="28">
        <f>IF($A$55="Wg.Unterbrechung  keine Stundenübernahme möglich! Bitte Angaben prüfen","1",0)</f>
        <v>0</v>
      </c>
      <c r="P54" s="164"/>
      <c r="Q54" s="164"/>
      <c r="R54" s="164"/>
      <c r="S54" s="164"/>
      <c r="T54" s="164"/>
      <c r="U54" s="164"/>
      <c r="V54" s="164"/>
    </row>
    <row r="55" spans="1:22">
      <c r="A55" s="319" t="str">
        <f>IF($H$14="Achtung! Stundennachweis unterbrochen","Wg.Unterbrechung  keine Stundenübernahme möglich! Bitte Angaben prüfen","")</f>
        <v/>
      </c>
      <c r="B55" s="319"/>
      <c r="C55" s="319"/>
      <c r="D55" s="319"/>
      <c r="E55" s="319"/>
      <c r="F55" s="319"/>
      <c r="G55" s="2"/>
      <c r="M55" s="143"/>
      <c r="N55" s="123" t="str">
        <f>IF($N$54&gt;0,($D$54*-1),"0:00")</f>
        <v>0:00</v>
      </c>
      <c r="O55" s="239" t="str">
        <f ca="1">IF(O50="",0,"")</f>
        <v/>
      </c>
    </row>
    <row r="56" spans="1:22" hidden="1">
      <c r="E56" s="232">
        <f>+H56-F56</f>
        <v>-6.9444444444444447E-4</v>
      </c>
      <c r="F56" s="60">
        <v>6.9444444444444447E-4</v>
      </c>
      <c r="G56" s="124">
        <f ca="1">+$H$56+$D$54</f>
        <v>0</v>
      </c>
      <c r="H56" s="38">
        <f>IF($C$14&gt;DATE(1904,1,1),LOOKUP(10000000,O19:O99),0)</f>
        <v>0</v>
      </c>
      <c r="I56" s="60">
        <f ca="1">+($H$56+$N$16)-J52</f>
        <v>0</v>
      </c>
      <c r="J56" s="233">
        <f ca="1">ROUND(I56*24,2)</f>
        <v>0</v>
      </c>
      <c r="K56">
        <f ca="1">($H$56+$N$16)*24</f>
        <v>0</v>
      </c>
      <c r="L56">
        <f ca="1">ROUND(K56,1)</f>
        <v>0</v>
      </c>
      <c r="M56" s="143"/>
      <c r="N56" s="28"/>
    </row>
    <row r="57" spans="1:22">
      <c r="A57" s="322" t="str">
        <f ca="1">IF(V51&gt;0,"Achtung! Bitte bei den blau markierten Feldern die Regelstunden eintragen.","")</f>
        <v/>
      </c>
      <c r="B57" s="322"/>
      <c r="C57" s="322"/>
      <c r="D57" s="322"/>
      <c r="E57" s="322"/>
      <c r="F57" s="322"/>
      <c r="G57" s="199"/>
      <c r="H57">
        <f>IF($C$14&gt;DATE(1904,1,1),LOOKUP(10000000,O19:O52),0)</f>
        <v>0</v>
      </c>
      <c r="M57" s="143"/>
      <c r="N57" s="28"/>
      <c r="Q57" s="251" t="s">
        <v>32</v>
      </c>
      <c r="R57" s="251"/>
      <c r="S57" s="251"/>
      <c r="T57" s="251"/>
    </row>
    <row r="58" spans="1:22">
      <c r="A58" s="25"/>
      <c r="B58" s="25"/>
      <c r="C58" s="38"/>
      <c r="D58" s="26"/>
      <c r="E58" s="27"/>
      <c r="F58" s="144"/>
      <c r="G58" s="2"/>
      <c r="H58" s="38"/>
      <c r="J58" s="132"/>
      <c r="M58" s="219"/>
      <c r="N58" s="219"/>
      <c r="O58" s="219"/>
      <c r="Q58" s="250">
        <f>+F14-C14</f>
        <v>0</v>
      </c>
      <c r="R58" s="250"/>
    </row>
    <row r="59" spans="1:22">
      <c r="A59" s="25"/>
      <c r="B59" s="25"/>
      <c r="C59" s="38"/>
      <c r="D59" s="26"/>
      <c r="E59" s="27"/>
      <c r="F59" s="144"/>
      <c r="G59" s="2"/>
      <c r="H59" s="145"/>
      <c r="M59" s="143"/>
      <c r="N59" s="28"/>
      <c r="Q59" s="252" t="s">
        <v>33</v>
      </c>
      <c r="R59" s="252"/>
      <c r="S59" s="252"/>
      <c r="T59" s="252"/>
      <c r="U59" s="252"/>
      <c r="V59" s="252"/>
    </row>
    <row r="60" spans="1:22" ht="12.75" customHeight="1">
      <c r="A60" s="29"/>
      <c r="B60" s="11"/>
      <c r="C60" s="11"/>
      <c r="D60" s="11"/>
      <c r="E60" s="11"/>
      <c r="F60" s="11"/>
      <c r="G60" s="11"/>
      <c r="H60" s="30"/>
      <c r="I60" s="30"/>
      <c r="J60" s="31"/>
      <c r="K60" s="31"/>
      <c r="L60" s="31"/>
      <c r="M60" s="143"/>
      <c r="N60" s="28"/>
    </row>
    <row r="61" spans="1:22" ht="12.75" customHeight="1">
      <c r="A61" s="226"/>
      <c r="B61" s="34"/>
      <c r="C61" s="34"/>
      <c r="D61" s="34"/>
      <c r="E61" s="34"/>
      <c r="F61" s="11"/>
      <c r="G61" s="11"/>
      <c r="H61" s="34"/>
      <c r="I61" s="34"/>
      <c r="J61" s="35"/>
      <c r="K61" s="35"/>
      <c r="L61" s="35"/>
    </row>
    <row r="62" spans="1:22" ht="18.75" customHeight="1" thickBot="1">
      <c r="A62" s="203" t="s">
        <v>18</v>
      </c>
      <c r="B62" s="292" t="s">
        <v>19</v>
      </c>
      <c r="C62" s="292"/>
      <c r="D62" s="292"/>
      <c r="E62" s="292"/>
      <c r="F62" s="3"/>
      <c r="G62" s="36" t="s">
        <v>18</v>
      </c>
      <c r="H62" s="292" t="s">
        <v>20</v>
      </c>
      <c r="I62" s="292"/>
      <c r="J62" s="292"/>
      <c r="K62" s="292"/>
      <c r="L62" s="292"/>
    </row>
    <row r="63" spans="1:22" ht="17.25" thickTop="1" thickBot="1">
      <c r="P63" s="160">
        <f ca="1">YEAR($B$17)</f>
        <v>2019</v>
      </c>
      <c r="Q63" s="3"/>
    </row>
    <row r="64" spans="1:22" ht="15.75" thickTop="1">
      <c r="O64" s="218"/>
      <c r="Q64" s="3">
        <f ca="1">MOD(P63,19)</f>
        <v>5</v>
      </c>
      <c r="R64" s="287" t="s">
        <v>34</v>
      </c>
      <c r="S64" s="287"/>
      <c r="T64" s="231"/>
    </row>
    <row r="65" spans="16:20">
      <c r="P65" s="3"/>
      <c r="Q65" s="3">
        <f ca="1">MOD(P63,4)</f>
        <v>3</v>
      </c>
    </row>
    <row r="66" spans="16:20">
      <c r="P66" s="3"/>
      <c r="Q66" s="3">
        <f ca="1">MOD(P63,7)</f>
        <v>3</v>
      </c>
    </row>
    <row r="67" spans="16:20">
      <c r="P67" s="3"/>
      <c r="Q67" s="3">
        <f ca="1">TRUNC((8*(TRUNC(P63/100))+13)/25)-2</f>
        <v>4</v>
      </c>
    </row>
    <row r="68" spans="16:20">
      <c r="P68" s="3"/>
      <c r="Q68" s="3">
        <f ca="1">TRUNC(P63/100)-TRUNC(P63/400)-2</f>
        <v>13</v>
      </c>
    </row>
    <row r="69" spans="16:20">
      <c r="P69" s="3"/>
      <c r="Q69" s="3">
        <f ca="1">MOD(15+Q68-Q67,30)</f>
        <v>24</v>
      </c>
    </row>
    <row r="70" spans="16:20">
      <c r="P70" s="161"/>
      <c r="Q70" s="3">
        <f ca="1">MOD(6+Q68,7)</f>
        <v>5</v>
      </c>
    </row>
    <row r="71" spans="16:20">
      <c r="P71" s="3"/>
      <c r="Q71" s="3">
        <f ca="1">MOD(Q69+19*Q64,30)</f>
        <v>29</v>
      </c>
    </row>
    <row r="72" spans="16:20">
      <c r="P72" s="3"/>
      <c r="Q72" s="3">
        <f ca="1">IF(Q71=29,28,IF(AND(Q71=28,Q64&gt;=11),27,IF(AND(Q71&lt;28,Q71&gt;29),,Q71)))</f>
        <v>28</v>
      </c>
    </row>
    <row r="73" spans="16:20">
      <c r="P73" s="3"/>
      <c r="Q73" s="3">
        <f ca="1">MOD(2*Q65+4*Q66+6*Q72+Q70,7)</f>
        <v>2</v>
      </c>
    </row>
    <row r="74" spans="16:20">
      <c r="P74" s="3"/>
      <c r="Q74" s="3">
        <f ca="1">Q72+Q73+1</f>
        <v>31</v>
      </c>
    </row>
    <row r="75" spans="16:20">
      <c r="P75" s="3"/>
      <c r="Q75" s="3">
        <f>DATEVALUE("21.märz")</f>
        <v>40988</v>
      </c>
    </row>
    <row r="77" spans="16:20">
      <c r="P77" s="183"/>
      <c r="Q77" s="228">
        <f ca="1">+T77</f>
        <v>42004</v>
      </c>
      <c r="R77" s="30" t="s">
        <v>35</v>
      </c>
      <c r="T77" s="229">
        <f ca="1">DATE($P$63,1,1)</f>
        <v>42004</v>
      </c>
    </row>
    <row r="78" spans="16:20">
      <c r="P78" s="2"/>
      <c r="Q78" s="220">
        <f ca="1">+$Q$80-2</f>
        <v>42112</v>
      </c>
      <c r="R78" s="30" t="s">
        <v>36</v>
      </c>
      <c r="S78" s="221"/>
      <c r="T78" s="2"/>
    </row>
    <row r="79" spans="16:20">
      <c r="P79" s="2"/>
      <c r="Q79" s="220">
        <f ca="1">+Q80-1</f>
        <v>42113</v>
      </c>
      <c r="R79" s="30" t="s">
        <v>37</v>
      </c>
      <c r="S79" s="221"/>
      <c r="T79" s="2"/>
    </row>
    <row r="80" spans="16:20">
      <c r="P80" s="222">
        <f ca="1">IF(R80="Ostersonntag",Q74+Q75,"")</f>
        <v>41019</v>
      </c>
      <c r="Q80" s="220">
        <f ca="1">T80</f>
        <v>42114</v>
      </c>
      <c r="R80" s="181" t="str">
        <f ca="1">IF(P63&lt;1583,"Der gregorianische Kalender gilt erst seit dem 15.10.1582  !!!",IF(P63&gt;8202,"Die gauß´sche Osterformel gilt nur bis zum Jahre    8202  !!!","Ostersonntag"))</f>
        <v>Ostersonntag</v>
      </c>
      <c r="S80">
        <f ca="1">DAY(T81)</f>
        <v>21</v>
      </c>
      <c r="T80" s="146">
        <f ca="1">DATE($P$63,S81,S80)</f>
        <v>42114</v>
      </c>
    </row>
    <row r="81" spans="15:20">
      <c r="P81" s="2"/>
      <c r="Q81" s="220">
        <f ca="1">+Q80+1</f>
        <v>42115</v>
      </c>
      <c r="R81" s="223" t="s">
        <v>38</v>
      </c>
      <c r="S81" s="182">
        <f ca="1">MONTH(P80)</f>
        <v>4</v>
      </c>
      <c r="T81" s="183" t="str">
        <f ca="1">DAY(P80)&amp;"."&amp;MONTH(P80)&amp;"."&amp;YEAR($B$17)</f>
        <v>21.4.2019</v>
      </c>
    </row>
    <row r="82" spans="15:20">
      <c r="O82" s="183"/>
      <c r="P82" s="2"/>
      <c r="Q82" s="220">
        <v>40846</v>
      </c>
      <c r="R82" s="224" t="s">
        <v>50</v>
      </c>
      <c r="S82" s="221"/>
      <c r="T82" s="2"/>
    </row>
    <row r="83" spans="15:20">
      <c r="P83" s="2"/>
      <c r="Q83" s="220">
        <f ca="1">+T83</f>
        <v>42124</v>
      </c>
      <c r="R83" s="224" t="s">
        <v>39</v>
      </c>
      <c r="S83" s="221"/>
      <c r="T83" s="144">
        <f ca="1">DATE($P$63,5,1)</f>
        <v>42124</v>
      </c>
    </row>
    <row r="84" spans="15:20">
      <c r="P84" s="2"/>
      <c r="Q84" s="220">
        <f ca="1">+Q80+39</f>
        <v>42153</v>
      </c>
      <c r="R84" s="224" t="s">
        <v>40</v>
      </c>
      <c r="S84" s="221"/>
      <c r="T84" s="2"/>
    </row>
    <row r="85" spans="15:20">
      <c r="P85" s="2"/>
      <c r="Q85" s="220">
        <f ca="1">+Q80+49</f>
        <v>42163</v>
      </c>
      <c r="R85" s="224" t="s">
        <v>41</v>
      </c>
      <c r="S85" s="221"/>
      <c r="T85" s="2"/>
    </row>
    <row r="86" spans="15:20">
      <c r="P86" s="2"/>
      <c r="Q86" s="220">
        <f ca="1">+Q85+1</f>
        <v>42164</v>
      </c>
      <c r="R86" s="224" t="s">
        <v>42</v>
      </c>
      <c r="S86" s="221"/>
      <c r="T86" s="2"/>
    </row>
    <row r="87" spans="15:20">
      <c r="P87" s="2"/>
      <c r="Q87" s="220">
        <f ca="1">+Q80+60</f>
        <v>42174</v>
      </c>
      <c r="R87" s="224" t="s">
        <v>43</v>
      </c>
      <c r="S87" s="221"/>
      <c r="T87" s="2"/>
    </row>
    <row r="88" spans="15:20">
      <c r="P88" s="2"/>
      <c r="Q88" s="220">
        <f ca="1">+T88</f>
        <v>42279</v>
      </c>
      <c r="R88" s="224" t="s">
        <v>44</v>
      </c>
      <c r="S88" s="221"/>
      <c r="T88" s="144">
        <f ca="1">DATE($P$63,10,3)</f>
        <v>42279</v>
      </c>
    </row>
    <row r="89" spans="15:20">
      <c r="P89" s="2"/>
      <c r="Q89" s="220">
        <f ca="1">+T89</f>
        <v>42361</v>
      </c>
      <c r="R89" s="224" t="s">
        <v>45</v>
      </c>
      <c r="S89" s="221"/>
      <c r="T89" s="144">
        <f ca="1">DATE($P$63,12,24)</f>
        <v>42361</v>
      </c>
    </row>
    <row r="90" spans="15:20">
      <c r="P90" s="2"/>
      <c r="Q90" s="220">
        <f ca="1">+Q89+1</f>
        <v>42362</v>
      </c>
      <c r="R90" s="221" t="s">
        <v>46</v>
      </c>
      <c r="S90" s="221"/>
      <c r="T90" s="2"/>
    </row>
    <row r="91" spans="15:20">
      <c r="P91" s="2"/>
      <c r="Q91" s="220">
        <f ca="1">Q90+1</f>
        <v>42363</v>
      </c>
      <c r="R91" s="224" t="s">
        <v>47</v>
      </c>
      <c r="S91" s="221"/>
      <c r="T91" s="2"/>
    </row>
    <row r="92" spans="15:20">
      <c r="P92" s="2"/>
      <c r="Q92" s="220">
        <f ca="1">+Q91+5</f>
        <v>42368</v>
      </c>
      <c r="R92" s="224" t="s">
        <v>48</v>
      </c>
      <c r="S92" s="221"/>
      <c r="T92" s="2"/>
    </row>
    <row r="93" spans="15:20">
      <c r="P93" s="2"/>
      <c r="Q93" s="220"/>
      <c r="R93" s="224"/>
      <c r="S93" s="221"/>
      <c r="T93" s="2"/>
    </row>
    <row r="94" spans="15:20">
      <c r="P94" s="2"/>
      <c r="Q94" s="220"/>
      <c r="R94" s="224"/>
      <c r="S94" s="221"/>
      <c r="T94" s="2"/>
    </row>
    <row r="95" spans="15:20">
      <c r="P95" s="180"/>
      <c r="Q95" s="180"/>
    </row>
  </sheetData>
  <sheetProtection algorithmName="SHA-512" hashValue="HI3cTH8l1R3CHvAS7TH1atQy9wFuk1aDf0tZauBa24fTa3XuTXbv4VDDBxfwWnniwsoPPPYjELRKxO1StkEdDg==" saltValue="A0DRC6zXTnzQb0hh5QVEkA==" spinCount="100000" sheet="1" objects="1" scenarios="1" selectLockedCells="1"/>
  <customSheetViews>
    <customSheetView guid="{F722B16D-738E-4BDF-960F-9789C414C7F6}" scale="120" showPageBreaks="1" fitToPage="1" hiddenRows="1" hiddenColumns="1">
      <selection activeCell="B23" sqref="B23:E24"/>
      <pageMargins left="0.7" right="0.53125" top="1.2708333333333333" bottom="0.28125" header="0.3" footer="0.3"/>
      <pageSetup paperSize="9" scale="90" orientation="portrait" r:id="rId1"/>
      <headerFooter>
        <oddHeader>&amp;L&amp;"BO Regular Bold,Fett"&amp;12Stundennachweis&amp;"-,Standard"&amp;10
&amp;"BO Regular Normal,Standard"nach §17 MiLoG
für SHK, WHK, studentische Aushilfskräfte TV-L 
und geringfügige Beschäftigte&amp;R&amp;G</oddHeader>
      </headerFooter>
    </customSheetView>
  </customSheetViews>
  <mergeCells count="137">
    <mergeCell ref="R19:T19"/>
    <mergeCell ref="A57:F57"/>
    <mergeCell ref="M14:N14"/>
    <mergeCell ref="A1:B1"/>
    <mergeCell ref="C1:F1"/>
    <mergeCell ref="K1:L1"/>
    <mergeCell ref="A3:B3"/>
    <mergeCell ref="C3:F3"/>
    <mergeCell ref="K3:L3"/>
    <mergeCell ref="A9:B9"/>
    <mergeCell ref="C9:D9"/>
    <mergeCell ref="K9:L9"/>
    <mergeCell ref="A11:B11"/>
    <mergeCell ref="C11:D11"/>
    <mergeCell ref="K11:L11"/>
    <mergeCell ref="A5:B5"/>
    <mergeCell ref="C5:F5"/>
    <mergeCell ref="K5:L5"/>
    <mergeCell ref="A7:B7"/>
    <mergeCell ref="C7:F7"/>
    <mergeCell ref="K7:L7"/>
    <mergeCell ref="M1:O1"/>
    <mergeCell ref="H1:J1"/>
    <mergeCell ref="B20:C20"/>
    <mergeCell ref="D20:E20"/>
    <mergeCell ref="A14:B14"/>
    <mergeCell ref="K20:L20"/>
    <mergeCell ref="B21:C21"/>
    <mergeCell ref="D21:E21"/>
    <mergeCell ref="K21:L21"/>
    <mergeCell ref="A13:B13"/>
    <mergeCell ref="C14:D14"/>
    <mergeCell ref="B19:C19"/>
    <mergeCell ref="D19:E19"/>
    <mergeCell ref="K19:L19"/>
    <mergeCell ref="C15:D15"/>
    <mergeCell ref="K15:L15"/>
    <mergeCell ref="B17:K17"/>
    <mergeCell ref="H14:L14"/>
    <mergeCell ref="A16:F16"/>
    <mergeCell ref="B24:C24"/>
    <mergeCell ref="D24:E24"/>
    <mergeCell ref="K24:L24"/>
    <mergeCell ref="B25:C25"/>
    <mergeCell ref="D25:E25"/>
    <mergeCell ref="K25:L25"/>
    <mergeCell ref="B22:C22"/>
    <mergeCell ref="D22:E22"/>
    <mergeCell ref="K22:L22"/>
    <mergeCell ref="B23:C23"/>
    <mergeCell ref="D23:E23"/>
    <mergeCell ref="K23:L23"/>
    <mergeCell ref="B28:C28"/>
    <mergeCell ref="D28:E28"/>
    <mergeCell ref="K28:L28"/>
    <mergeCell ref="B29:C29"/>
    <mergeCell ref="D29:E29"/>
    <mergeCell ref="K29:L29"/>
    <mergeCell ref="B26:C26"/>
    <mergeCell ref="D26:E26"/>
    <mergeCell ref="K26:L26"/>
    <mergeCell ref="B27:C27"/>
    <mergeCell ref="D27:E27"/>
    <mergeCell ref="K27:L27"/>
    <mergeCell ref="B32:C32"/>
    <mergeCell ref="D32:E32"/>
    <mergeCell ref="K32:L32"/>
    <mergeCell ref="B33:C33"/>
    <mergeCell ref="D33:E33"/>
    <mergeCell ref="K33:L33"/>
    <mergeCell ref="B30:C30"/>
    <mergeCell ref="D30:E30"/>
    <mergeCell ref="K30:L30"/>
    <mergeCell ref="B31:C31"/>
    <mergeCell ref="D31:E31"/>
    <mergeCell ref="K31:L31"/>
    <mergeCell ref="B34:C34"/>
    <mergeCell ref="D34:E34"/>
    <mergeCell ref="K34:L34"/>
    <mergeCell ref="B36:C36"/>
    <mergeCell ref="D36:E36"/>
    <mergeCell ref="K36:L36"/>
    <mergeCell ref="B35:C35"/>
    <mergeCell ref="D35:E35"/>
    <mergeCell ref="K35:L35"/>
    <mergeCell ref="B39:C39"/>
    <mergeCell ref="D39:E39"/>
    <mergeCell ref="K39:L39"/>
    <mergeCell ref="B40:C40"/>
    <mergeCell ref="D40:E40"/>
    <mergeCell ref="K40:L40"/>
    <mergeCell ref="B37:C37"/>
    <mergeCell ref="D37:E37"/>
    <mergeCell ref="K37:L37"/>
    <mergeCell ref="B38:C38"/>
    <mergeCell ref="D38:E38"/>
    <mergeCell ref="K38:L38"/>
    <mergeCell ref="D41:E41"/>
    <mergeCell ref="B62:E62"/>
    <mergeCell ref="H62:L62"/>
    <mergeCell ref="B49:C49"/>
    <mergeCell ref="D49:E49"/>
    <mergeCell ref="K49:L49"/>
    <mergeCell ref="B50:C50"/>
    <mergeCell ref="D50:E50"/>
    <mergeCell ref="K50:L50"/>
    <mergeCell ref="K52:L52"/>
    <mergeCell ref="H54:J54"/>
    <mergeCell ref="A55:F55"/>
    <mergeCell ref="K41:L41"/>
    <mergeCell ref="B42:C42"/>
    <mergeCell ref="D42:E42"/>
    <mergeCell ref="K42:L42"/>
    <mergeCell ref="Q57:T57"/>
    <mergeCell ref="Q59:V59"/>
    <mergeCell ref="R64:S64"/>
    <mergeCell ref="Q58:R58"/>
    <mergeCell ref="G16:L16"/>
    <mergeCell ref="B47:C47"/>
    <mergeCell ref="D47:E47"/>
    <mergeCell ref="K47:L47"/>
    <mergeCell ref="B48:C48"/>
    <mergeCell ref="D48:E48"/>
    <mergeCell ref="K48:L48"/>
    <mergeCell ref="B45:C45"/>
    <mergeCell ref="D45:E45"/>
    <mergeCell ref="K45:L45"/>
    <mergeCell ref="B46:C46"/>
    <mergeCell ref="D46:E46"/>
    <mergeCell ref="K46:L46"/>
    <mergeCell ref="B43:C43"/>
    <mergeCell ref="D43:E43"/>
    <mergeCell ref="K43:L43"/>
    <mergeCell ref="B44:C44"/>
    <mergeCell ref="D44:E44"/>
    <mergeCell ref="K44:L44"/>
    <mergeCell ref="B41:C41"/>
  </mergeCells>
  <conditionalFormatting sqref="F14">
    <cfRule type="cellIs" dxfId="1667" priority="484" operator="greaterThan">
      <formula>$C$14+30</formula>
    </cfRule>
    <cfRule type="expression" dxfId="1666" priority="669">
      <formula>$F$14&gt;$F$9</formula>
    </cfRule>
    <cfRule type="expression" dxfId="1665" priority="686">
      <formula>$F$14&lt;$C$14</formula>
    </cfRule>
  </conditionalFormatting>
  <conditionalFormatting sqref="F9">
    <cfRule type="expression" dxfId="1664" priority="684">
      <formula>$F$14&lt;$C$14</formula>
    </cfRule>
  </conditionalFormatting>
  <conditionalFormatting sqref="C9">
    <cfRule type="expression" dxfId="1663" priority="670">
      <formula>"$C$9&gt;$C$14"</formula>
    </cfRule>
    <cfRule type="expression" dxfId="1662" priority="683">
      <formula>$F$14&lt;$C$14</formula>
    </cfRule>
  </conditionalFormatting>
  <conditionalFormatting sqref="I51">
    <cfRule type="expression" dxfId="1661" priority="672">
      <formula>WEEKDAY($A51,2)&gt;5</formula>
    </cfRule>
  </conditionalFormatting>
  <conditionalFormatting sqref="I51">
    <cfRule type="cellIs" dxfId="1660" priority="653" operator="lessThan">
      <formula>0</formula>
    </cfRule>
  </conditionalFormatting>
  <conditionalFormatting sqref="C14:D14">
    <cfRule type="expression" dxfId="1659" priority="511">
      <formula>"F14&gt;F9"</formula>
    </cfRule>
    <cfRule type="expression" dxfId="1658" priority="512">
      <formula>$C$14&lt;$C$9</formula>
    </cfRule>
    <cfRule type="expression" dxfId="1657" priority="647">
      <formula>$C$14&gt;$F$9</formula>
    </cfRule>
    <cfRule type="expression" dxfId="1656" priority="650">
      <formula>$F$14&lt;$C$9</formula>
    </cfRule>
  </conditionalFormatting>
  <conditionalFormatting sqref="G53">
    <cfRule type="expression" dxfId="1655" priority="646">
      <formula>ABS(SUM(#REF!))&gt;$A$61</formula>
    </cfRule>
  </conditionalFormatting>
  <conditionalFormatting sqref="I51 F20:J50">
    <cfRule type="expression" dxfId="1654" priority="800">
      <formula>AND(WEEKDAY($A20,2)=3,$I$6=FALSE)</formula>
    </cfRule>
    <cfRule type="expression" dxfId="1653" priority="801">
      <formula>AND(WEEKDAY($A20,2)=4,$I$8=TRUE)</formula>
    </cfRule>
    <cfRule type="expression" dxfId="1652" priority="802">
      <formula>AND(WEEKDAY($A20,2)=4,$I$8=FALSE)</formula>
    </cfRule>
    <cfRule type="expression" dxfId="1651" priority="803">
      <formula>AND(WEEKDAY($A20,2)=5,$I$10=TRUE)</formula>
    </cfRule>
    <cfRule type="expression" dxfId="1650" priority="804">
      <formula>AND(WEEKDAY($A20,2)=5,$G$14=FALSE)</formula>
    </cfRule>
  </conditionalFormatting>
  <conditionalFormatting sqref="I51 F20:J50">
    <cfRule type="expression" dxfId="1649" priority="845">
      <formula>AND(WEEKDAY($A20,2)=1,$I$2=TRUE)</formula>
    </cfRule>
    <cfRule type="expression" dxfId="1648" priority="846">
      <formula>AND(WEEKDAY($A20,2)=1,$I$2=FALSE)</formula>
    </cfRule>
    <cfRule type="expression" dxfId="1647" priority="847">
      <formula>AND(WEEKDAY($A20,2)=2,$I$4=TRUE)</formula>
    </cfRule>
    <cfRule type="expression" dxfId="1646" priority="848">
      <formula>AND(WEEKDAY($A20,2)=2,$I$4=FALSE)</formula>
    </cfRule>
    <cfRule type="expression" dxfId="1645" priority="849">
      <formula>AND(WEEKDAY($A20,2)=3,$I$6=TRUE)</formula>
    </cfRule>
  </conditionalFormatting>
  <conditionalFormatting sqref="K3:L3">
    <cfRule type="expression" dxfId="1644" priority="549">
      <formula>AND(I2=TRUE,$C$11&lt;&gt;($K$3+$K$5+$K$7+$K$9+$K$11))</formula>
    </cfRule>
    <cfRule type="expression" dxfId="1643" priority="550">
      <formula>(I2=TRUE)</formula>
    </cfRule>
    <cfRule type="expression" dxfId="1642" priority="551">
      <formula>AND(I2=FALSE,$K$3&gt;0)</formula>
    </cfRule>
  </conditionalFormatting>
  <conditionalFormatting sqref="K7:L7">
    <cfRule type="expression" dxfId="1641" priority="552">
      <formula>AND(I6=TRUE,$C$11&lt;&gt;($K$3+$K$5+$K$7+$K$9+$K$11))</formula>
    </cfRule>
    <cfRule type="expression" dxfId="1640" priority="553">
      <formula>(I6=TRUE)</formula>
    </cfRule>
    <cfRule type="expression" dxfId="1639" priority="554">
      <formula>AND(I6=FALSE,$K$7&gt;0)</formula>
    </cfRule>
  </conditionalFormatting>
  <conditionalFormatting sqref="K11:L11">
    <cfRule type="expression" dxfId="1638" priority="555">
      <formula>AND(I10=TRUE,$C$11&lt;&gt;($K$3+$K$5+$K$7+$K$9+$K$11))</formula>
    </cfRule>
    <cfRule type="expression" dxfId="1637" priority="556">
      <formula>(I10=TRUE)</formula>
    </cfRule>
    <cfRule type="expression" dxfId="1636" priority="557">
      <formula>AND(I10=FALSE,K11&gt;0)</formula>
    </cfRule>
  </conditionalFormatting>
  <conditionalFormatting sqref="K9:L9">
    <cfRule type="expression" dxfId="1635" priority="558">
      <formula>AND(I8=TRUE,$C$11&lt;&gt;($K$3+$K$5+$K$7+$K$9+$K$11))</formula>
    </cfRule>
    <cfRule type="expression" dxfId="1634" priority="559">
      <formula>(I8=TRUE)</formula>
    </cfRule>
    <cfRule type="expression" dxfId="1633" priority="560">
      <formula>AND(I8=FALSE,K9&gt;0)</formula>
    </cfRule>
  </conditionalFormatting>
  <conditionalFormatting sqref="K5:L5">
    <cfRule type="expression" dxfId="1632" priority="547">
      <formula>AND(I4=FALSE,K5&gt;0)</formula>
    </cfRule>
    <cfRule type="expression" dxfId="1631" priority="548">
      <formula>AND(I4=TRUE,$C$11&lt;&gt;($K$3+$K$5+$K$7+$K$9+$K$11))</formula>
    </cfRule>
    <cfRule type="expression" dxfId="1630" priority="561">
      <formula>($I$4=TRUE)</formula>
    </cfRule>
  </conditionalFormatting>
  <conditionalFormatting sqref="K51">
    <cfRule type="expression" dxfId="1629" priority="969">
      <formula>ABS(SUM(#REF!))&gt;$A$53</formula>
    </cfRule>
  </conditionalFormatting>
  <conditionalFormatting sqref="J52">
    <cfRule type="cellIs" dxfId="1628" priority="546" operator="lessThan">
      <formula>0</formula>
    </cfRule>
  </conditionalFormatting>
  <conditionalFormatting sqref="F20:F50">
    <cfRule type="expression" dxfId="1627" priority="535">
      <formula>WEEKDAY($A20,2)&gt;5</formula>
    </cfRule>
  </conditionalFormatting>
  <conditionalFormatting sqref="H20:I50">
    <cfRule type="expression" dxfId="1626" priority="534">
      <formula>WEEKDAY($A20,2)&gt;5</formula>
    </cfRule>
  </conditionalFormatting>
  <conditionalFormatting sqref="I20:I50">
    <cfRule type="cellIs" dxfId="1625" priority="531" operator="lessThan">
      <formula>0</formula>
    </cfRule>
  </conditionalFormatting>
  <conditionalFormatting sqref="J20:J50">
    <cfRule type="expression" dxfId="1624" priority="514">
      <formula>WEEKDAY($A20,2)&gt;5</formula>
    </cfRule>
  </conditionalFormatting>
  <conditionalFormatting sqref="J20:J50">
    <cfRule type="cellIs" dxfId="1623" priority="513" operator="lessThan">
      <formula>0</formula>
    </cfRule>
  </conditionalFormatting>
  <conditionalFormatting sqref="C14">
    <cfRule type="expression" dxfId="1622" priority="685">
      <formula>$C$14&lt;$C$9</formula>
    </cfRule>
  </conditionalFormatting>
  <conditionalFormatting sqref="G20:G50">
    <cfRule type="expression" dxfId="1621" priority="487">
      <formula>WEEKDAY($A20,2)&gt;5</formula>
    </cfRule>
  </conditionalFormatting>
  <conditionalFormatting sqref="G20:G50">
    <cfRule type="containsText" dxfId="1620" priority="486" operator="containsText" text="0,00">
      <formula>NOT(ISERROR(SEARCH("0,00",G20)))</formula>
    </cfRule>
  </conditionalFormatting>
  <conditionalFormatting sqref="H52">
    <cfRule type="cellIs" dxfId="1619" priority="392" operator="lessThan">
      <formula>0</formula>
    </cfRule>
  </conditionalFormatting>
  <conditionalFormatting sqref="F20:J50">
    <cfRule type="expression" dxfId="1618" priority="324">
      <formula>AA20&lt;&gt;""</formula>
    </cfRule>
    <cfRule type="expression" dxfId="1617" priority="325">
      <formula>Y20&lt;&gt;""</formula>
    </cfRule>
  </conditionalFormatting>
  <conditionalFormatting sqref="Q93:Q94">
    <cfRule type="expression" dxfId="1616" priority="259">
      <formula>AND(WEEKDAY($A93,2)=3,$I$6=FALSE)</formula>
    </cfRule>
    <cfRule type="expression" dxfId="1615" priority="260">
      <formula>AND(WEEKDAY($A93,2)=4,$I$8=TRUE)</formula>
    </cfRule>
    <cfRule type="expression" dxfId="1614" priority="261">
      <formula>AND(WEEKDAY($A93,2)=4,$I$8=FALSE)</formula>
    </cfRule>
    <cfRule type="expression" dxfId="1613" priority="262">
      <formula>AND(WEEKDAY($A93,2)=5,$I$10=TRUE)</formula>
    </cfRule>
    <cfRule type="expression" dxfId="1612" priority="263">
      <formula>AND(WEEKDAY($A93,2)=5,$G$14=FALSE)</formula>
    </cfRule>
  </conditionalFormatting>
  <conditionalFormatting sqref="Q93:Q94">
    <cfRule type="expression" dxfId="1611" priority="264">
      <formula>AND(WEEKDAY($A93,2)=1,$I$2=TRUE)</formula>
    </cfRule>
    <cfRule type="expression" dxfId="1610" priority="265">
      <formula>AND(WEEKDAY($A93,2)=1,$I$2=FALSE)</formula>
    </cfRule>
    <cfRule type="expression" dxfId="1609" priority="266">
      <formula>AND(WEEKDAY($A93,2)=2,$I$4=TRUE)</formula>
    </cfRule>
    <cfRule type="expression" dxfId="1608" priority="267">
      <formula>AND(WEEKDAY($A93,2)=2,$I$4=FALSE)</formula>
    </cfRule>
    <cfRule type="expression" dxfId="1607" priority="268">
      <formula>AND(WEEKDAY($A93,2)=3,$I$6=TRUE)</formula>
    </cfRule>
  </conditionalFormatting>
  <conditionalFormatting sqref="Q93:Q94">
    <cfRule type="expression" dxfId="1606" priority="258">
      <formula>WEEKDAY($A93,2)&gt;5</formula>
    </cfRule>
  </conditionalFormatting>
  <conditionalFormatting sqref="U20:U50 Q81:Q92 P80 Q77:Q79">
    <cfRule type="expression" dxfId="1605" priority="236">
      <formula>AND(WEEKDAY($A20,2)=3,$I$6=FALSE)</formula>
    </cfRule>
    <cfRule type="expression" dxfId="1604" priority="237">
      <formula>AND(WEEKDAY($A20,2)=4,$I$8=TRUE)</formula>
    </cfRule>
    <cfRule type="expression" dxfId="1603" priority="238">
      <formula>AND(WEEKDAY($A20,2)=4,$I$8=FALSE)</formula>
    </cfRule>
    <cfRule type="expression" dxfId="1602" priority="239">
      <formula>AND(WEEKDAY($A20,2)=5,$I$10=TRUE)</formula>
    </cfRule>
    <cfRule type="expression" dxfId="1601" priority="240">
      <formula>AND(WEEKDAY($A20,2)=5,$G$14=FALSE)</formula>
    </cfRule>
  </conditionalFormatting>
  <conditionalFormatting sqref="U20:U50 Q81:Q92 P80 Q77:Q79">
    <cfRule type="expression" dxfId="1600" priority="241">
      <formula>AND(WEEKDAY($A20,2)=1,$I$2=TRUE)</formula>
    </cfRule>
    <cfRule type="expression" dxfId="1599" priority="242">
      <formula>AND(WEEKDAY($A20,2)=1,$I$2=FALSE)</formula>
    </cfRule>
    <cfRule type="expression" dxfId="1598" priority="243">
      <formula>AND(WEEKDAY($A20,2)=2,$I$4=TRUE)</formula>
    </cfRule>
    <cfRule type="expression" dxfId="1597" priority="244">
      <formula>AND(WEEKDAY($A20,2)=2,$I$4=FALSE)</formula>
    </cfRule>
    <cfRule type="expression" dxfId="1596" priority="245">
      <formula>AND(WEEKDAY($A20,2)=3,$I$6=TRUE)</formula>
    </cfRule>
  </conditionalFormatting>
  <conditionalFormatting sqref="U20:U50">
    <cfRule type="expression" dxfId="1595" priority="235">
      <formula>WEEKDAY($A20,2)&gt;5</formula>
    </cfRule>
  </conditionalFormatting>
  <conditionalFormatting sqref="U20:U50">
    <cfRule type="expression" dxfId="1594" priority="246">
      <formula>#REF!&lt;&gt;""</formula>
    </cfRule>
  </conditionalFormatting>
  <conditionalFormatting sqref="Q81:Q92 P80 Q77:Q79">
    <cfRule type="expression" dxfId="1593" priority="234">
      <formula>WEEKDAY($A77,2)&gt;5</formula>
    </cfRule>
  </conditionalFormatting>
  <conditionalFormatting sqref="Q80">
    <cfRule type="expression" dxfId="1592" priority="224">
      <formula>AND(WEEKDAY($A80,2)=3,$I$6=FALSE)</formula>
    </cfRule>
    <cfRule type="expression" dxfId="1591" priority="225">
      <formula>AND(WEEKDAY($A80,2)=4,$I$8=TRUE)</formula>
    </cfRule>
    <cfRule type="expression" dxfId="1590" priority="226">
      <formula>AND(WEEKDAY($A80,2)=4,$I$8=FALSE)</formula>
    </cfRule>
    <cfRule type="expression" dxfId="1589" priority="227">
      <formula>AND(WEEKDAY($A80,2)=5,$I$10=TRUE)</formula>
    </cfRule>
    <cfRule type="expression" dxfId="1588" priority="228">
      <formula>AND(WEEKDAY($A80,2)=5,$G$14=FALSE)</formula>
    </cfRule>
  </conditionalFormatting>
  <conditionalFormatting sqref="Q80">
    <cfRule type="expression" dxfId="1587" priority="229">
      <formula>AND(WEEKDAY($A80,2)=1,$I$2=TRUE)</formula>
    </cfRule>
    <cfRule type="expression" dxfId="1586" priority="230">
      <formula>AND(WEEKDAY($A80,2)=1,$I$2=FALSE)</formula>
    </cfRule>
    <cfRule type="expression" dxfId="1585" priority="231">
      <formula>AND(WEEKDAY($A80,2)=2,$I$4=TRUE)</formula>
    </cfRule>
    <cfRule type="expression" dxfId="1584" priority="232">
      <formula>AND(WEEKDAY($A80,2)=2,$I$4=FALSE)</formula>
    </cfRule>
    <cfRule type="expression" dxfId="1583" priority="233">
      <formula>AND(WEEKDAY($A80,2)=3,$I$6=TRUE)</formula>
    </cfRule>
  </conditionalFormatting>
  <conditionalFormatting sqref="Q80">
    <cfRule type="expression" dxfId="1582" priority="223">
      <formula>WEEKDAY($A80,2)&gt;5</formula>
    </cfRule>
  </conditionalFormatting>
  <conditionalFormatting sqref="C1">
    <cfRule type="expression" dxfId="1581" priority="149">
      <formula>ISBLANK($C$1)</formula>
    </cfRule>
  </conditionalFormatting>
  <conditionalFormatting sqref="C3">
    <cfRule type="expression" dxfId="1580" priority="148">
      <formula>ISBLANK($C$3)</formula>
    </cfRule>
  </conditionalFormatting>
  <conditionalFormatting sqref="C5">
    <cfRule type="expression" dxfId="1579" priority="147">
      <formula>ISBLANK($C$5)</formula>
    </cfRule>
  </conditionalFormatting>
  <conditionalFormatting sqref="C7">
    <cfRule type="expression" dxfId="1578" priority="146">
      <formula>ISBLANK($C$7)</formula>
    </cfRule>
  </conditionalFormatting>
  <conditionalFormatting sqref="C11:D11">
    <cfRule type="expression" dxfId="1577" priority="99">
      <formula>ISBLANK($C$11)</formula>
    </cfRule>
    <cfRule type="expression" dxfId="1576" priority="100">
      <formula>($C$11/24)&lt;&gt;$M$3</formula>
    </cfRule>
  </conditionalFormatting>
  <conditionalFormatting sqref="B45:E45 B47:E47 B46:D46 A20:A50 B20:D32 B48:D49 B34:D44">
    <cfRule type="expression" dxfId="1575" priority="87">
      <formula>AND(WEEKDAY($A20,2)=3,$I$6=FALSE)</formula>
    </cfRule>
    <cfRule type="expression" dxfId="1574" priority="88">
      <formula>AND(WEEKDAY($A20,2)=4,$I$8=TRUE)</formula>
    </cfRule>
    <cfRule type="expression" dxfId="1573" priority="89">
      <formula>AND(WEEKDAY($A20,2)=4,$I$8=FALSE)</formula>
    </cfRule>
    <cfRule type="expression" dxfId="1572" priority="90">
      <formula>AND(WEEKDAY($A20,2)=5,$I$10=TRUE)</formula>
    </cfRule>
    <cfRule type="expression" dxfId="1571" priority="91">
      <formula>AND(WEEKDAY($A20,2)=5,$G$14=FALSE)</formula>
    </cfRule>
  </conditionalFormatting>
  <conditionalFormatting sqref="A20:E32 A34:E49 A33 A50">
    <cfRule type="expression" dxfId="1570" priority="92">
      <formula>AND(WEEKDAY($A20,2)=1,$I$2=TRUE)</formula>
    </cfRule>
    <cfRule type="expression" dxfId="1569" priority="93">
      <formula>AND(WEEKDAY($A20,2)=1,$I$2=FALSE)</formula>
    </cfRule>
    <cfRule type="expression" dxfId="1568" priority="94">
      <formula>AND(WEEKDAY($A20,2)=2,$I$4=TRUE)</formula>
    </cfRule>
    <cfRule type="expression" dxfId="1567" priority="95">
      <formula>AND(WEEKDAY($A20,2)=2,$I$4=FALSE)</formula>
    </cfRule>
    <cfRule type="expression" dxfId="1566" priority="96">
      <formula>AND(WEEKDAY($A20,2)=3,$I$6=TRUE)</formula>
    </cfRule>
  </conditionalFormatting>
  <conditionalFormatting sqref="A20:E32 A34:E49 A33 A50">
    <cfRule type="expression" dxfId="1565" priority="86">
      <formula>WEEKDAY($A20,2)&gt;5</formula>
    </cfRule>
  </conditionalFormatting>
  <conditionalFormatting sqref="D21:E21">
    <cfRule type="expression" dxfId="1564" priority="85">
      <formula>WEEKDAY($A21,2)&gt;5</formula>
    </cfRule>
  </conditionalFormatting>
  <conditionalFormatting sqref="D27:E27">
    <cfRule type="expression" dxfId="1563" priority="84">
      <formula>WEEKDAY($A27,2)&gt;5</formula>
    </cfRule>
  </conditionalFormatting>
  <conditionalFormatting sqref="D34:E34">
    <cfRule type="expression" dxfId="1562" priority="83">
      <formula>WEEKDAY($A34,2)&gt;5</formula>
    </cfRule>
  </conditionalFormatting>
  <conditionalFormatting sqref="D22:E22">
    <cfRule type="expression" dxfId="1561" priority="82">
      <formula>WEEKDAY($A22,2)&gt;5</formula>
    </cfRule>
  </conditionalFormatting>
  <conditionalFormatting sqref="D28:E28">
    <cfRule type="expression" dxfId="1560" priority="81">
      <formula>WEEKDAY($A28,2)&gt;5</formula>
    </cfRule>
  </conditionalFormatting>
  <conditionalFormatting sqref="D36:E36">
    <cfRule type="expression" dxfId="1559" priority="80">
      <formula>WEEKDAY($A36,2)&gt;5</formula>
    </cfRule>
  </conditionalFormatting>
  <conditionalFormatting sqref="D42:E42">
    <cfRule type="expression" dxfId="1558" priority="79">
      <formula>WEEKDAY($A42,2)&gt;5</formula>
    </cfRule>
  </conditionalFormatting>
  <conditionalFormatting sqref="D41:E41">
    <cfRule type="expression" dxfId="1557" priority="78">
      <formula>WEEKDAY($A41,2)&gt;5</formula>
    </cfRule>
  </conditionalFormatting>
  <conditionalFormatting sqref="D48:E48">
    <cfRule type="expression" dxfId="1556" priority="77">
      <formula>WEEKDAY($A48,2)&gt;5</formula>
    </cfRule>
  </conditionalFormatting>
  <conditionalFormatting sqref="D35:E35">
    <cfRule type="expression" dxfId="1555" priority="76">
      <formula>WEEKDAY($A35,2)&gt;5</formula>
    </cfRule>
  </conditionalFormatting>
  <conditionalFormatting sqref="D29:E29">
    <cfRule type="expression" dxfId="1554" priority="75">
      <formula>WEEKDAY($A29,2)&gt;5</formula>
    </cfRule>
  </conditionalFormatting>
  <conditionalFormatting sqref="D41:E41">
    <cfRule type="expression" dxfId="1553" priority="74">
      <formula>WEEKDAY($A41,2)&gt;5</formula>
    </cfRule>
  </conditionalFormatting>
  <conditionalFormatting sqref="D42:E42">
    <cfRule type="expression" dxfId="1552" priority="73">
      <formula>WEEKDAY($A42,2)&gt;5</formula>
    </cfRule>
  </conditionalFormatting>
  <conditionalFormatting sqref="D43:E43">
    <cfRule type="expression" dxfId="1551" priority="72">
      <formula>WEEKDAY($A43,2)&gt;5</formula>
    </cfRule>
  </conditionalFormatting>
  <conditionalFormatting sqref="D41:E41">
    <cfRule type="expression" dxfId="1550" priority="71">
      <formula>WEEKDAY($A41,2)&gt;5</formula>
    </cfRule>
  </conditionalFormatting>
  <conditionalFormatting sqref="D42:E42">
    <cfRule type="expression" dxfId="1549" priority="70">
      <formula>WEEKDAY($A42,2)&gt;5</formula>
    </cfRule>
  </conditionalFormatting>
  <conditionalFormatting sqref="D35:E35">
    <cfRule type="expression" dxfId="1548" priority="69">
      <formula>WEEKDAY($A35,2)&gt;5</formula>
    </cfRule>
  </conditionalFormatting>
  <conditionalFormatting sqref="D36:E36">
    <cfRule type="expression" dxfId="1547" priority="68">
      <formula>WEEKDAY($A36,2)&gt;5</formula>
    </cfRule>
  </conditionalFormatting>
  <conditionalFormatting sqref="D35:E35">
    <cfRule type="expression" dxfId="1546" priority="67">
      <formula>WEEKDAY($A35,2)&gt;5</formula>
    </cfRule>
  </conditionalFormatting>
  <conditionalFormatting sqref="D36:E36">
    <cfRule type="expression" dxfId="1545" priority="66">
      <formula>WEEKDAY($A36,2)&gt;5</formula>
    </cfRule>
  </conditionalFormatting>
  <conditionalFormatting sqref="D23:E23">
    <cfRule type="expression" dxfId="1544" priority="65">
      <formula>WEEKDAY($A23,2)&gt;5</formula>
    </cfRule>
  </conditionalFormatting>
  <conditionalFormatting sqref="D49:E49">
    <cfRule type="expression" dxfId="1543" priority="64">
      <formula>WEEKDAY($A49,2)&gt;5</formula>
    </cfRule>
  </conditionalFormatting>
  <conditionalFormatting sqref="D41:E41">
    <cfRule type="expression" dxfId="1542" priority="63">
      <formula>WEEKDAY($A41,2)&gt;5</formula>
    </cfRule>
  </conditionalFormatting>
  <conditionalFormatting sqref="D41:E41">
    <cfRule type="expression" dxfId="1541" priority="62">
      <formula>WEEKDAY($A41,2)&gt;5</formula>
    </cfRule>
  </conditionalFormatting>
  <conditionalFormatting sqref="D41:E41">
    <cfRule type="expression" dxfId="1540" priority="61">
      <formula>WEEKDAY($A41,2)&gt;5</formula>
    </cfRule>
  </conditionalFormatting>
  <conditionalFormatting sqref="A20:A50">
    <cfRule type="expression" dxfId="1539" priority="59">
      <formula>V20&lt;&gt;""</formula>
    </cfRule>
    <cfRule type="expression" dxfId="1538" priority="60">
      <formula>T20&lt;&gt;""</formula>
    </cfRule>
    <cfRule type="expression" dxfId="1537" priority="97">
      <formula>T20&lt;&gt;""</formula>
    </cfRule>
  </conditionalFormatting>
  <conditionalFormatting sqref="B20:B32 B34:B49">
    <cfRule type="expression" dxfId="1536" priority="98">
      <formula>#REF!&lt;&gt;""</formula>
    </cfRule>
  </conditionalFormatting>
  <conditionalFormatting sqref="D29:E29">
    <cfRule type="expression" dxfId="1535" priority="58">
      <formula>WEEKDAY($A29,2)&gt;5</formula>
    </cfRule>
  </conditionalFormatting>
  <conditionalFormatting sqref="D30:E30">
    <cfRule type="expression" dxfId="1534" priority="57">
      <formula>WEEKDAY($A30,2)&gt;5</formula>
    </cfRule>
  </conditionalFormatting>
  <conditionalFormatting sqref="D31:E31">
    <cfRule type="expression" dxfId="1533" priority="56">
      <formula>WEEKDAY($A31,2)&gt;5</formula>
    </cfRule>
  </conditionalFormatting>
  <conditionalFormatting sqref="D36:E36">
    <cfRule type="expression" dxfId="1532" priority="55">
      <formula>WEEKDAY($A36,2)&gt;5</formula>
    </cfRule>
  </conditionalFormatting>
  <conditionalFormatting sqref="D37:E37">
    <cfRule type="expression" dxfId="1531" priority="54">
      <formula>WEEKDAY($A37,2)&gt;5</formula>
    </cfRule>
  </conditionalFormatting>
  <conditionalFormatting sqref="D38:E38">
    <cfRule type="expression" dxfId="1530" priority="53">
      <formula>WEEKDAY($A38,2)&gt;5</formula>
    </cfRule>
  </conditionalFormatting>
  <conditionalFormatting sqref="D42:E42">
    <cfRule type="expression" dxfId="1529" priority="52">
      <formula>WEEKDAY($A42,2)&gt;5</formula>
    </cfRule>
  </conditionalFormatting>
  <conditionalFormatting sqref="D43:E43">
    <cfRule type="expression" dxfId="1528" priority="51">
      <formula>WEEKDAY($A43,2)&gt;5</formula>
    </cfRule>
  </conditionalFormatting>
  <conditionalFormatting sqref="D44:E44">
    <cfRule type="expression" dxfId="1527" priority="50">
      <formula>WEEKDAY($A44,2)&gt;5</formula>
    </cfRule>
  </conditionalFormatting>
  <conditionalFormatting sqref="D40:E40">
    <cfRule type="expression" dxfId="1526" priority="48">
      <formula>WEEKDAY($A40,2)&gt;5</formula>
    </cfRule>
  </conditionalFormatting>
  <conditionalFormatting sqref="K20:K50">
    <cfRule type="expression" dxfId="1525" priority="38">
      <formula>AND(WEEKDAY($A20,2)=3,$I$6=FALSE)</formula>
    </cfRule>
    <cfRule type="expression" dxfId="1524" priority="39">
      <formula>AND(WEEKDAY($A20,2)=4,$I$8=TRUE)</formula>
    </cfRule>
    <cfRule type="expression" dxfId="1523" priority="40">
      <formula>AND(WEEKDAY($A20,2)=4,$I$8=FALSE)</formula>
    </cfRule>
    <cfRule type="expression" dxfId="1522" priority="41">
      <formula>AND(WEEKDAY($A20,2)=5,$I$10=TRUE)</formula>
    </cfRule>
    <cfRule type="expression" dxfId="1521" priority="42">
      <formula>AND(WEEKDAY($A20,2)=5,$G$14=FALSE)</formula>
    </cfRule>
  </conditionalFormatting>
  <conditionalFormatting sqref="K20:L50">
    <cfRule type="expression" dxfId="1520" priority="43">
      <formula>AND(WEEKDAY($A20,2)=1,$I$2=TRUE)</formula>
    </cfRule>
    <cfRule type="expression" dxfId="1519" priority="44">
      <formula>AND(WEEKDAY($A20,2)=1,$I$2=FALSE)</formula>
    </cfRule>
    <cfRule type="expression" dxfId="1518" priority="45">
      <formula>AND(WEEKDAY($A20,2)=2,$I$4=TRUE)</formula>
    </cfRule>
    <cfRule type="expression" dxfId="1517" priority="46">
      <formula>AND(WEEKDAY($A20,2)=2,$I$4=FALSE)</formula>
    </cfRule>
    <cfRule type="expression" dxfId="1516" priority="47">
      <formula>AND(WEEKDAY($A20,2)=3,$I$6=TRUE)</formula>
    </cfRule>
  </conditionalFormatting>
  <conditionalFormatting sqref="K20:L50">
    <cfRule type="containsText" dxfId="1515" priority="33" operator="containsText" text="Angaben überprüfen">
      <formula>NOT(ISERROR(SEARCH("Angaben überprüfen",K20)))</formula>
    </cfRule>
    <cfRule type="cellIs" dxfId="1514" priority="34" operator="equal">
      <formula>"30 min. Pause erforderlich"</formula>
    </cfRule>
    <cfRule type="expression" dxfId="1513" priority="37">
      <formula>WEEKDAY($A20,2)&gt;5</formula>
    </cfRule>
  </conditionalFormatting>
  <conditionalFormatting sqref="K20:L50">
    <cfRule type="expression" dxfId="1512" priority="36">
      <formula>WEEKDAY($A20,2)&gt;5</formula>
    </cfRule>
  </conditionalFormatting>
  <conditionalFormatting sqref="K20:L50">
    <cfRule type="expression" dxfId="1511" priority="35">
      <formula>WEEKDAY($A20,2)&gt;5</formula>
    </cfRule>
  </conditionalFormatting>
  <conditionalFormatting sqref="B17:K17">
    <cfRule type="expression" dxfId="1510" priority="31">
      <formula>ISBLANK($C$14)</formula>
    </cfRule>
  </conditionalFormatting>
  <conditionalFormatting sqref="D26:E26">
    <cfRule type="expression" dxfId="1509" priority="30">
      <formula>WEEKDAY($A26,2)&gt;5</formula>
    </cfRule>
  </conditionalFormatting>
  <conditionalFormatting sqref="D28:E28">
    <cfRule type="expression" dxfId="1508" priority="29">
      <formula>WEEKDAY($A28,2)&gt;5</formula>
    </cfRule>
  </conditionalFormatting>
  <conditionalFormatting sqref="D35:E35">
    <cfRule type="expression" dxfId="1507" priority="28">
      <formula>WEEKDAY($A35,2)&gt;5</formula>
    </cfRule>
  </conditionalFormatting>
  <conditionalFormatting sqref="D40:E40">
    <cfRule type="expression" dxfId="1506" priority="27">
      <formula>WEEKDAY($A40,2)&gt;5</formula>
    </cfRule>
  </conditionalFormatting>
  <conditionalFormatting sqref="D42:E42">
    <cfRule type="expression" dxfId="1505" priority="26">
      <formula>WEEKDAY($A42,2)&gt;5</formula>
    </cfRule>
  </conditionalFormatting>
  <conditionalFormatting sqref="D48:E48">
    <cfRule type="expression" dxfId="1504" priority="25">
      <formula>WEEKDAY($A48,2)&gt;5</formula>
    </cfRule>
  </conditionalFormatting>
  <conditionalFormatting sqref="B33:D33">
    <cfRule type="expression" dxfId="1503" priority="14">
      <formula>AND(WEEKDAY($A33,2)=3,$I$6=FALSE)</formula>
    </cfRule>
    <cfRule type="expression" dxfId="1502" priority="15">
      <formula>AND(WEEKDAY($A33,2)=4,$I$8=TRUE)</formula>
    </cfRule>
    <cfRule type="expression" dxfId="1501" priority="16">
      <formula>AND(WEEKDAY($A33,2)=4,$I$8=FALSE)</formula>
    </cfRule>
    <cfRule type="expression" dxfId="1500" priority="17">
      <formula>AND(WEEKDAY($A33,2)=5,$I$10=TRUE)</formula>
    </cfRule>
    <cfRule type="expression" dxfId="1499" priority="18">
      <formula>AND(WEEKDAY($A33,2)=5,$G$14=FALSE)</formula>
    </cfRule>
  </conditionalFormatting>
  <conditionalFormatting sqref="B33:E33">
    <cfRule type="expression" dxfId="1498" priority="19">
      <formula>AND(WEEKDAY($A33,2)=1,$I$2=TRUE)</formula>
    </cfRule>
    <cfRule type="expression" dxfId="1497" priority="20">
      <formula>AND(WEEKDAY($A33,2)=1,$I$2=FALSE)</formula>
    </cfRule>
    <cfRule type="expression" dxfId="1496" priority="21">
      <formula>AND(WEEKDAY($A33,2)=2,$I$4=TRUE)</formula>
    </cfRule>
    <cfRule type="expression" dxfId="1495" priority="22">
      <formula>AND(WEEKDAY($A33,2)=2,$I$4=FALSE)</formula>
    </cfRule>
    <cfRule type="expression" dxfId="1494" priority="23">
      <formula>AND(WEEKDAY($A33,2)=3,$I$6=TRUE)</formula>
    </cfRule>
  </conditionalFormatting>
  <conditionalFormatting sqref="B33:E33">
    <cfRule type="expression" dxfId="1493" priority="13">
      <formula>WEEKDAY($A33,2)&gt;5</formula>
    </cfRule>
  </conditionalFormatting>
  <conditionalFormatting sqref="B33">
    <cfRule type="expression" dxfId="1492" priority="24">
      <formula>#REF!&lt;&gt;""</formula>
    </cfRule>
  </conditionalFormatting>
  <conditionalFormatting sqref="B50:D50">
    <cfRule type="expression" dxfId="1491" priority="2">
      <formula>AND(WEEKDAY($A50,2)=3,$I$6=FALSE)</formula>
    </cfRule>
    <cfRule type="expression" dxfId="1490" priority="3">
      <formula>AND(WEEKDAY($A50,2)=4,$I$8=TRUE)</formula>
    </cfRule>
    <cfRule type="expression" dxfId="1489" priority="4">
      <formula>AND(WEEKDAY($A50,2)=4,$I$8=FALSE)</formula>
    </cfRule>
    <cfRule type="expression" dxfId="1488" priority="5">
      <formula>AND(WEEKDAY($A50,2)=5,$I$10=TRUE)</formula>
    </cfRule>
    <cfRule type="expression" dxfId="1487" priority="6">
      <formula>AND(WEEKDAY($A50,2)=5,$G$14=FALSE)</formula>
    </cfRule>
  </conditionalFormatting>
  <conditionalFormatting sqref="B50:E50">
    <cfRule type="expression" dxfId="1486" priority="7">
      <formula>AND(WEEKDAY($A50,2)=1,$I$2=TRUE)</formula>
    </cfRule>
    <cfRule type="expression" dxfId="1485" priority="8">
      <formula>AND(WEEKDAY($A50,2)=1,$I$2=FALSE)</formula>
    </cfRule>
    <cfRule type="expression" dxfId="1484" priority="9">
      <formula>AND(WEEKDAY($A50,2)=2,$I$4=TRUE)</formula>
    </cfRule>
    <cfRule type="expression" dxfId="1483" priority="10">
      <formula>AND(WEEKDAY($A50,2)=2,$I$4=FALSE)</formula>
    </cfRule>
    <cfRule type="expression" dxfId="1482" priority="11">
      <formula>AND(WEEKDAY($A50,2)=3,$I$6=TRUE)</formula>
    </cfRule>
  </conditionalFormatting>
  <conditionalFormatting sqref="B50:E50">
    <cfRule type="expression" dxfId="1481" priority="1">
      <formula>WEEKDAY($A50,2)&gt;5</formula>
    </cfRule>
  </conditionalFormatting>
  <conditionalFormatting sqref="B50">
    <cfRule type="expression" dxfId="1480" priority="12">
      <formula>#REF!&lt;&gt;""</formula>
    </cfRule>
  </conditionalFormatting>
  <dataValidations count="5">
    <dataValidation type="date" allowBlank="1" showInputMessage="1" showErrorMessage="1" error="Kein gültiges Datum" prompt="TT.MM.JJJJ" sqref="C9:D9 F9 C14:D14 F14">
      <formula1>40178</formula1>
      <formula2>71588</formula2>
    </dataValidation>
    <dataValidation type="decimal" allowBlank="1" showInputMessage="1" showErrorMessage="1" errorTitle="Achtung" error="Kein Dezimalwert" sqref="K3:L11">
      <formula1>0.25</formula1>
      <formula2>24</formula2>
    </dataValidation>
    <dataValidation type="decimal" allowBlank="1" showInputMessage="1" showErrorMessage="1" errorTitle="Falsches Zahlenformat" error="Bitte nur ganze Zahlen oder Dezimal eingeben." promptTitle="                 INFO" prompt="_x000a_Beim Ausfüllen unbedingt den Leitfaden zum Arbeitszeitkonto beachten_x000a_ -Siehe Hilfebutton" sqref="C11:D11">
      <formula1>1</formula1>
      <formula2>39</formula2>
    </dataValidation>
    <dataValidation type="textLength" operator="greaterThan" allowBlank="1" showInputMessage="1" showErrorMessage="1" errorTitle="Arbeitszeitkonto beendet" error="Ihr Arbeitszeitkonto überschreitet 12 Monate und ist damit beendet. Bitte erstellen Sie ein neues Konto." sqref="G16:L16">
      <formula1>40</formula1>
    </dataValidation>
    <dataValidation type="time" errorStyle="warning" allowBlank="1" showInputMessage="1" showErrorMessage="1" error="Außerhalb des Arbeitszeitrahmens" sqref="B20:E50">
      <formula1>0.25</formula1>
      <formula2>0.958333333333333</formula2>
    </dataValidation>
  </dataValidations>
  <pageMargins left="0.7" right="0.53156250000000005" top="1.6752083333333334" bottom="0.28125" header="0.47125" footer="0.3"/>
  <pageSetup paperSize="9" scale="87" orientation="portrait" r:id="rId2"/>
  <headerFooter>
    <oddHeader>&amp;L&amp;"BO Regular Bold,Fett"&amp;12Stundennachweis&amp;"-,Standard"&amp;10
&amp;"BO Regular Normal,Standard"nach §17 MiLoG
für SHK, WHK, studentische Aushilfskräfte TV-L 
und geringfügig Beschäftigte&amp;R&amp;G</oddHeader>
  </headerFooter>
  <ignoredErrors>
    <ignoredError sqref="C2:F7 K20:L50 C1:F1" unlockedFormula="1"/>
  </ignoredErrors>
  <drawing r:id="rId3"/>
  <legacyDrawing r:id="rId4"/>
  <legacyDrawingHF r:id="rId5"/>
  <mc:AlternateContent xmlns:mc="http://schemas.openxmlformats.org/markup-compatibility/2006">
    <mc:Choice Requires="x14">
      <controls>
        <mc:AlternateContent xmlns:mc="http://schemas.openxmlformats.org/markup-compatibility/2006">
          <mc:Choice Requires="x14">
            <control shapeId="1025" r:id="rId6" name="Check Box 1">
              <controlPr locked="0" defaultSize="0" autoFill="0" autoLine="0" autoPict="0">
                <anchor moveWithCells="1">
                  <from>
                    <xdr:col>7</xdr:col>
                    <xdr:colOff>238125</xdr:colOff>
                    <xdr:row>1</xdr:row>
                    <xdr:rowOff>85725</xdr:rowOff>
                  </from>
                  <to>
                    <xdr:col>9</xdr:col>
                    <xdr:colOff>752475</xdr:colOff>
                    <xdr:row>3</xdr:row>
                    <xdr:rowOff>0</xdr:rowOff>
                  </to>
                </anchor>
              </controlPr>
            </control>
          </mc:Choice>
        </mc:AlternateContent>
        <mc:AlternateContent xmlns:mc="http://schemas.openxmlformats.org/markup-compatibility/2006">
          <mc:Choice Requires="x14">
            <control shapeId="1026" r:id="rId7" name="Check Box 2">
              <controlPr locked="0" defaultSize="0" autoFill="0" autoLine="0" autoPict="0">
                <anchor moveWithCells="1">
                  <from>
                    <xdr:col>7</xdr:col>
                    <xdr:colOff>238125</xdr:colOff>
                    <xdr:row>3</xdr:row>
                    <xdr:rowOff>76200</xdr:rowOff>
                  </from>
                  <to>
                    <xdr:col>9</xdr:col>
                    <xdr:colOff>704850</xdr:colOff>
                    <xdr:row>4</xdr:row>
                    <xdr:rowOff>190500</xdr:rowOff>
                  </to>
                </anchor>
              </controlPr>
            </control>
          </mc:Choice>
        </mc:AlternateContent>
        <mc:AlternateContent xmlns:mc="http://schemas.openxmlformats.org/markup-compatibility/2006">
          <mc:Choice Requires="x14">
            <control shapeId="1027" r:id="rId8" name="Check Box 3">
              <controlPr locked="0" defaultSize="0" autoFill="0" autoLine="0" autoPict="0">
                <anchor moveWithCells="1">
                  <from>
                    <xdr:col>7</xdr:col>
                    <xdr:colOff>238125</xdr:colOff>
                    <xdr:row>5</xdr:row>
                    <xdr:rowOff>76200</xdr:rowOff>
                  </from>
                  <to>
                    <xdr:col>9</xdr:col>
                    <xdr:colOff>704850</xdr:colOff>
                    <xdr:row>6</xdr:row>
                    <xdr:rowOff>180975</xdr:rowOff>
                  </to>
                </anchor>
              </controlPr>
            </control>
          </mc:Choice>
        </mc:AlternateContent>
        <mc:AlternateContent xmlns:mc="http://schemas.openxmlformats.org/markup-compatibility/2006">
          <mc:Choice Requires="x14">
            <control shapeId="1028" r:id="rId9" name="Check Box 4">
              <controlPr locked="0" defaultSize="0" autoFill="0" autoLine="0" autoPict="0">
                <anchor moveWithCells="1">
                  <from>
                    <xdr:col>7</xdr:col>
                    <xdr:colOff>238125</xdr:colOff>
                    <xdr:row>7</xdr:row>
                    <xdr:rowOff>76200</xdr:rowOff>
                  </from>
                  <to>
                    <xdr:col>9</xdr:col>
                    <xdr:colOff>704850</xdr:colOff>
                    <xdr:row>8</xdr:row>
                    <xdr:rowOff>190500</xdr:rowOff>
                  </to>
                </anchor>
              </controlPr>
            </control>
          </mc:Choice>
        </mc:AlternateContent>
        <mc:AlternateContent xmlns:mc="http://schemas.openxmlformats.org/markup-compatibility/2006">
          <mc:Choice Requires="x14">
            <control shapeId="1029" r:id="rId10" name="Check Box 5">
              <controlPr locked="0" defaultSize="0" autoFill="0" autoLine="0" autoPict="0">
                <anchor moveWithCells="1">
                  <from>
                    <xdr:col>7</xdr:col>
                    <xdr:colOff>238125</xdr:colOff>
                    <xdr:row>9</xdr:row>
                    <xdr:rowOff>76200</xdr:rowOff>
                  </from>
                  <to>
                    <xdr:col>9</xdr:col>
                    <xdr:colOff>704850</xdr:colOff>
                    <xdr:row>10</xdr:row>
                    <xdr:rowOff>190500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32" operator="containsText" id="{8B42F5F6-C8F7-42DF-A079-3E6E71E41114}">
            <xm:f>NOT(ISERROR(SEARCH("45 min. Pause erforderlich",K20)))</xm:f>
            <xm:f>"45 min. Pause erforderlich"</xm:f>
            <x14:dxf>
              <font>
                <b/>
                <i val="0"/>
                <color rgb="FFA50021"/>
              </font>
            </x14:dxf>
          </x14:cfRule>
          <xm:sqref>K20:L50</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5"/>
  <dimension ref="A1:V95"/>
  <sheetViews>
    <sheetView showGridLines="0" showRowColHeaders="0" view="pageLayout" workbookViewId="0">
      <selection activeCell="C11" sqref="C11:D11"/>
    </sheetView>
  </sheetViews>
  <sheetFormatPr baseColWidth="10" defaultColWidth="12.42578125" defaultRowHeight="15"/>
  <cols>
    <col min="1" max="1" width="11" customWidth="1"/>
    <col min="2" max="2" width="9.42578125" customWidth="1"/>
    <col min="3" max="3" width="5" customWidth="1"/>
    <col min="4" max="4" width="6" customWidth="1"/>
    <col min="5" max="5" width="10.7109375" customWidth="1"/>
    <col min="6" max="6" width="12.140625" customWidth="1"/>
    <col min="7" max="7" width="7.7109375" customWidth="1"/>
    <col min="8" max="8" width="9.85546875" customWidth="1"/>
    <col min="9" max="9" width="6.5703125" hidden="1" customWidth="1"/>
    <col min="10" max="10" width="11.85546875" customWidth="1"/>
    <col min="11" max="11" width="11.140625" customWidth="1"/>
    <col min="12" max="12" width="8" customWidth="1"/>
    <col min="13" max="13" width="5.28515625" style="37" hidden="1" customWidth="1"/>
    <col min="14" max="14" width="5.42578125" style="33" hidden="1" customWidth="1"/>
    <col min="15" max="15" width="14.5703125" hidden="1" customWidth="1"/>
    <col min="16" max="16" width="9.28515625" hidden="1" customWidth="1"/>
    <col min="17" max="17" width="8.140625" hidden="1" customWidth="1"/>
    <col min="18" max="18" width="21.28515625" hidden="1" customWidth="1"/>
    <col min="19" max="20" width="16.7109375" hidden="1" customWidth="1"/>
    <col min="21" max="21" width="1.7109375" hidden="1" customWidth="1"/>
    <col min="22" max="22" width="2" hidden="1" customWidth="1"/>
    <col min="23" max="16353" width="12.42578125" customWidth="1"/>
    <col min="16354" max="16354" width="3.7109375" customWidth="1"/>
    <col min="16355" max="16384" width="4.42578125" customWidth="1"/>
  </cols>
  <sheetData>
    <row r="1" spans="1:20" s="2" customFormat="1" ht="18" customHeight="1">
      <c r="A1" s="254" t="s">
        <v>0</v>
      </c>
      <c r="B1" s="254"/>
      <c r="C1" s="255" t="str">
        <f>IF('Blatt 1'!C1:F1="","",'Blatt 1'!C1:F1)</f>
        <v/>
      </c>
      <c r="D1" s="255"/>
      <c r="E1" s="255"/>
      <c r="F1" s="255"/>
      <c r="G1" s="1"/>
      <c r="H1" s="260" t="s">
        <v>1</v>
      </c>
      <c r="I1" s="260"/>
      <c r="J1" s="260"/>
      <c r="K1" s="259" t="s">
        <v>2</v>
      </c>
      <c r="L1" s="259"/>
      <c r="M1" s="253" t="s">
        <v>3</v>
      </c>
      <c r="N1" s="253"/>
      <c r="O1" s="253"/>
    </row>
    <row r="2" spans="1:20" ht="7.5" customHeight="1">
      <c r="A2" s="80"/>
      <c r="B2" s="80"/>
      <c r="C2" s="61"/>
      <c r="D2" s="61"/>
      <c r="E2" s="61"/>
      <c r="F2" s="61"/>
      <c r="G2" s="3"/>
      <c r="H2" s="3"/>
      <c r="I2" s="6" t="b">
        <v>0</v>
      </c>
      <c r="J2" s="3"/>
      <c r="K2" s="3"/>
      <c r="M2" s="143"/>
      <c r="N2" s="166"/>
    </row>
    <row r="3" spans="1:20" s="2" customFormat="1" ht="15.75">
      <c r="A3" s="254" t="s">
        <v>4</v>
      </c>
      <c r="B3" s="254"/>
      <c r="C3" s="255" t="str">
        <f>IF('Blatt 1'!C3:F3="","",'Blatt 1'!C3:F3)</f>
        <v/>
      </c>
      <c r="D3" s="255"/>
      <c r="E3" s="255"/>
      <c r="F3" s="255"/>
      <c r="H3" s="47"/>
      <c r="I3" s="55"/>
      <c r="J3" s="8"/>
      <c r="K3" s="323"/>
      <c r="L3" s="323"/>
      <c r="M3" s="9">
        <f>($K$3+$K$5+$K$7+$K$9+$K$11)/24</f>
        <v>0</v>
      </c>
      <c r="N3" s="10"/>
    </row>
    <row r="4" spans="1:20" ht="7.5" customHeight="1">
      <c r="A4" s="80"/>
      <c r="B4" s="80"/>
      <c r="C4" s="62"/>
      <c r="D4" s="62"/>
      <c r="E4" s="62"/>
      <c r="F4" s="62"/>
      <c r="H4" s="3"/>
      <c r="I4" s="6" t="b">
        <v>0</v>
      </c>
      <c r="J4" s="3"/>
      <c r="K4" s="73"/>
      <c r="L4" s="74"/>
      <c r="M4" s="143"/>
      <c r="N4" s="166"/>
    </row>
    <row r="5" spans="1:20" s="2" customFormat="1" ht="15.75">
      <c r="A5" s="254" t="s">
        <v>5</v>
      </c>
      <c r="B5" s="254"/>
      <c r="C5" s="256" t="str">
        <f>IF('Blatt 1'!C5:F5="","",'Blatt 1'!C5:F5)</f>
        <v/>
      </c>
      <c r="D5" s="255"/>
      <c r="E5" s="255"/>
      <c r="F5" s="255"/>
      <c r="H5" s="47"/>
      <c r="I5" s="55"/>
      <c r="J5" s="8"/>
      <c r="K5" s="300"/>
      <c r="L5" s="300"/>
      <c r="M5" s="143"/>
      <c r="N5" s="166"/>
    </row>
    <row r="6" spans="1:20" ht="7.5" customHeight="1">
      <c r="A6" s="80"/>
      <c r="B6" s="80"/>
      <c r="C6" s="62"/>
      <c r="D6" s="62"/>
      <c r="E6" s="62"/>
      <c r="F6" s="62"/>
      <c r="H6" s="3"/>
      <c r="I6" s="6" t="b">
        <v>0</v>
      </c>
      <c r="J6" s="3"/>
      <c r="K6" s="73"/>
      <c r="L6" s="74"/>
      <c r="M6" s="143"/>
      <c r="N6" s="166"/>
    </row>
    <row r="7" spans="1:20" s="2" customFormat="1" ht="15.75">
      <c r="A7" s="254" t="s">
        <v>6</v>
      </c>
      <c r="B7" s="254"/>
      <c r="C7" s="258" t="str">
        <f>IF('Blatt 1'!C7:F7="","",'Blatt 1'!C7:F7)</f>
        <v/>
      </c>
      <c r="D7" s="258"/>
      <c r="E7" s="258"/>
      <c r="F7" s="258"/>
      <c r="H7" s="11"/>
      <c r="I7" s="55"/>
      <c r="J7" s="11"/>
      <c r="K7" s="300"/>
      <c r="L7" s="300"/>
      <c r="M7" s="143"/>
      <c r="N7" s="166"/>
    </row>
    <row r="8" spans="1:20" ht="7.5" customHeight="1">
      <c r="A8" s="80"/>
      <c r="B8" s="80"/>
      <c r="C8" s="62"/>
      <c r="D8" s="62"/>
      <c r="E8" s="62"/>
      <c r="F8" s="62"/>
      <c r="H8" s="3"/>
      <c r="I8" s="6" t="b">
        <v>0</v>
      </c>
      <c r="J8" s="3"/>
      <c r="K8" s="73"/>
      <c r="L8" s="74"/>
      <c r="M8" s="143"/>
      <c r="N8" s="166"/>
    </row>
    <row r="9" spans="1:20" ht="15.75">
      <c r="A9" s="254" t="s">
        <v>146</v>
      </c>
      <c r="B9" s="254"/>
      <c r="C9" s="265"/>
      <c r="D9" s="265"/>
      <c r="E9" s="82" t="s">
        <v>7</v>
      </c>
      <c r="F9" s="105"/>
      <c r="H9" s="3"/>
      <c r="I9" s="55"/>
      <c r="J9" s="3"/>
      <c r="K9" s="300"/>
      <c r="L9" s="300"/>
      <c r="M9" s="143"/>
      <c r="N9" s="166"/>
    </row>
    <row r="10" spans="1:20" ht="7.5" customHeight="1">
      <c r="A10" s="80"/>
      <c r="B10" s="80"/>
      <c r="C10" s="62"/>
      <c r="D10" s="62"/>
      <c r="E10" s="80"/>
      <c r="F10" s="62"/>
      <c r="H10" s="3"/>
      <c r="I10" s="12" t="b">
        <v>0</v>
      </c>
      <c r="J10" s="3"/>
      <c r="K10" s="73"/>
      <c r="L10" s="74"/>
      <c r="M10" s="143"/>
      <c r="N10" s="166"/>
    </row>
    <row r="11" spans="1:20" ht="15.75">
      <c r="A11" s="254" t="s">
        <v>8</v>
      </c>
      <c r="B11" s="254"/>
      <c r="C11" s="267"/>
      <c r="D11" s="267"/>
      <c r="E11" s="83" t="s">
        <v>9</v>
      </c>
      <c r="F11" s="64"/>
      <c r="H11" s="3"/>
      <c r="I11" s="12"/>
      <c r="J11" s="3"/>
      <c r="K11" s="300"/>
      <c r="L11" s="300"/>
      <c r="M11" s="143"/>
      <c r="N11" s="166"/>
      <c r="S11" s="146"/>
      <c r="T11" s="146"/>
    </row>
    <row r="12" spans="1:20" ht="7.5" customHeight="1">
      <c r="A12" s="167"/>
      <c r="B12" s="167"/>
      <c r="C12" s="65"/>
      <c r="D12" s="65"/>
      <c r="E12" s="84"/>
      <c r="F12" s="51"/>
      <c r="H12" s="50"/>
      <c r="I12" s="55"/>
      <c r="J12" s="3"/>
      <c r="K12" s="50"/>
      <c r="L12" s="50"/>
      <c r="M12" s="143"/>
      <c r="N12" s="166"/>
      <c r="S12" s="146"/>
    </row>
    <row r="13" spans="1:20" ht="4.5" customHeight="1">
      <c r="A13" s="254"/>
      <c r="B13" s="254"/>
      <c r="C13" s="65"/>
      <c r="D13" s="65"/>
      <c r="E13" s="80"/>
      <c r="F13" s="62"/>
      <c r="H13" s="3"/>
      <c r="I13" s="55"/>
      <c r="J13" s="3"/>
      <c r="M13" s="143"/>
      <c r="N13" s="166"/>
    </row>
    <row r="14" spans="1:20" ht="16.5" customHeight="1">
      <c r="A14" s="305" t="s">
        <v>141</v>
      </c>
      <c r="B14" s="305"/>
      <c r="C14" s="306"/>
      <c r="D14" s="306"/>
      <c r="E14" s="196" t="s">
        <v>7</v>
      </c>
      <c r="F14" s="168"/>
      <c r="G14" s="52" t="b">
        <v>0</v>
      </c>
      <c r="H14" s="320" t="str">
        <f>IF($C$14="","",IF(AND($O$16&lt;&gt;$C$14,$O$16&lt;$F$9),"Achtung! Stundennachweis unterbrochen",""))</f>
        <v/>
      </c>
      <c r="I14" s="320"/>
      <c r="J14" s="320"/>
      <c r="K14" s="320"/>
      <c r="L14" s="320"/>
      <c r="M14" s="304" t="s">
        <v>21</v>
      </c>
      <c r="N14" s="304"/>
      <c r="O14" s="147"/>
    </row>
    <row r="15" spans="1:20" hidden="1">
      <c r="A15" s="43"/>
      <c r="B15" s="47"/>
      <c r="C15" s="262"/>
      <c r="D15" s="262"/>
      <c r="E15" s="14"/>
      <c r="F15" s="39"/>
      <c r="G15" s="52"/>
      <c r="H15" s="3"/>
      <c r="I15" s="3"/>
      <c r="J15" s="3"/>
      <c r="K15" s="263"/>
      <c r="L15" s="263"/>
      <c r="M15" s="177"/>
      <c r="N15" s="149"/>
      <c r="O15" s="147"/>
    </row>
    <row r="16" spans="1:20" ht="41.25" customHeight="1">
      <c r="A16" s="321" t="str">
        <f ca="1">IF(($C$14+30)&lt;$F$14,"                                       Bitte nur einen Monat angeben! ",IF(COUNTIF(R20:R50,1)&gt;0,"Hinweis: Es erfolgt keine Berechnung der Zukunftswerte",""))</f>
        <v/>
      </c>
      <c r="B16" s="321"/>
      <c r="C16" s="321"/>
      <c r="D16" s="321"/>
      <c r="E16" s="321"/>
      <c r="F16" s="321"/>
      <c r="G16" s="303" t="str">
        <f>IF(AND(Q58&lt;365,Q58&gt;300),"Ihnen verbleiben noch "&amp;(364-Q58)&amp;" Tage um Ihr Arbeitszeitkonto auszugleichen",IF(Q58&gt;365,"Sie haben Ihr Arbeitszeitkonto überschritten, bitte erstellen Sie ein neues Konto",""))</f>
        <v/>
      </c>
      <c r="H16" s="303"/>
      <c r="I16" s="303"/>
      <c r="J16" s="303"/>
      <c r="K16" s="303"/>
      <c r="L16" s="303"/>
      <c r="M16" s="153">
        <f ca="1">IF(AND($H$14="Achtung! Stundennachweis unterbrochen",'Blatt 3'!J52&gt;0),0,'Blatt 3'!J52)</f>
        <v>0</v>
      </c>
      <c r="N16" s="154">
        <f ca="1">+$M$16+$N$55</f>
        <v>0</v>
      </c>
      <c r="O16" s="155" t="str">
        <f>IF($F$9=$F$14,"",'Blatt 3'!$F$14+1)</f>
        <v/>
      </c>
    </row>
    <row r="17" spans="1:22" ht="18.75">
      <c r="A17" s="40"/>
      <c r="B17" s="264">
        <f ca="1">IF(ISBLANK($C$14),EOMONTH('Blatt 3'!$B$17,0)+1,DATE(YEAR($C$14),MONTH($C$14),1))</f>
        <v>42247</v>
      </c>
      <c r="C17" s="264"/>
      <c r="D17" s="264"/>
      <c r="E17" s="264"/>
      <c r="F17" s="264"/>
      <c r="G17" s="264"/>
      <c r="H17" s="264"/>
      <c r="I17" s="264"/>
      <c r="J17" s="264"/>
      <c r="K17" s="264"/>
      <c r="L17" s="41"/>
      <c r="M17" s="15"/>
      <c r="N17" s="166"/>
    </row>
    <row r="18" spans="1:22" ht="8.4499999999999993" customHeight="1" thickBot="1">
      <c r="A18" s="3"/>
      <c r="B18" s="3"/>
      <c r="C18" s="3"/>
      <c r="D18" s="3"/>
      <c r="E18" s="3"/>
      <c r="F18" s="3"/>
      <c r="G18" s="3"/>
      <c r="H18" s="3"/>
      <c r="I18" s="3"/>
      <c r="J18" s="3"/>
      <c r="K18" s="3"/>
      <c r="L18" s="3"/>
      <c r="M18" s="143"/>
      <c r="N18" s="166"/>
    </row>
    <row r="19" spans="1:22" s="17" customFormat="1" ht="42.75" customHeight="1" thickBot="1">
      <c r="A19" s="187" t="s">
        <v>10</v>
      </c>
      <c r="B19" s="277" t="s">
        <v>11</v>
      </c>
      <c r="C19" s="277"/>
      <c r="D19" s="278" t="s">
        <v>12</v>
      </c>
      <c r="E19" s="279"/>
      <c r="F19" s="86" t="s">
        <v>27</v>
      </c>
      <c r="G19" s="169" t="s">
        <v>13</v>
      </c>
      <c r="H19" s="86" t="s">
        <v>14</v>
      </c>
      <c r="I19" s="88"/>
      <c r="J19" s="89" t="s">
        <v>15</v>
      </c>
      <c r="K19" s="278" t="s">
        <v>16</v>
      </c>
      <c r="L19" s="280"/>
      <c r="M19" s="16" t="s">
        <v>17</v>
      </c>
      <c r="N19" s="16"/>
      <c r="O19" s="58" t="s">
        <v>24</v>
      </c>
      <c r="P19" s="126" t="s">
        <v>28</v>
      </c>
      <c r="Q19" s="126" t="s">
        <v>31</v>
      </c>
      <c r="R19" s="289" t="s">
        <v>49</v>
      </c>
      <c r="S19" s="289"/>
      <c r="T19" s="289"/>
    </row>
    <row r="20" spans="1:22" s="2" customFormat="1" ht="12.6" customHeight="1">
      <c r="A20" s="188">
        <f ca="1">($B$17+ROW(A1)-1)*(MONTH(B17+1)=MONTH($B$17))</f>
        <v>42247</v>
      </c>
      <c r="B20" s="271"/>
      <c r="C20" s="272"/>
      <c r="D20" s="273"/>
      <c r="E20" s="274"/>
      <c r="F20" s="171"/>
      <c r="G20" s="110" t="str">
        <f ca="1">IF(OR(A20&lt;$C$14,A20&gt;$F$14,$G$16="Sie haben Ihr Arbeitszeitkonto überschritten, bitte erstellen Sie ein neues Konto",A20&gt;TODAY()),"0,00",IF(ISBLANK($C$14),"0,00",(D20-B20-F20)))</f>
        <v>0,00</v>
      </c>
      <c r="H20" s="111">
        <f ca="1">IF(WEEKDAY(A20,2)=7,SUMIF($M$19:$M$50,M20,$G$19:$G$50),"")</f>
        <v>0</v>
      </c>
      <c r="I20" s="112">
        <f ca="1">IF(A20&lt;TODAY(),ROUND(SUM(G20-N20),7),0)</f>
        <v>0</v>
      </c>
      <c r="J20" s="156" t="str">
        <f t="shared" ref="J20:J24" ca="1" si="0">IF($G$16="Sie haben Ihr Arbeitszeitkonto überschritten, bitte erstellen Sie ein neues Konto","",IF(AND(A20&lt;TODAY(),WEEKDAY(A20,2)=7),I20+$N$16,""))</f>
        <v/>
      </c>
      <c r="K20" s="275" t="str">
        <f t="shared" ref="K20:K26" ca="1" si="1">IF(T20&lt;&gt;"",T20,IF(P20="1","Angaben überprüfen",IF(OR(A20&lt;$C$14,A20&gt;$F$14,G20="0,00"),"--------",IF(AND(G20&gt;(6/24),G20&lt;(9/24),F20&lt;0.5/24),"30 min. Pause erforderlich",IF(AND(G20&gt;=(9/24),F20&lt;0.75/24),"45 min. Pause erforderlich ","")))))</f>
        <v>--------</v>
      </c>
      <c r="L20" s="276"/>
      <c r="M20" s="93">
        <f ca="1">WEEKNUM(A20,2)</f>
        <v>35</v>
      </c>
      <c r="N20" s="94">
        <f ca="1">IF(AND(A20&gt;=$C$14,A20&lt;=$F$14),IF(AND(WEEKDAY(A20,2)=1,$K$3&gt;0),$K$3,IF(AND(WEEKDAY(A20,2)=2,$K$5&gt;0),$K$5,IF(AND(WEEKDAY(A20,2)=3,$K$7&gt;0),$K$7,IF(AND(WEEKDAY(A20,2)=4,$K$9&gt;0),$K$9,IF(AND(WEEKDAY(A20,2)=5,$K$11&gt;0),$K$11,IF(WEEKDAY(A20,2)&gt;5,0,0))))))/24,0)</f>
        <v>0</v>
      </c>
      <c r="O20" s="95">
        <f ca="1">IF(I20&lt;&gt;0,I20,0)</f>
        <v>0</v>
      </c>
      <c r="P20" s="120" t="str">
        <f ca="1">IF(AND(Q20="1",B20&gt;0),"1","")</f>
        <v/>
      </c>
      <c r="Q20" s="120" t="str">
        <f t="shared" ref="Q20:Q50" ca="1" si="2">IF(OR(A20&lt;$C$14,A20&gt;$F$14,A20&lt;$C$9,A20&gt;$F$9),"1","")</f>
        <v>1</v>
      </c>
      <c r="R20" s="184" t="str">
        <f t="shared" ref="R20:R50" ca="1" si="3">IF(AND(A20&gt;TODAY(),B20&gt;0),"1","")</f>
        <v/>
      </c>
      <c r="S20" s="185" t="e">
        <f t="shared" ref="S20:S50" ca="1" si="4">VLOOKUP(A20,$Q$77:$S$92,2,FALSE)</f>
        <v>#N/A</v>
      </c>
      <c r="T20" s="186" t="str">
        <f t="shared" ref="T20:T49" ca="1" si="5">IF(ISNA(S20),"",S20)</f>
        <v/>
      </c>
      <c r="U20" s="193" t="str">
        <f t="shared" ref="U20:U50" ca="1" si="6">IF(AND(WEEKDAY(A20,2)=1,$I$2=TRUE),"X",IF(AND(WEEKDAY(A20,2)=4,$I$8=TRUE),"X",IF(AND(WEEKDAY(A20,2)=5,$I$10=TRUE),"X",IF(AND(WEEKDAY(A20,2)=2,$I$4=TRUE),"X",IF(AND(WEEKDAY(A20,2)=3,$I$6=TRUE),"X","")
))))</f>
        <v/>
      </c>
      <c r="V20" s="197" t="str">
        <f ca="1">IF(AND(U20&lt;&gt;"",T20&lt;&gt;""),"!","")</f>
        <v/>
      </c>
    </row>
    <row r="21" spans="1:22" s="2" customFormat="1" ht="12.6" customHeight="1">
      <c r="A21" s="189">
        <f t="shared" ref="A21:A29" ca="1" si="7">($B$17+ROW(A2)-1)*(MONTH(A20+1)=MONTH($B$17))</f>
        <v>42248</v>
      </c>
      <c r="B21" s="271"/>
      <c r="C21" s="272"/>
      <c r="D21" s="273"/>
      <c r="E21" s="274"/>
      <c r="F21" s="170"/>
      <c r="G21" s="110" t="str">
        <f t="shared" ref="G21:G49" ca="1" si="8">IF(OR(A21&lt;$C$14,A21&gt;$F$14,$G$16="Sie haben Ihr Arbeitszeitkonto überschritten, bitte erstellen Sie ein neues Konto",A21&gt;TODAY()),"0,00",IF(ISBLANK($C$14),"0,00",(D21-B21-F21)))</f>
        <v>0,00</v>
      </c>
      <c r="H21" s="111" t="str">
        <f t="shared" ref="H21:H50" ca="1" si="9">IF(WEEKDAY(A21,2)=7,SUMIF($M$19:$M$50,M21,$G$19:$G$50),"")</f>
        <v/>
      </c>
      <c r="I21" s="112">
        <f t="shared" ref="I21:I50" ca="1" si="10">IF(A21&lt;TODAY(),ROUND(SUM(G21+I20-N21),7),0)</f>
        <v>0</v>
      </c>
      <c r="J21" s="157" t="str">
        <f t="shared" ca="1" si="0"/>
        <v/>
      </c>
      <c r="K21" s="275" t="str">
        <f t="shared" ca="1" si="1"/>
        <v>--------</v>
      </c>
      <c r="L21" s="276"/>
      <c r="M21" s="93">
        <f t="shared" ref="M21:M49" ca="1" si="11">WEEKNUM(A21,2)</f>
        <v>36</v>
      </c>
      <c r="N21" s="94">
        <f t="shared" ref="N21:N50" ca="1" si="12">IF(AND(A21&gt;=$C$14,A21&lt;=$F$14),IF(AND(WEEKDAY(A21,2)=1,$K$3&gt;0),$K$3,IF(AND(WEEKDAY(A21,2)=2,$K$5&gt;0),$K$5,IF(AND(WEEKDAY(A21,2)=3,$K$7&gt;0),$K$7,IF(AND(WEEKDAY(A21,2)=4,$K$9&gt;0),$K$9,IF(AND(WEEKDAY(A21,2)=5,$K$11&gt;0),$K$11,IF(WEEKDAY(A21,2)&gt;5,0,0))))))/24,0)</f>
        <v>0</v>
      </c>
      <c r="O21" s="95" t="str">
        <f t="shared" ref="O21:O49" ca="1" si="13">IF(I21&lt;&gt;0,I21,"")</f>
        <v/>
      </c>
      <c r="P21" s="120" t="str">
        <f t="shared" ref="P21:P50" ca="1" si="14">IF(AND(Q21="1",B21&gt;0),"1","")</f>
        <v/>
      </c>
      <c r="Q21" s="120" t="str">
        <f t="shared" ca="1" si="2"/>
        <v>1</v>
      </c>
      <c r="R21" s="184" t="str">
        <f t="shared" ca="1" si="3"/>
        <v/>
      </c>
      <c r="S21" s="185" t="e">
        <f t="shared" ca="1" si="4"/>
        <v>#N/A</v>
      </c>
      <c r="T21" s="186" t="str">
        <f t="shared" ca="1" si="5"/>
        <v/>
      </c>
      <c r="U21" s="194" t="str">
        <f t="shared" ca="1" si="6"/>
        <v/>
      </c>
      <c r="V21" s="197" t="str">
        <f t="shared" ref="V21:V50" ca="1" si="15">IF(AND(U21&lt;&gt;"",T21&lt;&gt;""),"!","")</f>
        <v/>
      </c>
    </row>
    <row r="22" spans="1:22" s="2" customFormat="1" ht="12.6" customHeight="1">
      <c r="A22" s="189">
        <f t="shared" ca="1" si="7"/>
        <v>42249</v>
      </c>
      <c r="B22" s="285"/>
      <c r="C22" s="286"/>
      <c r="D22" s="273"/>
      <c r="E22" s="274"/>
      <c r="F22" s="170"/>
      <c r="G22" s="110" t="str">
        <f t="shared" ca="1" si="8"/>
        <v>0,00</v>
      </c>
      <c r="H22" s="111" t="str">
        <f t="shared" ca="1" si="9"/>
        <v/>
      </c>
      <c r="I22" s="112">
        <f t="shared" ca="1" si="10"/>
        <v>0</v>
      </c>
      <c r="J22" s="157" t="str">
        <f t="shared" ca="1" si="0"/>
        <v/>
      </c>
      <c r="K22" s="275" t="str">
        <f t="shared" ca="1" si="1"/>
        <v>--------</v>
      </c>
      <c r="L22" s="276"/>
      <c r="M22" s="93">
        <f t="shared" ca="1" si="11"/>
        <v>36</v>
      </c>
      <c r="N22" s="94">
        <f t="shared" ca="1" si="12"/>
        <v>0</v>
      </c>
      <c r="O22" s="95" t="str">
        <f t="shared" ca="1" si="13"/>
        <v/>
      </c>
      <c r="P22" s="120" t="str">
        <f t="shared" ca="1" si="14"/>
        <v/>
      </c>
      <c r="Q22" s="120" t="str">
        <f t="shared" ca="1" si="2"/>
        <v>1</v>
      </c>
      <c r="R22" s="184" t="str">
        <f t="shared" ca="1" si="3"/>
        <v/>
      </c>
      <c r="S22" s="185" t="e">
        <f t="shared" ca="1" si="4"/>
        <v>#N/A</v>
      </c>
      <c r="T22" s="186" t="str">
        <f t="shared" ca="1" si="5"/>
        <v/>
      </c>
      <c r="U22" s="194" t="str">
        <f t="shared" ca="1" si="6"/>
        <v/>
      </c>
      <c r="V22" s="197" t="str">
        <f t="shared" ca="1" si="15"/>
        <v/>
      </c>
    </row>
    <row r="23" spans="1:22" s="2" customFormat="1" ht="12.6" customHeight="1">
      <c r="A23" s="189">
        <f t="shared" ca="1" si="7"/>
        <v>42250</v>
      </c>
      <c r="B23" s="285"/>
      <c r="C23" s="286"/>
      <c r="D23" s="273"/>
      <c r="E23" s="274"/>
      <c r="F23" s="170"/>
      <c r="G23" s="110" t="str">
        <f t="shared" ca="1" si="8"/>
        <v>0,00</v>
      </c>
      <c r="H23" s="111" t="str">
        <f t="shared" ca="1" si="9"/>
        <v/>
      </c>
      <c r="I23" s="112">
        <f t="shared" ca="1" si="10"/>
        <v>0</v>
      </c>
      <c r="J23" s="157" t="str">
        <f t="shared" ca="1" si="0"/>
        <v/>
      </c>
      <c r="K23" s="275" t="str">
        <f t="shared" ca="1" si="1"/>
        <v>--------</v>
      </c>
      <c r="L23" s="276"/>
      <c r="M23" s="93">
        <f t="shared" ca="1" si="11"/>
        <v>36</v>
      </c>
      <c r="N23" s="94">
        <f t="shared" ca="1" si="12"/>
        <v>0</v>
      </c>
      <c r="O23" s="95" t="str">
        <f t="shared" ca="1" si="13"/>
        <v/>
      </c>
      <c r="P23" s="120" t="str">
        <f t="shared" ca="1" si="14"/>
        <v/>
      </c>
      <c r="Q23" s="120" t="str">
        <f t="shared" ca="1" si="2"/>
        <v>1</v>
      </c>
      <c r="R23" s="184" t="str">
        <f t="shared" ca="1" si="3"/>
        <v/>
      </c>
      <c r="S23" s="185" t="e">
        <f t="shared" ca="1" si="4"/>
        <v>#N/A</v>
      </c>
      <c r="T23" s="186" t="str">
        <f t="shared" ca="1" si="5"/>
        <v/>
      </c>
      <c r="U23" s="194" t="str">
        <f t="shared" ca="1" si="6"/>
        <v/>
      </c>
      <c r="V23" s="197" t="str">
        <f t="shared" ca="1" si="15"/>
        <v/>
      </c>
    </row>
    <row r="24" spans="1:22" s="2" customFormat="1" ht="12.6" customHeight="1">
      <c r="A24" s="190">
        <f t="shared" ca="1" si="7"/>
        <v>42251</v>
      </c>
      <c r="B24" s="281"/>
      <c r="C24" s="282"/>
      <c r="D24" s="283"/>
      <c r="E24" s="284"/>
      <c r="F24" s="173"/>
      <c r="G24" s="110" t="str">
        <f t="shared" ca="1" si="8"/>
        <v>0,00</v>
      </c>
      <c r="H24" s="111" t="str">
        <f t="shared" ca="1" si="9"/>
        <v/>
      </c>
      <c r="I24" s="112">
        <f t="shared" ca="1" si="10"/>
        <v>0</v>
      </c>
      <c r="J24" s="157" t="str">
        <f t="shared" ca="1" si="0"/>
        <v/>
      </c>
      <c r="K24" s="275" t="str">
        <f t="shared" ca="1" si="1"/>
        <v>--------</v>
      </c>
      <c r="L24" s="276"/>
      <c r="M24" s="93">
        <f t="shared" ca="1" si="11"/>
        <v>36</v>
      </c>
      <c r="N24" s="94">
        <f t="shared" ca="1" si="12"/>
        <v>0</v>
      </c>
      <c r="O24" s="95" t="str">
        <f t="shared" ca="1" si="13"/>
        <v/>
      </c>
      <c r="P24" s="120" t="str">
        <f ca="1">IF(AND(Q24="1",B24&gt;0),"1","")</f>
        <v/>
      </c>
      <c r="Q24" s="120" t="str">
        <f t="shared" ca="1" si="2"/>
        <v>1</v>
      </c>
      <c r="R24" s="184" t="str">
        <f t="shared" ca="1" si="3"/>
        <v/>
      </c>
      <c r="S24" s="185" t="e">
        <f t="shared" ca="1" si="4"/>
        <v>#N/A</v>
      </c>
      <c r="T24" s="186" t="str">
        <f t="shared" ca="1" si="5"/>
        <v/>
      </c>
      <c r="U24" s="194" t="str">
        <f t="shared" ca="1" si="6"/>
        <v/>
      </c>
      <c r="V24" s="197" t="str">
        <f t="shared" ca="1" si="15"/>
        <v/>
      </c>
    </row>
    <row r="25" spans="1:22" s="18" customFormat="1" ht="12.6" customHeight="1">
      <c r="A25" s="190">
        <f t="shared" ca="1" si="7"/>
        <v>42252</v>
      </c>
      <c r="B25" s="281"/>
      <c r="C25" s="282"/>
      <c r="D25" s="283"/>
      <c r="E25" s="284"/>
      <c r="F25" s="172"/>
      <c r="G25" s="110" t="str">
        <f t="shared" ca="1" si="8"/>
        <v>0,00</v>
      </c>
      <c r="H25" s="111" t="str">
        <f t="shared" ca="1" si="9"/>
        <v/>
      </c>
      <c r="I25" s="112">
        <f t="shared" ca="1" si="10"/>
        <v>0</v>
      </c>
      <c r="J25" s="157" t="str">
        <f ca="1">IF($G$16="Sie haben Ihr Arbeitszeitkonto überschritten, bitte erstellen Sie ein neues Konto","",IF(AND(A25&lt;TODAY(),WEEKDAY(A25,2)=7),I25+$N$16,""))</f>
        <v/>
      </c>
      <c r="K25" s="275" t="str">
        <f t="shared" ca="1" si="1"/>
        <v>--------</v>
      </c>
      <c r="L25" s="276"/>
      <c r="M25" s="93">
        <f t="shared" ca="1" si="11"/>
        <v>36</v>
      </c>
      <c r="N25" s="94">
        <f t="shared" ca="1" si="12"/>
        <v>0</v>
      </c>
      <c r="O25" s="95" t="str">
        <f t="shared" ca="1" si="13"/>
        <v/>
      </c>
      <c r="P25" s="120" t="str">
        <f t="shared" ca="1" si="14"/>
        <v/>
      </c>
      <c r="Q25" s="120" t="str">
        <f t="shared" ca="1" si="2"/>
        <v>1</v>
      </c>
      <c r="R25" s="184" t="str">
        <f t="shared" ca="1" si="3"/>
        <v/>
      </c>
      <c r="S25" s="185" t="e">
        <f t="shared" ca="1" si="4"/>
        <v>#N/A</v>
      </c>
      <c r="T25" s="186" t="str">
        <f t="shared" ca="1" si="5"/>
        <v/>
      </c>
      <c r="U25" s="194" t="str">
        <f t="shared" ca="1" si="6"/>
        <v/>
      </c>
      <c r="V25" s="197" t="str">
        <f t="shared" ca="1" si="15"/>
        <v/>
      </c>
    </row>
    <row r="26" spans="1:22" s="18" customFormat="1" ht="12.6" customHeight="1">
      <c r="A26" s="190">
        <f t="shared" ca="1" si="7"/>
        <v>42253</v>
      </c>
      <c r="B26" s="281"/>
      <c r="C26" s="282"/>
      <c r="D26" s="283"/>
      <c r="E26" s="284"/>
      <c r="F26" s="117"/>
      <c r="G26" s="110" t="str">
        <f t="shared" ca="1" si="8"/>
        <v>0,00</v>
      </c>
      <c r="H26" s="111" t="str">
        <f t="shared" ca="1" si="9"/>
        <v/>
      </c>
      <c r="I26" s="112">
        <f t="shared" ca="1" si="10"/>
        <v>0</v>
      </c>
      <c r="J26" s="157" t="str">
        <f t="shared" ref="J26:J50" ca="1" si="16">IF($G$16="Sie haben Ihr Arbeitszeitkonto überschritten, bitte erstellen Sie ein neues Konto","",IF(AND(A26&lt;TODAY(),WEEKDAY(A26,2)=7),I26+$N$16,""))</f>
        <v/>
      </c>
      <c r="K26" s="275" t="str">
        <f t="shared" ca="1" si="1"/>
        <v>--------</v>
      </c>
      <c r="L26" s="276"/>
      <c r="M26" s="93">
        <f t="shared" ca="1" si="11"/>
        <v>36</v>
      </c>
      <c r="N26" s="94">
        <f t="shared" ca="1" si="12"/>
        <v>0</v>
      </c>
      <c r="O26" s="95" t="str">
        <f t="shared" ca="1" si="13"/>
        <v/>
      </c>
      <c r="P26" s="120" t="str">
        <f t="shared" ca="1" si="14"/>
        <v/>
      </c>
      <c r="Q26" s="120" t="str">
        <f t="shared" ca="1" si="2"/>
        <v>1</v>
      </c>
      <c r="R26" s="184" t="str">
        <f t="shared" ca="1" si="3"/>
        <v/>
      </c>
      <c r="S26" s="185" t="e">
        <f t="shared" ca="1" si="4"/>
        <v>#N/A</v>
      </c>
      <c r="T26" s="186" t="str">
        <f t="shared" ca="1" si="5"/>
        <v/>
      </c>
      <c r="U26" s="194" t="str">
        <f t="shared" ca="1" si="6"/>
        <v/>
      </c>
      <c r="V26" s="197" t="str">
        <f t="shared" ca="1" si="15"/>
        <v/>
      </c>
    </row>
    <row r="27" spans="1:22" ht="12.6" customHeight="1">
      <c r="A27" s="190">
        <f t="shared" ca="1" si="7"/>
        <v>42254</v>
      </c>
      <c r="B27" s="285"/>
      <c r="C27" s="286"/>
      <c r="D27" s="273"/>
      <c r="E27" s="274"/>
      <c r="F27" s="176"/>
      <c r="G27" s="110" t="str">
        <f t="shared" ca="1" si="8"/>
        <v>0,00</v>
      </c>
      <c r="H27" s="111">
        <f t="shared" ca="1" si="9"/>
        <v>0</v>
      </c>
      <c r="I27" s="112">
        <f t="shared" ca="1" si="10"/>
        <v>0</v>
      </c>
      <c r="J27" s="157" t="str">
        <f t="shared" ca="1" si="16"/>
        <v/>
      </c>
      <c r="K27" s="275" t="str">
        <f ca="1">IF(T27&lt;&gt;"",T27,IF(P27="1","Angaben überprüfen",IF(OR(A27&lt;$C$14,A27&gt;$F$14,G27="0,00"),"--------",IF(AND(G27&gt;(6/24),G27&lt;(9/24),F27&lt;0.5/24),"30 min. Pause erforderlich",IF(AND(G27&gt;=(9/24),F27&lt;0.75/24),"45 min. Pause erforderlich ","")))))</f>
        <v>--------</v>
      </c>
      <c r="L27" s="276"/>
      <c r="M27" s="93">
        <f t="shared" ca="1" si="11"/>
        <v>36</v>
      </c>
      <c r="N27" s="94">
        <f t="shared" ca="1" si="12"/>
        <v>0</v>
      </c>
      <c r="O27" s="95" t="str">
        <f t="shared" ca="1" si="13"/>
        <v/>
      </c>
      <c r="P27" s="120" t="str">
        <f t="shared" ca="1" si="14"/>
        <v/>
      </c>
      <c r="Q27" s="120" t="str">
        <f t="shared" ca="1" si="2"/>
        <v>1</v>
      </c>
      <c r="R27" s="184" t="str">
        <f t="shared" ca="1" si="3"/>
        <v/>
      </c>
      <c r="S27" s="185" t="e">
        <f t="shared" ca="1" si="4"/>
        <v>#N/A</v>
      </c>
      <c r="T27" s="186" t="str">
        <f t="shared" ca="1" si="5"/>
        <v/>
      </c>
      <c r="U27" s="194" t="str">
        <f t="shared" ca="1" si="6"/>
        <v/>
      </c>
      <c r="V27" s="197" t="str">
        <f t="shared" ca="1" si="15"/>
        <v/>
      </c>
    </row>
    <row r="28" spans="1:22" ht="12.6" customHeight="1">
      <c r="A28" s="190">
        <f t="shared" ca="1" si="7"/>
        <v>42255</v>
      </c>
      <c r="B28" s="285"/>
      <c r="C28" s="286"/>
      <c r="D28" s="273"/>
      <c r="E28" s="274"/>
      <c r="F28" s="176"/>
      <c r="G28" s="110" t="str">
        <f t="shared" ca="1" si="8"/>
        <v>0,00</v>
      </c>
      <c r="H28" s="111" t="str">
        <f t="shared" ca="1" si="9"/>
        <v/>
      </c>
      <c r="I28" s="112">
        <f t="shared" ca="1" si="10"/>
        <v>0</v>
      </c>
      <c r="J28" s="157" t="str">
        <f t="shared" ca="1" si="16"/>
        <v/>
      </c>
      <c r="K28" s="275" t="str">
        <f t="shared" ref="K28:K50" ca="1" si="17">IF(T28&lt;&gt;"",T28,IF(P28="1","Angaben überprüfen",IF(OR(A28&lt;$C$14,A28&gt;$F$14,G28="0,00"),"--------",IF(AND(G28&gt;(6/24),G28&lt;(9/24),F28&lt;0.5/24),"30 min. Pause erforderlich",IF(AND(G28&gt;=(9/24),F28&lt;0.75/24),"45 min. Pause erforderlich ","")))))</f>
        <v>--------</v>
      </c>
      <c r="L28" s="276"/>
      <c r="M28" s="93">
        <f t="shared" ca="1" si="11"/>
        <v>37</v>
      </c>
      <c r="N28" s="94">
        <f t="shared" ca="1" si="12"/>
        <v>0</v>
      </c>
      <c r="O28" s="95" t="str">
        <f t="shared" ca="1" si="13"/>
        <v/>
      </c>
      <c r="P28" s="120" t="str">
        <f t="shared" ca="1" si="14"/>
        <v/>
      </c>
      <c r="Q28" s="120" t="str">
        <f t="shared" ca="1" si="2"/>
        <v>1</v>
      </c>
      <c r="R28" s="184" t="str">
        <f t="shared" ca="1" si="3"/>
        <v/>
      </c>
      <c r="S28" s="185" t="e">
        <f t="shared" ca="1" si="4"/>
        <v>#N/A</v>
      </c>
      <c r="T28" s="186" t="str">
        <f t="shared" ca="1" si="5"/>
        <v/>
      </c>
      <c r="U28" s="194" t="str">
        <f t="shared" ca="1" si="6"/>
        <v/>
      </c>
      <c r="V28" s="197" t="str">
        <f t="shared" ca="1" si="15"/>
        <v/>
      </c>
    </row>
    <row r="29" spans="1:22" ht="12.6" customHeight="1">
      <c r="A29" s="190">
        <f t="shared" ca="1" si="7"/>
        <v>42256</v>
      </c>
      <c r="B29" s="285"/>
      <c r="C29" s="286"/>
      <c r="D29" s="273"/>
      <c r="E29" s="274"/>
      <c r="F29" s="174"/>
      <c r="G29" s="110" t="str">
        <f t="shared" ca="1" si="8"/>
        <v>0,00</v>
      </c>
      <c r="H29" s="111" t="str">
        <f t="shared" ca="1" si="9"/>
        <v/>
      </c>
      <c r="I29" s="112">
        <f t="shared" ca="1" si="10"/>
        <v>0</v>
      </c>
      <c r="J29" s="157" t="str">
        <f t="shared" ca="1" si="16"/>
        <v/>
      </c>
      <c r="K29" s="275" t="str">
        <f t="shared" ca="1" si="17"/>
        <v>--------</v>
      </c>
      <c r="L29" s="276"/>
      <c r="M29" s="93">
        <f t="shared" ca="1" si="11"/>
        <v>37</v>
      </c>
      <c r="N29" s="94">
        <f t="shared" ca="1" si="12"/>
        <v>0</v>
      </c>
      <c r="O29" s="95" t="str">
        <f t="shared" ca="1" si="13"/>
        <v/>
      </c>
      <c r="P29" s="120" t="str">
        <f t="shared" ca="1" si="14"/>
        <v/>
      </c>
      <c r="Q29" s="120" t="str">
        <f t="shared" ca="1" si="2"/>
        <v>1</v>
      </c>
      <c r="R29" s="184" t="str">
        <f t="shared" ca="1" si="3"/>
        <v/>
      </c>
      <c r="S29" s="185" t="e">
        <f t="shared" ca="1" si="4"/>
        <v>#N/A</v>
      </c>
      <c r="T29" s="186" t="str">
        <f t="shared" ca="1" si="5"/>
        <v/>
      </c>
      <c r="U29" s="194" t="str">
        <f t="shared" ca="1" si="6"/>
        <v/>
      </c>
      <c r="V29" s="197" t="str">
        <f t="shared" ca="1" si="15"/>
        <v/>
      </c>
    </row>
    <row r="30" spans="1:22" ht="12.6" customHeight="1">
      <c r="A30" s="189">
        <f ca="1">($B$17+ROW(A11)-1)*(MONTH(A27+1)=MONTH($B$17))</f>
        <v>42257</v>
      </c>
      <c r="B30" s="285"/>
      <c r="C30" s="286"/>
      <c r="D30" s="273"/>
      <c r="E30" s="274"/>
      <c r="F30" s="174"/>
      <c r="G30" s="110" t="str">
        <f t="shared" ca="1" si="8"/>
        <v>0,00</v>
      </c>
      <c r="H30" s="111" t="str">
        <f t="shared" ca="1" si="9"/>
        <v/>
      </c>
      <c r="I30" s="112">
        <f t="shared" ca="1" si="10"/>
        <v>0</v>
      </c>
      <c r="J30" s="157" t="str">
        <f t="shared" ca="1" si="16"/>
        <v/>
      </c>
      <c r="K30" s="275" t="str">
        <f t="shared" ca="1" si="17"/>
        <v>--------</v>
      </c>
      <c r="L30" s="276"/>
      <c r="M30" s="93">
        <f t="shared" ca="1" si="11"/>
        <v>37</v>
      </c>
      <c r="N30" s="94">
        <f t="shared" ca="1" si="12"/>
        <v>0</v>
      </c>
      <c r="O30" s="95" t="str">
        <f t="shared" ca="1" si="13"/>
        <v/>
      </c>
      <c r="P30" s="120" t="str">
        <f t="shared" ca="1" si="14"/>
        <v/>
      </c>
      <c r="Q30" s="120" t="str">
        <f t="shared" ca="1" si="2"/>
        <v>1</v>
      </c>
      <c r="R30" s="184" t="str">
        <f t="shared" ca="1" si="3"/>
        <v/>
      </c>
      <c r="S30" s="185" t="e">
        <f t="shared" ca="1" si="4"/>
        <v>#N/A</v>
      </c>
      <c r="T30" s="186" t="str">
        <f t="shared" ca="1" si="5"/>
        <v/>
      </c>
      <c r="U30" s="194" t="str">
        <f t="shared" ca="1" si="6"/>
        <v/>
      </c>
      <c r="V30" s="197" t="str">
        <f t="shared" ca="1" si="15"/>
        <v/>
      </c>
    </row>
    <row r="31" spans="1:22" ht="12.6" customHeight="1">
      <c r="A31" s="189">
        <f ca="1">($B$17+ROW(A12)-1)*(MONTH(A28+1)=MONTH($B$17))</f>
        <v>42258</v>
      </c>
      <c r="B31" s="281"/>
      <c r="C31" s="282"/>
      <c r="D31" s="283"/>
      <c r="E31" s="284"/>
      <c r="F31" s="174"/>
      <c r="G31" s="110" t="str">
        <f t="shared" ca="1" si="8"/>
        <v>0,00</v>
      </c>
      <c r="H31" s="111" t="str">
        <f t="shared" ca="1" si="9"/>
        <v/>
      </c>
      <c r="I31" s="112">
        <f t="shared" ca="1" si="10"/>
        <v>0</v>
      </c>
      <c r="J31" s="157" t="str">
        <f t="shared" ca="1" si="16"/>
        <v/>
      </c>
      <c r="K31" s="275" t="str">
        <f t="shared" ca="1" si="17"/>
        <v>--------</v>
      </c>
      <c r="L31" s="276"/>
      <c r="M31" s="93">
        <f t="shared" ca="1" si="11"/>
        <v>37</v>
      </c>
      <c r="N31" s="94">
        <f t="shared" ca="1" si="12"/>
        <v>0</v>
      </c>
      <c r="O31" s="95" t="str">
        <f t="shared" ca="1" si="13"/>
        <v/>
      </c>
      <c r="P31" s="120" t="str">
        <f t="shared" ca="1" si="14"/>
        <v/>
      </c>
      <c r="Q31" s="120" t="str">
        <f t="shared" ca="1" si="2"/>
        <v>1</v>
      </c>
      <c r="R31" s="184" t="str">
        <f t="shared" ca="1" si="3"/>
        <v/>
      </c>
      <c r="S31" s="185" t="e">
        <f t="shared" ca="1" si="4"/>
        <v>#N/A</v>
      </c>
      <c r="T31" s="186" t="str">
        <f t="shared" ca="1" si="5"/>
        <v/>
      </c>
      <c r="U31" s="194" t="str">
        <f t="shared" ca="1" si="6"/>
        <v/>
      </c>
      <c r="V31" s="197" t="str">
        <f t="shared" ca="1" si="15"/>
        <v/>
      </c>
    </row>
    <row r="32" spans="1:22" ht="12.6" customHeight="1">
      <c r="A32" s="189">
        <f ca="1">($B$17+ROW(A13)-1)*(MONTH(A30+1)=MONTH($B$17))</f>
        <v>42259</v>
      </c>
      <c r="B32" s="285"/>
      <c r="C32" s="286"/>
      <c r="D32" s="301"/>
      <c r="E32" s="276"/>
      <c r="F32" s="174"/>
      <c r="G32" s="110" t="str">
        <f t="shared" ca="1" si="8"/>
        <v>0,00</v>
      </c>
      <c r="H32" s="111" t="str">
        <f t="shared" ca="1" si="9"/>
        <v/>
      </c>
      <c r="I32" s="112">
        <f t="shared" ca="1" si="10"/>
        <v>0</v>
      </c>
      <c r="J32" s="157" t="str">
        <f t="shared" ca="1" si="16"/>
        <v/>
      </c>
      <c r="K32" s="275" t="str">
        <f t="shared" ca="1" si="17"/>
        <v>--------</v>
      </c>
      <c r="L32" s="276"/>
      <c r="M32" s="93">
        <f t="shared" ca="1" si="11"/>
        <v>37</v>
      </c>
      <c r="N32" s="94">
        <f t="shared" ca="1" si="12"/>
        <v>0</v>
      </c>
      <c r="O32" s="95" t="str">
        <f t="shared" ca="1" si="13"/>
        <v/>
      </c>
      <c r="P32" s="120" t="str">
        <f t="shared" ca="1" si="14"/>
        <v/>
      </c>
      <c r="Q32" s="120" t="str">
        <f t="shared" ca="1" si="2"/>
        <v>1</v>
      </c>
      <c r="R32" s="184" t="str">
        <f t="shared" ca="1" si="3"/>
        <v/>
      </c>
      <c r="S32" s="185" t="e">
        <f t="shared" ca="1" si="4"/>
        <v>#N/A</v>
      </c>
      <c r="T32" s="186" t="str">
        <f t="shared" ca="1" si="5"/>
        <v/>
      </c>
      <c r="U32" s="194" t="str">
        <f t="shared" ca="1" si="6"/>
        <v/>
      </c>
      <c r="V32" s="197" t="str">
        <f t="shared" ca="1" si="15"/>
        <v/>
      </c>
    </row>
    <row r="33" spans="1:22" ht="12.6" customHeight="1">
      <c r="A33" s="189">
        <f t="shared" ref="A33:A50" ca="1" si="18">($B$17+ROW(A14)-1)*(MONTH(A32+1)=MONTH($B$17))</f>
        <v>42260</v>
      </c>
      <c r="B33" s="285"/>
      <c r="C33" s="286"/>
      <c r="D33" s="273"/>
      <c r="E33" s="274"/>
      <c r="F33" s="174"/>
      <c r="G33" s="110" t="str">
        <f t="shared" ca="1" si="8"/>
        <v>0,00</v>
      </c>
      <c r="H33" s="111" t="str">
        <f t="shared" ca="1" si="9"/>
        <v/>
      </c>
      <c r="I33" s="112">
        <f t="shared" ca="1" si="10"/>
        <v>0</v>
      </c>
      <c r="J33" s="157" t="str">
        <f t="shared" ca="1" si="16"/>
        <v/>
      </c>
      <c r="K33" s="275" t="str">
        <f t="shared" ca="1" si="17"/>
        <v>--------</v>
      </c>
      <c r="L33" s="276"/>
      <c r="M33" s="93">
        <f t="shared" ca="1" si="11"/>
        <v>37</v>
      </c>
      <c r="N33" s="94">
        <f t="shared" ca="1" si="12"/>
        <v>0</v>
      </c>
      <c r="O33" s="95" t="str">
        <f t="shared" ca="1" si="13"/>
        <v/>
      </c>
      <c r="P33" s="120" t="str">
        <f t="shared" ca="1" si="14"/>
        <v/>
      </c>
      <c r="Q33" s="120" t="str">
        <f t="shared" ca="1" si="2"/>
        <v>1</v>
      </c>
      <c r="R33" s="184" t="str">
        <f t="shared" ca="1" si="3"/>
        <v/>
      </c>
      <c r="S33" s="185" t="e">
        <f t="shared" ca="1" si="4"/>
        <v>#N/A</v>
      </c>
      <c r="T33" s="186" t="str">
        <f t="shared" ca="1" si="5"/>
        <v/>
      </c>
      <c r="U33" s="194" t="str">
        <f t="shared" ca="1" si="6"/>
        <v/>
      </c>
      <c r="V33" s="197" t="str">
        <f t="shared" ca="1" si="15"/>
        <v/>
      </c>
    </row>
    <row r="34" spans="1:22" ht="12.6" customHeight="1">
      <c r="A34" s="189">
        <f t="shared" ca="1" si="18"/>
        <v>42261</v>
      </c>
      <c r="B34" s="285"/>
      <c r="C34" s="286"/>
      <c r="D34" s="273"/>
      <c r="E34" s="274"/>
      <c r="F34" s="174"/>
      <c r="G34" s="110" t="str">
        <f t="shared" ca="1" si="8"/>
        <v>0,00</v>
      </c>
      <c r="H34" s="111">
        <f t="shared" ca="1" si="9"/>
        <v>0</v>
      </c>
      <c r="I34" s="112">
        <f t="shared" ca="1" si="10"/>
        <v>0</v>
      </c>
      <c r="J34" s="157" t="str">
        <f t="shared" ca="1" si="16"/>
        <v/>
      </c>
      <c r="K34" s="275" t="str">
        <f t="shared" ca="1" si="17"/>
        <v>--------</v>
      </c>
      <c r="L34" s="276"/>
      <c r="M34" s="93">
        <f t="shared" ca="1" si="11"/>
        <v>37</v>
      </c>
      <c r="N34" s="94">
        <f t="shared" ca="1" si="12"/>
        <v>0</v>
      </c>
      <c r="O34" s="95" t="str">
        <f ca="1">IF(I34&lt;&gt;0,I34,"")</f>
        <v/>
      </c>
      <c r="P34" s="120" t="str">
        <f t="shared" ca="1" si="14"/>
        <v/>
      </c>
      <c r="Q34" s="120" t="str">
        <f t="shared" ca="1" si="2"/>
        <v>1</v>
      </c>
      <c r="R34" s="184" t="str">
        <f t="shared" ca="1" si="3"/>
        <v/>
      </c>
      <c r="S34" s="185" t="e">
        <f t="shared" ca="1" si="4"/>
        <v>#N/A</v>
      </c>
      <c r="T34" s="186" t="str">
        <f t="shared" ca="1" si="5"/>
        <v/>
      </c>
      <c r="U34" s="194" t="str">
        <f t="shared" ca="1" si="6"/>
        <v/>
      </c>
      <c r="V34" s="197" t="str">
        <f t="shared" ca="1" si="15"/>
        <v/>
      </c>
    </row>
    <row r="35" spans="1:22" ht="12.6" customHeight="1">
      <c r="A35" s="189">
        <f t="shared" ca="1" si="18"/>
        <v>42262</v>
      </c>
      <c r="B35" s="285"/>
      <c r="C35" s="286"/>
      <c r="D35" s="273"/>
      <c r="E35" s="274"/>
      <c r="F35" s="174"/>
      <c r="G35" s="110" t="str">
        <f t="shared" ca="1" si="8"/>
        <v>0,00</v>
      </c>
      <c r="H35" s="111" t="str">
        <f t="shared" ca="1" si="9"/>
        <v/>
      </c>
      <c r="I35" s="112">
        <f t="shared" ca="1" si="10"/>
        <v>0</v>
      </c>
      <c r="J35" s="157" t="str">
        <f t="shared" ca="1" si="16"/>
        <v/>
      </c>
      <c r="K35" s="275" t="str">
        <f t="shared" ca="1" si="17"/>
        <v>--------</v>
      </c>
      <c r="L35" s="276"/>
      <c r="M35" s="93">
        <f t="shared" ca="1" si="11"/>
        <v>38</v>
      </c>
      <c r="N35" s="94">
        <f t="shared" ca="1" si="12"/>
        <v>0</v>
      </c>
      <c r="O35" s="95" t="str">
        <f t="shared" ca="1" si="13"/>
        <v/>
      </c>
      <c r="P35" s="120" t="str">
        <f t="shared" ca="1" si="14"/>
        <v/>
      </c>
      <c r="Q35" s="120" t="str">
        <f t="shared" ca="1" si="2"/>
        <v>1</v>
      </c>
      <c r="R35" s="184" t="str">
        <f t="shared" ca="1" si="3"/>
        <v/>
      </c>
      <c r="S35" s="185" t="e">
        <f t="shared" ca="1" si="4"/>
        <v>#N/A</v>
      </c>
      <c r="T35" s="186" t="str">
        <f t="shared" ca="1" si="5"/>
        <v/>
      </c>
      <c r="U35" s="194" t="str">
        <f t="shared" ca="1" si="6"/>
        <v/>
      </c>
      <c r="V35" s="197" t="str">
        <f t="shared" ca="1" si="15"/>
        <v/>
      </c>
    </row>
    <row r="36" spans="1:22" ht="12.6" customHeight="1">
      <c r="A36" s="189">
        <f t="shared" ca="1" si="18"/>
        <v>42263</v>
      </c>
      <c r="B36" s="285"/>
      <c r="C36" s="286"/>
      <c r="D36" s="273"/>
      <c r="E36" s="274"/>
      <c r="F36" s="170"/>
      <c r="G36" s="110" t="str">
        <f t="shared" ca="1" si="8"/>
        <v>0,00</v>
      </c>
      <c r="H36" s="111" t="str">
        <f t="shared" ca="1" si="9"/>
        <v/>
      </c>
      <c r="I36" s="112">
        <f t="shared" ca="1" si="10"/>
        <v>0</v>
      </c>
      <c r="J36" s="157" t="str">
        <f t="shared" ca="1" si="16"/>
        <v/>
      </c>
      <c r="K36" s="275" t="str">
        <f t="shared" ca="1" si="17"/>
        <v>--------</v>
      </c>
      <c r="L36" s="276"/>
      <c r="M36" s="93">
        <f t="shared" ca="1" si="11"/>
        <v>38</v>
      </c>
      <c r="N36" s="94">
        <f t="shared" ca="1" si="12"/>
        <v>0</v>
      </c>
      <c r="O36" s="95" t="str">
        <f t="shared" ca="1" si="13"/>
        <v/>
      </c>
      <c r="P36" s="120" t="str">
        <f t="shared" ca="1" si="14"/>
        <v/>
      </c>
      <c r="Q36" s="120" t="str">
        <f t="shared" ca="1" si="2"/>
        <v>1</v>
      </c>
      <c r="R36" s="184" t="str">
        <f t="shared" ca="1" si="3"/>
        <v/>
      </c>
      <c r="S36" s="185" t="e">
        <f t="shared" ca="1" si="4"/>
        <v>#N/A</v>
      </c>
      <c r="T36" s="186" t="str">
        <f t="shared" ca="1" si="5"/>
        <v/>
      </c>
      <c r="U36" s="194" t="str">
        <f t="shared" ca="1" si="6"/>
        <v/>
      </c>
      <c r="V36" s="197" t="str">
        <f t="shared" ca="1" si="15"/>
        <v/>
      </c>
    </row>
    <row r="37" spans="1:22" ht="12.6" customHeight="1">
      <c r="A37" s="189">
        <f t="shared" ca="1" si="18"/>
        <v>42264</v>
      </c>
      <c r="B37" s="285"/>
      <c r="C37" s="286"/>
      <c r="D37" s="273"/>
      <c r="E37" s="274"/>
      <c r="F37" s="170"/>
      <c r="G37" s="110" t="str">
        <f t="shared" ca="1" si="8"/>
        <v>0,00</v>
      </c>
      <c r="H37" s="111" t="str">
        <f t="shared" ca="1" si="9"/>
        <v/>
      </c>
      <c r="I37" s="112">
        <f t="shared" ca="1" si="10"/>
        <v>0</v>
      </c>
      <c r="J37" s="157" t="str">
        <f t="shared" ca="1" si="16"/>
        <v/>
      </c>
      <c r="K37" s="275" t="str">
        <f t="shared" ca="1" si="17"/>
        <v>--------</v>
      </c>
      <c r="L37" s="276"/>
      <c r="M37" s="93">
        <f t="shared" ca="1" si="11"/>
        <v>38</v>
      </c>
      <c r="N37" s="94">
        <f t="shared" ca="1" si="12"/>
        <v>0</v>
      </c>
      <c r="O37" s="95" t="str">
        <f t="shared" ca="1" si="13"/>
        <v/>
      </c>
      <c r="P37" s="120" t="str">
        <f t="shared" ca="1" si="14"/>
        <v/>
      </c>
      <c r="Q37" s="120" t="str">
        <f t="shared" ca="1" si="2"/>
        <v>1</v>
      </c>
      <c r="R37" s="184" t="str">
        <f t="shared" ca="1" si="3"/>
        <v/>
      </c>
      <c r="S37" s="185" t="e">
        <f t="shared" ca="1" si="4"/>
        <v>#N/A</v>
      </c>
      <c r="T37" s="186" t="str">
        <f t="shared" ca="1" si="5"/>
        <v/>
      </c>
      <c r="U37" s="194" t="str">
        <f t="shared" ca="1" si="6"/>
        <v/>
      </c>
      <c r="V37" s="197" t="str">
        <f t="shared" ca="1" si="15"/>
        <v/>
      </c>
    </row>
    <row r="38" spans="1:22" ht="12.6" customHeight="1">
      <c r="A38" s="189">
        <f t="shared" ca="1" si="18"/>
        <v>42265</v>
      </c>
      <c r="B38" s="281"/>
      <c r="C38" s="282"/>
      <c r="D38" s="283"/>
      <c r="E38" s="284"/>
      <c r="F38" s="174"/>
      <c r="G38" s="110" t="str">
        <f t="shared" ca="1" si="8"/>
        <v>0,00</v>
      </c>
      <c r="H38" s="111" t="str">
        <f t="shared" ca="1" si="9"/>
        <v/>
      </c>
      <c r="I38" s="112">
        <f t="shared" ca="1" si="10"/>
        <v>0</v>
      </c>
      <c r="J38" s="157" t="str">
        <f t="shared" ca="1" si="16"/>
        <v/>
      </c>
      <c r="K38" s="275" t="str">
        <f t="shared" ca="1" si="17"/>
        <v>--------</v>
      </c>
      <c r="L38" s="276"/>
      <c r="M38" s="93">
        <f t="shared" ca="1" si="11"/>
        <v>38</v>
      </c>
      <c r="N38" s="94">
        <f t="shared" ca="1" si="12"/>
        <v>0</v>
      </c>
      <c r="O38" s="95" t="str">
        <f t="shared" ca="1" si="13"/>
        <v/>
      </c>
      <c r="P38" s="120" t="str">
        <f t="shared" ca="1" si="14"/>
        <v/>
      </c>
      <c r="Q38" s="120" t="str">
        <f t="shared" ca="1" si="2"/>
        <v>1</v>
      </c>
      <c r="R38" s="184" t="str">
        <f t="shared" ca="1" si="3"/>
        <v/>
      </c>
      <c r="S38" s="185" t="e">
        <f t="shared" ca="1" si="4"/>
        <v>#N/A</v>
      </c>
      <c r="T38" s="186" t="str">
        <f t="shared" ca="1" si="5"/>
        <v/>
      </c>
      <c r="U38" s="194" t="str">
        <f t="shared" ca="1" si="6"/>
        <v/>
      </c>
      <c r="V38" s="197" t="str">
        <f t="shared" ca="1" si="15"/>
        <v/>
      </c>
    </row>
    <row r="39" spans="1:22" ht="12.6" customHeight="1">
      <c r="A39" s="189">
        <f t="shared" ca="1" si="18"/>
        <v>42266</v>
      </c>
      <c r="B39" s="281"/>
      <c r="C39" s="282"/>
      <c r="D39" s="283"/>
      <c r="E39" s="284"/>
      <c r="F39" s="174"/>
      <c r="G39" s="110" t="str">
        <f t="shared" ca="1" si="8"/>
        <v>0,00</v>
      </c>
      <c r="H39" s="111" t="str">
        <f t="shared" ca="1" si="9"/>
        <v/>
      </c>
      <c r="I39" s="112">
        <f t="shared" ca="1" si="10"/>
        <v>0</v>
      </c>
      <c r="J39" s="157" t="str">
        <f t="shared" ca="1" si="16"/>
        <v/>
      </c>
      <c r="K39" s="275" t="str">
        <f t="shared" ca="1" si="17"/>
        <v>--------</v>
      </c>
      <c r="L39" s="276"/>
      <c r="M39" s="93">
        <f t="shared" ca="1" si="11"/>
        <v>38</v>
      </c>
      <c r="N39" s="94">
        <f t="shared" ca="1" si="12"/>
        <v>0</v>
      </c>
      <c r="O39" s="95" t="str">
        <f t="shared" ca="1" si="13"/>
        <v/>
      </c>
      <c r="P39" s="120" t="str">
        <f t="shared" ca="1" si="14"/>
        <v/>
      </c>
      <c r="Q39" s="120" t="str">
        <f t="shared" ca="1" si="2"/>
        <v>1</v>
      </c>
      <c r="R39" s="184" t="str">
        <f t="shared" ca="1" si="3"/>
        <v/>
      </c>
      <c r="S39" s="185" t="e">
        <f t="shared" ca="1" si="4"/>
        <v>#N/A</v>
      </c>
      <c r="T39" s="186" t="str">
        <f t="shared" ca="1" si="5"/>
        <v/>
      </c>
      <c r="U39" s="194" t="str">
        <f t="shared" ca="1" si="6"/>
        <v/>
      </c>
      <c r="V39" s="197" t="str">
        <f t="shared" ca="1" si="15"/>
        <v/>
      </c>
    </row>
    <row r="40" spans="1:22" ht="12.6" customHeight="1">
      <c r="A40" s="189">
        <f t="shared" ca="1" si="18"/>
        <v>42267</v>
      </c>
      <c r="B40" s="285"/>
      <c r="C40" s="286"/>
      <c r="D40" s="273"/>
      <c r="E40" s="274"/>
      <c r="F40" s="174"/>
      <c r="G40" s="110" t="str">
        <f t="shared" ca="1" si="8"/>
        <v>0,00</v>
      </c>
      <c r="H40" s="111" t="str">
        <f t="shared" ca="1" si="9"/>
        <v/>
      </c>
      <c r="I40" s="112">
        <f t="shared" ca="1" si="10"/>
        <v>0</v>
      </c>
      <c r="J40" s="157" t="str">
        <f t="shared" ca="1" si="16"/>
        <v/>
      </c>
      <c r="K40" s="275" t="str">
        <f t="shared" ca="1" si="17"/>
        <v>--------</v>
      </c>
      <c r="L40" s="276"/>
      <c r="M40" s="93">
        <f t="shared" ca="1" si="11"/>
        <v>38</v>
      </c>
      <c r="N40" s="94">
        <f t="shared" ca="1" si="12"/>
        <v>0</v>
      </c>
      <c r="O40" s="95" t="str">
        <f t="shared" ca="1" si="13"/>
        <v/>
      </c>
      <c r="P40" s="120" t="str">
        <f t="shared" ca="1" si="14"/>
        <v/>
      </c>
      <c r="Q40" s="120" t="str">
        <f t="shared" ca="1" si="2"/>
        <v>1</v>
      </c>
      <c r="R40" s="184" t="str">
        <f t="shared" ca="1" si="3"/>
        <v/>
      </c>
      <c r="S40" s="185" t="e">
        <f t="shared" ca="1" si="4"/>
        <v>#N/A</v>
      </c>
      <c r="T40" s="186" t="str">
        <f t="shared" ca="1" si="5"/>
        <v/>
      </c>
      <c r="U40" s="194" t="str">
        <f t="shared" ca="1" si="6"/>
        <v/>
      </c>
      <c r="V40" s="197" t="str">
        <f t="shared" ca="1" si="15"/>
        <v/>
      </c>
    </row>
    <row r="41" spans="1:22" ht="12.6" customHeight="1">
      <c r="A41" s="189">
        <f t="shared" ca="1" si="18"/>
        <v>42268</v>
      </c>
      <c r="B41" s="285"/>
      <c r="C41" s="286"/>
      <c r="D41" s="273"/>
      <c r="E41" s="274"/>
      <c r="F41" s="174"/>
      <c r="G41" s="110" t="str">
        <f t="shared" ca="1" si="8"/>
        <v>0,00</v>
      </c>
      <c r="H41" s="111">
        <f t="shared" ca="1" si="9"/>
        <v>0</v>
      </c>
      <c r="I41" s="112">
        <f t="shared" ca="1" si="10"/>
        <v>0</v>
      </c>
      <c r="J41" s="157" t="str">
        <f t="shared" ca="1" si="16"/>
        <v/>
      </c>
      <c r="K41" s="275" t="str">
        <f t="shared" ca="1" si="17"/>
        <v>--------</v>
      </c>
      <c r="L41" s="276"/>
      <c r="M41" s="93">
        <f t="shared" ca="1" si="11"/>
        <v>38</v>
      </c>
      <c r="N41" s="94">
        <f t="shared" ca="1" si="12"/>
        <v>0</v>
      </c>
      <c r="O41" s="95" t="str">
        <f t="shared" ca="1" si="13"/>
        <v/>
      </c>
      <c r="P41" s="120" t="str">
        <f t="shared" ca="1" si="14"/>
        <v/>
      </c>
      <c r="Q41" s="120" t="str">
        <f t="shared" ca="1" si="2"/>
        <v>1</v>
      </c>
      <c r="R41" s="184" t="str">
        <f t="shared" ca="1" si="3"/>
        <v/>
      </c>
      <c r="S41" s="185" t="e">
        <f t="shared" ca="1" si="4"/>
        <v>#N/A</v>
      </c>
      <c r="T41" s="186" t="str">
        <f t="shared" ca="1" si="5"/>
        <v/>
      </c>
      <c r="U41" s="194" t="str">
        <f t="shared" ca="1" si="6"/>
        <v/>
      </c>
      <c r="V41" s="197" t="str">
        <f t="shared" ca="1" si="15"/>
        <v/>
      </c>
    </row>
    <row r="42" spans="1:22" ht="12.6" customHeight="1">
      <c r="A42" s="189">
        <f t="shared" ca="1" si="18"/>
        <v>42269</v>
      </c>
      <c r="B42" s="285"/>
      <c r="C42" s="286"/>
      <c r="D42" s="273"/>
      <c r="E42" s="274"/>
      <c r="F42" s="174"/>
      <c r="G42" s="110" t="str">
        <f t="shared" ca="1" si="8"/>
        <v>0,00</v>
      </c>
      <c r="H42" s="111" t="str">
        <f t="shared" ca="1" si="9"/>
        <v/>
      </c>
      <c r="I42" s="112">
        <f t="shared" ca="1" si="10"/>
        <v>0</v>
      </c>
      <c r="J42" s="157" t="str">
        <f t="shared" ca="1" si="16"/>
        <v/>
      </c>
      <c r="K42" s="275" t="str">
        <f t="shared" ca="1" si="17"/>
        <v>--------</v>
      </c>
      <c r="L42" s="276"/>
      <c r="M42" s="93">
        <f t="shared" ca="1" si="11"/>
        <v>39</v>
      </c>
      <c r="N42" s="94">
        <f t="shared" ca="1" si="12"/>
        <v>0</v>
      </c>
      <c r="O42" s="95" t="str">
        <f t="shared" ca="1" si="13"/>
        <v/>
      </c>
      <c r="P42" s="120" t="str">
        <f t="shared" ca="1" si="14"/>
        <v/>
      </c>
      <c r="Q42" s="120" t="str">
        <f t="shared" ca="1" si="2"/>
        <v>1</v>
      </c>
      <c r="R42" s="184" t="str">
        <f t="shared" ca="1" si="3"/>
        <v/>
      </c>
      <c r="S42" s="185" t="e">
        <f t="shared" ca="1" si="4"/>
        <v>#N/A</v>
      </c>
      <c r="T42" s="186" t="str">
        <f t="shared" ca="1" si="5"/>
        <v/>
      </c>
      <c r="U42" s="194" t="str">
        <f t="shared" ca="1" si="6"/>
        <v/>
      </c>
      <c r="V42" s="197" t="str">
        <f t="shared" ca="1" si="15"/>
        <v/>
      </c>
    </row>
    <row r="43" spans="1:22" ht="12.6" customHeight="1">
      <c r="A43" s="189">
        <f t="shared" ca="1" si="18"/>
        <v>42270</v>
      </c>
      <c r="B43" s="285"/>
      <c r="C43" s="286"/>
      <c r="D43" s="273"/>
      <c r="E43" s="274"/>
      <c r="F43" s="170"/>
      <c r="G43" s="110" t="str">
        <f t="shared" ca="1" si="8"/>
        <v>0,00</v>
      </c>
      <c r="H43" s="111" t="str">
        <f t="shared" ca="1" si="9"/>
        <v/>
      </c>
      <c r="I43" s="112">
        <f t="shared" ca="1" si="10"/>
        <v>0</v>
      </c>
      <c r="J43" s="157" t="str">
        <f t="shared" ca="1" si="16"/>
        <v/>
      </c>
      <c r="K43" s="275" t="str">
        <f t="shared" ca="1" si="17"/>
        <v>--------</v>
      </c>
      <c r="L43" s="276"/>
      <c r="M43" s="93">
        <f t="shared" ca="1" si="11"/>
        <v>39</v>
      </c>
      <c r="N43" s="94">
        <f t="shared" ca="1" si="12"/>
        <v>0</v>
      </c>
      <c r="O43" s="95" t="str">
        <f t="shared" ca="1" si="13"/>
        <v/>
      </c>
      <c r="P43" s="120" t="str">
        <f t="shared" ca="1" si="14"/>
        <v/>
      </c>
      <c r="Q43" s="120" t="str">
        <f t="shared" ca="1" si="2"/>
        <v>1</v>
      </c>
      <c r="R43" s="184" t="str">
        <f t="shared" ca="1" si="3"/>
        <v/>
      </c>
      <c r="S43" s="185" t="e">
        <f ca="1">VLOOKUP(A43,$Q$77:$S$92,2,FALSE)</f>
        <v>#N/A</v>
      </c>
      <c r="T43" s="186" t="str">
        <f t="shared" ca="1" si="5"/>
        <v/>
      </c>
      <c r="U43" s="194" t="str">
        <f t="shared" ca="1" si="6"/>
        <v/>
      </c>
      <c r="V43" s="197" t="str">
        <f t="shared" ca="1" si="15"/>
        <v/>
      </c>
    </row>
    <row r="44" spans="1:22" ht="12.6" customHeight="1">
      <c r="A44" s="189">
        <f t="shared" ca="1" si="18"/>
        <v>42271</v>
      </c>
      <c r="B44" s="281"/>
      <c r="C44" s="282"/>
      <c r="D44" s="283"/>
      <c r="E44" s="284"/>
      <c r="F44" s="170"/>
      <c r="G44" s="110" t="str">
        <f t="shared" ca="1" si="8"/>
        <v>0,00</v>
      </c>
      <c r="H44" s="111" t="str">
        <f t="shared" ca="1" si="9"/>
        <v/>
      </c>
      <c r="I44" s="112">
        <f t="shared" ca="1" si="10"/>
        <v>0</v>
      </c>
      <c r="J44" s="157" t="str">
        <f t="shared" ca="1" si="16"/>
        <v/>
      </c>
      <c r="K44" s="275" t="str">
        <f t="shared" ca="1" si="17"/>
        <v>--------</v>
      </c>
      <c r="L44" s="276"/>
      <c r="M44" s="93">
        <f t="shared" ca="1" si="11"/>
        <v>39</v>
      </c>
      <c r="N44" s="94">
        <f t="shared" ca="1" si="12"/>
        <v>0</v>
      </c>
      <c r="O44" s="95" t="str">
        <f t="shared" ca="1" si="13"/>
        <v/>
      </c>
      <c r="P44" s="120" t="str">
        <f t="shared" ca="1" si="14"/>
        <v/>
      </c>
      <c r="Q44" s="120" t="str">
        <f t="shared" ca="1" si="2"/>
        <v>1</v>
      </c>
      <c r="R44" s="184" t="str">
        <f t="shared" ca="1" si="3"/>
        <v/>
      </c>
      <c r="S44" s="185" t="e">
        <f t="shared" ca="1" si="4"/>
        <v>#N/A</v>
      </c>
      <c r="T44" s="186" t="str">
        <f t="shared" ca="1" si="5"/>
        <v/>
      </c>
      <c r="U44" s="194" t="str">
        <f t="shared" ca="1" si="6"/>
        <v/>
      </c>
      <c r="V44" s="197" t="str">
        <f t="shared" ca="1" si="15"/>
        <v/>
      </c>
    </row>
    <row r="45" spans="1:22" ht="12.6" customHeight="1">
      <c r="A45" s="189">
        <f t="shared" ca="1" si="18"/>
        <v>42272</v>
      </c>
      <c r="B45" s="308"/>
      <c r="C45" s="309"/>
      <c r="D45" s="308"/>
      <c r="E45" s="309"/>
      <c r="F45" s="174"/>
      <c r="G45" s="110" t="str">
        <f t="shared" ca="1" si="8"/>
        <v>0,00</v>
      </c>
      <c r="H45" s="111" t="str">
        <f t="shared" ca="1" si="9"/>
        <v/>
      </c>
      <c r="I45" s="112">
        <f t="shared" ca="1" si="10"/>
        <v>0</v>
      </c>
      <c r="J45" s="157" t="str">
        <f t="shared" ca="1" si="16"/>
        <v/>
      </c>
      <c r="K45" s="275" t="str">
        <f t="shared" ca="1" si="17"/>
        <v>--------</v>
      </c>
      <c r="L45" s="276"/>
      <c r="M45" s="93">
        <f t="shared" ca="1" si="11"/>
        <v>39</v>
      </c>
      <c r="N45" s="94">
        <f t="shared" ca="1" si="12"/>
        <v>0</v>
      </c>
      <c r="O45" s="95" t="str">
        <f t="shared" ca="1" si="13"/>
        <v/>
      </c>
      <c r="P45" s="120" t="str">
        <f t="shared" ca="1" si="14"/>
        <v/>
      </c>
      <c r="Q45" s="120" t="str">
        <f t="shared" ca="1" si="2"/>
        <v>1</v>
      </c>
      <c r="R45" s="184" t="str">
        <f t="shared" ca="1" si="3"/>
        <v/>
      </c>
      <c r="S45" s="185" t="e">
        <f t="shared" ca="1" si="4"/>
        <v>#N/A</v>
      </c>
      <c r="T45" s="186" t="str">
        <f t="shared" ca="1" si="5"/>
        <v/>
      </c>
      <c r="U45" s="194" t="str">
        <f t="shared" ca="1" si="6"/>
        <v/>
      </c>
      <c r="V45" s="197" t="str">
        <f t="shared" ca="1" si="15"/>
        <v/>
      </c>
    </row>
    <row r="46" spans="1:22" ht="12.6" customHeight="1">
      <c r="A46" s="189">
        <f t="shared" ca="1" si="18"/>
        <v>42273</v>
      </c>
      <c r="B46" s="281"/>
      <c r="C46" s="282"/>
      <c r="D46" s="283"/>
      <c r="E46" s="284"/>
      <c r="F46" s="174"/>
      <c r="G46" s="110" t="str">
        <f t="shared" ca="1" si="8"/>
        <v>0,00</v>
      </c>
      <c r="H46" s="111" t="str">
        <f t="shared" ca="1" si="9"/>
        <v/>
      </c>
      <c r="I46" s="112">
        <f t="shared" ca="1" si="10"/>
        <v>0</v>
      </c>
      <c r="J46" s="157" t="str">
        <f t="shared" ca="1" si="16"/>
        <v/>
      </c>
      <c r="K46" s="275" t="str">
        <f t="shared" ca="1" si="17"/>
        <v>--------</v>
      </c>
      <c r="L46" s="276"/>
      <c r="M46" s="93">
        <f t="shared" ca="1" si="11"/>
        <v>39</v>
      </c>
      <c r="N46" s="94">
        <f t="shared" ca="1" si="12"/>
        <v>0</v>
      </c>
      <c r="O46" s="95" t="str">
        <f t="shared" ca="1" si="13"/>
        <v/>
      </c>
      <c r="P46" s="120" t="str">
        <f t="shared" ca="1" si="14"/>
        <v/>
      </c>
      <c r="Q46" s="120" t="str">
        <f t="shared" ca="1" si="2"/>
        <v>1</v>
      </c>
      <c r="R46" s="184" t="str">
        <f t="shared" ca="1" si="3"/>
        <v/>
      </c>
      <c r="S46" s="185" t="e">
        <f t="shared" ca="1" si="4"/>
        <v>#N/A</v>
      </c>
      <c r="T46" s="186" t="str">
        <f t="shared" ca="1" si="5"/>
        <v/>
      </c>
      <c r="U46" s="194" t="str">
        <f t="shared" ca="1" si="6"/>
        <v/>
      </c>
      <c r="V46" s="197" t="str">
        <f t="shared" ca="1" si="15"/>
        <v/>
      </c>
    </row>
    <row r="47" spans="1:22" ht="12.6" customHeight="1">
      <c r="A47" s="189">
        <f t="shared" ca="1" si="18"/>
        <v>42274</v>
      </c>
      <c r="B47" s="308"/>
      <c r="C47" s="309"/>
      <c r="D47" s="309"/>
      <c r="E47" s="309"/>
      <c r="F47" s="174"/>
      <c r="G47" s="110" t="str">
        <f t="shared" ca="1" si="8"/>
        <v>0,00</v>
      </c>
      <c r="H47" s="111" t="str">
        <f t="shared" ca="1" si="9"/>
        <v/>
      </c>
      <c r="I47" s="112">
        <f t="shared" ca="1" si="10"/>
        <v>0</v>
      </c>
      <c r="J47" s="157" t="str">
        <f t="shared" ca="1" si="16"/>
        <v/>
      </c>
      <c r="K47" s="275" t="str">
        <f t="shared" ca="1" si="17"/>
        <v>--------</v>
      </c>
      <c r="L47" s="276"/>
      <c r="M47" s="93">
        <f t="shared" ca="1" si="11"/>
        <v>39</v>
      </c>
      <c r="N47" s="94">
        <f t="shared" ca="1" si="12"/>
        <v>0</v>
      </c>
      <c r="O47" s="95" t="str">
        <f t="shared" ca="1" si="13"/>
        <v/>
      </c>
      <c r="P47" s="120" t="str">
        <f t="shared" ca="1" si="14"/>
        <v/>
      </c>
      <c r="Q47" s="120" t="str">
        <f t="shared" ca="1" si="2"/>
        <v>1</v>
      </c>
      <c r="R47" s="184" t="str">
        <f t="shared" ca="1" si="3"/>
        <v/>
      </c>
      <c r="S47" s="185" t="e">
        <f t="shared" ca="1" si="4"/>
        <v>#N/A</v>
      </c>
      <c r="T47" s="186" t="str">
        <f t="shared" ca="1" si="5"/>
        <v/>
      </c>
      <c r="U47" s="194" t="str">
        <f t="shared" ca="1" si="6"/>
        <v/>
      </c>
      <c r="V47" s="197" t="str">
        <f t="shared" ca="1" si="15"/>
        <v/>
      </c>
    </row>
    <row r="48" spans="1:22" ht="12.6" customHeight="1">
      <c r="A48" s="189">
        <f t="shared" ca="1" si="18"/>
        <v>42275</v>
      </c>
      <c r="B48" s="285"/>
      <c r="C48" s="286"/>
      <c r="D48" s="273"/>
      <c r="E48" s="274"/>
      <c r="F48" s="174"/>
      <c r="G48" s="110" t="str">
        <f t="shared" ca="1" si="8"/>
        <v>0,00</v>
      </c>
      <c r="H48" s="111">
        <f t="shared" ca="1" si="9"/>
        <v>0</v>
      </c>
      <c r="I48" s="112">
        <f t="shared" ca="1" si="10"/>
        <v>0</v>
      </c>
      <c r="J48" s="157" t="str">
        <f t="shared" ca="1" si="16"/>
        <v/>
      </c>
      <c r="K48" s="275" t="str">
        <f t="shared" ca="1" si="17"/>
        <v>--------</v>
      </c>
      <c r="L48" s="276"/>
      <c r="M48" s="93">
        <f t="shared" ca="1" si="11"/>
        <v>39</v>
      </c>
      <c r="N48" s="94">
        <f t="shared" ca="1" si="12"/>
        <v>0</v>
      </c>
      <c r="O48" s="95" t="str">
        <f t="shared" ca="1" si="13"/>
        <v/>
      </c>
      <c r="P48" s="120" t="str">
        <f t="shared" ca="1" si="14"/>
        <v/>
      </c>
      <c r="Q48" s="120" t="str">
        <f t="shared" ca="1" si="2"/>
        <v>1</v>
      </c>
      <c r="R48" s="184" t="str">
        <f t="shared" ca="1" si="3"/>
        <v/>
      </c>
      <c r="S48" s="185" t="e">
        <f t="shared" ca="1" si="4"/>
        <v>#N/A</v>
      </c>
      <c r="T48" s="186" t="str">
        <f t="shared" ca="1" si="5"/>
        <v/>
      </c>
      <c r="U48" s="194" t="str">
        <f t="shared" ca="1" si="6"/>
        <v/>
      </c>
      <c r="V48" s="197" t="str">
        <f t="shared" ca="1" si="15"/>
        <v/>
      </c>
    </row>
    <row r="49" spans="1:22" ht="12.6" customHeight="1">
      <c r="A49" s="189">
        <f t="shared" ca="1" si="18"/>
        <v>42276</v>
      </c>
      <c r="B49" s="285"/>
      <c r="C49" s="286"/>
      <c r="D49" s="273"/>
      <c r="E49" s="274"/>
      <c r="F49" s="174"/>
      <c r="G49" s="110" t="str">
        <f t="shared" ca="1" si="8"/>
        <v>0,00</v>
      </c>
      <c r="H49" s="111" t="str">
        <f t="shared" ca="1" si="9"/>
        <v/>
      </c>
      <c r="I49" s="112">
        <f t="shared" ca="1" si="10"/>
        <v>0</v>
      </c>
      <c r="J49" s="157" t="str">
        <f t="shared" ca="1" si="16"/>
        <v/>
      </c>
      <c r="K49" s="275" t="str">
        <f t="shared" ca="1" si="17"/>
        <v>--------</v>
      </c>
      <c r="L49" s="276"/>
      <c r="M49" s="93">
        <f t="shared" ca="1" si="11"/>
        <v>40</v>
      </c>
      <c r="N49" s="94">
        <f t="shared" ca="1" si="12"/>
        <v>0</v>
      </c>
      <c r="O49" s="95" t="str">
        <f t="shared" ca="1" si="13"/>
        <v/>
      </c>
      <c r="P49" s="120" t="str">
        <f t="shared" ca="1" si="14"/>
        <v/>
      </c>
      <c r="Q49" s="120" t="str">
        <f t="shared" ca="1" si="2"/>
        <v>1</v>
      </c>
      <c r="R49" s="184" t="str">
        <f t="shared" ca="1" si="3"/>
        <v/>
      </c>
      <c r="S49" s="185" t="e">
        <f t="shared" ca="1" si="4"/>
        <v>#N/A</v>
      </c>
      <c r="T49" s="186" t="str">
        <f t="shared" ca="1" si="5"/>
        <v/>
      </c>
      <c r="U49" s="194" t="str">
        <f t="shared" ca="1" si="6"/>
        <v/>
      </c>
      <c r="V49" s="197" t="str">
        <f t="shared" ca="1" si="15"/>
        <v/>
      </c>
    </row>
    <row r="50" spans="1:22" ht="12.6" customHeight="1" thickBot="1">
      <c r="A50" s="191">
        <f t="shared" ca="1" si="18"/>
        <v>0</v>
      </c>
      <c r="B50" s="293"/>
      <c r="C50" s="294"/>
      <c r="D50" s="295"/>
      <c r="E50" s="296"/>
      <c r="F50" s="175"/>
      <c r="G50" s="135" t="str">
        <f ca="1">IF(OR(A50&lt;$C$14,A50&gt;$F$14,A50&gt;TODAY()),"0,00",IF(ISBLANK($C$14),"0,00",(D50-B50-F50)))</f>
        <v>0,00</v>
      </c>
      <c r="H50" s="136" t="str">
        <f t="shared" ca="1" si="9"/>
        <v/>
      </c>
      <c r="I50" s="137">
        <f t="shared" ca="1" si="10"/>
        <v>0</v>
      </c>
      <c r="J50" s="158" t="str">
        <f t="shared" ca="1" si="16"/>
        <v/>
      </c>
      <c r="K50" s="318" t="str">
        <f t="shared" ca="1" si="17"/>
        <v>--------</v>
      </c>
      <c r="L50" s="296"/>
      <c r="M50" s="93" t="str">
        <f ca="1">IF(A50&gt;DATE(1904,1,1),WEEKNUM(A50,2),"")</f>
        <v/>
      </c>
      <c r="N50" s="94">
        <f t="shared" ca="1" si="12"/>
        <v>0</v>
      </c>
      <c r="O50" s="95" t="str">
        <f ca="1">IF(I50&lt;&gt;0,I50,"")</f>
        <v/>
      </c>
      <c r="P50" s="120" t="str">
        <f t="shared" ca="1" si="14"/>
        <v/>
      </c>
      <c r="Q50" s="120" t="str">
        <f t="shared" ca="1" si="2"/>
        <v/>
      </c>
      <c r="R50" s="184" t="str">
        <f t="shared" ca="1" si="3"/>
        <v/>
      </c>
      <c r="S50" s="185" t="e">
        <f t="shared" ca="1" si="4"/>
        <v>#N/A</v>
      </c>
      <c r="T50" s="186" t="str">
        <f ca="1">IF(ISNA(S50),"",S50)</f>
        <v/>
      </c>
      <c r="U50" s="195" t="str">
        <f t="shared" ca="1" si="6"/>
        <v/>
      </c>
      <c r="V50" s="197" t="str">
        <f t="shared" ca="1" si="15"/>
        <v/>
      </c>
    </row>
    <row r="51" spans="1:22" ht="11.25" customHeight="1">
      <c r="A51" s="19"/>
      <c r="B51" s="43"/>
      <c r="C51" s="43"/>
      <c r="D51" s="43"/>
      <c r="E51" s="20"/>
      <c r="I51" s="42"/>
      <c r="K51" s="21"/>
      <c r="L51" s="11"/>
      <c r="M51" s="143"/>
      <c r="N51" s="230"/>
      <c r="O51" s="59"/>
      <c r="S51" s="183"/>
      <c r="V51" s="198">
        <f ca="1">COUNTIF(V20:V50,"!")</f>
        <v>0</v>
      </c>
    </row>
    <row r="52" spans="1:22" ht="14.1" customHeight="1">
      <c r="D52" s="104"/>
      <c r="E52" s="22"/>
      <c r="F52" s="140" t="s">
        <v>29</v>
      </c>
      <c r="G52" s="141">
        <f ca="1">IF($G$16="Sie haben Ihr Arbeitszeitkonto überschritten, bitte erstellen Sie ein neues Konto","",SUM($G$20:$G$50))</f>
        <v>0</v>
      </c>
      <c r="H52" s="130" t="s">
        <v>30</v>
      </c>
      <c r="J52" s="142">
        <f ca="1">IF($G$16="Sie haben Ihr Arbeitszeitkonto überschritten, bitte erstellen Sie ein neues Konto","",IF(ISNA($H$56),0,IF($H$56&gt;$D$53,($D$53+$D$54),($H$56+$D$54))))</f>
        <v>0</v>
      </c>
      <c r="K52" s="290" t="str">
        <f ca="1">IF(ISNA($E$56),"",IF($E$56&gt;$D$53,"Kappung erfolgt",""))</f>
        <v/>
      </c>
      <c r="L52" s="290"/>
      <c r="M52" s="143"/>
      <c r="N52" s="230">
        <f ca="1">SUM(N20:N50)</f>
        <v>0</v>
      </c>
      <c r="O52" s="59"/>
    </row>
    <row r="53" spans="1:22">
      <c r="A53" s="100" t="s">
        <v>26</v>
      </c>
      <c r="B53" s="100"/>
      <c r="C53" s="100"/>
      <c r="D53" s="101">
        <f ca="1">$N$52*0.5</f>
        <v>0</v>
      </c>
      <c r="E53" s="23"/>
      <c r="F53" s="23"/>
      <c r="G53" s="24"/>
      <c r="H53" s="2"/>
      <c r="I53" s="2"/>
      <c r="K53" s="127"/>
      <c r="L53" s="127"/>
      <c r="M53" s="143"/>
      <c r="N53" s="38">
        <f ca="1">SUM(N20:N50)</f>
        <v>0</v>
      </c>
      <c r="O53" s="60"/>
    </row>
    <row r="54" spans="1:22">
      <c r="A54" s="178" t="s">
        <v>25</v>
      </c>
      <c r="B54" s="178"/>
      <c r="C54" s="178"/>
      <c r="D54" s="102">
        <f ca="1">$M$16</f>
        <v>0</v>
      </c>
      <c r="F54" s="106"/>
      <c r="G54" s="106"/>
      <c r="H54" s="299" t="str">
        <f ca="1">IF($K$52="Kappung erfolgt","INFO: (Gekappte Std.: "&amp;$J$56,"")</f>
        <v/>
      </c>
      <c r="I54" s="299"/>
      <c r="J54" s="299"/>
      <c r="K54" s="127" t="str">
        <f ca="1">IF($K$52="Kappung erfolgt","von insg. "&amp;$L$56&amp;" Mehrstunden)","")</f>
        <v/>
      </c>
      <c r="L54" s="131"/>
      <c r="M54" s="143"/>
      <c r="N54" s="28">
        <f>IF($A$55="Wg.Unterbrechung  keine Stundenübernahme möglich! Bitte Angaben prüfen","1",0)</f>
        <v>0</v>
      </c>
      <c r="P54" s="164"/>
      <c r="Q54" s="164"/>
      <c r="R54" s="164"/>
      <c r="S54" s="164"/>
      <c r="T54" s="164"/>
      <c r="U54" s="164"/>
      <c r="V54" s="164"/>
    </row>
    <row r="55" spans="1:22">
      <c r="A55" s="319" t="str">
        <f>IF($H$14="Achtung! Stundennachweis unterbrochen","Wg.Unterbrechung  keine Stundenübernahme möglich! Bitte Angaben prüfen","")</f>
        <v/>
      </c>
      <c r="B55" s="319"/>
      <c r="C55" s="319"/>
      <c r="D55" s="319"/>
      <c r="E55" s="319"/>
      <c r="F55" s="319"/>
      <c r="G55" s="2"/>
      <c r="M55" s="143"/>
      <c r="N55" s="123" t="str">
        <f>IF($N$54&gt;0,($D$54*-1),"0:00")</f>
        <v>0:00</v>
      </c>
      <c r="O55" s="239">
        <f ca="1">IF(O50="",0,"")</f>
        <v>0</v>
      </c>
    </row>
    <row r="56" spans="1:22" hidden="1">
      <c r="E56" s="232">
        <f>+H56-F56</f>
        <v>-6.9444444444444447E-4</v>
      </c>
      <c r="F56" s="60">
        <v>6.9444444444444447E-4</v>
      </c>
      <c r="G56" s="124">
        <f ca="1">+$H$56+$D$54</f>
        <v>0</v>
      </c>
      <c r="H56" s="38">
        <f>IF($C$14&gt;DATE(1904,1,1),LOOKUP(10000000,O19:O99),0)</f>
        <v>0</v>
      </c>
      <c r="I56" s="60">
        <f ca="1">+($H$56+$N$16)-J52</f>
        <v>0</v>
      </c>
      <c r="J56" s="233">
        <f ca="1">ROUND(I56*24,2)</f>
        <v>0</v>
      </c>
      <c r="K56">
        <f ca="1">($H$56+$N$16)*24</f>
        <v>0</v>
      </c>
      <c r="L56">
        <f ca="1">ROUND(K56,1)</f>
        <v>0</v>
      </c>
      <c r="M56" s="143"/>
      <c r="N56" s="28"/>
    </row>
    <row r="57" spans="1:22">
      <c r="A57" s="322" t="str">
        <f ca="1">IF(V51&gt;0,"Achtung! Bitte bei den blau markierten Feldern die Regelstunden eintragen.","")</f>
        <v/>
      </c>
      <c r="B57" s="322"/>
      <c r="C57" s="322"/>
      <c r="D57" s="322"/>
      <c r="E57" s="322"/>
      <c r="F57" s="322"/>
      <c r="G57" s="199"/>
      <c r="H57">
        <f>IF($C$14&gt;DATE(1904,1,1),LOOKUP(10000000,O19:O52),0)</f>
        <v>0</v>
      </c>
      <c r="M57" s="143"/>
      <c r="N57" s="28"/>
      <c r="Q57" s="251" t="s">
        <v>32</v>
      </c>
      <c r="R57" s="251"/>
      <c r="S57" s="251"/>
      <c r="T57" s="251"/>
    </row>
    <row r="58" spans="1:22">
      <c r="A58" s="25"/>
      <c r="B58" s="25"/>
      <c r="C58" s="38"/>
      <c r="D58" s="26"/>
      <c r="E58" s="27"/>
      <c r="F58" s="144"/>
      <c r="G58" s="2"/>
      <c r="H58" s="38"/>
      <c r="J58" s="132"/>
      <c r="M58" s="219"/>
      <c r="N58" s="219"/>
      <c r="O58" s="219"/>
      <c r="Q58" s="250">
        <f>+F14-C14</f>
        <v>0</v>
      </c>
      <c r="R58" s="250"/>
    </row>
    <row r="59" spans="1:22">
      <c r="A59" s="25"/>
      <c r="B59" s="25"/>
      <c r="C59" s="38"/>
      <c r="D59" s="26"/>
      <c r="E59" s="27"/>
      <c r="F59" s="144"/>
      <c r="G59" s="2"/>
      <c r="H59" s="145"/>
      <c r="M59" s="143"/>
      <c r="N59" s="28"/>
      <c r="Q59" s="252" t="s">
        <v>33</v>
      </c>
      <c r="R59" s="252"/>
      <c r="S59" s="252"/>
      <c r="T59" s="252"/>
      <c r="U59" s="252"/>
      <c r="V59" s="252"/>
    </row>
    <row r="60" spans="1:22" ht="12.75" customHeight="1">
      <c r="A60" s="29"/>
      <c r="B60" s="11"/>
      <c r="C60" s="11"/>
      <c r="D60" s="11"/>
      <c r="E60" s="11"/>
      <c r="F60" s="11"/>
      <c r="G60" s="11"/>
      <c r="H60" s="30"/>
      <c r="I60" s="30"/>
      <c r="J60" s="31"/>
      <c r="K60" s="31"/>
      <c r="L60" s="31"/>
      <c r="M60" s="143"/>
      <c r="N60" s="28"/>
    </row>
    <row r="61" spans="1:22" ht="12.75" customHeight="1">
      <c r="A61" s="226"/>
      <c r="B61" s="34"/>
      <c r="C61" s="34"/>
      <c r="D61" s="34"/>
      <c r="E61" s="34"/>
      <c r="F61" s="11"/>
      <c r="G61" s="11"/>
      <c r="H61" s="34"/>
      <c r="I61" s="34"/>
      <c r="J61" s="35"/>
      <c r="K61" s="35"/>
      <c r="L61" s="35"/>
    </row>
    <row r="62" spans="1:22" ht="18.75" customHeight="1" thickBot="1">
      <c r="A62" s="203" t="s">
        <v>18</v>
      </c>
      <c r="B62" s="292" t="s">
        <v>19</v>
      </c>
      <c r="C62" s="292"/>
      <c r="D62" s="292"/>
      <c r="E62" s="292"/>
      <c r="F62" s="3"/>
      <c r="G62" s="36" t="s">
        <v>18</v>
      </c>
      <c r="H62" s="292" t="s">
        <v>20</v>
      </c>
      <c r="I62" s="292"/>
      <c r="J62" s="292"/>
      <c r="K62" s="292"/>
      <c r="L62" s="292"/>
    </row>
    <row r="63" spans="1:22" ht="17.25" thickTop="1" thickBot="1">
      <c r="P63" s="160">
        <f ca="1">YEAR($B$17)</f>
        <v>2019</v>
      </c>
      <c r="Q63" s="3"/>
    </row>
    <row r="64" spans="1:22" ht="15.75" thickTop="1">
      <c r="O64" s="218"/>
      <c r="Q64" s="3">
        <f ca="1">MOD(P63,19)</f>
        <v>5</v>
      </c>
      <c r="R64" s="287" t="s">
        <v>34</v>
      </c>
      <c r="S64" s="287"/>
      <c r="T64" s="231"/>
    </row>
    <row r="65" spans="16:20">
      <c r="P65" s="3"/>
      <c r="Q65" s="3">
        <f ca="1">MOD(P63,4)</f>
        <v>3</v>
      </c>
    </row>
    <row r="66" spans="16:20">
      <c r="P66" s="3"/>
      <c r="Q66" s="3">
        <f ca="1">MOD(P63,7)</f>
        <v>3</v>
      </c>
    </row>
    <row r="67" spans="16:20">
      <c r="P67" s="3"/>
      <c r="Q67" s="3">
        <f ca="1">TRUNC((8*(TRUNC(P63/100))+13)/25)-2</f>
        <v>4</v>
      </c>
    </row>
    <row r="68" spans="16:20">
      <c r="P68" s="3"/>
      <c r="Q68" s="3">
        <f ca="1">TRUNC(P63/100)-TRUNC(P63/400)-2</f>
        <v>13</v>
      </c>
    </row>
    <row r="69" spans="16:20">
      <c r="P69" s="3"/>
      <c r="Q69" s="3">
        <f ca="1">MOD(15+Q68-Q67,30)</f>
        <v>24</v>
      </c>
    </row>
    <row r="70" spans="16:20">
      <c r="P70" s="161"/>
      <c r="Q70" s="3">
        <f ca="1">MOD(6+Q68,7)</f>
        <v>5</v>
      </c>
    </row>
    <row r="71" spans="16:20">
      <c r="P71" s="3"/>
      <c r="Q71" s="3">
        <f ca="1">MOD(Q69+19*Q64,30)</f>
        <v>29</v>
      </c>
    </row>
    <row r="72" spans="16:20">
      <c r="P72" s="3"/>
      <c r="Q72" s="3">
        <f ca="1">IF(Q71=29,28,IF(AND(Q71=28,Q64&gt;=11),27,IF(AND(Q71&lt;28,Q71&gt;29),,Q71)))</f>
        <v>28</v>
      </c>
    </row>
    <row r="73" spans="16:20">
      <c r="P73" s="3"/>
      <c r="Q73" s="3">
        <f ca="1">MOD(2*Q65+4*Q66+6*Q72+Q70,7)</f>
        <v>2</v>
      </c>
    </row>
    <row r="74" spans="16:20">
      <c r="P74" s="3"/>
      <c r="Q74" s="3">
        <f ca="1">Q72+Q73+1</f>
        <v>31</v>
      </c>
    </row>
    <row r="75" spans="16:20">
      <c r="P75" s="3"/>
      <c r="Q75" s="3">
        <f>DATEVALUE("21.märz")</f>
        <v>40988</v>
      </c>
    </row>
    <row r="77" spans="16:20">
      <c r="P77" s="183"/>
      <c r="Q77" s="228">
        <f ca="1">+T77</f>
        <v>42004</v>
      </c>
      <c r="R77" s="30" t="s">
        <v>35</v>
      </c>
      <c r="T77" s="229">
        <f ca="1">DATE($P$63,1,1)</f>
        <v>42004</v>
      </c>
    </row>
    <row r="78" spans="16:20">
      <c r="P78" s="2"/>
      <c r="Q78" s="220">
        <f ca="1">+$Q$80-2</f>
        <v>42112</v>
      </c>
      <c r="R78" s="30" t="s">
        <v>36</v>
      </c>
      <c r="S78" s="221"/>
      <c r="T78" s="2"/>
    </row>
    <row r="79" spans="16:20">
      <c r="P79" s="2"/>
      <c r="Q79" s="220">
        <f ca="1">+Q80-1</f>
        <v>42113</v>
      </c>
      <c r="R79" s="30" t="s">
        <v>37</v>
      </c>
      <c r="S79" s="221"/>
      <c r="T79" s="2"/>
    </row>
    <row r="80" spans="16:20">
      <c r="P80" s="222">
        <f ca="1">IF(R80="Ostersonntag",Q74+Q75,"")</f>
        <v>41019</v>
      </c>
      <c r="Q80" s="220">
        <f ca="1">T80</f>
        <v>42114</v>
      </c>
      <c r="R80" s="181" t="str">
        <f ca="1">IF(P63&lt;1583,"Der gregorianische Kalender gilt erst seit dem 15.10.1582  !!!",IF(P63&gt;8202,"Die gauß´sche Osterformel gilt nur bis zum Jahre    8202  !!!","Ostersonntag"))</f>
        <v>Ostersonntag</v>
      </c>
      <c r="S80">
        <f ca="1">DAY(T81)</f>
        <v>21</v>
      </c>
      <c r="T80" s="146">
        <f ca="1">DATE($P$63,S81,S80)</f>
        <v>42114</v>
      </c>
    </row>
    <row r="81" spans="15:20">
      <c r="P81" s="2"/>
      <c r="Q81" s="220">
        <f ca="1">+Q80+1</f>
        <v>42115</v>
      </c>
      <c r="R81" s="223" t="s">
        <v>38</v>
      </c>
      <c r="S81" s="182">
        <f ca="1">MONTH(P80)</f>
        <v>4</v>
      </c>
      <c r="T81" s="183" t="str">
        <f ca="1">DAY(P80)&amp;"."&amp;MONTH(P80)&amp;"."&amp;YEAR($B$17)</f>
        <v>21.4.2019</v>
      </c>
    </row>
    <row r="82" spans="15:20">
      <c r="O82" s="183"/>
      <c r="P82" s="2"/>
      <c r="Q82" s="220">
        <v>40846</v>
      </c>
      <c r="R82" s="224" t="s">
        <v>50</v>
      </c>
      <c r="S82" s="221"/>
      <c r="T82" s="2"/>
    </row>
    <row r="83" spans="15:20">
      <c r="P83" s="2"/>
      <c r="Q83" s="220">
        <f ca="1">+T83</f>
        <v>42124</v>
      </c>
      <c r="R83" s="224" t="s">
        <v>39</v>
      </c>
      <c r="S83" s="221"/>
      <c r="T83" s="144">
        <f ca="1">DATE($P$63,5,1)</f>
        <v>42124</v>
      </c>
    </row>
    <row r="84" spans="15:20">
      <c r="P84" s="2"/>
      <c r="Q84" s="220">
        <f ca="1">+Q80+39</f>
        <v>42153</v>
      </c>
      <c r="R84" s="224" t="s">
        <v>40</v>
      </c>
      <c r="S84" s="221"/>
      <c r="T84" s="2"/>
    </row>
    <row r="85" spans="15:20">
      <c r="P85" s="2"/>
      <c r="Q85" s="220">
        <f ca="1">+Q80+49</f>
        <v>42163</v>
      </c>
      <c r="R85" s="224" t="s">
        <v>41</v>
      </c>
      <c r="S85" s="221"/>
      <c r="T85" s="2"/>
    </row>
    <row r="86" spans="15:20">
      <c r="P86" s="2"/>
      <c r="Q86" s="220">
        <f ca="1">+Q85+1</f>
        <v>42164</v>
      </c>
      <c r="R86" s="224" t="s">
        <v>42</v>
      </c>
      <c r="S86" s="221"/>
      <c r="T86" s="2"/>
    </row>
    <row r="87" spans="15:20">
      <c r="P87" s="2"/>
      <c r="Q87" s="220">
        <f ca="1">+Q80+60</f>
        <v>42174</v>
      </c>
      <c r="R87" s="224" t="s">
        <v>43</v>
      </c>
      <c r="S87" s="221"/>
      <c r="T87" s="2"/>
    </row>
    <row r="88" spans="15:20">
      <c r="P88" s="2"/>
      <c r="Q88" s="220">
        <f ca="1">+T88</f>
        <v>42279</v>
      </c>
      <c r="R88" s="224" t="s">
        <v>44</v>
      </c>
      <c r="S88" s="221"/>
      <c r="T88" s="144">
        <f ca="1">DATE($P$63,10,3)</f>
        <v>42279</v>
      </c>
    </row>
    <row r="89" spans="15:20">
      <c r="P89" s="2"/>
      <c r="Q89" s="220">
        <f ca="1">+T89</f>
        <v>42361</v>
      </c>
      <c r="R89" s="224" t="s">
        <v>45</v>
      </c>
      <c r="S89" s="221"/>
      <c r="T89" s="144">
        <f ca="1">DATE($P$63,12,24)</f>
        <v>42361</v>
      </c>
    </row>
    <row r="90" spans="15:20">
      <c r="P90" s="2"/>
      <c r="Q90" s="220">
        <f ca="1">+Q89+1</f>
        <v>42362</v>
      </c>
      <c r="R90" s="221" t="s">
        <v>46</v>
      </c>
      <c r="S90" s="221"/>
      <c r="T90" s="2"/>
    </row>
    <row r="91" spans="15:20">
      <c r="P91" s="2"/>
      <c r="Q91" s="220">
        <f ca="1">Q90+1</f>
        <v>42363</v>
      </c>
      <c r="R91" s="224" t="s">
        <v>47</v>
      </c>
      <c r="S91" s="221"/>
      <c r="T91" s="2"/>
    </row>
    <row r="92" spans="15:20">
      <c r="P92" s="2"/>
      <c r="Q92" s="220">
        <f ca="1">+Q91+5</f>
        <v>42368</v>
      </c>
      <c r="R92" s="224" t="s">
        <v>48</v>
      </c>
      <c r="S92" s="221"/>
      <c r="T92" s="2"/>
    </row>
    <row r="93" spans="15:20">
      <c r="P93" s="2"/>
      <c r="Q93" s="220"/>
      <c r="R93" s="224"/>
      <c r="S93" s="221"/>
      <c r="T93" s="2"/>
    </row>
    <row r="94" spans="15:20">
      <c r="P94" s="2"/>
      <c r="Q94" s="220"/>
      <c r="R94" s="224"/>
      <c r="S94" s="221"/>
      <c r="T94" s="2"/>
    </row>
    <row r="95" spans="15:20">
      <c r="P95" s="180"/>
      <c r="Q95" s="180"/>
    </row>
  </sheetData>
  <sheetProtection algorithmName="SHA-512" hashValue="oSZgu83LP25JRyf4NOyMb8hdFgbnpHLpZPRVamrBfNwbJ3PEOCAzmUIe7G6h4h/lF3n2pFN99USl2zWz5Z9fKg==" saltValue="LPqa5u5cG4mnMgNuj7B3tA==" spinCount="100000" sheet="1" objects="1" scenarios="1" selectLockedCells="1"/>
  <mergeCells count="137">
    <mergeCell ref="M1:O1"/>
    <mergeCell ref="A3:B3"/>
    <mergeCell ref="C3:F3"/>
    <mergeCell ref="K3:L3"/>
    <mergeCell ref="A55:F55"/>
    <mergeCell ref="A5:B5"/>
    <mergeCell ref="C5:F5"/>
    <mergeCell ref="K5:L5"/>
    <mergeCell ref="A7:B7"/>
    <mergeCell ref="C7:F7"/>
    <mergeCell ref="K7:L7"/>
    <mergeCell ref="A1:B1"/>
    <mergeCell ref="C1:F1"/>
    <mergeCell ref="H1:J1"/>
    <mergeCell ref="K1:L1"/>
    <mergeCell ref="A13:B13"/>
    <mergeCell ref="A14:B14"/>
    <mergeCell ref="C14:D14"/>
    <mergeCell ref="H14:L14"/>
    <mergeCell ref="M14:N14"/>
    <mergeCell ref="C15:D15"/>
    <mergeCell ref="K15:L15"/>
    <mergeCell ref="A9:B9"/>
    <mergeCell ref="C9:D9"/>
    <mergeCell ref="K9:L9"/>
    <mergeCell ref="A11:B11"/>
    <mergeCell ref="C11:D11"/>
    <mergeCell ref="K11:L11"/>
    <mergeCell ref="R19:T19"/>
    <mergeCell ref="B20:C20"/>
    <mergeCell ref="D20:E20"/>
    <mergeCell ref="K20:L20"/>
    <mergeCell ref="B21:C21"/>
    <mergeCell ref="D21:E21"/>
    <mergeCell ref="K21:L21"/>
    <mergeCell ref="A16:F16"/>
    <mergeCell ref="G16:L16"/>
    <mergeCell ref="B17:K17"/>
    <mergeCell ref="B19:C19"/>
    <mergeCell ref="D19:E19"/>
    <mergeCell ref="K19:L19"/>
    <mergeCell ref="B24:C24"/>
    <mergeCell ref="D24:E24"/>
    <mergeCell ref="K24:L24"/>
    <mergeCell ref="B25:C25"/>
    <mergeCell ref="D25:E25"/>
    <mergeCell ref="K25:L25"/>
    <mergeCell ref="B22:C22"/>
    <mergeCell ref="D22:E22"/>
    <mergeCell ref="K22:L22"/>
    <mergeCell ref="B23:C23"/>
    <mergeCell ref="D23:E23"/>
    <mergeCell ref="K23:L23"/>
    <mergeCell ref="B28:C28"/>
    <mergeCell ref="D28:E28"/>
    <mergeCell ref="K28:L28"/>
    <mergeCell ref="B29:C29"/>
    <mergeCell ref="D29:E29"/>
    <mergeCell ref="K29:L29"/>
    <mergeCell ref="B26:C26"/>
    <mergeCell ref="D26:E26"/>
    <mergeCell ref="K26:L26"/>
    <mergeCell ref="B27:C27"/>
    <mergeCell ref="D27:E27"/>
    <mergeCell ref="K27:L27"/>
    <mergeCell ref="B32:C32"/>
    <mergeCell ref="D32:E32"/>
    <mergeCell ref="K32:L32"/>
    <mergeCell ref="B33:C33"/>
    <mergeCell ref="D33:E33"/>
    <mergeCell ref="K33:L33"/>
    <mergeCell ref="B30:C30"/>
    <mergeCell ref="D30:E30"/>
    <mergeCell ref="K30:L30"/>
    <mergeCell ref="B31:C31"/>
    <mergeCell ref="D31:E31"/>
    <mergeCell ref="K31:L31"/>
    <mergeCell ref="B36:C36"/>
    <mergeCell ref="D36:E36"/>
    <mergeCell ref="K36:L36"/>
    <mergeCell ref="B37:C37"/>
    <mergeCell ref="D37:E37"/>
    <mergeCell ref="K37:L37"/>
    <mergeCell ref="B34:C34"/>
    <mergeCell ref="D34:E34"/>
    <mergeCell ref="K34:L34"/>
    <mergeCell ref="B35:C35"/>
    <mergeCell ref="D35:E35"/>
    <mergeCell ref="K35:L35"/>
    <mergeCell ref="B40:C40"/>
    <mergeCell ref="D40:E40"/>
    <mergeCell ref="K40:L40"/>
    <mergeCell ref="B41:C41"/>
    <mergeCell ref="D41:E41"/>
    <mergeCell ref="K41:L41"/>
    <mergeCell ref="B38:C38"/>
    <mergeCell ref="D38:E38"/>
    <mergeCell ref="K38:L38"/>
    <mergeCell ref="B39:C39"/>
    <mergeCell ref="D39:E39"/>
    <mergeCell ref="K39:L39"/>
    <mergeCell ref="B44:C44"/>
    <mergeCell ref="D44:E44"/>
    <mergeCell ref="K44:L44"/>
    <mergeCell ref="B45:C45"/>
    <mergeCell ref="D45:E45"/>
    <mergeCell ref="K45:L45"/>
    <mergeCell ref="B42:C42"/>
    <mergeCell ref="D42:E42"/>
    <mergeCell ref="K42:L42"/>
    <mergeCell ref="B43:C43"/>
    <mergeCell ref="D43:E43"/>
    <mergeCell ref="K43:L43"/>
    <mergeCell ref="R64:S64"/>
    <mergeCell ref="B48:C48"/>
    <mergeCell ref="D48:E48"/>
    <mergeCell ref="K48:L48"/>
    <mergeCell ref="B49:C49"/>
    <mergeCell ref="D49:E49"/>
    <mergeCell ref="K49:L49"/>
    <mergeCell ref="B46:C46"/>
    <mergeCell ref="D46:E46"/>
    <mergeCell ref="K46:L46"/>
    <mergeCell ref="B47:C47"/>
    <mergeCell ref="D47:E47"/>
    <mergeCell ref="K47:L47"/>
    <mergeCell ref="Q58:R58"/>
    <mergeCell ref="B62:E62"/>
    <mergeCell ref="H62:L62"/>
    <mergeCell ref="B50:C50"/>
    <mergeCell ref="D50:E50"/>
    <mergeCell ref="K50:L50"/>
    <mergeCell ref="K52:L52"/>
    <mergeCell ref="H54:J54"/>
    <mergeCell ref="A57:F57"/>
    <mergeCell ref="Q57:T57"/>
    <mergeCell ref="Q59:V59"/>
  </mergeCells>
  <conditionalFormatting sqref="F14">
    <cfRule type="cellIs" dxfId="1478" priority="457" operator="greaterThan">
      <formula>$C$14+30</formula>
    </cfRule>
    <cfRule type="expression" dxfId="1477" priority="496">
      <formula>$F$14&gt;$F$9</formula>
    </cfRule>
    <cfRule type="expression" dxfId="1476" priority="502">
      <formula>$F$14&lt;$C$14</formula>
    </cfRule>
  </conditionalFormatting>
  <conditionalFormatting sqref="F9">
    <cfRule type="expression" dxfId="1475" priority="500">
      <formula>$F$14&lt;$C$14</formula>
    </cfRule>
  </conditionalFormatting>
  <conditionalFormatting sqref="C9">
    <cfRule type="expression" dxfId="1474" priority="497">
      <formula>"$C$9&gt;$C$14"</formula>
    </cfRule>
    <cfRule type="expression" dxfId="1473" priority="499">
      <formula>$F$14&lt;$C$14</formula>
    </cfRule>
  </conditionalFormatting>
  <conditionalFormatting sqref="I51">
    <cfRule type="expression" dxfId="1472" priority="498">
      <formula>WEEKDAY($A51,2)&gt;5</formula>
    </cfRule>
  </conditionalFormatting>
  <conditionalFormatting sqref="I51">
    <cfRule type="cellIs" dxfId="1471" priority="495" operator="lessThan">
      <formula>0</formula>
    </cfRule>
  </conditionalFormatting>
  <conditionalFormatting sqref="C14:D14">
    <cfRule type="expression" dxfId="1470" priority="462">
      <formula>"F14&gt;F9"</formula>
    </cfRule>
    <cfRule type="expression" dxfId="1469" priority="463">
      <formula>$C$14&lt;$C$9</formula>
    </cfRule>
    <cfRule type="expression" dxfId="1468" priority="493">
      <formula>$C$14&gt;$F$9</formula>
    </cfRule>
    <cfRule type="expression" dxfId="1467" priority="494">
      <formula>$F$14&lt;$C$9</formula>
    </cfRule>
  </conditionalFormatting>
  <conditionalFormatting sqref="G53">
    <cfRule type="expression" dxfId="1466" priority="492">
      <formula>ABS(SUM(#REF!))&gt;$A$61</formula>
    </cfRule>
  </conditionalFormatting>
  <conditionalFormatting sqref="I51 F20:J50">
    <cfRule type="expression" dxfId="1465" priority="503">
      <formula>AND(WEEKDAY($A20,2)=3,$I$6=FALSE)</formula>
    </cfRule>
    <cfRule type="expression" dxfId="1464" priority="504">
      <formula>AND(WEEKDAY($A20,2)=4,$I$8=TRUE)</formula>
    </cfRule>
    <cfRule type="expression" dxfId="1463" priority="505">
      <formula>AND(WEEKDAY($A20,2)=4,$I$8=FALSE)</formula>
    </cfRule>
    <cfRule type="expression" dxfId="1462" priority="506">
      <formula>AND(WEEKDAY($A20,2)=5,$I$10=TRUE)</formula>
    </cfRule>
    <cfRule type="expression" dxfId="1461" priority="507">
      <formula>AND(WEEKDAY($A20,2)=5,$G$14=FALSE)</formula>
    </cfRule>
  </conditionalFormatting>
  <conditionalFormatting sqref="I51 F20:J50">
    <cfRule type="expression" dxfId="1460" priority="508">
      <formula>AND(WEEKDAY($A20,2)=1,$I$2=TRUE)</formula>
    </cfRule>
    <cfRule type="expression" dxfId="1459" priority="509">
      <formula>AND(WEEKDAY($A20,2)=1,$I$2=FALSE)</formula>
    </cfRule>
    <cfRule type="expression" dxfId="1458" priority="510">
      <formula>AND(WEEKDAY($A20,2)=2,$I$4=TRUE)</formula>
    </cfRule>
    <cfRule type="expression" dxfId="1457" priority="511">
      <formula>AND(WEEKDAY($A20,2)=2,$I$4=FALSE)</formula>
    </cfRule>
    <cfRule type="expression" dxfId="1456" priority="512">
      <formula>AND(WEEKDAY($A20,2)=3,$I$6=TRUE)</formula>
    </cfRule>
  </conditionalFormatting>
  <conditionalFormatting sqref="K3:L3">
    <cfRule type="expression" dxfId="1455" priority="477">
      <formula>AND(I2=TRUE,$C$11&lt;&gt;($K$3+$K$5+$K$7+$K$9+$K$11))</formula>
    </cfRule>
    <cfRule type="expression" dxfId="1454" priority="478">
      <formula>(I2=TRUE)</formula>
    </cfRule>
    <cfRule type="expression" dxfId="1453" priority="479">
      <formula>AND(I2=FALSE,$K$3&gt;0)</formula>
    </cfRule>
  </conditionalFormatting>
  <conditionalFormatting sqref="K7:L7">
    <cfRule type="expression" dxfId="1452" priority="480">
      <formula>AND(I6=TRUE,$C$11&lt;&gt;($K$3+$K$5+$K$7+$K$9+$K$11))</formula>
    </cfRule>
    <cfRule type="expression" dxfId="1451" priority="481">
      <formula>(I6=TRUE)</formula>
    </cfRule>
    <cfRule type="expression" dxfId="1450" priority="482">
      <formula>AND(I6=FALSE,$K$7&gt;0)</formula>
    </cfRule>
  </conditionalFormatting>
  <conditionalFormatting sqref="K11:L11">
    <cfRule type="expression" dxfId="1449" priority="483">
      <formula>AND(I10=TRUE,$C$11&lt;&gt;($K$3+$K$5+$K$7+$K$9+$K$11))</formula>
    </cfRule>
    <cfRule type="expression" dxfId="1448" priority="484">
      <formula>(I10=TRUE)</formula>
    </cfRule>
    <cfRule type="expression" dxfId="1447" priority="485">
      <formula>AND(I10=FALSE,K11&gt;0)</formula>
    </cfRule>
  </conditionalFormatting>
  <conditionalFormatting sqref="K9:L9">
    <cfRule type="expression" dxfId="1446" priority="486">
      <formula>AND(I8=TRUE,$C$11&lt;&gt;($K$3+$K$5+$K$7+$K$9+$K$11))</formula>
    </cfRule>
    <cfRule type="expression" dxfId="1445" priority="487">
      <formula>(I8=TRUE)</formula>
    </cfRule>
    <cfRule type="expression" dxfId="1444" priority="488">
      <formula>AND(I8=FALSE,K9&gt;0)</formula>
    </cfRule>
  </conditionalFormatting>
  <conditionalFormatting sqref="K5:L5">
    <cfRule type="expression" dxfId="1443" priority="475">
      <formula>AND(I4=FALSE,K5&gt;0)</formula>
    </cfRule>
    <cfRule type="expression" dxfId="1442" priority="476">
      <formula>AND(I4=TRUE,$C$11&lt;&gt;($K$3+$K$5+$K$7+$K$9+$K$11))</formula>
    </cfRule>
    <cfRule type="expression" dxfId="1441" priority="489">
      <formula>($I$4=TRUE)</formula>
    </cfRule>
  </conditionalFormatting>
  <conditionalFormatting sqref="K51">
    <cfRule type="expression" dxfId="1440" priority="513">
      <formula>ABS(SUM(#REF!))&gt;$A$53</formula>
    </cfRule>
  </conditionalFormatting>
  <conditionalFormatting sqref="J52">
    <cfRule type="cellIs" dxfId="1439" priority="474" operator="lessThan">
      <formula>0</formula>
    </cfRule>
  </conditionalFormatting>
  <conditionalFormatting sqref="F20:F50">
    <cfRule type="expression" dxfId="1438" priority="473">
      <formula>WEEKDAY($A20,2)&gt;5</formula>
    </cfRule>
  </conditionalFormatting>
  <conditionalFormatting sqref="H20:I50">
    <cfRule type="expression" dxfId="1437" priority="472">
      <formula>WEEKDAY($A20,2)&gt;5</formula>
    </cfRule>
  </conditionalFormatting>
  <conditionalFormatting sqref="I20:I50">
    <cfRule type="cellIs" dxfId="1436" priority="471" operator="lessThan">
      <formula>0</formula>
    </cfRule>
  </conditionalFormatting>
  <conditionalFormatting sqref="J20:J50">
    <cfRule type="expression" dxfId="1435" priority="465">
      <formula>WEEKDAY($A20,2)&gt;5</formula>
    </cfRule>
  </conditionalFormatting>
  <conditionalFormatting sqref="J20:J50">
    <cfRule type="cellIs" dxfId="1434" priority="464" operator="lessThan">
      <formula>0</formula>
    </cfRule>
  </conditionalFormatting>
  <conditionalFormatting sqref="C14">
    <cfRule type="expression" dxfId="1433" priority="501">
      <formula>$C$14&lt;$C$9</formula>
    </cfRule>
  </conditionalFormatting>
  <conditionalFormatting sqref="G20:G50">
    <cfRule type="expression" dxfId="1432" priority="460">
      <formula>WEEKDAY($A20,2)&gt;5</formula>
    </cfRule>
  </conditionalFormatting>
  <conditionalFormatting sqref="G20:G50">
    <cfRule type="containsText" dxfId="1431" priority="459" operator="containsText" text="0,00">
      <formula>NOT(ISERROR(SEARCH("0,00",G20)))</formula>
    </cfRule>
  </conditionalFormatting>
  <conditionalFormatting sqref="H52">
    <cfRule type="cellIs" dxfId="1430" priority="437" operator="lessThan">
      <formula>0</formula>
    </cfRule>
  </conditionalFormatting>
  <conditionalFormatting sqref="Q93:Q94">
    <cfRule type="expression" dxfId="1429" priority="357">
      <formula>AND(WEEKDAY($A93,2)=3,$I$6=FALSE)</formula>
    </cfRule>
    <cfRule type="expression" dxfId="1428" priority="358">
      <formula>AND(WEEKDAY($A93,2)=4,$I$8=TRUE)</formula>
    </cfRule>
    <cfRule type="expression" dxfId="1427" priority="359">
      <formula>AND(WEEKDAY($A93,2)=4,$I$8=FALSE)</formula>
    </cfRule>
    <cfRule type="expression" dxfId="1426" priority="360">
      <formula>AND(WEEKDAY($A93,2)=5,$I$10=TRUE)</formula>
    </cfRule>
    <cfRule type="expression" dxfId="1425" priority="361">
      <formula>AND(WEEKDAY($A93,2)=5,$G$14=FALSE)</formula>
    </cfRule>
  </conditionalFormatting>
  <conditionalFormatting sqref="Q93:Q94">
    <cfRule type="expression" dxfId="1424" priority="362">
      <formula>AND(WEEKDAY($A93,2)=1,$I$2=TRUE)</formula>
    </cfRule>
    <cfRule type="expression" dxfId="1423" priority="363">
      <formula>AND(WEEKDAY($A93,2)=1,$I$2=FALSE)</formula>
    </cfRule>
    <cfRule type="expression" dxfId="1422" priority="364">
      <formula>AND(WEEKDAY($A93,2)=2,$I$4=TRUE)</formula>
    </cfRule>
    <cfRule type="expression" dxfId="1421" priority="365">
      <formula>AND(WEEKDAY($A93,2)=2,$I$4=FALSE)</formula>
    </cfRule>
    <cfRule type="expression" dxfId="1420" priority="366">
      <formula>AND(WEEKDAY($A93,2)=3,$I$6=TRUE)</formula>
    </cfRule>
  </conditionalFormatting>
  <conditionalFormatting sqref="Q93:Q94">
    <cfRule type="expression" dxfId="1419" priority="356">
      <formula>WEEKDAY($A93,2)&gt;5</formula>
    </cfRule>
  </conditionalFormatting>
  <conditionalFormatting sqref="U20:U50 Q81:Q92 P80 Q77:Q79">
    <cfRule type="expression" dxfId="1418" priority="334">
      <formula>AND(WEEKDAY($A20,2)=3,$I$6=FALSE)</formula>
    </cfRule>
    <cfRule type="expression" dxfId="1417" priority="335">
      <formula>AND(WEEKDAY($A20,2)=4,$I$8=TRUE)</formula>
    </cfRule>
    <cfRule type="expression" dxfId="1416" priority="336">
      <formula>AND(WEEKDAY($A20,2)=4,$I$8=FALSE)</formula>
    </cfRule>
    <cfRule type="expression" dxfId="1415" priority="337">
      <formula>AND(WEEKDAY($A20,2)=5,$I$10=TRUE)</formula>
    </cfRule>
    <cfRule type="expression" dxfId="1414" priority="338">
      <formula>AND(WEEKDAY($A20,2)=5,$G$14=FALSE)</formula>
    </cfRule>
  </conditionalFormatting>
  <conditionalFormatting sqref="U20:U50 Q81:Q92 P80 Q77:Q79">
    <cfRule type="expression" dxfId="1413" priority="339">
      <formula>AND(WEEKDAY($A20,2)=1,$I$2=TRUE)</formula>
    </cfRule>
    <cfRule type="expression" dxfId="1412" priority="340">
      <formula>AND(WEEKDAY($A20,2)=1,$I$2=FALSE)</formula>
    </cfRule>
    <cfRule type="expression" dxfId="1411" priority="341">
      <formula>AND(WEEKDAY($A20,2)=2,$I$4=TRUE)</formula>
    </cfRule>
    <cfRule type="expression" dxfId="1410" priority="342">
      <formula>AND(WEEKDAY($A20,2)=2,$I$4=FALSE)</formula>
    </cfRule>
    <cfRule type="expression" dxfId="1409" priority="343">
      <formula>AND(WEEKDAY($A20,2)=3,$I$6=TRUE)</formula>
    </cfRule>
  </conditionalFormatting>
  <conditionalFormatting sqref="U20:U50">
    <cfRule type="expression" dxfId="1408" priority="333">
      <formula>WEEKDAY($A20,2)&gt;5</formula>
    </cfRule>
  </conditionalFormatting>
  <conditionalFormatting sqref="U20:U50">
    <cfRule type="expression" dxfId="1407" priority="344">
      <formula>#REF!&lt;&gt;""</formula>
    </cfRule>
  </conditionalFormatting>
  <conditionalFormatting sqref="Q81:Q92 P80 Q77:Q79">
    <cfRule type="expression" dxfId="1406" priority="332">
      <formula>WEEKDAY($A77,2)&gt;5</formula>
    </cfRule>
  </conditionalFormatting>
  <conditionalFormatting sqref="Q80">
    <cfRule type="expression" dxfId="1405" priority="322">
      <formula>AND(WEEKDAY($A80,2)=3,$I$6=FALSE)</formula>
    </cfRule>
    <cfRule type="expression" dxfId="1404" priority="323">
      <formula>AND(WEEKDAY($A80,2)=4,$I$8=TRUE)</formula>
    </cfRule>
    <cfRule type="expression" dxfId="1403" priority="324">
      <formula>AND(WEEKDAY($A80,2)=4,$I$8=FALSE)</formula>
    </cfRule>
    <cfRule type="expression" dxfId="1402" priority="325">
      <formula>AND(WEEKDAY($A80,2)=5,$I$10=TRUE)</formula>
    </cfRule>
    <cfRule type="expression" dxfId="1401" priority="326">
      <formula>AND(WEEKDAY($A80,2)=5,$G$14=FALSE)</formula>
    </cfRule>
  </conditionalFormatting>
  <conditionalFormatting sqref="Q80">
    <cfRule type="expression" dxfId="1400" priority="327">
      <formula>AND(WEEKDAY($A80,2)=1,$I$2=TRUE)</formula>
    </cfRule>
    <cfRule type="expression" dxfId="1399" priority="328">
      <formula>AND(WEEKDAY($A80,2)=1,$I$2=FALSE)</formula>
    </cfRule>
    <cfRule type="expression" dxfId="1398" priority="329">
      <formula>AND(WEEKDAY($A80,2)=2,$I$4=TRUE)</formula>
    </cfRule>
    <cfRule type="expression" dxfId="1397" priority="330">
      <formula>AND(WEEKDAY($A80,2)=2,$I$4=FALSE)</formula>
    </cfRule>
    <cfRule type="expression" dxfId="1396" priority="331">
      <formula>AND(WEEKDAY($A80,2)=3,$I$6=TRUE)</formula>
    </cfRule>
  </conditionalFormatting>
  <conditionalFormatting sqref="Q80">
    <cfRule type="expression" dxfId="1395" priority="321">
      <formula>WEEKDAY($A80,2)&gt;5</formula>
    </cfRule>
  </conditionalFormatting>
  <conditionalFormatting sqref="C1">
    <cfRule type="expression" dxfId="1394" priority="154">
      <formula>ISBLANK($C$1)</formula>
    </cfRule>
  </conditionalFormatting>
  <conditionalFormatting sqref="C3">
    <cfRule type="expression" dxfId="1393" priority="153">
      <formula>ISBLANK($C$3)</formula>
    </cfRule>
  </conditionalFormatting>
  <conditionalFormatting sqref="C5">
    <cfRule type="expression" dxfId="1392" priority="152">
      <formula>ISBLANK($C$5)</formula>
    </cfRule>
  </conditionalFormatting>
  <conditionalFormatting sqref="C7">
    <cfRule type="expression" dxfId="1391" priority="151">
      <formula>ISBLANK($C$7)</formula>
    </cfRule>
  </conditionalFormatting>
  <conditionalFormatting sqref="B45:E45 B47:E47 B48:D50 A20:A50 B20:D23 B27:D30 B32:D37 B40:D43">
    <cfRule type="expression" dxfId="1390" priority="119">
      <formula>AND(WEEKDAY($A20,2)=3,$I$6=FALSE)</formula>
    </cfRule>
    <cfRule type="expression" dxfId="1389" priority="120">
      <formula>AND(WEEKDAY($A20,2)=4,$I$8=TRUE)</formula>
    </cfRule>
    <cfRule type="expression" dxfId="1388" priority="121">
      <formula>AND(WEEKDAY($A20,2)=4,$I$8=FALSE)</formula>
    </cfRule>
    <cfRule type="expression" dxfId="1387" priority="122">
      <formula>AND(WEEKDAY($A20,2)=5,$I$10=TRUE)</formula>
    </cfRule>
    <cfRule type="expression" dxfId="1386" priority="123">
      <formula>AND(WEEKDAY($A20,2)=5,$G$14=FALSE)</formula>
    </cfRule>
  </conditionalFormatting>
  <conditionalFormatting sqref="A20:E23 A27:E30 A24:A26 A32:E37 A31 A40:E43 A47:E50 A46 A45:E45 A44 A38:A39">
    <cfRule type="expression" dxfId="1385" priority="124">
      <formula>AND(WEEKDAY($A20,2)=1,$I$2=TRUE)</formula>
    </cfRule>
    <cfRule type="expression" dxfId="1384" priority="125">
      <formula>AND(WEEKDAY($A20,2)=1,$I$2=FALSE)</formula>
    </cfRule>
    <cfRule type="expression" dxfId="1383" priority="126">
      <formula>AND(WEEKDAY($A20,2)=2,$I$4=TRUE)</formula>
    </cfRule>
    <cfRule type="expression" dxfId="1382" priority="127">
      <formula>AND(WEEKDAY($A20,2)=2,$I$4=FALSE)</formula>
    </cfRule>
    <cfRule type="expression" dxfId="1381" priority="128">
      <formula>AND(WEEKDAY($A20,2)=3,$I$6=TRUE)</formula>
    </cfRule>
  </conditionalFormatting>
  <conditionalFormatting sqref="A20:E23 A27:E30 A24:A26 A32:E37 A31 A40:E43 A47:E50 A46 A45:E45 A44 A38:A39">
    <cfRule type="expression" dxfId="1380" priority="118">
      <formula>WEEKDAY($A20,2)&gt;5</formula>
    </cfRule>
  </conditionalFormatting>
  <conditionalFormatting sqref="D21:E21">
    <cfRule type="expression" dxfId="1379" priority="117">
      <formula>WEEKDAY($A21,2)&gt;5</formula>
    </cfRule>
  </conditionalFormatting>
  <conditionalFormatting sqref="D27:E27">
    <cfRule type="expression" dxfId="1378" priority="116">
      <formula>WEEKDAY($A27,2)&gt;5</formula>
    </cfRule>
  </conditionalFormatting>
  <conditionalFormatting sqref="D34:E34">
    <cfRule type="expression" dxfId="1377" priority="115">
      <formula>WEEKDAY($A34,2)&gt;5</formula>
    </cfRule>
  </conditionalFormatting>
  <conditionalFormatting sqref="D22:E22">
    <cfRule type="expression" dxfId="1376" priority="114">
      <formula>WEEKDAY($A22,2)&gt;5</formula>
    </cfRule>
  </conditionalFormatting>
  <conditionalFormatting sqref="D28:E28">
    <cfRule type="expression" dxfId="1375" priority="113">
      <formula>WEEKDAY($A28,2)&gt;5</formula>
    </cfRule>
  </conditionalFormatting>
  <conditionalFormatting sqref="D36:E36">
    <cfRule type="expression" dxfId="1374" priority="112">
      <formula>WEEKDAY($A36,2)&gt;5</formula>
    </cfRule>
  </conditionalFormatting>
  <conditionalFormatting sqref="D42:E42">
    <cfRule type="expression" dxfId="1373" priority="111">
      <formula>WEEKDAY($A42,2)&gt;5</formula>
    </cfRule>
  </conditionalFormatting>
  <conditionalFormatting sqref="D41:E41">
    <cfRule type="expression" dxfId="1372" priority="110">
      <formula>WEEKDAY($A41,2)&gt;5</formula>
    </cfRule>
  </conditionalFormatting>
  <conditionalFormatting sqref="D48:E48">
    <cfRule type="expression" dxfId="1371" priority="109">
      <formula>WEEKDAY($A48,2)&gt;5</formula>
    </cfRule>
  </conditionalFormatting>
  <conditionalFormatting sqref="D35:E35">
    <cfRule type="expression" dxfId="1370" priority="108">
      <formula>WEEKDAY($A35,2)&gt;5</formula>
    </cfRule>
  </conditionalFormatting>
  <conditionalFormatting sqref="D29:E29">
    <cfRule type="expression" dxfId="1369" priority="107">
      <formula>WEEKDAY($A29,2)&gt;5</formula>
    </cfRule>
  </conditionalFormatting>
  <conditionalFormatting sqref="D41:E41">
    <cfRule type="expression" dxfId="1368" priority="106">
      <formula>WEEKDAY($A41,2)&gt;5</formula>
    </cfRule>
  </conditionalFormatting>
  <conditionalFormatting sqref="D42:E42">
    <cfRule type="expression" dxfId="1367" priority="105">
      <formula>WEEKDAY($A42,2)&gt;5</formula>
    </cfRule>
  </conditionalFormatting>
  <conditionalFormatting sqref="D43:E43">
    <cfRule type="expression" dxfId="1366" priority="104">
      <formula>WEEKDAY($A43,2)&gt;5</formula>
    </cfRule>
  </conditionalFormatting>
  <conditionalFormatting sqref="D41:E41">
    <cfRule type="expression" dxfId="1365" priority="103">
      <formula>WEEKDAY($A41,2)&gt;5</formula>
    </cfRule>
  </conditionalFormatting>
  <conditionalFormatting sqref="D42:E42">
    <cfRule type="expression" dxfId="1364" priority="102">
      <formula>WEEKDAY($A42,2)&gt;5</formula>
    </cfRule>
  </conditionalFormatting>
  <conditionalFormatting sqref="D35:E35">
    <cfRule type="expression" dxfId="1363" priority="101">
      <formula>WEEKDAY($A35,2)&gt;5</formula>
    </cfRule>
  </conditionalFormatting>
  <conditionalFormatting sqref="D36:E36">
    <cfRule type="expression" dxfId="1362" priority="100">
      <formula>WEEKDAY($A36,2)&gt;5</formula>
    </cfRule>
  </conditionalFormatting>
  <conditionalFormatting sqref="D35:E35">
    <cfRule type="expression" dxfId="1361" priority="99">
      <formula>WEEKDAY($A35,2)&gt;5</formula>
    </cfRule>
  </conditionalFormatting>
  <conditionalFormatting sqref="D36:E36">
    <cfRule type="expression" dxfId="1360" priority="98">
      <formula>WEEKDAY($A36,2)&gt;5</formula>
    </cfRule>
  </conditionalFormatting>
  <conditionalFormatting sqref="D23:E23">
    <cfRule type="expression" dxfId="1359" priority="97">
      <formula>WEEKDAY($A23,2)&gt;5</formula>
    </cfRule>
  </conditionalFormatting>
  <conditionalFormatting sqref="D49:E49">
    <cfRule type="expression" dxfId="1358" priority="96">
      <formula>WEEKDAY($A49,2)&gt;5</formula>
    </cfRule>
  </conditionalFormatting>
  <conditionalFormatting sqref="D41:E41">
    <cfRule type="expression" dxfId="1357" priority="95">
      <formula>WEEKDAY($A41,2)&gt;5</formula>
    </cfRule>
  </conditionalFormatting>
  <conditionalFormatting sqref="D41:E41">
    <cfRule type="expression" dxfId="1356" priority="94">
      <formula>WEEKDAY($A41,2)&gt;5</formula>
    </cfRule>
  </conditionalFormatting>
  <conditionalFormatting sqref="D41:E41">
    <cfRule type="expression" dxfId="1355" priority="93">
      <formula>WEEKDAY($A41,2)&gt;5</formula>
    </cfRule>
  </conditionalFormatting>
  <conditionalFormatting sqref="A20:A50">
    <cfRule type="expression" dxfId="1354" priority="91">
      <formula>V20&lt;&gt;""</formula>
    </cfRule>
    <cfRule type="expression" dxfId="1353" priority="92">
      <formula>T20&lt;&gt;""</formula>
    </cfRule>
    <cfRule type="expression" dxfId="1352" priority="129">
      <formula>T20&lt;&gt;""</formula>
    </cfRule>
  </conditionalFormatting>
  <conditionalFormatting sqref="B20:B23 B27:B30 B32:B37 B40:B43 B47:B50 B45">
    <cfRule type="expression" dxfId="1351" priority="130">
      <formula>#REF!&lt;&gt;""</formula>
    </cfRule>
  </conditionalFormatting>
  <conditionalFormatting sqref="D29:E29">
    <cfRule type="expression" dxfId="1350" priority="90">
      <formula>WEEKDAY($A29,2)&gt;5</formula>
    </cfRule>
  </conditionalFormatting>
  <conditionalFormatting sqref="D30:E30">
    <cfRule type="expression" dxfId="1349" priority="89">
      <formula>WEEKDAY($A30,2)&gt;5</formula>
    </cfRule>
  </conditionalFormatting>
  <conditionalFormatting sqref="D36:E36">
    <cfRule type="expression" dxfId="1348" priority="87">
      <formula>WEEKDAY($A36,2)&gt;5</formula>
    </cfRule>
  </conditionalFormatting>
  <conditionalFormatting sqref="D37:E37">
    <cfRule type="expression" dxfId="1347" priority="86">
      <formula>WEEKDAY($A37,2)&gt;5</formula>
    </cfRule>
  </conditionalFormatting>
  <conditionalFormatting sqref="D42:E42">
    <cfRule type="expression" dxfId="1346" priority="84">
      <formula>WEEKDAY($A42,2)&gt;5</formula>
    </cfRule>
  </conditionalFormatting>
  <conditionalFormatting sqref="D43:E43">
    <cfRule type="expression" dxfId="1345" priority="83">
      <formula>WEEKDAY($A43,2)&gt;5</formula>
    </cfRule>
  </conditionalFormatting>
  <conditionalFormatting sqref="D33:E33">
    <cfRule type="expression" dxfId="1344" priority="81">
      <formula>WEEKDAY($A33,2)&gt;5</formula>
    </cfRule>
  </conditionalFormatting>
  <conditionalFormatting sqref="D40:E40">
    <cfRule type="expression" dxfId="1343" priority="80">
      <formula>WEEKDAY($A40,2)&gt;5</formula>
    </cfRule>
  </conditionalFormatting>
  <conditionalFormatting sqref="K20:K50">
    <cfRule type="expression" dxfId="1342" priority="70">
      <formula>AND(WEEKDAY($A20,2)=3,$I$6=FALSE)</formula>
    </cfRule>
    <cfRule type="expression" dxfId="1341" priority="71">
      <formula>AND(WEEKDAY($A20,2)=4,$I$8=TRUE)</formula>
    </cfRule>
    <cfRule type="expression" dxfId="1340" priority="72">
      <formula>AND(WEEKDAY($A20,2)=4,$I$8=FALSE)</formula>
    </cfRule>
    <cfRule type="expression" dxfId="1339" priority="73">
      <formula>AND(WEEKDAY($A20,2)=5,$I$10=TRUE)</formula>
    </cfRule>
    <cfRule type="expression" dxfId="1338" priority="74">
      <formula>AND(WEEKDAY($A20,2)=5,$G$14=FALSE)</formula>
    </cfRule>
  </conditionalFormatting>
  <conditionalFormatting sqref="K20:L50">
    <cfRule type="expression" dxfId="1337" priority="75">
      <formula>AND(WEEKDAY($A20,2)=1,$I$2=TRUE)</formula>
    </cfRule>
    <cfRule type="expression" dxfId="1336" priority="76">
      <formula>AND(WEEKDAY($A20,2)=1,$I$2=FALSE)</formula>
    </cfRule>
    <cfRule type="expression" dxfId="1335" priority="77">
      <formula>AND(WEEKDAY($A20,2)=2,$I$4=TRUE)</formula>
    </cfRule>
    <cfRule type="expression" dxfId="1334" priority="78">
      <formula>AND(WEEKDAY($A20,2)=2,$I$4=FALSE)</formula>
    </cfRule>
    <cfRule type="expression" dxfId="1333" priority="79">
      <formula>AND(WEEKDAY($A20,2)=3,$I$6=TRUE)</formula>
    </cfRule>
  </conditionalFormatting>
  <conditionalFormatting sqref="K20:L50">
    <cfRule type="containsText" dxfId="1332" priority="65" operator="containsText" text="Angaben überprüfen">
      <formula>NOT(ISERROR(SEARCH("Angaben überprüfen",K20)))</formula>
    </cfRule>
    <cfRule type="cellIs" dxfId="1331" priority="66" operator="equal">
      <formula>"30 min. Pause erforderlich"</formula>
    </cfRule>
    <cfRule type="expression" dxfId="1330" priority="69">
      <formula>WEEKDAY($A20,2)&gt;5</formula>
    </cfRule>
  </conditionalFormatting>
  <conditionalFormatting sqref="K20:L50">
    <cfRule type="expression" dxfId="1329" priority="68">
      <formula>WEEKDAY($A20,2)&gt;5</formula>
    </cfRule>
  </conditionalFormatting>
  <conditionalFormatting sqref="K20:L50">
    <cfRule type="expression" dxfId="1328" priority="67">
      <formula>WEEKDAY($A20,2)&gt;5</formula>
    </cfRule>
  </conditionalFormatting>
  <conditionalFormatting sqref="B17:K17">
    <cfRule type="expression" dxfId="1327" priority="63">
      <formula>ISBLANK($C$14)</formula>
    </cfRule>
  </conditionalFormatting>
  <conditionalFormatting sqref="B24:E24 B26:E26 B25:D25">
    <cfRule type="expression" dxfId="1326" priority="52">
      <formula>AND(WEEKDAY($A24,2)=3,$I$6=FALSE)</formula>
    </cfRule>
    <cfRule type="expression" dxfId="1325" priority="53">
      <formula>AND(WEEKDAY($A24,2)=4,$I$8=TRUE)</formula>
    </cfRule>
    <cfRule type="expression" dxfId="1324" priority="54">
      <formula>AND(WEEKDAY($A24,2)=4,$I$8=FALSE)</formula>
    </cfRule>
    <cfRule type="expression" dxfId="1323" priority="55">
      <formula>AND(WEEKDAY($A24,2)=5,$I$10=TRUE)</formula>
    </cfRule>
    <cfRule type="expression" dxfId="1322" priority="56">
      <formula>AND(WEEKDAY($A24,2)=5,$G$14=FALSE)</formula>
    </cfRule>
  </conditionalFormatting>
  <conditionalFormatting sqref="B24:E26">
    <cfRule type="expression" dxfId="1321" priority="57">
      <formula>AND(WEEKDAY($A24,2)=1,$I$2=TRUE)</formula>
    </cfRule>
    <cfRule type="expression" dxfId="1320" priority="58">
      <formula>AND(WEEKDAY($A24,2)=1,$I$2=FALSE)</formula>
    </cfRule>
    <cfRule type="expression" dxfId="1319" priority="59">
      <formula>AND(WEEKDAY($A24,2)=2,$I$4=TRUE)</formula>
    </cfRule>
    <cfRule type="expression" dxfId="1318" priority="60">
      <formula>AND(WEEKDAY($A24,2)=2,$I$4=FALSE)</formula>
    </cfRule>
    <cfRule type="expression" dxfId="1317" priority="61">
      <formula>AND(WEEKDAY($A24,2)=3,$I$6=TRUE)</formula>
    </cfRule>
  </conditionalFormatting>
  <conditionalFormatting sqref="B24:E26">
    <cfRule type="expression" dxfId="1316" priority="51">
      <formula>WEEKDAY($A24,2)&gt;5</formula>
    </cfRule>
  </conditionalFormatting>
  <conditionalFormatting sqref="B24:B26">
    <cfRule type="expression" dxfId="1315" priority="62">
      <formula>#REF!&lt;&gt;""</formula>
    </cfRule>
  </conditionalFormatting>
  <conditionalFormatting sqref="C11:D11">
    <cfRule type="expression" dxfId="1314" priority="49">
      <formula>ISBLANK($C$11)</formula>
    </cfRule>
    <cfRule type="expression" dxfId="1313" priority="50">
      <formula>($C$11/24)&lt;&gt;$M$3</formula>
    </cfRule>
  </conditionalFormatting>
  <conditionalFormatting sqref="B31:D31">
    <cfRule type="expression" dxfId="1312" priority="38">
      <formula>AND(WEEKDAY($A31,2)=3,$I$6=FALSE)</formula>
    </cfRule>
    <cfRule type="expression" dxfId="1311" priority="39">
      <formula>AND(WEEKDAY($A31,2)=4,$I$8=TRUE)</formula>
    </cfRule>
    <cfRule type="expression" dxfId="1310" priority="40">
      <formula>AND(WEEKDAY($A31,2)=4,$I$8=FALSE)</formula>
    </cfRule>
    <cfRule type="expression" dxfId="1309" priority="41">
      <formula>AND(WEEKDAY($A31,2)=5,$I$10=TRUE)</formula>
    </cfRule>
    <cfRule type="expression" dxfId="1308" priority="42">
      <formula>AND(WEEKDAY($A31,2)=5,$G$14=FALSE)</formula>
    </cfRule>
  </conditionalFormatting>
  <conditionalFormatting sqref="B31:E31">
    <cfRule type="expression" dxfId="1307" priority="43">
      <formula>AND(WEEKDAY($A31,2)=1,$I$2=TRUE)</formula>
    </cfRule>
    <cfRule type="expression" dxfId="1306" priority="44">
      <formula>AND(WEEKDAY($A31,2)=1,$I$2=FALSE)</formula>
    </cfRule>
    <cfRule type="expression" dxfId="1305" priority="45">
      <formula>AND(WEEKDAY($A31,2)=2,$I$4=TRUE)</formula>
    </cfRule>
    <cfRule type="expression" dxfId="1304" priority="46">
      <formula>AND(WEEKDAY($A31,2)=2,$I$4=FALSE)</formula>
    </cfRule>
    <cfRule type="expression" dxfId="1303" priority="47">
      <formula>AND(WEEKDAY($A31,2)=3,$I$6=TRUE)</formula>
    </cfRule>
  </conditionalFormatting>
  <conditionalFormatting sqref="B31:E31">
    <cfRule type="expression" dxfId="1302" priority="37">
      <formula>WEEKDAY($A31,2)&gt;5</formula>
    </cfRule>
  </conditionalFormatting>
  <conditionalFormatting sqref="B31">
    <cfRule type="expression" dxfId="1301" priority="48">
      <formula>#REF!&lt;&gt;""</formula>
    </cfRule>
  </conditionalFormatting>
  <conditionalFormatting sqref="B38:D39">
    <cfRule type="expression" dxfId="1300" priority="26">
      <formula>AND(WEEKDAY($A38,2)=3,$I$6=FALSE)</formula>
    </cfRule>
    <cfRule type="expression" dxfId="1299" priority="27">
      <formula>AND(WEEKDAY($A38,2)=4,$I$8=TRUE)</formula>
    </cfRule>
    <cfRule type="expression" dxfId="1298" priority="28">
      <formula>AND(WEEKDAY($A38,2)=4,$I$8=FALSE)</formula>
    </cfRule>
    <cfRule type="expression" dxfId="1297" priority="29">
      <formula>AND(WEEKDAY($A38,2)=5,$I$10=TRUE)</formula>
    </cfRule>
    <cfRule type="expression" dxfId="1296" priority="30">
      <formula>AND(WEEKDAY($A38,2)=5,$G$14=FALSE)</formula>
    </cfRule>
  </conditionalFormatting>
  <conditionalFormatting sqref="B38:E39">
    <cfRule type="expression" dxfId="1295" priority="31">
      <formula>AND(WEEKDAY($A38,2)=1,$I$2=TRUE)</formula>
    </cfRule>
    <cfRule type="expression" dxfId="1294" priority="32">
      <formula>AND(WEEKDAY($A38,2)=1,$I$2=FALSE)</formula>
    </cfRule>
    <cfRule type="expression" dxfId="1293" priority="33">
      <formula>AND(WEEKDAY($A38,2)=2,$I$4=TRUE)</formula>
    </cfRule>
    <cfRule type="expression" dxfId="1292" priority="34">
      <formula>AND(WEEKDAY($A38,2)=2,$I$4=FALSE)</formula>
    </cfRule>
    <cfRule type="expression" dxfId="1291" priority="35">
      <formula>AND(WEEKDAY($A38,2)=3,$I$6=TRUE)</formula>
    </cfRule>
  </conditionalFormatting>
  <conditionalFormatting sqref="B38:E39">
    <cfRule type="expression" dxfId="1290" priority="25">
      <formula>WEEKDAY($A38,2)&gt;5</formula>
    </cfRule>
  </conditionalFormatting>
  <conditionalFormatting sqref="B38:B39">
    <cfRule type="expression" dxfId="1289" priority="36">
      <formula>#REF!&lt;&gt;""</formula>
    </cfRule>
  </conditionalFormatting>
  <conditionalFormatting sqref="B46:D46">
    <cfRule type="expression" dxfId="1288" priority="14">
      <formula>AND(WEEKDAY($A46,2)=3,$I$6=FALSE)</formula>
    </cfRule>
    <cfRule type="expression" dxfId="1287" priority="15">
      <formula>AND(WEEKDAY($A46,2)=4,$I$8=TRUE)</formula>
    </cfRule>
    <cfRule type="expression" dxfId="1286" priority="16">
      <formula>AND(WEEKDAY($A46,2)=4,$I$8=FALSE)</formula>
    </cfRule>
    <cfRule type="expression" dxfId="1285" priority="17">
      <formula>AND(WEEKDAY($A46,2)=5,$I$10=TRUE)</formula>
    </cfRule>
    <cfRule type="expression" dxfId="1284" priority="18">
      <formula>AND(WEEKDAY($A46,2)=5,$G$14=FALSE)</formula>
    </cfRule>
  </conditionalFormatting>
  <conditionalFormatting sqref="B46:E46">
    <cfRule type="expression" dxfId="1283" priority="19">
      <formula>AND(WEEKDAY($A46,2)=1,$I$2=TRUE)</formula>
    </cfRule>
    <cfRule type="expression" dxfId="1282" priority="20">
      <formula>AND(WEEKDAY($A46,2)=1,$I$2=FALSE)</formula>
    </cfRule>
    <cfRule type="expression" dxfId="1281" priority="21">
      <formula>AND(WEEKDAY($A46,2)=2,$I$4=TRUE)</formula>
    </cfRule>
    <cfRule type="expression" dxfId="1280" priority="22">
      <formula>AND(WEEKDAY($A46,2)=2,$I$4=FALSE)</formula>
    </cfRule>
    <cfRule type="expression" dxfId="1279" priority="23">
      <formula>AND(WEEKDAY($A46,2)=3,$I$6=TRUE)</formula>
    </cfRule>
  </conditionalFormatting>
  <conditionalFormatting sqref="B46:E46">
    <cfRule type="expression" dxfId="1278" priority="13">
      <formula>WEEKDAY($A46,2)&gt;5</formula>
    </cfRule>
  </conditionalFormatting>
  <conditionalFormatting sqref="B46">
    <cfRule type="expression" dxfId="1277" priority="24">
      <formula>#REF!&lt;&gt;""</formula>
    </cfRule>
  </conditionalFormatting>
  <conditionalFormatting sqref="B44:D44">
    <cfRule type="expression" dxfId="1276" priority="2">
      <formula>AND(WEEKDAY($A44,2)=3,$I$6=FALSE)</formula>
    </cfRule>
    <cfRule type="expression" dxfId="1275" priority="3">
      <formula>AND(WEEKDAY($A44,2)=4,$I$8=TRUE)</formula>
    </cfRule>
    <cfRule type="expression" dxfId="1274" priority="4">
      <formula>AND(WEEKDAY($A44,2)=4,$I$8=FALSE)</formula>
    </cfRule>
    <cfRule type="expression" dxfId="1273" priority="5">
      <formula>AND(WEEKDAY($A44,2)=5,$I$10=TRUE)</formula>
    </cfRule>
    <cfRule type="expression" dxfId="1272" priority="6">
      <formula>AND(WEEKDAY($A44,2)=5,$G$14=FALSE)</formula>
    </cfRule>
  </conditionalFormatting>
  <conditionalFormatting sqref="B44:E44">
    <cfRule type="expression" dxfId="1271" priority="7">
      <formula>AND(WEEKDAY($A44,2)=1,$I$2=TRUE)</formula>
    </cfRule>
    <cfRule type="expression" dxfId="1270" priority="8">
      <formula>AND(WEEKDAY($A44,2)=1,$I$2=FALSE)</formula>
    </cfRule>
    <cfRule type="expression" dxfId="1269" priority="9">
      <formula>AND(WEEKDAY($A44,2)=2,$I$4=TRUE)</formula>
    </cfRule>
    <cfRule type="expression" dxfId="1268" priority="10">
      <formula>AND(WEEKDAY($A44,2)=2,$I$4=FALSE)</formula>
    </cfRule>
    <cfRule type="expression" dxfId="1267" priority="11">
      <formula>AND(WEEKDAY($A44,2)=3,$I$6=TRUE)</formula>
    </cfRule>
  </conditionalFormatting>
  <conditionalFormatting sqref="B44:E44">
    <cfRule type="expression" dxfId="1266" priority="1">
      <formula>WEEKDAY($A44,2)&gt;5</formula>
    </cfRule>
  </conditionalFormatting>
  <conditionalFormatting sqref="B44">
    <cfRule type="expression" dxfId="1265" priority="12">
      <formula>#REF!&lt;&gt;""</formula>
    </cfRule>
  </conditionalFormatting>
  <dataValidations count="5">
    <dataValidation type="time" errorStyle="warning" allowBlank="1" showInputMessage="1" showErrorMessage="1" error="Außerhalb des Arbeitszeitrahmens" sqref="B20:E50">
      <formula1>0.25</formula1>
      <formula2>0.958333333333333</formula2>
    </dataValidation>
    <dataValidation type="textLength" operator="greaterThan" allowBlank="1" showInputMessage="1" showErrorMessage="1" errorTitle="Arbeitszeitkonto beendet" error="Ihr Arbeitszeitkonto überschreitet 12 Monate und ist damit beendet. Bitte erstellen Sie ein neues Konto." sqref="G16:L16">
      <formula1>40</formula1>
    </dataValidation>
    <dataValidation type="decimal" allowBlank="1" showInputMessage="1" showErrorMessage="1" errorTitle="Falsches Zahlenformat" error="Bitte nur ganze Zahlen oder Dezimal eingeben." promptTitle="                 INFO" prompt="_x000a_Beim Ausfüllen unbedingt den Leitfaden zum Arbeitszeitkonto beachten_x000a_ -Siehe Hilfebutton" sqref="C11:D11">
      <formula1>1</formula1>
      <formula2>40</formula2>
    </dataValidation>
    <dataValidation type="decimal" allowBlank="1" showInputMessage="1" showErrorMessage="1" errorTitle="Achtung" error="Kein Dezimalwert" sqref="K3:L11">
      <formula1>0.25</formula1>
      <formula2>24</formula2>
    </dataValidation>
    <dataValidation type="date" allowBlank="1" showInputMessage="1" showErrorMessage="1" error="Kein gültiges Datum" prompt="TT.MM.JJJJ" sqref="C9:D9 F9 C14:D14 F14">
      <formula1>40178</formula1>
      <formula2>71588</formula2>
    </dataValidation>
  </dataValidations>
  <pageMargins left="0.7" right="0.53156250000000005" top="1.6752083333333334" bottom="0.28125" header="0.47125" footer="0.3"/>
  <pageSetup paperSize="9" scale="87" orientation="portrait" r:id="rId1"/>
  <headerFooter>
    <oddHeader>&amp;L&amp;"BO Regular Bold,Fett"&amp;12Stundennachweis&amp;"-,Standard"&amp;10
&amp;"BO Regular Normal,Standard"nach §17 MiLoG
für SHK, WHK, studentische Aushilfskräfte TV-L 
und geringfügig Beschäftigte&amp;R&amp;G</oddHeader>
  </headerFooter>
  <ignoredErrors>
    <ignoredError sqref="C1:F7 K20:L50" unlockedFormula="1"/>
  </ignoredError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8193" r:id="rId5" name="Check Box 1">
              <controlPr locked="0" defaultSize="0" autoFill="0" autoLine="0" autoPict="0">
                <anchor moveWithCells="1">
                  <from>
                    <xdr:col>7</xdr:col>
                    <xdr:colOff>314325</xdr:colOff>
                    <xdr:row>1</xdr:row>
                    <xdr:rowOff>76200</xdr:rowOff>
                  </from>
                  <to>
                    <xdr:col>10</xdr:col>
                    <xdr:colOff>133350</xdr:colOff>
                    <xdr:row>3</xdr:row>
                    <xdr:rowOff>19050</xdr:rowOff>
                  </to>
                </anchor>
              </controlPr>
            </control>
          </mc:Choice>
        </mc:AlternateContent>
        <mc:AlternateContent xmlns:mc="http://schemas.openxmlformats.org/markup-compatibility/2006">
          <mc:Choice Requires="x14">
            <control shapeId="8194" r:id="rId6" name="Check Box 2">
              <controlPr locked="0" defaultSize="0" autoFill="0" autoLine="0" autoPict="0">
                <anchor moveWithCells="1">
                  <from>
                    <xdr:col>7</xdr:col>
                    <xdr:colOff>314325</xdr:colOff>
                    <xdr:row>3</xdr:row>
                    <xdr:rowOff>85725</xdr:rowOff>
                  </from>
                  <to>
                    <xdr:col>10</xdr:col>
                    <xdr:colOff>133350</xdr:colOff>
                    <xdr:row>5</xdr:row>
                    <xdr:rowOff>9525</xdr:rowOff>
                  </to>
                </anchor>
              </controlPr>
            </control>
          </mc:Choice>
        </mc:AlternateContent>
        <mc:AlternateContent xmlns:mc="http://schemas.openxmlformats.org/markup-compatibility/2006">
          <mc:Choice Requires="x14">
            <control shapeId="8195" r:id="rId7" name="Check Box 3">
              <controlPr locked="0" defaultSize="0" autoFill="0" autoLine="0" autoPict="0">
                <anchor moveWithCells="1">
                  <from>
                    <xdr:col>7</xdr:col>
                    <xdr:colOff>314325</xdr:colOff>
                    <xdr:row>5</xdr:row>
                    <xdr:rowOff>85725</xdr:rowOff>
                  </from>
                  <to>
                    <xdr:col>10</xdr:col>
                    <xdr:colOff>133350</xdr:colOff>
                    <xdr:row>7</xdr:row>
                    <xdr:rowOff>0</xdr:rowOff>
                  </to>
                </anchor>
              </controlPr>
            </control>
          </mc:Choice>
        </mc:AlternateContent>
        <mc:AlternateContent xmlns:mc="http://schemas.openxmlformats.org/markup-compatibility/2006">
          <mc:Choice Requires="x14">
            <control shapeId="8196" r:id="rId8" name="Check Box 4">
              <controlPr locked="0" defaultSize="0" autoFill="0" autoLine="0" autoPict="0">
                <anchor moveWithCells="1">
                  <from>
                    <xdr:col>7</xdr:col>
                    <xdr:colOff>314325</xdr:colOff>
                    <xdr:row>7</xdr:row>
                    <xdr:rowOff>85725</xdr:rowOff>
                  </from>
                  <to>
                    <xdr:col>10</xdr:col>
                    <xdr:colOff>133350</xdr:colOff>
                    <xdr:row>9</xdr:row>
                    <xdr:rowOff>9525</xdr:rowOff>
                  </to>
                </anchor>
              </controlPr>
            </control>
          </mc:Choice>
        </mc:AlternateContent>
        <mc:AlternateContent xmlns:mc="http://schemas.openxmlformats.org/markup-compatibility/2006">
          <mc:Choice Requires="x14">
            <control shapeId="8197" r:id="rId9" name="Check Box 5">
              <controlPr locked="0" defaultSize="0" autoFill="0" autoLine="0" autoPict="0">
                <anchor moveWithCells="1">
                  <from>
                    <xdr:col>7</xdr:col>
                    <xdr:colOff>314325</xdr:colOff>
                    <xdr:row>9</xdr:row>
                    <xdr:rowOff>85725</xdr:rowOff>
                  </from>
                  <to>
                    <xdr:col>10</xdr:col>
                    <xdr:colOff>133350</xdr:colOff>
                    <xdr:row>11</xdr:row>
                    <xdr:rowOff>9525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64" operator="containsText" id="{B8A54AB5-316C-4565-A016-5DCDD7723BC3}">
            <xm:f>NOT(ISERROR(SEARCH("45 min. Pause erforderlich",K20)))</xm:f>
            <xm:f>"45 min. Pause erforderlich"</xm:f>
            <x14:dxf>
              <font>
                <b/>
                <i val="0"/>
                <color rgb="FFA50021"/>
              </font>
            </x14:dxf>
          </x14:cfRule>
          <xm:sqref>K20:L50</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6"/>
  <dimension ref="A1:V95"/>
  <sheetViews>
    <sheetView showGridLines="0" showRowColHeaders="0" view="pageLayout" workbookViewId="0">
      <selection activeCell="C11" sqref="C11:D11"/>
    </sheetView>
  </sheetViews>
  <sheetFormatPr baseColWidth="10" defaultColWidth="12.42578125" defaultRowHeight="15"/>
  <cols>
    <col min="1" max="1" width="10.5703125" customWidth="1"/>
    <col min="2" max="2" width="10" customWidth="1"/>
    <col min="3" max="3" width="5" customWidth="1"/>
    <col min="4" max="4" width="6" customWidth="1"/>
    <col min="5" max="5" width="10.7109375" customWidth="1"/>
    <col min="6" max="6" width="12.140625" customWidth="1"/>
    <col min="7" max="7" width="7.7109375" customWidth="1"/>
    <col min="8" max="8" width="9.85546875" customWidth="1"/>
    <col min="9" max="9" width="6.5703125" hidden="1" customWidth="1"/>
    <col min="10" max="10" width="11.5703125" customWidth="1"/>
    <col min="11" max="11" width="11.140625" customWidth="1"/>
    <col min="12" max="12" width="8.140625" customWidth="1"/>
    <col min="13" max="13" width="5.28515625" style="37" hidden="1" customWidth="1"/>
    <col min="14" max="14" width="5.42578125" style="33" hidden="1" customWidth="1"/>
    <col min="15" max="15" width="14.5703125" hidden="1" customWidth="1"/>
    <col min="16" max="16" width="9.28515625" hidden="1" customWidth="1"/>
    <col min="17" max="17" width="8.42578125" hidden="1" customWidth="1"/>
    <col min="18" max="18" width="7.140625" hidden="1" customWidth="1"/>
    <col min="19" max="21" width="12.42578125" hidden="1" customWidth="1"/>
    <col min="22" max="22" width="1.140625" hidden="1" customWidth="1"/>
    <col min="23" max="16353" width="12.42578125" customWidth="1"/>
    <col min="16354" max="16354" width="3.7109375" customWidth="1"/>
    <col min="16355" max="16384" width="4.42578125" customWidth="1"/>
  </cols>
  <sheetData>
    <row r="1" spans="1:20" s="2" customFormat="1" ht="18" customHeight="1">
      <c r="A1" s="254" t="s">
        <v>0</v>
      </c>
      <c r="B1" s="254"/>
      <c r="C1" s="255" t="str">
        <f>IF('Blatt 1'!C1:F1="","",'Blatt 1'!C1:F1)</f>
        <v/>
      </c>
      <c r="D1" s="255"/>
      <c r="E1" s="255"/>
      <c r="F1" s="255"/>
      <c r="G1" s="1"/>
      <c r="H1" s="260" t="s">
        <v>1</v>
      </c>
      <c r="I1" s="260"/>
      <c r="J1" s="260"/>
      <c r="K1" s="259" t="s">
        <v>2</v>
      </c>
      <c r="L1" s="259"/>
      <c r="M1" s="253" t="s">
        <v>3</v>
      </c>
      <c r="N1" s="253"/>
      <c r="O1" s="253"/>
    </row>
    <row r="2" spans="1:20" ht="7.5" customHeight="1">
      <c r="A2" s="80"/>
      <c r="B2" s="80"/>
      <c r="C2" s="61"/>
      <c r="D2" s="61"/>
      <c r="E2" s="61"/>
      <c r="F2" s="61"/>
      <c r="G2" s="3"/>
      <c r="H2" s="3"/>
      <c r="I2" s="6" t="b">
        <v>0</v>
      </c>
      <c r="J2" s="3"/>
      <c r="K2" s="3"/>
      <c r="M2" s="143"/>
      <c r="N2" s="212"/>
    </row>
    <row r="3" spans="1:20" s="2" customFormat="1" ht="15.75">
      <c r="A3" s="254" t="s">
        <v>4</v>
      </c>
      <c r="B3" s="254"/>
      <c r="C3" s="255" t="str">
        <f>IF('Blatt 1'!C3:F3="","",'Blatt 1'!C3:F3)</f>
        <v/>
      </c>
      <c r="D3" s="255"/>
      <c r="E3" s="255"/>
      <c r="F3" s="255"/>
      <c r="H3" s="47"/>
      <c r="I3" s="55"/>
      <c r="J3" s="8"/>
      <c r="K3" s="323"/>
      <c r="L3" s="323"/>
      <c r="M3" s="9">
        <f>($K$3+$K$5+$K$7+$K$9+$K$11)/24</f>
        <v>0</v>
      </c>
      <c r="N3" s="10"/>
    </row>
    <row r="4" spans="1:20" ht="7.5" customHeight="1">
      <c r="A4" s="80"/>
      <c r="B4" s="80"/>
      <c r="C4" s="62"/>
      <c r="D4" s="62"/>
      <c r="E4" s="62"/>
      <c r="F4" s="62"/>
      <c r="H4" s="3"/>
      <c r="I4" s="6" t="b">
        <v>0</v>
      </c>
      <c r="J4" s="3"/>
      <c r="K4" s="73"/>
      <c r="L4" s="74"/>
      <c r="M4" s="143"/>
      <c r="N4" s="212"/>
    </row>
    <row r="5" spans="1:20" s="2" customFormat="1" ht="15.75">
      <c r="A5" s="254" t="s">
        <v>5</v>
      </c>
      <c r="B5" s="254"/>
      <c r="C5" s="256" t="str">
        <f>IF('Blatt 1'!C5:F5="","",'Blatt 1'!C5:F5)</f>
        <v/>
      </c>
      <c r="D5" s="255"/>
      <c r="E5" s="255"/>
      <c r="F5" s="255"/>
      <c r="H5" s="47"/>
      <c r="I5" s="55"/>
      <c r="J5" s="8"/>
      <c r="K5" s="300"/>
      <c r="L5" s="300"/>
      <c r="M5" s="143"/>
      <c r="N5" s="212"/>
    </row>
    <row r="6" spans="1:20" ht="7.5" customHeight="1">
      <c r="A6" s="80"/>
      <c r="B6" s="80"/>
      <c r="C6" s="62"/>
      <c r="D6" s="62"/>
      <c r="E6" s="62"/>
      <c r="F6" s="62"/>
      <c r="H6" s="3"/>
      <c r="I6" s="6" t="b">
        <v>0</v>
      </c>
      <c r="J6" s="3"/>
      <c r="K6" s="73"/>
      <c r="L6" s="74"/>
      <c r="M6" s="143"/>
      <c r="N6" s="212"/>
    </row>
    <row r="7" spans="1:20" s="2" customFormat="1" ht="15.75">
      <c r="A7" s="254" t="s">
        <v>6</v>
      </c>
      <c r="B7" s="254"/>
      <c r="C7" s="258" t="str">
        <f>IF('Blatt 1'!C7:F7="","",'Blatt 1'!C7:F7)</f>
        <v/>
      </c>
      <c r="D7" s="258"/>
      <c r="E7" s="258"/>
      <c r="F7" s="258"/>
      <c r="H7" s="11"/>
      <c r="I7" s="55"/>
      <c r="J7" s="11"/>
      <c r="K7" s="300"/>
      <c r="L7" s="300"/>
      <c r="M7" s="143"/>
      <c r="N7" s="212"/>
    </row>
    <row r="8" spans="1:20" ht="7.5" customHeight="1">
      <c r="A8" s="80"/>
      <c r="B8" s="80"/>
      <c r="C8" s="62"/>
      <c r="D8" s="62"/>
      <c r="E8" s="62"/>
      <c r="F8" s="62"/>
      <c r="H8" s="3"/>
      <c r="I8" s="6" t="b">
        <v>0</v>
      </c>
      <c r="J8" s="3"/>
      <c r="K8" s="73"/>
      <c r="L8" s="74"/>
      <c r="M8" s="143"/>
      <c r="N8" s="212"/>
    </row>
    <row r="9" spans="1:20" ht="15.75">
      <c r="A9" s="254" t="s">
        <v>146</v>
      </c>
      <c r="B9" s="254"/>
      <c r="C9" s="265"/>
      <c r="D9" s="265"/>
      <c r="E9" s="82" t="s">
        <v>7</v>
      </c>
      <c r="F9" s="105"/>
      <c r="H9" s="3"/>
      <c r="I9" s="55"/>
      <c r="J9" s="3"/>
      <c r="K9" s="300"/>
      <c r="L9" s="300"/>
      <c r="M9" s="143"/>
      <c r="N9" s="212"/>
    </row>
    <row r="10" spans="1:20" ht="7.5" customHeight="1">
      <c r="A10" s="80"/>
      <c r="B10" s="80"/>
      <c r="C10" s="62"/>
      <c r="D10" s="62"/>
      <c r="E10" s="80"/>
      <c r="F10" s="62"/>
      <c r="H10" s="3"/>
      <c r="I10" s="12" t="b">
        <v>0</v>
      </c>
      <c r="J10" s="3"/>
      <c r="K10" s="73"/>
      <c r="L10" s="74"/>
      <c r="M10" s="143"/>
      <c r="N10" s="212"/>
    </row>
    <row r="11" spans="1:20" ht="15.75">
      <c r="A11" s="254" t="s">
        <v>8</v>
      </c>
      <c r="B11" s="254"/>
      <c r="C11" s="267"/>
      <c r="D11" s="267"/>
      <c r="E11" s="83" t="s">
        <v>9</v>
      </c>
      <c r="F11" s="64"/>
      <c r="H11" s="3"/>
      <c r="I11" s="12"/>
      <c r="J11" s="3"/>
      <c r="K11" s="300"/>
      <c r="L11" s="300"/>
      <c r="M11" s="143"/>
      <c r="N11" s="212"/>
      <c r="S11" s="146"/>
      <c r="T11" s="146"/>
    </row>
    <row r="12" spans="1:20" ht="7.5" customHeight="1">
      <c r="A12" s="211"/>
      <c r="B12" s="211"/>
      <c r="C12" s="65"/>
      <c r="D12" s="65"/>
      <c r="E12" s="84"/>
      <c r="F12" s="51"/>
      <c r="H12" s="50"/>
      <c r="I12" s="55"/>
      <c r="J12" s="3"/>
      <c r="K12" s="50"/>
      <c r="L12" s="50"/>
      <c r="M12" s="143"/>
      <c r="N12" s="212"/>
      <c r="S12" s="146"/>
    </row>
    <row r="13" spans="1:20" ht="4.5" customHeight="1">
      <c r="A13" s="254"/>
      <c r="B13" s="254"/>
      <c r="C13" s="65"/>
      <c r="D13" s="65"/>
      <c r="E13" s="80"/>
      <c r="F13" s="62"/>
      <c r="H13" s="3"/>
      <c r="I13" s="55"/>
      <c r="J13" s="3"/>
      <c r="M13" s="143"/>
      <c r="N13" s="212"/>
    </row>
    <row r="14" spans="1:20" ht="16.5" customHeight="1">
      <c r="A14" s="305" t="s">
        <v>141</v>
      </c>
      <c r="B14" s="305"/>
      <c r="C14" s="306"/>
      <c r="D14" s="306"/>
      <c r="E14" s="196" t="s">
        <v>7</v>
      </c>
      <c r="F14" s="213"/>
      <c r="G14" s="52" t="b">
        <v>0</v>
      </c>
      <c r="H14" s="320" t="str">
        <f>IF($C$14="","",IF(AND($O$16&lt;&gt;$C$14,$O$16&lt;$F$9),"Achtung! Stundennachweis unterbrochen",""))</f>
        <v/>
      </c>
      <c r="I14" s="320"/>
      <c r="J14" s="320"/>
      <c r="K14" s="320"/>
      <c r="L14" s="320"/>
      <c r="M14" s="304" t="s">
        <v>21</v>
      </c>
      <c r="N14" s="304"/>
      <c r="O14" s="147"/>
    </row>
    <row r="15" spans="1:20" hidden="1">
      <c r="A15" s="43"/>
      <c r="B15" s="47"/>
      <c r="C15" s="262"/>
      <c r="D15" s="262"/>
      <c r="E15" s="14"/>
      <c r="F15" s="39"/>
      <c r="G15" s="52"/>
      <c r="H15" s="3"/>
      <c r="I15" s="3"/>
      <c r="J15" s="3"/>
      <c r="K15" s="263"/>
      <c r="L15" s="263"/>
      <c r="M15" s="216"/>
      <c r="N15" s="149"/>
      <c r="O15" s="147"/>
    </row>
    <row r="16" spans="1:20" ht="41.25" customHeight="1">
      <c r="A16" s="321" t="str">
        <f ca="1">IF(($C$14+30)&lt;$F$14,"                                       Bitte nur einen Monat angeben! ",IF(COUNTIF(R20:R50,1)&gt;0,"Hinweis: Es erfolgt keine Berechnung der Zukunftswerte",""))</f>
        <v/>
      </c>
      <c r="B16" s="321"/>
      <c r="C16" s="321"/>
      <c r="D16" s="321"/>
      <c r="E16" s="321"/>
      <c r="F16" s="321"/>
      <c r="G16" s="303" t="str">
        <f>IF(AND(Q58&lt;365,Q58&gt;300),"Ihnen verbleiben noch "&amp;(364-Q58)&amp;" Tage um Ihr Arbeitszeitkonto auszugleichen",IF(Q58&gt;365,"Sie haben Ihr Arbeitszeitkonto überschritten, bitte erstellen Sie ein neues Konto",""))</f>
        <v/>
      </c>
      <c r="H16" s="303"/>
      <c r="I16" s="303"/>
      <c r="J16" s="303"/>
      <c r="K16" s="303"/>
      <c r="L16" s="303"/>
      <c r="M16" s="153">
        <f ca="1">IF(AND($H$14="Achtung! Stundennachweis unterbrochen",'Blatt 4'!J52&gt;0),0,'Blatt 4'!J52)</f>
        <v>0</v>
      </c>
      <c r="N16" s="154">
        <f ca="1">+$M$16+$N$55</f>
        <v>0</v>
      </c>
      <c r="O16" s="155" t="str">
        <f>IF($F$9=$F$14,"",'Blatt 4'!$F$14+1)</f>
        <v/>
      </c>
    </row>
    <row r="17" spans="1:22" ht="18.75">
      <c r="A17" s="40"/>
      <c r="B17" s="264">
        <f ca="1">IF(ISBLANK($C$14),EOMONTH('Blatt 4'!$B$17,0)+1,DATE(YEAR($C$14),MONTH($C$14),1))</f>
        <v>42277</v>
      </c>
      <c r="C17" s="264"/>
      <c r="D17" s="264"/>
      <c r="E17" s="264"/>
      <c r="F17" s="264"/>
      <c r="G17" s="264"/>
      <c r="H17" s="264"/>
      <c r="I17" s="264"/>
      <c r="J17" s="264"/>
      <c r="K17" s="264"/>
      <c r="L17" s="41"/>
      <c r="M17" s="15"/>
      <c r="N17" s="212"/>
    </row>
    <row r="18" spans="1:22" ht="8.4499999999999993" customHeight="1" thickBot="1">
      <c r="A18" s="3"/>
      <c r="B18" s="3"/>
      <c r="C18" s="3"/>
      <c r="D18" s="3"/>
      <c r="E18" s="3"/>
      <c r="F18" s="3"/>
      <c r="G18" s="3"/>
      <c r="H18" s="3"/>
      <c r="I18" s="3"/>
      <c r="J18" s="3"/>
      <c r="K18" s="3"/>
      <c r="L18" s="3"/>
      <c r="M18" s="143"/>
      <c r="N18" s="212"/>
    </row>
    <row r="19" spans="1:22" s="17" customFormat="1" ht="42.75" customHeight="1" thickBot="1">
      <c r="A19" s="187" t="s">
        <v>10</v>
      </c>
      <c r="B19" s="277" t="s">
        <v>11</v>
      </c>
      <c r="C19" s="277"/>
      <c r="D19" s="278" t="s">
        <v>12</v>
      </c>
      <c r="E19" s="279"/>
      <c r="F19" s="86" t="s">
        <v>27</v>
      </c>
      <c r="G19" s="210" t="s">
        <v>13</v>
      </c>
      <c r="H19" s="86" t="s">
        <v>14</v>
      </c>
      <c r="I19" s="88"/>
      <c r="J19" s="89" t="s">
        <v>15</v>
      </c>
      <c r="K19" s="278" t="s">
        <v>16</v>
      </c>
      <c r="L19" s="280"/>
      <c r="M19" s="16" t="s">
        <v>17</v>
      </c>
      <c r="N19" s="16"/>
      <c r="O19" s="58" t="s">
        <v>24</v>
      </c>
      <c r="P19" s="126" t="s">
        <v>28</v>
      </c>
      <c r="Q19" s="126" t="s">
        <v>31</v>
      </c>
      <c r="R19" s="289" t="s">
        <v>49</v>
      </c>
      <c r="S19" s="289"/>
      <c r="T19" s="289"/>
    </row>
    <row r="20" spans="1:22" s="2" customFormat="1" ht="12.6" customHeight="1">
      <c r="A20" s="188">
        <f ca="1">($B$17+ROW(A1)-1)*(MONTH(B17+1)=MONTH($B$17))</f>
        <v>42277</v>
      </c>
      <c r="B20" s="271"/>
      <c r="C20" s="272"/>
      <c r="D20" s="273"/>
      <c r="E20" s="274"/>
      <c r="F20" s="209"/>
      <c r="G20" s="110" t="str">
        <f ca="1">IF(OR(A20&lt;$C$14,A20&gt;$F$14,$G$16="Sie haben Ihr Arbeitszeitkonto überschritten, bitte erstellen Sie ein neues Konto",A20&gt;TODAY()),"0,00",IF(ISBLANK($C$14),"0,00",(D20-B20-F20)))</f>
        <v>0,00</v>
      </c>
      <c r="H20" s="111" t="str">
        <f ca="1">IF(WEEKDAY(A20,2)=7,SUMIF($M$19:$M$50,M20,$G$19:$G$50),"")</f>
        <v/>
      </c>
      <c r="I20" s="112">
        <f ca="1">IF(A20&lt;TODAY(),ROUND(SUM(G20-N20),7),0)</f>
        <v>0</v>
      </c>
      <c r="J20" s="156" t="str">
        <f t="shared" ref="J20:J24" ca="1" si="0">IF($G$16="Sie haben Ihr Arbeitszeitkonto überschritten, bitte erstellen Sie ein neues Konto","",IF(AND(A20&lt;TODAY(),WEEKDAY(A20,2)=7),I20+$N$16,""))</f>
        <v/>
      </c>
      <c r="K20" s="275" t="str">
        <f t="shared" ref="K20:K26" ca="1" si="1">IF(T20&lt;&gt;"",T20,IF(P20="1","Angaben überprüfen",IF(OR(A20&lt;$C$14,A20&gt;$F$14,G20="0,00"),"--------",IF(AND(G20&gt;(6/24),G20&lt;(9/24),F20&lt;0.5/24),"30 min. Pause erforderlich",IF(AND(G20&gt;=(9/24),F20&lt;0.75/24),"45 min. Pause erforderlich ","")))))</f>
        <v>--------</v>
      </c>
      <c r="L20" s="276"/>
      <c r="M20" s="93">
        <f ca="1">WEEKNUM(A20,2)</f>
        <v>40</v>
      </c>
      <c r="N20" s="94">
        <f ca="1">IF(AND(A20&gt;=$C$14,A20&lt;=$F$14),IF(AND(WEEKDAY(A20,2)=1,$K$3&gt;0),$K$3,IF(AND(WEEKDAY(A20,2)=2,$K$5&gt;0),$K$5,IF(AND(WEEKDAY(A20,2)=3,$K$7&gt;0),$K$7,IF(AND(WEEKDAY(A20,2)=4,$K$9&gt;0),$K$9,IF(AND(WEEKDAY(A20,2)=5,$K$11&gt;0),$K$11,IF(WEEKDAY(A20,2)&gt;5,0,0))))))/24,0)</f>
        <v>0</v>
      </c>
      <c r="O20" s="95">
        <f ca="1">IF(I20&lt;&gt;0,I20,0)</f>
        <v>0</v>
      </c>
      <c r="P20" s="120" t="str">
        <f ca="1">IF(AND(Q20="1",B20&gt;0),"1","")</f>
        <v/>
      </c>
      <c r="Q20" s="120" t="str">
        <f t="shared" ref="Q20:Q50" ca="1" si="2">IF(OR(A20&lt;$C$14,A20&gt;$F$14,A20&lt;$C$9,A20&gt;$F$9),"1","")</f>
        <v>1</v>
      </c>
      <c r="R20" s="184" t="str">
        <f t="shared" ref="R20:R50" ca="1" si="3">IF(AND(A20&gt;TODAY(),B20&gt;0),"1","")</f>
        <v/>
      </c>
      <c r="S20" s="185" t="e">
        <f t="shared" ref="S20:S50" ca="1" si="4">VLOOKUP(A20,$Q$77:$S$92,2,FALSE)</f>
        <v>#N/A</v>
      </c>
      <c r="T20" s="186" t="str">
        <f t="shared" ref="T20:T49" ca="1" si="5">IF(ISNA(S20),"",S20)</f>
        <v/>
      </c>
      <c r="U20" s="193" t="str">
        <f t="shared" ref="U20:U50" ca="1" si="6">IF(AND(WEEKDAY(A20,2)=1,$I$2=TRUE),"X",IF(AND(WEEKDAY(A20,2)=4,$I$8=TRUE),"X",IF(AND(WEEKDAY(A20,2)=5,$I$10=TRUE),"X",IF(AND(WEEKDAY(A20,2)=2,$I$4=TRUE),"X",IF(AND(WEEKDAY(A20,2)=3,$I$6=TRUE),"X","")
))))</f>
        <v/>
      </c>
      <c r="V20" s="197" t="str">
        <f ca="1">IF(AND(U20&lt;&gt;"",T20&lt;&gt;""),"!","")</f>
        <v/>
      </c>
    </row>
    <row r="21" spans="1:22" s="2" customFormat="1" ht="12.6" customHeight="1">
      <c r="A21" s="189">
        <f t="shared" ref="A21:A29" ca="1" si="7">($B$17+ROW(A2)-1)*(MONTH(A20+1)=MONTH($B$17))</f>
        <v>42278</v>
      </c>
      <c r="B21" s="271"/>
      <c r="C21" s="272"/>
      <c r="D21" s="273"/>
      <c r="E21" s="274"/>
      <c r="F21" s="205"/>
      <c r="G21" s="110" t="str">
        <f t="shared" ref="G21:G49" ca="1" si="8">IF(OR(A21&lt;$C$14,A21&gt;$F$14,$G$16="Sie haben Ihr Arbeitszeitkonto überschritten, bitte erstellen Sie ein neues Konto",A21&gt;TODAY()),"0,00",IF(ISBLANK($C$14),"0,00",(D21-B21-F21)))</f>
        <v>0,00</v>
      </c>
      <c r="H21" s="111" t="str">
        <f t="shared" ref="H21:H50" ca="1" si="9">IF(WEEKDAY(A21,2)=7,SUMIF($M$19:$M$50,M21,$G$19:$G$50),"")</f>
        <v/>
      </c>
      <c r="I21" s="112">
        <f t="shared" ref="I21:I50" ca="1" si="10">IF(A21&lt;TODAY(),ROUND(SUM(G21+I20-N21),7),0)</f>
        <v>0</v>
      </c>
      <c r="J21" s="157" t="str">
        <f t="shared" ca="1" si="0"/>
        <v/>
      </c>
      <c r="K21" s="275" t="str">
        <f t="shared" ca="1" si="1"/>
        <v>--------</v>
      </c>
      <c r="L21" s="276"/>
      <c r="M21" s="93">
        <f t="shared" ref="M21:M49" ca="1" si="11">WEEKNUM(A21,2)</f>
        <v>40</v>
      </c>
      <c r="N21" s="94">
        <f t="shared" ref="N21:N50" ca="1" si="12">IF(AND(A21&gt;=$C$14,A21&lt;=$F$14),IF(AND(WEEKDAY(A21,2)=1,$K$3&gt;0),$K$3,IF(AND(WEEKDAY(A21,2)=2,$K$5&gt;0),$K$5,IF(AND(WEEKDAY(A21,2)=3,$K$7&gt;0),$K$7,IF(AND(WEEKDAY(A21,2)=4,$K$9&gt;0),$K$9,IF(AND(WEEKDAY(A21,2)=5,$K$11&gt;0),$K$11,IF(WEEKDAY(A21,2)&gt;5,0,0))))))/24,0)</f>
        <v>0</v>
      </c>
      <c r="O21" s="95">
        <f t="shared" ref="O21:O50" ca="1" si="13">IF(I21&lt;&gt;0,I21,0)</f>
        <v>0</v>
      </c>
      <c r="P21" s="120" t="str">
        <f t="shared" ref="P21:P50" ca="1" si="14">IF(AND(Q21="1",B21&gt;0),"1","")</f>
        <v/>
      </c>
      <c r="Q21" s="120" t="str">
        <f t="shared" ca="1" si="2"/>
        <v>1</v>
      </c>
      <c r="R21" s="184" t="str">
        <f t="shared" ca="1" si="3"/>
        <v/>
      </c>
      <c r="S21" s="185" t="e">
        <f t="shared" ca="1" si="4"/>
        <v>#N/A</v>
      </c>
      <c r="T21" s="186" t="str">
        <f t="shared" ca="1" si="5"/>
        <v/>
      </c>
      <c r="U21" s="194" t="str">
        <f t="shared" ca="1" si="6"/>
        <v/>
      </c>
      <c r="V21" s="197" t="str">
        <f t="shared" ref="V21:V50" ca="1" si="15">IF(AND(U21&lt;&gt;"",T21&lt;&gt;""),"!","")</f>
        <v/>
      </c>
    </row>
    <row r="22" spans="1:22" s="2" customFormat="1" ht="12.6" customHeight="1">
      <c r="A22" s="189">
        <f t="shared" ca="1" si="7"/>
        <v>42279</v>
      </c>
      <c r="B22" s="285"/>
      <c r="C22" s="286"/>
      <c r="D22" s="273"/>
      <c r="E22" s="274"/>
      <c r="F22" s="205"/>
      <c r="G22" s="110" t="str">
        <f t="shared" ca="1" si="8"/>
        <v>0,00</v>
      </c>
      <c r="H22" s="111" t="str">
        <f t="shared" ca="1" si="9"/>
        <v/>
      </c>
      <c r="I22" s="112">
        <f t="shared" ca="1" si="10"/>
        <v>0</v>
      </c>
      <c r="J22" s="157" t="str">
        <f t="shared" ca="1" si="0"/>
        <v/>
      </c>
      <c r="K22" s="275" t="str">
        <f t="shared" ca="1" si="1"/>
        <v>Tag der deutschen Einheit</v>
      </c>
      <c r="L22" s="276"/>
      <c r="M22" s="93">
        <f t="shared" ca="1" si="11"/>
        <v>40</v>
      </c>
      <c r="N22" s="94">
        <f t="shared" ca="1" si="12"/>
        <v>0</v>
      </c>
      <c r="O22" s="95">
        <f t="shared" ca="1" si="13"/>
        <v>0</v>
      </c>
      <c r="P22" s="120" t="str">
        <f t="shared" ca="1" si="14"/>
        <v/>
      </c>
      <c r="Q22" s="120" t="str">
        <f t="shared" ca="1" si="2"/>
        <v>1</v>
      </c>
      <c r="R22" s="184" t="str">
        <f t="shared" ca="1" si="3"/>
        <v/>
      </c>
      <c r="S22" s="185" t="str">
        <f t="shared" ca="1" si="4"/>
        <v>Tag der deutschen Einheit</v>
      </c>
      <c r="T22" s="186" t="str">
        <f t="shared" ca="1" si="5"/>
        <v>Tag der deutschen Einheit</v>
      </c>
      <c r="U22" s="194" t="str">
        <f t="shared" ca="1" si="6"/>
        <v/>
      </c>
      <c r="V22" s="197" t="str">
        <f t="shared" ca="1" si="15"/>
        <v/>
      </c>
    </row>
    <row r="23" spans="1:22" s="2" customFormat="1" ht="12.6" customHeight="1">
      <c r="A23" s="189">
        <f t="shared" ca="1" si="7"/>
        <v>42280</v>
      </c>
      <c r="B23" s="285"/>
      <c r="C23" s="286"/>
      <c r="D23" s="273"/>
      <c r="E23" s="274"/>
      <c r="F23" s="205"/>
      <c r="G23" s="110" t="str">
        <f t="shared" ca="1" si="8"/>
        <v>0,00</v>
      </c>
      <c r="H23" s="111" t="str">
        <f t="shared" ca="1" si="9"/>
        <v/>
      </c>
      <c r="I23" s="112">
        <f t="shared" ca="1" si="10"/>
        <v>0</v>
      </c>
      <c r="J23" s="157" t="str">
        <f t="shared" ca="1" si="0"/>
        <v/>
      </c>
      <c r="K23" s="275" t="str">
        <f t="shared" ca="1" si="1"/>
        <v>--------</v>
      </c>
      <c r="L23" s="276"/>
      <c r="M23" s="93">
        <f t="shared" ca="1" si="11"/>
        <v>40</v>
      </c>
      <c r="N23" s="94">
        <f t="shared" ca="1" si="12"/>
        <v>0</v>
      </c>
      <c r="O23" s="95">
        <f t="shared" ca="1" si="13"/>
        <v>0</v>
      </c>
      <c r="P23" s="120" t="str">
        <f t="shared" ca="1" si="14"/>
        <v/>
      </c>
      <c r="Q23" s="120" t="str">
        <f t="shared" ca="1" si="2"/>
        <v>1</v>
      </c>
      <c r="R23" s="184" t="str">
        <f t="shared" ca="1" si="3"/>
        <v/>
      </c>
      <c r="S23" s="185" t="e">
        <f t="shared" ca="1" si="4"/>
        <v>#N/A</v>
      </c>
      <c r="T23" s="186" t="str">
        <f t="shared" ca="1" si="5"/>
        <v/>
      </c>
      <c r="U23" s="194" t="str">
        <f t="shared" ca="1" si="6"/>
        <v/>
      </c>
      <c r="V23" s="197" t="str">
        <f t="shared" ca="1" si="15"/>
        <v/>
      </c>
    </row>
    <row r="24" spans="1:22" s="2" customFormat="1" ht="12.6" customHeight="1">
      <c r="A24" s="190">
        <f t="shared" ca="1" si="7"/>
        <v>42281</v>
      </c>
      <c r="B24" s="281"/>
      <c r="C24" s="282"/>
      <c r="D24" s="283"/>
      <c r="E24" s="284"/>
      <c r="F24" s="208"/>
      <c r="G24" s="110" t="str">
        <f t="shared" ca="1" si="8"/>
        <v>0,00</v>
      </c>
      <c r="H24" s="111" t="str">
        <f t="shared" ca="1" si="9"/>
        <v/>
      </c>
      <c r="I24" s="112">
        <f t="shared" ca="1" si="10"/>
        <v>0</v>
      </c>
      <c r="J24" s="157" t="str">
        <f t="shared" ca="1" si="0"/>
        <v/>
      </c>
      <c r="K24" s="275" t="str">
        <f t="shared" ca="1" si="1"/>
        <v>--------</v>
      </c>
      <c r="L24" s="276"/>
      <c r="M24" s="93">
        <f t="shared" ca="1" si="11"/>
        <v>40</v>
      </c>
      <c r="N24" s="94">
        <f t="shared" ca="1" si="12"/>
        <v>0</v>
      </c>
      <c r="O24" s="95">
        <f t="shared" ca="1" si="13"/>
        <v>0</v>
      </c>
      <c r="P24" s="120" t="str">
        <f ca="1">IF(AND(Q24="1",B24&gt;0),"1","")</f>
        <v/>
      </c>
      <c r="Q24" s="120" t="str">
        <f t="shared" ca="1" si="2"/>
        <v>1</v>
      </c>
      <c r="R24" s="184" t="str">
        <f t="shared" ca="1" si="3"/>
        <v/>
      </c>
      <c r="S24" s="185" t="e">
        <f t="shared" ca="1" si="4"/>
        <v>#N/A</v>
      </c>
      <c r="T24" s="186" t="str">
        <f t="shared" ca="1" si="5"/>
        <v/>
      </c>
      <c r="U24" s="194" t="str">
        <f t="shared" ca="1" si="6"/>
        <v/>
      </c>
      <c r="V24" s="197" t="str">
        <f t="shared" ca="1" si="15"/>
        <v/>
      </c>
    </row>
    <row r="25" spans="1:22" s="18" customFormat="1" ht="12.6" customHeight="1">
      <c r="A25" s="190">
        <f t="shared" ca="1" si="7"/>
        <v>42282</v>
      </c>
      <c r="B25" s="281"/>
      <c r="C25" s="282"/>
      <c r="D25" s="283"/>
      <c r="E25" s="284"/>
      <c r="F25" s="207"/>
      <c r="G25" s="110" t="str">
        <f t="shared" ca="1" si="8"/>
        <v>0,00</v>
      </c>
      <c r="H25" s="111">
        <f t="shared" ca="1" si="9"/>
        <v>0</v>
      </c>
      <c r="I25" s="112">
        <f t="shared" ca="1" si="10"/>
        <v>0</v>
      </c>
      <c r="J25" s="157" t="str">
        <f ca="1">IF($G$16="Sie haben Ihr Arbeitszeitkonto überschritten, bitte erstellen Sie ein neues Konto","",IF(AND(A25&lt;TODAY(),WEEKDAY(A25,2)=7),I25+$N$16,""))</f>
        <v/>
      </c>
      <c r="K25" s="275" t="str">
        <f t="shared" ca="1" si="1"/>
        <v>--------</v>
      </c>
      <c r="L25" s="276"/>
      <c r="M25" s="93">
        <f t="shared" ca="1" si="11"/>
        <v>40</v>
      </c>
      <c r="N25" s="94">
        <f t="shared" ca="1" si="12"/>
        <v>0</v>
      </c>
      <c r="O25" s="95">
        <f t="shared" ca="1" si="13"/>
        <v>0</v>
      </c>
      <c r="P25" s="120" t="str">
        <f t="shared" ca="1" si="14"/>
        <v/>
      </c>
      <c r="Q25" s="120" t="str">
        <f t="shared" ca="1" si="2"/>
        <v>1</v>
      </c>
      <c r="R25" s="184" t="str">
        <f t="shared" ca="1" si="3"/>
        <v/>
      </c>
      <c r="S25" s="185" t="e">
        <f t="shared" ca="1" si="4"/>
        <v>#N/A</v>
      </c>
      <c r="T25" s="186" t="str">
        <f t="shared" ca="1" si="5"/>
        <v/>
      </c>
      <c r="U25" s="194" t="str">
        <f t="shared" ca="1" si="6"/>
        <v/>
      </c>
      <c r="V25" s="197" t="str">
        <f t="shared" ca="1" si="15"/>
        <v/>
      </c>
    </row>
    <row r="26" spans="1:22" s="18" customFormat="1" ht="12.6" customHeight="1">
      <c r="A26" s="190">
        <f t="shared" ca="1" si="7"/>
        <v>42283</v>
      </c>
      <c r="B26" s="285"/>
      <c r="C26" s="286"/>
      <c r="D26" s="301"/>
      <c r="E26" s="276"/>
      <c r="F26" s="117"/>
      <c r="G26" s="110" t="str">
        <f t="shared" ca="1" si="8"/>
        <v>0,00</v>
      </c>
      <c r="H26" s="111" t="str">
        <f t="shared" ca="1" si="9"/>
        <v/>
      </c>
      <c r="I26" s="112">
        <f t="shared" ca="1" si="10"/>
        <v>0</v>
      </c>
      <c r="J26" s="157" t="str">
        <f t="shared" ref="J26:J50" ca="1" si="16">IF($G$16="Sie haben Ihr Arbeitszeitkonto überschritten, bitte erstellen Sie ein neues Konto","",IF(AND(A26&lt;TODAY(),WEEKDAY(A26,2)=7),I26+$N$16,""))</f>
        <v/>
      </c>
      <c r="K26" s="275" t="str">
        <f t="shared" ca="1" si="1"/>
        <v>--------</v>
      </c>
      <c r="L26" s="276"/>
      <c r="M26" s="93">
        <f t="shared" ca="1" si="11"/>
        <v>41</v>
      </c>
      <c r="N26" s="94">
        <f t="shared" ca="1" si="12"/>
        <v>0</v>
      </c>
      <c r="O26" s="95">
        <f t="shared" ca="1" si="13"/>
        <v>0</v>
      </c>
      <c r="P26" s="120" t="str">
        <f t="shared" ca="1" si="14"/>
        <v/>
      </c>
      <c r="Q26" s="120" t="str">
        <f t="shared" ca="1" si="2"/>
        <v>1</v>
      </c>
      <c r="R26" s="184" t="str">
        <f t="shared" ca="1" si="3"/>
        <v/>
      </c>
      <c r="S26" s="185" t="e">
        <f t="shared" ca="1" si="4"/>
        <v>#N/A</v>
      </c>
      <c r="T26" s="186" t="str">
        <f t="shared" ca="1" si="5"/>
        <v/>
      </c>
      <c r="U26" s="194" t="str">
        <f t="shared" ca="1" si="6"/>
        <v/>
      </c>
      <c r="V26" s="197" t="str">
        <f t="shared" ca="1" si="15"/>
        <v/>
      </c>
    </row>
    <row r="27" spans="1:22" ht="12.6" customHeight="1">
      <c r="A27" s="190">
        <f t="shared" ca="1" si="7"/>
        <v>42284</v>
      </c>
      <c r="B27" s="285"/>
      <c r="C27" s="286"/>
      <c r="D27" s="273"/>
      <c r="E27" s="274"/>
      <c r="F27" s="217"/>
      <c r="G27" s="110" t="str">
        <f t="shared" ca="1" si="8"/>
        <v>0,00</v>
      </c>
      <c r="H27" s="111" t="str">
        <f t="shared" ca="1" si="9"/>
        <v/>
      </c>
      <c r="I27" s="112">
        <f t="shared" ca="1" si="10"/>
        <v>0</v>
      </c>
      <c r="J27" s="157" t="str">
        <f t="shared" ca="1" si="16"/>
        <v/>
      </c>
      <c r="K27" s="275" t="str">
        <f ca="1">IF(T27&lt;&gt;"",T27,IF(P27="1","Angaben überprüfen",IF(OR(A27&lt;$C$14,A27&gt;$F$14,G27="0,00"),"--------",IF(AND(G27&gt;(6/24),G27&lt;(9/24),F27&lt;0.5/24),"30 min. Pause erforderlich",IF(AND(G27&gt;=(9/24),F27&lt;0.75/24),"45 min. Pause erforderlich ","")))))</f>
        <v>--------</v>
      </c>
      <c r="L27" s="276"/>
      <c r="M27" s="93">
        <f t="shared" ca="1" si="11"/>
        <v>41</v>
      </c>
      <c r="N27" s="94">
        <f t="shared" ca="1" si="12"/>
        <v>0</v>
      </c>
      <c r="O27" s="95">
        <f t="shared" ca="1" si="13"/>
        <v>0</v>
      </c>
      <c r="P27" s="120" t="str">
        <f t="shared" ca="1" si="14"/>
        <v/>
      </c>
      <c r="Q27" s="120" t="str">
        <f t="shared" ca="1" si="2"/>
        <v>1</v>
      </c>
      <c r="R27" s="184" t="str">
        <f t="shared" ca="1" si="3"/>
        <v/>
      </c>
      <c r="S27" s="185" t="e">
        <f t="shared" ca="1" si="4"/>
        <v>#N/A</v>
      </c>
      <c r="T27" s="186" t="str">
        <f t="shared" ca="1" si="5"/>
        <v/>
      </c>
      <c r="U27" s="194" t="str">
        <f t="shared" ca="1" si="6"/>
        <v/>
      </c>
      <c r="V27" s="197" t="str">
        <f t="shared" ca="1" si="15"/>
        <v/>
      </c>
    </row>
    <row r="28" spans="1:22" ht="12.6" customHeight="1">
      <c r="A28" s="190">
        <f t="shared" ca="1" si="7"/>
        <v>42285</v>
      </c>
      <c r="B28" s="285"/>
      <c r="C28" s="286"/>
      <c r="D28" s="273"/>
      <c r="E28" s="274"/>
      <c r="F28" s="217"/>
      <c r="G28" s="110" t="str">
        <f t="shared" ca="1" si="8"/>
        <v>0,00</v>
      </c>
      <c r="H28" s="111" t="str">
        <f t="shared" ca="1" si="9"/>
        <v/>
      </c>
      <c r="I28" s="112">
        <f t="shared" ca="1" si="10"/>
        <v>0</v>
      </c>
      <c r="J28" s="157" t="str">
        <f t="shared" ca="1" si="16"/>
        <v/>
      </c>
      <c r="K28" s="275" t="str">
        <f t="shared" ref="K28:K50" ca="1" si="17">IF(T28&lt;&gt;"",T28,IF(P28="1","Angaben überprüfen",IF(OR(A28&lt;$C$14,A28&gt;$F$14,G28="0,00"),"--------",IF(AND(G28&gt;(6/24),G28&lt;(9/24),F28&lt;0.5/24),"30 min. Pause erforderlich",IF(AND(G28&gt;=(9/24),F28&lt;0.75/24),"45 min. Pause erforderlich ","")))))</f>
        <v>--------</v>
      </c>
      <c r="L28" s="276"/>
      <c r="M28" s="93">
        <f t="shared" ca="1" si="11"/>
        <v>41</v>
      </c>
      <c r="N28" s="94">
        <f t="shared" ca="1" si="12"/>
        <v>0</v>
      </c>
      <c r="O28" s="95">
        <f t="shared" ca="1" si="13"/>
        <v>0</v>
      </c>
      <c r="P28" s="120" t="str">
        <f t="shared" ca="1" si="14"/>
        <v/>
      </c>
      <c r="Q28" s="120" t="str">
        <f t="shared" ca="1" si="2"/>
        <v>1</v>
      </c>
      <c r="R28" s="184" t="str">
        <f t="shared" ca="1" si="3"/>
        <v/>
      </c>
      <c r="S28" s="185" t="e">
        <f t="shared" ca="1" si="4"/>
        <v>#N/A</v>
      </c>
      <c r="T28" s="186" t="str">
        <f t="shared" ca="1" si="5"/>
        <v/>
      </c>
      <c r="U28" s="194" t="str">
        <f t="shared" ca="1" si="6"/>
        <v/>
      </c>
      <c r="V28" s="197" t="str">
        <f t="shared" ca="1" si="15"/>
        <v/>
      </c>
    </row>
    <row r="29" spans="1:22" ht="12.6" customHeight="1">
      <c r="A29" s="190">
        <f t="shared" ca="1" si="7"/>
        <v>42286</v>
      </c>
      <c r="B29" s="281"/>
      <c r="C29" s="282"/>
      <c r="D29" s="283"/>
      <c r="E29" s="284"/>
      <c r="F29" s="206"/>
      <c r="G29" s="110" t="str">
        <f t="shared" ca="1" si="8"/>
        <v>0,00</v>
      </c>
      <c r="H29" s="111" t="str">
        <f t="shared" ca="1" si="9"/>
        <v/>
      </c>
      <c r="I29" s="112">
        <f t="shared" ca="1" si="10"/>
        <v>0</v>
      </c>
      <c r="J29" s="157" t="str">
        <f t="shared" ca="1" si="16"/>
        <v/>
      </c>
      <c r="K29" s="275" t="str">
        <f t="shared" ca="1" si="17"/>
        <v>--------</v>
      </c>
      <c r="L29" s="276"/>
      <c r="M29" s="93">
        <f t="shared" ca="1" si="11"/>
        <v>41</v>
      </c>
      <c r="N29" s="94">
        <f t="shared" ca="1" si="12"/>
        <v>0</v>
      </c>
      <c r="O29" s="95">
        <f t="shared" ca="1" si="13"/>
        <v>0</v>
      </c>
      <c r="P29" s="120" t="str">
        <f t="shared" ca="1" si="14"/>
        <v/>
      </c>
      <c r="Q29" s="120" t="str">
        <f t="shared" ca="1" si="2"/>
        <v>1</v>
      </c>
      <c r="R29" s="184" t="str">
        <f t="shared" ca="1" si="3"/>
        <v/>
      </c>
      <c r="S29" s="185" t="e">
        <f t="shared" ca="1" si="4"/>
        <v>#N/A</v>
      </c>
      <c r="T29" s="186" t="str">
        <f t="shared" ca="1" si="5"/>
        <v/>
      </c>
      <c r="U29" s="194" t="str">
        <f t="shared" ca="1" si="6"/>
        <v/>
      </c>
      <c r="V29" s="197" t="str">
        <f t="shared" ca="1" si="15"/>
        <v/>
      </c>
    </row>
    <row r="30" spans="1:22" ht="12.6" customHeight="1">
      <c r="A30" s="189">
        <f ca="1">($B$17+ROW(A11)-1)*(MONTH(A27+1)=MONTH($B$17))</f>
        <v>42287</v>
      </c>
      <c r="B30" s="285"/>
      <c r="C30" s="286"/>
      <c r="D30" s="273"/>
      <c r="E30" s="274"/>
      <c r="F30" s="206"/>
      <c r="G30" s="110" t="str">
        <f t="shared" ca="1" si="8"/>
        <v>0,00</v>
      </c>
      <c r="H30" s="111" t="str">
        <f t="shared" ca="1" si="9"/>
        <v/>
      </c>
      <c r="I30" s="112">
        <f t="shared" ca="1" si="10"/>
        <v>0</v>
      </c>
      <c r="J30" s="157" t="str">
        <f t="shared" ca="1" si="16"/>
        <v/>
      </c>
      <c r="K30" s="275" t="str">
        <f t="shared" ca="1" si="17"/>
        <v>--------</v>
      </c>
      <c r="L30" s="276"/>
      <c r="M30" s="93">
        <f t="shared" ca="1" si="11"/>
        <v>41</v>
      </c>
      <c r="N30" s="94">
        <f t="shared" ca="1" si="12"/>
        <v>0</v>
      </c>
      <c r="O30" s="95">
        <f t="shared" ca="1" si="13"/>
        <v>0</v>
      </c>
      <c r="P30" s="120" t="str">
        <f t="shared" ca="1" si="14"/>
        <v/>
      </c>
      <c r="Q30" s="120" t="str">
        <f t="shared" ca="1" si="2"/>
        <v>1</v>
      </c>
      <c r="R30" s="184" t="str">
        <f t="shared" ca="1" si="3"/>
        <v/>
      </c>
      <c r="S30" s="185" t="e">
        <f t="shared" ca="1" si="4"/>
        <v>#N/A</v>
      </c>
      <c r="T30" s="186" t="str">
        <f t="shared" ca="1" si="5"/>
        <v/>
      </c>
      <c r="U30" s="194" t="str">
        <f t="shared" ca="1" si="6"/>
        <v/>
      </c>
      <c r="V30" s="197" t="str">
        <f t="shared" ca="1" si="15"/>
        <v/>
      </c>
    </row>
    <row r="31" spans="1:22" ht="12.6" customHeight="1">
      <c r="A31" s="189">
        <f ca="1">($B$17+ROW(A12)-1)*(MONTH(A28+1)=MONTH($B$17))</f>
        <v>42288</v>
      </c>
      <c r="B31" s="281"/>
      <c r="C31" s="282"/>
      <c r="D31" s="283"/>
      <c r="E31" s="284"/>
      <c r="F31" s="206"/>
      <c r="G31" s="110" t="str">
        <f t="shared" ca="1" si="8"/>
        <v>0,00</v>
      </c>
      <c r="H31" s="111" t="str">
        <f t="shared" ca="1" si="9"/>
        <v/>
      </c>
      <c r="I31" s="112">
        <f t="shared" ca="1" si="10"/>
        <v>0</v>
      </c>
      <c r="J31" s="157" t="str">
        <f t="shared" ca="1" si="16"/>
        <v/>
      </c>
      <c r="K31" s="275" t="str">
        <f t="shared" ca="1" si="17"/>
        <v>--------</v>
      </c>
      <c r="L31" s="276"/>
      <c r="M31" s="93">
        <f t="shared" ca="1" si="11"/>
        <v>41</v>
      </c>
      <c r="N31" s="94">
        <f t="shared" ca="1" si="12"/>
        <v>0</v>
      </c>
      <c r="O31" s="95">
        <f t="shared" ca="1" si="13"/>
        <v>0</v>
      </c>
      <c r="P31" s="120" t="str">
        <f t="shared" ca="1" si="14"/>
        <v/>
      </c>
      <c r="Q31" s="120" t="str">
        <f t="shared" ca="1" si="2"/>
        <v>1</v>
      </c>
      <c r="R31" s="184" t="str">
        <f t="shared" ca="1" si="3"/>
        <v/>
      </c>
      <c r="S31" s="185" t="e">
        <f t="shared" ca="1" si="4"/>
        <v>#N/A</v>
      </c>
      <c r="T31" s="186" t="str">
        <f t="shared" ca="1" si="5"/>
        <v/>
      </c>
      <c r="U31" s="194" t="str">
        <f t="shared" ca="1" si="6"/>
        <v/>
      </c>
      <c r="V31" s="197" t="str">
        <f t="shared" ca="1" si="15"/>
        <v/>
      </c>
    </row>
    <row r="32" spans="1:22" ht="12.6" customHeight="1">
      <c r="A32" s="189">
        <f ca="1">($B$17+ROW(A13)-1)*(MONTH(A30+1)=MONTH($B$17))</f>
        <v>42289</v>
      </c>
      <c r="B32" s="285"/>
      <c r="C32" s="286"/>
      <c r="D32" s="301"/>
      <c r="E32" s="276"/>
      <c r="F32" s="206"/>
      <c r="G32" s="110" t="str">
        <f t="shared" ca="1" si="8"/>
        <v>0,00</v>
      </c>
      <c r="H32" s="111">
        <f t="shared" ca="1" si="9"/>
        <v>0</v>
      </c>
      <c r="I32" s="112">
        <f t="shared" ca="1" si="10"/>
        <v>0</v>
      </c>
      <c r="J32" s="157" t="str">
        <f t="shared" ca="1" si="16"/>
        <v/>
      </c>
      <c r="K32" s="275" t="str">
        <f t="shared" ca="1" si="17"/>
        <v>--------</v>
      </c>
      <c r="L32" s="276"/>
      <c r="M32" s="93">
        <f t="shared" ca="1" si="11"/>
        <v>41</v>
      </c>
      <c r="N32" s="94">
        <f t="shared" ca="1" si="12"/>
        <v>0</v>
      </c>
      <c r="O32" s="95">
        <f t="shared" ca="1" si="13"/>
        <v>0</v>
      </c>
      <c r="P32" s="120" t="str">
        <f t="shared" ca="1" si="14"/>
        <v/>
      </c>
      <c r="Q32" s="120" t="str">
        <f t="shared" ca="1" si="2"/>
        <v>1</v>
      </c>
      <c r="R32" s="184" t="str">
        <f t="shared" ca="1" si="3"/>
        <v/>
      </c>
      <c r="S32" s="185" t="e">
        <f t="shared" ca="1" si="4"/>
        <v>#N/A</v>
      </c>
      <c r="T32" s="186" t="str">
        <f t="shared" ca="1" si="5"/>
        <v/>
      </c>
      <c r="U32" s="194" t="str">
        <f t="shared" ca="1" si="6"/>
        <v/>
      </c>
      <c r="V32" s="197" t="str">
        <f t="shared" ca="1" si="15"/>
        <v/>
      </c>
    </row>
    <row r="33" spans="1:22" ht="12.6" customHeight="1">
      <c r="A33" s="189">
        <f t="shared" ref="A33:A50" ca="1" si="18">($B$17+ROW(A14)-1)*(MONTH(A32+1)=MONTH($B$17))</f>
        <v>42290</v>
      </c>
      <c r="B33" s="285"/>
      <c r="C33" s="286"/>
      <c r="D33" s="273"/>
      <c r="E33" s="274"/>
      <c r="F33" s="206"/>
      <c r="G33" s="110" t="str">
        <f t="shared" ca="1" si="8"/>
        <v>0,00</v>
      </c>
      <c r="H33" s="111" t="str">
        <f t="shared" ca="1" si="9"/>
        <v/>
      </c>
      <c r="I33" s="112">
        <f t="shared" ca="1" si="10"/>
        <v>0</v>
      </c>
      <c r="J33" s="157" t="str">
        <f t="shared" ca="1" si="16"/>
        <v/>
      </c>
      <c r="K33" s="275" t="str">
        <f t="shared" ca="1" si="17"/>
        <v>--------</v>
      </c>
      <c r="L33" s="276"/>
      <c r="M33" s="93">
        <f t="shared" ca="1" si="11"/>
        <v>42</v>
      </c>
      <c r="N33" s="94">
        <f t="shared" ca="1" si="12"/>
        <v>0</v>
      </c>
      <c r="O33" s="95">
        <f t="shared" ca="1" si="13"/>
        <v>0</v>
      </c>
      <c r="P33" s="120" t="str">
        <f t="shared" ca="1" si="14"/>
        <v/>
      </c>
      <c r="Q33" s="120" t="str">
        <f t="shared" ca="1" si="2"/>
        <v>1</v>
      </c>
      <c r="R33" s="184" t="str">
        <f t="shared" ca="1" si="3"/>
        <v/>
      </c>
      <c r="S33" s="185" t="e">
        <f t="shared" ca="1" si="4"/>
        <v>#N/A</v>
      </c>
      <c r="T33" s="186" t="str">
        <f t="shared" ca="1" si="5"/>
        <v/>
      </c>
      <c r="U33" s="194" t="str">
        <f t="shared" ca="1" si="6"/>
        <v/>
      </c>
      <c r="V33" s="197" t="str">
        <f t="shared" ca="1" si="15"/>
        <v/>
      </c>
    </row>
    <row r="34" spans="1:22" ht="12.6" customHeight="1">
      <c r="A34" s="189">
        <f t="shared" ca="1" si="18"/>
        <v>42291</v>
      </c>
      <c r="B34" s="285"/>
      <c r="C34" s="286"/>
      <c r="D34" s="273"/>
      <c r="E34" s="274"/>
      <c r="F34" s="206"/>
      <c r="G34" s="110" t="str">
        <f t="shared" ca="1" si="8"/>
        <v>0,00</v>
      </c>
      <c r="H34" s="111" t="str">
        <f t="shared" ca="1" si="9"/>
        <v/>
      </c>
      <c r="I34" s="112">
        <f t="shared" ca="1" si="10"/>
        <v>0</v>
      </c>
      <c r="J34" s="157" t="str">
        <f t="shared" ca="1" si="16"/>
        <v/>
      </c>
      <c r="K34" s="275" t="str">
        <f t="shared" ca="1" si="17"/>
        <v>--------</v>
      </c>
      <c r="L34" s="276"/>
      <c r="M34" s="93">
        <f t="shared" ca="1" si="11"/>
        <v>42</v>
      </c>
      <c r="N34" s="94">
        <f t="shared" ca="1" si="12"/>
        <v>0</v>
      </c>
      <c r="O34" s="95">
        <f t="shared" ca="1" si="13"/>
        <v>0</v>
      </c>
      <c r="P34" s="120" t="str">
        <f t="shared" ca="1" si="14"/>
        <v/>
      </c>
      <c r="Q34" s="120" t="str">
        <f t="shared" ca="1" si="2"/>
        <v>1</v>
      </c>
      <c r="R34" s="184" t="str">
        <f t="shared" ca="1" si="3"/>
        <v/>
      </c>
      <c r="S34" s="185" t="e">
        <f t="shared" ca="1" si="4"/>
        <v>#N/A</v>
      </c>
      <c r="T34" s="186" t="str">
        <f t="shared" ca="1" si="5"/>
        <v/>
      </c>
      <c r="U34" s="194" t="str">
        <f t="shared" ca="1" si="6"/>
        <v/>
      </c>
      <c r="V34" s="197" t="str">
        <f t="shared" ca="1" si="15"/>
        <v/>
      </c>
    </row>
    <row r="35" spans="1:22" ht="12.6" customHeight="1">
      <c r="A35" s="189">
        <f t="shared" ca="1" si="18"/>
        <v>42292</v>
      </c>
      <c r="B35" s="281"/>
      <c r="C35" s="282"/>
      <c r="D35" s="283"/>
      <c r="E35" s="284"/>
      <c r="F35" s="206"/>
      <c r="G35" s="110" t="str">
        <f t="shared" ca="1" si="8"/>
        <v>0,00</v>
      </c>
      <c r="H35" s="111" t="str">
        <f t="shared" ca="1" si="9"/>
        <v/>
      </c>
      <c r="I35" s="112">
        <f t="shared" ca="1" si="10"/>
        <v>0</v>
      </c>
      <c r="J35" s="157" t="str">
        <f t="shared" ca="1" si="16"/>
        <v/>
      </c>
      <c r="K35" s="275" t="str">
        <f t="shared" ca="1" si="17"/>
        <v>--------</v>
      </c>
      <c r="L35" s="276"/>
      <c r="M35" s="93">
        <f t="shared" ca="1" si="11"/>
        <v>42</v>
      </c>
      <c r="N35" s="94">
        <f t="shared" ca="1" si="12"/>
        <v>0</v>
      </c>
      <c r="O35" s="95">
        <f t="shared" ca="1" si="13"/>
        <v>0</v>
      </c>
      <c r="P35" s="120" t="str">
        <f t="shared" ca="1" si="14"/>
        <v/>
      </c>
      <c r="Q35" s="120" t="str">
        <f t="shared" ca="1" si="2"/>
        <v>1</v>
      </c>
      <c r="R35" s="184" t="str">
        <f t="shared" ca="1" si="3"/>
        <v/>
      </c>
      <c r="S35" s="185" t="e">
        <f t="shared" ca="1" si="4"/>
        <v>#N/A</v>
      </c>
      <c r="T35" s="186" t="str">
        <f t="shared" ca="1" si="5"/>
        <v/>
      </c>
      <c r="U35" s="194" t="str">
        <f t="shared" ca="1" si="6"/>
        <v/>
      </c>
      <c r="V35" s="197" t="str">
        <f t="shared" ca="1" si="15"/>
        <v/>
      </c>
    </row>
    <row r="36" spans="1:22" ht="12.6" customHeight="1">
      <c r="A36" s="189">
        <f t="shared" ca="1" si="18"/>
        <v>42293</v>
      </c>
      <c r="B36" s="285"/>
      <c r="C36" s="286"/>
      <c r="D36" s="273"/>
      <c r="E36" s="274"/>
      <c r="F36" s="205"/>
      <c r="G36" s="110" t="str">
        <f t="shared" ca="1" si="8"/>
        <v>0,00</v>
      </c>
      <c r="H36" s="111" t="str">
        <f t="shared" ca="1" si="9"/>
        <v/>
      </c>
      <c r="I36" s="112">
        <f t="shared" ca="1" si="10"/>
        <v>0</v>
      </c>
      <c r="J36" s="157" t="str">
        <f t="shared" ca="1" si="16"/>
        <v/>
      </c>
      <c r="K36" s="275" t="str">
        <f t="shared" ca="1" si="17"/>
        <v>--------</v>
      </c>
      <c r="L36" s="276"/>
      <c r="M36" s="93">
        <f t="shared" ca="1" si="11"/>
        <v>42</v>
      </c>
      <c r="N36" s="94">
        <f t="shared" ca="1" si="12"/>
        <v>0</v>
      </c>
      <c r="O36" s="95">
        <f t="shared" ca="1" si="13"/>
        <v>0</v>
      </c>
      <c r="P36" s="120" t="str">
        <f t="shared" ca="1" si="14"/>
        <v/>
      </c>
      <c r="Q36" s="120" t="str">
        <f t="shared" ca="1" si="2"/>
        <v>1</v>
      </c>
      <c r="R36" s="184" t="str">
        <f t="shared" ca="1" si="3"/>
        <v/>
      </c>
      <c r="S36" s="185" t="e">
        <f t="shared" ca="1" si="4"/>
        <v>#N/A</v>
      </c>
      <c r="T36" s="186" t="str">
        <f t="shared" ca="1" si="5"/>
        <v/>
      </c>
      <c r="U36" s="194" t="str">
        <f t="shared" ca="1" si="6"/>
        <v/>
      </c>
      <c r="V36" s="197" t="str">
        <f t="shared" ca="1" si="15"/>
        <v/>
      </c>
    </row>
    <row r="37" spans="1:22" ht="12.6" customHeight="1">
      <c r="A37" s="189">
        <f t="shared" ca="1" si="18"/>
        <v>42294</v>
      </c>
      <c r="B37" s="285"/>
      <c r="C37" s="286"/>
      <c r="D37" s="273"/>
      <c r="E37" s="274"/>
      <c r="F37" s="205"/>
      <c r="G37" s="110" t="str">
        <f t="shared" ca="1" si="8"/>
        <v>0,00</v>
      </c>
      <c r="H37" s="111" t="str">
        <f t="shared" ca="1" si="9"/>
        <v/>
      </c>
      <c r="I37" s="112">
        <f t="shared" ca="1" si="10"/>
        <v>0</v>
      </c>
      <c r="J37" s="157" t="str">
        <f t="shared" ca="1" si="16"/>
        <v/>
      </c>
      <c r="K37" s="275" t="str">
        <f t="shared" ca="1" si="17"/>
        <v>--------</v>
      </c>
      <c r="L37" s="276"/>
      <c r="M37" s="93">
        <f t="shared" ca="1" si="11"/>
        <v>42</v>
      </c>
      <c r="N37" s="94">
        <f t="shared" ca="1" si="12"/>
        <v>0</v>
      </c>
      <c r="O37" s="95">
        <f t="shared" ca="1" si="13"/>
        <v>0</v>
      </c>
      <c r="P37" s="120" t="str">
        <f t="shared" ca="1" si="14"/>
        <v/>
      </c>
      <c r="Q37" s="120" t="str">
        <f t="shared" ca="1" si="2"/>
        <v>1</v>
      </c>
      <c r="R37" s="184" t="str">
        <f t="shared" ca="1" si="3"/>
        <v/>
      </c>
      <c r="S37" s="185" t="e">
        <f t="shared" ca="1" si="4"/>
        <v>#N/A</v>
      </c>
      <c r="T37" s="186" t="str">
        <f t="shared" ca="1" si="5"/>
        <v/>
      </c>
      <c r="U37" s="194" t="str">
        <f t="shared" ca="1" si="6"/>
        <v/>
      </c>
      <c r="V37" s="197" t="str">
        <f t="shared" ca="1" si="15"/>
        <v/>
      </c>
    </row>
    <row r="38" spans="1:22" ht="12.6" customHeight="1">
      <c r="A38" s="189">
        <f t="shared" ca="1" si="18"/>
        <v>42295</v>
      </c>
      <c r="B38" s="281"/>
      <c r="C38" s="282"/>
      <c r="D38" s="283"/>
      <c r="E38" s="284"/>
      <c r="F38" s="206"/>
      <c r="G38" s="110" t="str">
        <f t="shared" ca="1" si="8"/>
        <v>0,00</v>
      </c>
      <c r="H38" s="111" t="str">
        <f t="shared" ca="1" si="9"/>
        <v/>
      </c>
      <c r="I38" s="112">
        <f t="shared" ca="1" si="10"/>
        <v>0</v>
      </c>
      <c r="J38" s="157" t="str">
        <f t="shared" ca="1" si="16"/>
        <v/>
      </c>
      <c r="K38" s="275" t="str">
        <f t="shared" ca="1" si="17"/>
        <v>--------</v>
      </c>
      <c r="L38" s="276"/>
      <c r="M38" s="93">
        <f t="shared" ca="1" si="11"/>
        <v>42</v>
      </c>
      <c r="N38" s="94">
        <f t="shared" ca="1" si="12"/>
        <v>0</v>
      </c>
      <c r="O38" s="95">
        <f t="shared" ca="1" si="13"/>
        <v>0</v>
      </c>
      <c r="P38" s="120" t="str">
        <f t="shared" ca="1" si="14"/>
        <v/>
      </c>
      <c r="Q38" s="120" t="str">
        <f t="shared" ca="1" si="2"/>
        <v>1</v>
      </c>
      <c r="R38" s="184" t="str">
        <f t="shared" ca="1" si="3"/>
        <v/>
      </c>
      <c r="S38" s="185" t="e">
        <f t="shared" ca="1" si="4"/>
        <v>#N/A</v>
      </c>
      <c r="T38" s="186" t="str">
        <f t="shared" ca="1" si="5"/>
        <v/>
      </c>
      <c r="U38" s="194" t="str">
        <f t="shared" ca="1" si="6"/>
        <v/>
      </c>
      <c r="V38" s="197" t="str">
        <f t="shared" ca="1" si="15"/>
        <v/>
      </c>
    </row>
    <row r="39" spans="1:22" ht="12.6" customHeight="1">
      <c r="A39" s="189">
        <f t="shared" ca="1" si="18"/>
        <v>42296</v>
      </c>
      <c r="B39" s="285"/>
      <c r="C39" s="286"/>
      <c r="D39" s="301"/>
      <c r="E39" s="276"/>
      <c r="F39" s="206"/>
      <c r="G39" s="110" t="str">
        <f t="shared" ca="1" si="8"/>
        <v>0,00</v>
      </c>
      <c r="H39" s="111">
        <f t="shared" ca="1" si="9"/>
        <v>0</v>
      </c>
      <c r="I39" s="112">
        <f t="shared" ca="1" si="10"/>
        <v>0</v>
      </c>
      <c r="J39" s="157" t="str">
        <f t="shared" ca="1" si="16"/>
        <v/>
      </c>
      <c r="K39" s="275" t="str">
        <f t="shared" ca="1" si="17"/>
        <v>--------</v>
      </c>
      <c r="L39" s="276"/>
      <c r="M39" s="93">
        <f t="shared" ca="1" si="11"/>
        <v>42</v>
      </c>
      <c r="N39" s="94">
        <f t="shared" ca="1" si="12"/>
        <v>0</v>
      </c>
      <c r="O39" s="95">
        <f t="shared" ca="1" si="13"/>
        <v>0</v>
      </c>
      <c r="P39" s="120" t="str">
        <f t="shared" ca="1" si="14"/>
        <v/>
      </c>
      <c r="Q39" s="120" t="str">
        <f t="shared" ca="1" si="2"/>
        <v>1</v>
      </c>
      <c r="R39" s="184" t="str">
        <f t="shared" ca="1" si="3"/>
        <v/>
      </c>
      <c r="S39" s="185" t="e">
        <f t="shared" ca="1" si="4"/>
        <v>#N/A</v>
      </c>
      <c r="T39" s="186" t="str">
        <f t="shared" ca="1" si="5"/>
        <v/>
      </c>
      <c r="U39" s="194" t="str">
        <f t="shared" ca="1" si="6"/>
        <v/>
      </c>
      <c r="V39" s="197" t="str">
        <f t="shared" ca="1" si="15"/>
        <v/>
      </c>
    </row>
    <row r="40" spans="1:22" ht="12.6" customHeight="1">
      <c r="A40" s="189">
        <f t="shared" ca="1" si="18"/>
        <v>42297</v>
      </c>
      <c r="B40" s="285"/>
      <c r="C40" s="286"/>
      <c r="D40" s="273"/>
      <c r="E40" s="274"/>
      <c r="F40" s="206"/>
      <c r="G40" s="110" t="str">
        <f t="shared" ca="1" si="8"/>
        <v>0,00</v>
      </c>
      <c r="H40" s="111" t="str">
        <f t="shared" ca="1" si="9"/>
        <v/>
      </c>
      <c r="I40" s="112">
        <f t="shared" ca="1" si="10"/>
        <v>0</v>
      </c>
      <c r="J40" s="157" t="str">
        <f t="shared" ca="1" si="16"/>
        <v/>
      </c>
      <c r="K40" s="275" t="str">
        <f t="shared" ca="1" si="17"/>
        <v>--------</v>
      </c>
      <c r="L40" s="276"/>
      <c r="M40" s="93">
        <f t="shared" ca="1" si="11"/>
        <v>43</v>
      </c>
      <c r="N40" s="94">
        <f t="shared" ca="1" si="12"/>
        <v>0</v>
      </c>
      <c r="O40" s="95">
        <f t="shared" ca="1" si="13"/>
        <v>0</v>
      </c>
      <c r="P40" s="120" t="str">
        <f t="shared" ca="1" si="14"/>
        <v/>
      </c>
      <c r="Q40" s="120" t="str">
        <f t="shared" ca="1" si="2"/>
        <v>1</v>
      </c>
      <c r="R40" s="184" t="str">
        <f t="shared" ca="1" si="3"/>
        <v/>
      </c>
      <c r="S40" s="185" t="e">
        <f t="shared" ca="1" si="4"/>
        <v>#N/A</v>
      </c>
      <c r="T40" s="186" t="str">
        <f t="shared" ca="1" si="5"/>
        <v/>
      </c>
      <c r="U40" s="194" t="str">
        <f t="shared" ca="1" si="6"/>
        <v/>
      </c>
      <c r="V40" s="197" t="str">
        <f t="shared" ca="1" si="15"/>
        <v/>
      </c>
    </row>
    <row r="41" spans="1:22" ht="12.6" customHeight="1">
      <c r="A41" s="189">
        <f t="shared" ca="1" si="18"/>
        <v>42298</v>
      </c>
      <c r="B41" s="285"/>
      <c r="C41" s="286"/>
      <c r="D41" s="273"/>
      <c r="E41" s="274"/>
      <c r="F41" s="206"/>
      <c r="G41" s="110" t="str">
        <f t="shared" ca="1" si="8"/>
        <v>0,00</v>
      </c>
      <c r="H41" s="111" t="str">
        <f t="shared" ca="1" si="9"/>
        <v/>
      </c>
      <c r="I41" s="112">
        <f t="shared" ca="1" si="10"/>
        <v>0</v>
      </c>
      <c r="J41" s="157" t="str">
        <f t="shared" ca="1" si="16"/>
        <v/>
      </c>
      <c r="K41" s="275" t="str">
        <f t="shared" ca="1" si="17"/>
        <v>--------</v>
      </c>
      <c r="L41" s="276"/>
      <c r="M41" s="93">
        <f t="shared" ca="1" si="11"/>
        <v>43</v>
      </c>
      <c r="N41" s="94">
        <f t="shared" ca="1" si="12"/>
        <v>0</v>
      </c>
      <c r="O41" s="95">
        <f t="shared" ca="1" si="13"/>
        <v>0</v>
      </c>
      <c r="P41" s="120" t="str">
        <f t="shared" ca="1" si="14"/>
        <v/>
      </c>
      <c r="Q41" s="120" t="str">
        <f t="shared" ca="1" si="2"/>
        <v>1</v>
      </c>
      <c r="R41" s="184" t="str">
        <f t="shared" ca="1" si="3"/>
        <v/>
      </c>
      <c r="S41" s="185" t="e">
        <f t="shared" ca="1" si="4"/>
        <v>#N/A</v>
      </c>
      <c r="T41" s="186" t="str">
        <f t="shared" ca="1" si="5"/>
        <v/>
      </c>
      <c r="U41" s="194" t="str">
        <f t="shared" ca="1" si="6"/>
        <v/>
      </c>
      <c r="V41" s="197" t="str">
        <f t="shared" ca="1" si="15"/>
        <v/>
      </c>
    </row>
    <row r="42" spans="1:22" ht="12.6" customHeight="1">
      <c r="A42" s="189">
        <f t="shared" ca="1" si="18"/>
        <v>42299</v>
      </c>
      <c r="B42" s="285"/>
      <c r="C42" s="286"/>
      <c r="D42" s="273"/>
      <c r="E42" s="274"/>
      <c r="F42" s="206"/>
      <c r="G42" s="110" t="str">
        <f t="shared" ca="1" si="8"/>
        <v>0,00</v>
      </c>
      <c r="H42" s="111" t="str">
        <f t="shared" ca="1" si="9"/>
        <v/>
      </c>
      <c r="I42" s="112">
        <f t="shared" ca="1" si="10"/>
        <v>0</v>
      </c>
      <c r="J42" s="157" t="str">
        <f t="shared" ca="1" si="16"/>
        <v/>
      </c>
      <c r="K42" s="275" t="str">
        <f t="shared" ca="1" si="17"/>
        <v>--------</v>
      </c>
      <c r="L42" s="276"/>
      <c r="M42" s="93">
        <f t="shared" ca="1" si="11"/>
        <v>43</v>
      </c>
      <c r="N42" s="94">
        <f t="shared" ca="1" si="12"/>
        <v>0</v>
      </c>
      <c r="O42" s="95">
        <f t="shared" ca="1" si="13"/>
        <v>0</v>
      </c>
      <c r="P42" s="120" t="str">
        <f t="shared" ca="1" si="14"/>
        <v/>
      </c>
      <c r="Q42" s="120" t="str">
        <f t="shared" ca="1" si="2"/>
        <v>1</v>
      </c>
      <c r="R42" s="184" t="str">
        <f t="shared" ca="1" si="3"/>
        <v/>
      </c>
      <c r="S42" s="185" t="e">
        <f t="shared" ca="1" si="4"/>
        <v>#N/A</v>
      </c>
      <c r="T42" s="186" t="str">
        <f t="shared" ca="1" si="5"/>
        <v/>
      </c>
      <c r="U42" s="194" t="str">
        <f t="shared" ca="1" si="6"/>
        <v/>
      </c>
      <c r="V42" s="197" t="str">
        <f t="shared" ca="1" si="15"/>
        <v/>
      </c>
    </row>
    <row r="43" spans="1:22" ht="12.6" customHeight="1">
      <c r="A43" s="189">
        <f t="shared" ca="1" si="18"/>
        <v>42300</v>
      </c>
      <c r="B43" s="285"/>
      <c r="C43" s="286"/>
      <c r="D43" s="273"/>
      <c r="E43" s="274"/>
      <c r="F43" s="205"/>
      <c r="G43" s="110" t="str">
        <f t="shared" ca="1" si="8"/>
        <v>0,00</v>
      </c>
      <c r="H43" s="111" t="str">
        <f t="shared" ca="1" si="9"/>
        <v/>
      </c>
      <c r="I43" s="112">
        <f t="shared" ca="1" si="10"/>
        <v>0</v>
      </c>
      <c r="J43" s="157" t="str">
        <f t="shared" ca="1" si="16"/>
        <v/>
      </c>
      <c r="K43" s="275" t="str">
        <f t="shared" ca="1" si="17"/>
        <v>--------</v>
      </c>
      <c r="L43" s="276"/>
      <c r="M43" s="93">
        <f t="shared" ca="1" si="11"/>
        <v>43</v>
      </c>
      <c r="N43" s="94">
        <f t="shared" ca="1" si="12"/>
        <v>0</v>
      </c>
      <c r="O43" s="95">
        <f t="shared" ca="1" si="13"/>
        <v>0</v>
      </c>
      <c r="P43" s="120" t="str">
        <f t="shared" ca="1" si="14"/>
        <v/>
      </c>
      <c r="Q43" s="120" t="str">
        <f t="shared" ca="1" si="2"/>
        <v>1</v>
      </c>
      <c r="R43" s="184" t="str">
        <f t="shared" ca="1" si="3"/>
        <v/>
      </c>
      <c r="S43" s="185" t="e">
        <f ca="1">VLOOKUP(A43,$Q$77:$S$92,2,FALSE)</f>
        <v>#N/A</v>
      </c>
      <c r="T43" s="186" t="str">
        <f t="shared" ca="1" si="5"/>
        <v/>
      </c>
      <c r="U43" s="194" t="str">
        <f t="shared" ca="1" si="6"/>
        <v/>
      </c>
      <c r="V43" s="197" t="str">
        <f t="shared" ca="1" si="15"/>
        <v/>
      </c>
    </row>
    <row r="44" spans="1:22" ht="12.6" customHeight="1">
      <c r="A44" s="189">
        <f t="shared" ca="1" si="18"/>
        <v>42301</v>
      </c>
      <c r="B44" s="281"/>
      <c r="C44" s="282"/>
      <c r="D44" s="283"/>
      <c r="E44" s="284"/>
      <c r="F44" s="205"/>
      <c r="G44" s="110" t="str">
        <f t="shared" ca="1" si="8"/>
        <v>0,00</v>
      </c>
      <c r="H44" s="111" t="str">
        <f t="shared" ca="1" si="9"/>
        <v/>
      </c>
      <c r="I44" s="112">
        <f t="shared" ca="1" si="10"/>
        <v>0</v>
      </c>
      <c r="J44" s="157" t="str">
        <f t="shared" ca="1" si="16"/>
        <v/>
      </c>
      <c r="K44" s="275" t="str">
        <f t="shared" ca="1" si="17"/>
        <v>--------</v>
      </c>
      <c r="L44" s="276"/>
      <c r="M44" s="93">
        <f t="shared" ca="1" si="11"/>
        <v>43</v>
      </c>
      <c r="N44" s="94">
        <f t="shared" ca="1" si="12"/>
        <v>0</v>
      </c>
      <c r="O44" s="95">
        <f t="shared" ca="1" si="13"/>
        <v>0</v>
      </c>
      <c r="P44" s="120" t="str">
        <f t="shared" ca="1" si="14"/>
        <v/>
      </c>
      <c r="Q44" s="120" t="str">
        <f t="shared" ca="1" si="2"/>
        <v>1</v>
      </c>
      <c r="R44" s="184" t="str">
        <f t="shared" ca="1" si="3"/>
        <v/>
      </c>
      <c r="S44" s="185" t="e">
        <f t="shared" ca="1" si="4"/>
        <v>#N/A</v>
      </c>
      <c r="T44" s="186" t="str">
        <f t="shared" ca="1" si="5"/>
        <v/>
      </c>
      <c r="U44" s="194" t="str">
        <f t="shared" ca="1" si="6"/>
        <v/>
      </c>
      <c r="V44" s="197" t="str">
        <f t="shared" ca="1" si="15"/>
        <v/>
      </c>
    </row>
    <row r="45" spans="1:22" ht="12.6" customHeight="1">
      <c r="A45" s="189">
        <f t="shared" ca="1" si="18"/>
        <v>42302</v>
      </c>
      <c r="B45" s="308"/>
      <c r="C45" s="309"/>
      <c r="D45" s="308"/>
      <c r="E45" s="309"/>
      <c r="F45" s="206"/>
      <c r="G45" s="110" t="str">
        <f t="shared" ca="1" si="8"/>
        <v>0,00</v>
      </c>
      <c r="H45" s="111" t="str">
        <f t="shared" ca="1" si="9"/>
        <v/>
      </c>
      <c r="I45" s="112">
        <f t="shared" ca="1" si="10"/>
        <v>0</v>
      </c>
      <c r="J45" s="157" t="str">
        <f t="shared" ca="1" si="16"/>
        <v/>
      </c>
      <c r="K45" s="275" t="str">
        <f t="shared" ca="1" si="17"/>
        <v>--------</v>
      </c>
      <c r="L45" s="276"/>
      <c r="M45" s="93">
        <f t="shared" ca="1" si="11"/>
        <v>43</v>
      </c>
      <c r="N45" s="94">
        <f t="shared" ca="1" si="12"/>
        <v>0</v>
      </c>
      <c r="O45" s="95">
        <f t="shared" ca="1" si="13"/>
        <v>0</v>
      </c>
      <c r="P45" s="120" t="str">
        <f t="shared" ca="1" si="14"/>
        <v/>
      </c>
      <c r="Q45" s="120" t="str">
        <f t="shared" ca="1" si="2"/>
        <v>1</v>
      </c>
      <c r="R45" s="184" t="str">
        <f t="shared" ca="1" si="3"/>
        <v/>
      </c>
      <c r="S45" s="185" t="e">
        <f t="shared" ca="1" si="4"/>
        <v>#N/A</v>
      </c>
      <c r="T45" s="186" t="str">
        <f t="shared" ca="1" si="5"/>
        <v/>
      </c>
      <c r="U45" s="194" t="str">
        <f t="shared" ca="1" si="6"/>
        <v/>
      </c>
      <c r="V45" s="197" t="str">
        <f t="shared" ca="1" si="15"/>
        <v/>
      </c>
    </row>
    <row r="46" spans="1:22" ht="12.6" customHeight="1">
      <c r="A46" s="189">
        <f t="shared" ca="1" si="18"/>
        <v>42303</v>
      </c>
      <c r="B46" s="308"/>
      <c r="C46" s="309"/>
      <c r="D46" s="313"/>
      <c r="E46" s="314"/>
      <c r="F46" s="206"/>
      <c r="G46" s="110" t="str">
        <f t="shared" ca="1" si="8"/>
        <v>0,00</v>
      </c>
      <c r="H46" s="111">
        <f t="shared" ca="1" si="9"/>
        <v>0</v>
      </c>
      <c r="I46" s="112">
        <f t="shared" ca="1" si="10"/>
        <v>0</v>
      </c>
      <c r="J46" s="157" t="str">
        <f t="shared" ca="1" si="16"/>
        <v/>
      </c>
      <c r="K46" s="275" t="str">
        <f t="shared" ca="1" si="17"/>
        <v>--------</v>
      </c>
      <c r="L46" s="276"/>
      <c r="M46" s="93">
        <f t="shared" ca="1" si="11"/>
        <v>43</v>
      </c>
      <c r="N46" s="94">
        <f t="shared" ca="1" si="12"/>
        <v>0</v>
      </c>
      <c r="O46" s="95">
        <f t="shared" ca="1" si="13"/>
        <v>0</v>
      </c>
      <c r="P46" s="120" t="str">
        <f t="shared" ca="1" si="14"/>
        <v/>
      </c>
      <c r="Q46" s="120" t="str">
        <f t="shared" ca="1" si="2"/>
        <v>1</v>
      </c>
      <c r="R46" s="184" t="str">
        <f t="shared" ca="1" si="3"/>
        <v/>
      </c>
      <c r="S46" s="185" t="e">
        <f t="shared" ca="1" si="4"/>
        <v>#N/A</v>
      </c>
      <c r="T46" s="186" t="str">
        <f t="shared" ca="1" si="5"/>
        <v/>
      </c>
      <c r="U46" s="194" t="str">
        <f t="shared" ca="1" si="6"/>
        <v/>
      </c>
      <c r="V46" s="197" t="str">
        <f t="shared" ca="1" si="15"/>
        <v/>
      </c>
    </row>
    <row r="47" spans="1:22" ht="12.6" customHeight="1">
      <c r="A47" s="189">
        <f t="shared" ca="1" si="18"/>
        <v>42304</v>
      </c>
      <c r="B47" s="308"/>
      <c r="C47" s="309"/>
      <c r="D47" s="309"/>
      <c r="E47" s="309"/>
      <c r="F47" s="206"/>
      <c r="G47" s="110" t="str">
        <f t="shared" ca="1" si="8"/>
        <v>0,00</v>
      </c>
      <c r="H47" s="111" t="str">
        <f t="shared" ca="1" si="9"/>
        <v/>
      </c>
      <c r="I47" s="112">
        <f t="shared" ca="1" si="10"/>
        <v>0</v>
      </c>
      <c r="J47" s="157" t="str">
        <f t="shared" ca="1" si="16"/>
        <v/>
      </c>
      <c r="K47" s="275" t="str">
        <f t="shared" ca="1" si="17"/>
        <v>--------</v>
      </c>
      <c r="L47" s="276"/>
      <c r="M47" s="93">
        <f t="shared" ca="1" si="11"/>
        <v>44</v>
      </c>
      <c r="N47" s="94">
        <f t="shared" ca="1" si="12"/>
        <v>0</v>
      </c>
      <c r="O47" s="95">
        <f t="shared" ca="1" si="13"/>
        <v>0</v>
      </c>
      <c r="P47" s="120" t="str">
        <f t="shared" ca="1" si="14"/>
        <v/>
      </c>
      <c r="Q47" s="120" t="str">
        <f t="shared" ca="1" si="2"/>
        <v>1</v>
      </c>
      <c r="R47" s="184" t="str">
        <f t="shared" ca="1" si="3"/>
        <v/>
      </c>
      <c r="S47" s="185" t="e">
        <f t="shared" ca="1" si="4"/>
        <v>#N/A</v>
      </c>
      <c r="T47" s="186" t="str">
        <f t="shared" ca="1" si="5"/>
        <v/>
      </c>
      <c r="U47" s="194" t="str">
        <f t="shared" ca="1" si="6"/>
        <v/>
      </c>
      <c r="V47" s="197" t="str">
        <f t="shared" ca="1" si="15"/>
        <v/>
      </c>
    </row>
    <row r="48" spans="1:22" ht="12.6" customHeight="1">
      <c r="A48" s="189">
        <f t="shared" ca="1" si="18"/>
        <v>42305</v>
      </c>
      <c r="B48" s="285"/>
      <c r="C48" s="286"/>
      <c r="D48" s="273"/>
      <c r="E48" s="274"/>
      <c r="F48" s="206"/>
      <c r="G48" s="110" t="str">
        <f t="shared" ca="1" si="8"/>
        <v>0,00</v>
      </c>
      <c r="H48" s="111" t="str">
        <f t="shared" ca="1" si="9"/>
        <v/>
      </c>
      <c r="I48" s="112">
        <f t="shared" ca="1" si="10"/>
        <v>0</v>
      </c>
      <c r="J48" s="157" t="str">
        <f t="shared" ca="1" si="16"/>
        <v/>
      </c>
      <c r="K48" s="275" t="str">
        <f t="shared" ca="1" si="17"/>
        <v>--------</v>
      </c>
      <c r="L48" s="276"/>
      <c r="M48" s="93">
        <f t="shared" ca="1" si="11"/>
        <v>44</v>
      </c>
      <c r="N48" s="94">
        <f t="shared" ca="1" si="12"/>
        <v>0</v>
      </c>
      <c r="O48" s="95">
        <f t="shared" ca="1" si="13"/>
        <v>0</v>
      </c>
      <c r="P48" s="120" t="str">
        <f t="shared" ca="1" si="14"/>
        <v/>
      </c>
      <c r="Q48" s="120" t="str">
        <f t="shared" ca="1" si="2"/>
        <v>1</v>
      </c>
      <c r="R48" s="184" t="str">
        <f t="shared" ca="1" si="3"/>
        <v/>
      </c>
      <c r="S48" s="185" t="e">
        <f t="shared" ca="1" si="4"/>
        <v>#N/A</v>
      </c>
      <c r="T48" s="186" t="str">
        <f t="shared" ca="1" si="5"/>
        <v/>
      </c>
      <c r="U48" s="194" t="str">
        <f t="shared" ca="1" si="6"/>
        <v/>
      </c>
      <c r="V48" s="197" t="str">
        <f t="shared" ca="1" si="15"/>
        <v/>
      </c>
    </row>
    <row r="49" spans="1:22" ht="12.6" customHeight="1">
      <c r="A49" s="189">
        <f t="shared" ca="1" si="18"/>
        <v>42306</v>
      </c>
      <c r="B49" s="285"/>
      <c r="C49" s="286"/>
      <c r="D49" s="273"/>
      <c r="E49" s="274"/>
      <c r="F49" s="206"/>
      <c r="G49" s="110" t="str">
        <f t="shared" ca="1" si="8"/>
        <v>0,00</v>
      </c>
      <c r="H49" s="111" t="str">
        <f t="shared" ca="1" si="9"/>
        <v/>
      </c>
      <c r="I49" s="112">
        <f t="shared" ca="1" si="10"/>
        <v>0</v>
      </c>
      <c r="J49" s="157" t="str">
        <f t="shared" ca="1" si="16"/>
        <v/>
      </c>
      <c r="K49" s="275" t="str">
        <f t="shared" ca="1" si="17"/>
        <v>--------</v>
      </c>
      <c r="L49" s="276"/>
      <c r="M49" s="93">
        <f t="shared" ca="1" si="11"/>
        <v>44</v>
      </c>
      <c r="N49" s="94">
        <f t="shared" ca="1" si="12"/>
        <v>0</v>
      </c>
      <c r="O49" s="95">
        <f t="shared" ca="1" si="13"/>
        <v>0</v>
      </c>
      <c r="P49" s="120" t="str">
        <f t="shared" ca="1" si="14"/>
        <v/>
      </c>
      <c r="Q49" s="120" t="str">
        <f t="shared" ca="1" si="2"/>
        <v>1</v>
      </c>
      <c r="R49" s="184" t="str">
        <f t="shared" ca="1" si="3"/>
        <v/>
      </c>
      <c r="S49" s="185" t="e">
        <f t="shared" ca="1" si="4"/>
        <v>#N/A</v>
      </c>
      <c r="T49" s="186" t="str">
        <f t="shared" ca="1" si="5"/>
        <v/>
      </c>
      <c r="U49" s="194" t="str">
        <f t="shared" ca="1" si="6"/>
        <v/>
      </c>
      <c r="V49" s="197" t="str">
        <f t="shared" ca="1" si="15"/>
        <v/>
      </c>
    </row>
    <row r="50" spans="1:22" ht="12.6" customHeight="1" thickBot="1">
      <c r="A50" s="191">
        <f t="shared" ca="1" si="18"/>
        <v>42307</v>
      </c>
      <c r="B50" s="293"/>
      <c r="C50" s="294"/>
      <c r="D50" s="295"/>
      <c r="E50" s="296"/>
      <c r="F50" s="204"/>
      <c r="G50" s="135" t="str">
        <f ca="1">IF(OR(A50&lt;$C$14,A50&gt;$F$14,A50&gt;TODAY()),"0,00",IF(ISBLANK($C$14),"0,00",(D50-B50-F50)))</f>
        <v>0,00</v>
      </c>
      <c r="H50" s="136" t="str">
        <f t="shared" ca="1" si="9"/>
        <v/>
      </c>
      <c r="I50" s="137">
        <f t="shared" ca="1" si="10"/>
        <v>0</v>
      </c>
      <c r="J50" s="158" t="str">
        <f t="shared" ca="1" si="16"/>
        <v/>
      </c>
      <c r="K50" s="318" t="str">
        <f t="shared" ca="1" si="17"/>
        <v>--------</v>
      </c>
      <c r="L50" s="296"/>
      <c r="M50" s="93">
        <f ca="1">IF(A50&gt;DATE(1904,1,1),WEEKNUM(A50,2),"")</f>
        <v>44</v>
      </c>
      <c r="N50" s="94">
        <f t="shared" ca="1" si="12"/>
        <v>0</v>
      </c>
      <c r="O50" s="95">
        <f t="shared" ca="1" si="13"/>
        <v>0</v>
      </c>
      <c r="P50" s="120" t="str">
        <f t="shared" ca="1" si="14"/>
        <v/>
      </c>
      <c r="Q50" s="120" t="str">
        <f t="shared" ca="1" si="2"/>
        <v>1</v>
      </c>
      <c r="R50" s="184" t="str">
        <f t="shared" ca="1" si="3"/>
        <v/>
      </c>
      <c r="S50" s="185" t="e">
        <f t="shared" ca="1" si="4"/>
        <v>#N/A</v>
      </c>
      <c r="T50" s="186" t="str">
        <f ca="1">IF(ISNA(S50),"",S50)</f>
        <v/>
      </c>
      <c r="U50" s="195" t="str">
        <f t="shared" ca="1" si="6"/>
        <v/>
      </c>
      <c r="V50" s="197" t="str">
        <f t="shared" ca="1" si="15"/>
        <v/>
      </c>
    </row>
    <row r="51" spans="1:22" ht="11.25" customHeight="1">
      <c r="A51" s="19"/>
      <c r="B51" s="43"/>
      <c r="C51" s="43"/>
      <c r="D51" s="43"/>
      <c r="E51" s="20"/>
      <c r="I51" s="42"/>
      <c r="K51" s="21"/>
      <c r="L51" s="11"/>
      <c r="M51" s="143"/>
      <c r="N51" s="230"/>
      <c r="O51" s="59"/>
      <c r="S51" s="183"/>
      <c r="V51" s="198">
        <f ca="1">COUNTIF(V20:V50,"!")</f>
        <v>0</v>
      </c>
    </row>
    <row r="52" spans="1:22" ht="14.1" customHeight="1">
      <c r="D52" s="104"/>
      <c r="E52" s="22"/>
      <c r="F52" s="140" t="s">
        <v>29</v>
      </c>
      <c r="G52" s="141">
        <f ca="1">IF($G$16="Sie haben Ihr Arbeitszeitkonto überschritten, bitte erstellen Sie ein neues Konto","",SUM($G$20:$G$50))</f>
        <v>0</v>
      </c>
      <c r="H52" s="130" t="s">
        <v>30</v>
      </c>
      <c r="J52" s="142">
        <f ca="1">IF($G$16="Sie haben Ihr Arbeitszeitkonto überschritten, bitte erstellen Sie ein neues Konto","",IF(ISNA($H$56),0,IF($H$56&gt;$D$53,($D$53+$D$54),($H$56+$D$54))))</f>
        <v>0</v>
      </c>
      <c r="K52" s="290" t="str">
        <f ca="1">IF(ISNA($E$56),"",IF($E$56&gt;$D$53,"Kappung erfolgt",""))</f>
        <v/>
      </c>
      <c r="L52" s="290"/>
      <c r="M52" s="143"/>
      <c r="N52" s="230">
        <f ca="1">SUM(N20:N50)</f>
        <v>0</v>
      </c>
      <c r="O52" s="59"/>
    </row>
    <row r="53" spans="1:22">
      <c r="A53" s="100" t="s">
        <v>26</v>
      </c>
      <c r="B53" s="100"/>
      <c r="C53" s="100"/>
      <c r="D53" s="101">
        <f ca="1">$N$52*0.5</f>
        <v>0</v>
      </c>
      <c r="E53" s="23"/>
      <c r="F53" s="23"/>
      <c r="G53" s="24"/>
      <c r="H53" s="2"/>
      <c r="I53" s="2"/>
      <c r="K53" s="127"/>
      <c r="L53" s="127"/>
      <c r="M53" s="143"/>
      <c r="N53" s="38">
        <f ca="1">SUM(N20:N50)</f>
        <v>0</v>
      </c>
      <c r="O53" s="60"/>
    </row>
    <row r="54" spans="1:22">
      <c r="A54" s="215" t="s">
        <v>25</v>
      </c>
      <c r="B54" s="215"/>
      <c r="C54" s="215"/>
      <c r="D54" s="102">
        <f ca="1">$M$16</f>
        <v>0</v>
      </c>
      <c r="F54" s="106"/>
      <c r="G54" s="106"/>
      <c r="H54" s="299" t="str">
        <f ca="1">IF($K$52="Kappung erfolgt","INFO: (Gekappte Std.: "&amp;$J$56,"")</f>
        <v/>
      </c>
      <c r="I54" s="299"/>
      <c r="J54" s="299"/>
      <c r="K54" s="127" t="str">
        <f ca="1">IF($K$52="Kappung erfolgt","von insg. "&amp;$L$56&amp;" Mehrstunden)","")</f>
        <v/>
      </c>
      <c r="L54" s="131"/>
      <c r="M54" s="143"/>
      <c r="N54" s="28">
        <f>IF($A$55="Wg.Unterbrechung  keine Stundenübernahme möglich! Bitte Angaben prüfen","1",0)</f>
        <v>0</v>
      </c>
      <c r="P54" s="164"/>
      <c r="Q54" s="164"/>
      <c r="R54" s="164"/>
      <c r="S54" s="164"/>
      <c r="T54" s="164"/>
      <c r="U54" s="164"/>
      <c r="V54" s="164"/>
    </row>
    <row r="55" spans="1:22">
      <c r="A55" s="319" t="str">
        <f>IF($H$14="Achtung! Stundennachweis unterbrochen","Wg.Unterbrechung  keine Stundenübernahme möglich! Bitte Angaben prüfen","")</f>
        <v/>
      </c>
      <c r="B55" s="319"/>
      <c r="C55" s="319"/>
      <c r="D55" s="319"/>
      <c r="E55" s="319"/>
      <c r="F55" s="319"/>
      <c r="G55" s="2"/>
      <c r="M55" s="143"/>
      <c r="N55" s="123" t="str">
        <f>IF($N$54&gt;0,($D$54*-1),"0:00")</f>
        <v>0:00</v>
      </c>
      <c r="O55" s="239" t="str">
        <f ca="1">IF(O50="",0,"")</f>
        <v/>
      </c>
    </row>
    <row r="56" spans="1:22" hidden="1">
      <c r="E56" s="232">
        <f>+H56-F56</f>
        <v>-6.9444444444444447E-4</v>
      </c>
      <c r="F56" s="60">
        <v>6.9444444444444447E-4</v>
      </c>
      <c r="G56" s="124">
        <f ca="1">+$H$56+$D$54</f>
        <v>0</v>
      </c>
      <c r="H56" s="38">
        <f>IF($C$14&gt;DATE(1904,1,1),LOOKUP(10000000,O19:O99),0)</f>
        <v>0</v>
      </c>
      <c r="I56" s="60">
        <f ca="1">+($H$56+$N$16)-J52</f>
        <v>0</v>
      </c>
      <c r="J56" s="233">
        <f ca="1">ROUND(I56*24,2)</f>
        <v>0</v>
      </c>
      <c r="K56">
        <f ca="1">($H$56+$N$16)*24</f>
        <v>0</v>
      </c>
      <c r="L56">
        <f ca="1">ROUND(K56,1)</f>
        <v>0</v>
      </c>
      <c r="M56" s="143"/>
      <c r="N56" s="28"/>
    </row>
    <row r="57" spans="1:22">
      <c r="A57" s="322" t="str">
        <f ca="1">IF(V51&gt;0,"Achtung! Bitte bei den blau markierten Feldern die Regelstunden eintragen.","")</f>
        <v/>
      </c>
      <c r="B57" s="322"/>
      <c r="C57" s="322"/>
      <c r="D57" s="322"/>
      <c r="E57" s="322"/>
      <c r="F57" s="322"/>
      <c r="G57" s="199"/>
      <c r="H57">
        <f>IF($C$14&gt;DATE(1904,1,1),LOOKUP(10000000,O19:O52),0)</f>
        <v>0</v>
      </c>
      <c r="M57" s="143"/>
      <c r="N57" s="28"/>
      <c r="Q57" s="251" t="s">
        <v>32</v>
      </c>
      <c r="R57" s="251"/>
      <c r="S57" s="251"/>
      <c r="T57" s="251"/>
    </row>
    <row r="58" spans="1:22">
      <c r="A58" s="25"/>
      <c r="B58" s="25"/>
      <c r="C58" s="38"/>
      <c r="D58" s="26"/>
      <c r="E58" s="27"/>
      <c r="F58" s="144"/>
      <c r="G58" s="2"/>
      <c r="H58" s="38"/>
      <c r="J58" s="132"/>
      <c r="M58" s="219"/>
      <c r="N58" s="219"/>
      <c r="O58" s="219"/>
      <c r="Q58" s="250">
        <f>+F14-C14</f>
        <v>0</v>
      </c>
      <c r="R58" s="250"/>
    </row>
    <row r="59" spans="1:22">
      <c r="A59" s="25"/>
      <c r="B59" s="25"/>
      <c r="C59" s="38"/>
      <c r="D59" s="26"/>
      <c r="E59" s="27"/>
      <c r="F59" s="144"/>
      <c r="G59" s="2"/>
      <c r="H59" s="145"/>
      <c r="M59" s="143"/>
      <c r="N59" s="28"/>
      <c r="Q59" s="252" t="s">
        <v>33</v>
      </c>
      <c r="R59" s="252"/>
      <c r="S59" s="252"/>
      <c r="T59" s="252"/>
      <c r="U59" s="252"/>
      <c r="V59" s="252"/>
    </row>
    <row r="60" spans="1:22" ht="12.75" customHeight="1">
      <c r="A60" s="29"/>
      <c r="B60" s="11"/>
      <c r="C60" s="11"/>
      <c r="D60" s="11"/>
      <c r="E60" s="11"/>
      <c r="F60" s="11"/>
      <c r="G60" s="11"/>
      <c r="H60" s="30"/>
      <c r="I60" s="30"/>
      <c r="J60" s="31"/>
      <c r="K60" s="31"/>
      <c r="L60" s="31"/>
      <c r="M60" s="143"/>
      <c r="N60" s="28"/>
    </row>
    <row r="61" spans="1:22" ht="12.75" customHeight="1">
      <c r="A61" s="226"/>
      <c r="B61" s="34"/>
      <c r="C61" s="34"/>
      <c r="D61" s="34"/>
      <c r="E61" s="34"/>
      <c r="F61" s="11"/>
      <c r="G61" s="11"/>
      <c r="H61" s="34"/>
      <c r="I61" s="34"/>
      <c r="J61" s="35"/>
      <c r="K61" s="35"/>
      <c r="L61" s="35"/>
    </row>
    <row r="62" spans="1:22" ht="18.75" customHeight="1" thickBot="1">
      <c r="A62" s="203" t="s">
        <v>18</v>
      </c>
      <c r="B62" s="292" t="s">
        <v>19</v>
      </c>
      <c r="C62" s="292"/>
      <c r="D62" s="292"/>
      <c r="E62" s="292"/>
      <c r="F62" s="3"/>
      <c r="G62" s="36" t="s">
        <v>18</v>
      </c>
      <c r="H62" s="292" t="s">
        <v>20</v>
      </c>
      <c r="I62" s="292"/>
      <c r="J62" s="292"/>
      <c r="K62" s="292"/>
      <c r="L62" s="292"/>
    </row>
    <row r="63" spans="1:22" ht="17.25" thickTop="1" thickBot="1">
      <c r="P63" s="160">
        <f ca="1">YEAR($B$17)</f>
        <v>2019</v>
      </c>
      <c r="Q63" s="3"/>
    </row>
    <row r="64" spans="1:22" ht="15.75" thickTop="1">
      <c r="O64" s="218"/>
      <c r="Q64" s="3">
        <f ca="1">MOD(P63,19)</f>
        <v>5</v>
      </c>
      <c r="R64" s="287" t="s">
        <v>34</v>
      </c>
      <c r="S64" s="287"/>
      <c r="T64" s="231"/>
    </row>
    <row r="65" spans="16:20">
      <c r="P65" s="3"/>
      <c r="Q65" s="3">
        <f ca="1">MOD(P63,4)</f>
        <v>3</v>
      </c>
    </row>
    <row r="66" spans="16:20">
      <c r="P66" s="3"/>
      <c r="Q66" s="3">
        <f ca="1">MOD(P63,7)</f>
        <v>3</v>
      </c>
    </row>
    <row r="67" spans="16:20">
      <c r="P67" s="3"/>
      <c r="Q67" s="3">
        <f ca="1">TRUNC((8*(TRUNC(P63/100))+13)/25)-2</f>
        <v>4</v>
      </c>
    </row>
    <row r="68" spans="16:20">
      <c r="P68" s="3"/>
      <c r="Q68" s="3">
        <f ca="1">TRUNC(P63/100)-TRUNC(P63/400)-2</f>
        <v>13</v>
      </c>
    </row>
    <row r="69" spans="16:20">
      <c r="P69" s="3"/>
      <c r="Q69" s="3">
        <f ca="1">MOD(15+Q68-Q67,30)</f>
        <v>24</v>
      </c>
    </row>
    <row r="70" spans="16:20">
      <c r="P70" s="161"/>
      <c r="Q70" s="3">
        <f ca="1">MOD(6+Q68,7)</f>
        <v>5</v>
      </c>
    </row>
    <row r="71" spans="16:20">
      <c r="P71" s="3"/>
      <c r="Q71" s="3">
        <f ca="1">MOD(Q69+19*Q64,30)</f>
        <v>29</v>
      </c>
    </row>
    <row r="72" spans="16:20">
      <c r="P72" s="3"/>
      <c r="Q72" s="3">
        <f ca="1">IF(Q71=29,28,IF(AND(Q71=28,Q64&gt;=11),27,IF(AND(Q71&lt;28,Q71&gt;29),,Q71)))</f>
        <v>28</v>
      </c>
    </row>
    <row r="73" spans="16:20">
      <c r="P73" s="3"/>
      <c r="Q73" s="3">
        <f ca="1">MOD(2*Q65+4*Q66+6*Q72+Q70,7)</f>
        <v>2</v>
      </c>
    </row>
    <row r="74" spans="16:20">
      <c r="P74" s="3"/>
      <c r="Q74" s="3">
        <f ca="1">Q72+Q73+1</f>
        <v>31</v>
      </c>
    </row>
    <row r="75" spans="16:20">
      <c r="P75" s="3"/>
      <c r="Q75" s="3">
        <f>DATEVALUE("21.märz")</f>
        <v>40988</v>
      </c>
    </row>
    <row r="77" spans="16:20">
      <c r="P77" s="183"/>
      <c r="Q77" s="228">
        <f ca="1">+T77</f>
        <v>42004</v>
      </c>
      <c r="R77" s="30" t="s">
        <v>35</v>
      </c>
      <c r="T77" s="229">
        <f ca="1">DATE($P$63,1,1)</f>
        <v>42004</v>
      </c>
    </row>
    <row r="78" spans="16:20">
      <c r="P78" s="2"/>
      <c r="Q78" s="220">
        <f ca="1">+$Q$80-2</f>
        <v>42112</v>
      </c>
      <c r="R78" s="30" t="s">
        <v>36</v>
      </c>
      <c r="S78" s="221"/>
      <c r="T78" s="2"/>
    </row>
    <row r="79" spans="16:20">
      <c r="P79" s="2"/>
      <c r="Q79" s="220">
        <f ca="1">+Q80-1</f>
        <v>42113</v>
      </c>
      <c r="R79" s="30" t="s">
        <v>37</v>
      </c>
      <c r="S79" s="221"/>
      <c r="T79" s="2"/>
    </row>
    <row r="80" spans="16:20">
      <c r="P80" s="222">
        <f ca="1">IF(R80="Ostersonntag",Q74+Q75,"")</f>
        <v>41019</v>
      </c>
      <c r="Q80" s="220">
        <f ca="1">T80</f>
        <v>42114</v>
      </c>
      <c r="R80" s="181" t="str">
        <f ca="1">IF(P63&lt;1583,"Der gregorianische Kalender gilt erst seit dem 15.10.1582  !!!",IF(P63&gt;8202,"Die gauß´sche Osterformel gilt nur bis zum Jahre    8202  !!!","Ostersonntag"))</f>
        <v>Ostersonntag</v>
      </c>
      <c r="S80">
        <f ca="1">DAY(T81)</f>
        <v>21</v>
      </c>
      <c r="T80" s="146">
        <f ca="1">DATE($P$63,S81,S80)</f>
        <v>42114</v>
      </c>
    </row>
    <row r="81" spans="15:20">
      <c r="P81" s="2"/>
      <c r="Q81" s="220">
        <f ca="1">+Q80+1</f>
        <v>42115</v>
      </c>
      <c r="R81" s="223" t="s">
        <v>38</v>
      </c>
      <c r="S81" s="182">
        <f ca="1">MONTH(P80)</f>
        <v>4</v>
      </c>
      <c r="T81" s="183" t="str">
        <f ca="1">DAY(P80)&amp;"."&amp;MONTH(P80)&amp;"."&amp;YEAR($B$17)</f>
        <v>21.4.2019</v>
      </c>
    </row>
    <row r="82" spans="15:20">
      <c r="O82" s="183"/>
      <c r="P82" s="2"/>
      <c r="Q82" s="220">
        <v>40846</v>
      </c>
      <c r="R82" s="224" t="s">
        <v>50</v>
      </c>
      <c r="S82" s="221"/>
      <c r="T82" s="2"/>
    </row>
    <row r="83" spans="15:20">
      <c r="P83" s="2"/>
      <c r="Q83" s="220">
        <f ca="1">+T83</f>
        <v>42124</v>
      </c>
      <c r="R83" s="224" t="s">
        <v>39</v>
      </c>
      <c r="S83" s="221"/>
      <c r="T83" s="144">
        <f ca="1">DATE($P$63,5,1)</f>
        <v>42124</v>
      </c>
    </row>
    <row r="84" spans="15:20">
      <c r="P84" s="2"/>
      <c r="Q84" s="220">
        <f ca="1">+Q80+39</f>
        <v>42153</v>
      </c>
      <c r="R84" s="224" t="s">
        <v>40</v>
      </c>
      <c r="S84" s="221"/>
      <c r="T84" s="2"/>
    </row>
    <row r="85" spans="15:20">
      <c r="P85" s="2"/>
      <c r="Q85" s="220">
        <f ca="1">+Q80+49</f>
        <v>42163</v>
      </c>
      <c r="R85" s="224" t="s">
        <v>41</v>
      </c>
      <c r="S85" s="221"/>
      <c r="T85" s="2"/>
    </row>
    <row r="86" spans="15:20">
      <c r="P86" s="2"/>
      <c r="Q86" s="220">
        <f ca="1">+Q85+1</f>
        <v>42164</v>
      </c>
      <c r="R86" s="224" t="s">
        <v>42</v>
      </c>
      <c r="S86" s="221"/>
      <c r="T86" s="2"/>
    </row>
    <row r="87" spans="15:20">
      <c r="P87" s="2"/>
      <c r="Q87" s="220">
        <f ca="1">+Q80+60</f>
        <v>42174</v>
      </c>
      <c r="R87" s="224" t="s">
        <v>43</v>
      </c>
      <c r="S87" s="221"/>
      <c r="T87" s="2"/>
    </row>
    <row r="88" spans="15:20">
      <c r="P88" s="2"/>
      <c r="Q88" s="220">
        <f ca="1">+T88</f>
        <v>42279</v>
      </c>
      <c r="R88" s="224" t="s">
        <v>44</v>
      </c>
      <c r="S88" s="221"/>
      <c r="T88" s="144">
        <f ca="1">DATE($P$63,10,3)</f>
        <v>42279</v>
      </c>
    </row>
    <row r="89" spans="15:20">
      <c r="P89" s="2"/>
      <c r="Q89" s="220">
        <f ca="1">+T89</f>
        <v>42361</v>
      </c>
      <c r="R89" s="224" t="s">
        <v>45</v>
      </c>
      <c r="S89" s="221"/>
      <c r="T89" s="144">
        <f ca="1">DATE($P$63,12,24)</f>
        <v>42361</v>
      </c>
    </row>
    <row r="90" spans="15:20">
      <c r="P90" s="2"/>
      <c r="Q90" s="220">
        <f ca="1">+Q89+1</f>
        <v>42362</v>
      </c>
      <c r="R90" s="221" t="s">
        <v>46</v>
      </c>
      <c r="S90" s="221"/>
      <c r="T90" s="2"/>
    </row>
    <row r="91" spans="15:20">
      <c r="P91" s="2"/>
      <c r="Q91" s="220">
        <f ca="1">Q90+1</f>
        <v>42363</v>
      </c>
      <c r="R91" s="224" t="s">
        <v>47</v>
      </c>
      <c r="S91" s="221"/>
      <c r="T91" s="2"/>
    </row>
    <row r="92" spans="15:20">
      <c r="P92" s="2"/>
      <c r="Q92" s="220">
        <f ca="1">+Q91+5</f>
        <v>42368</v>
      </c>
      <c r="R92" s="224" t="s">
        <v>48</v>
      </c>
      <c r="S92" s="221"/>
      <c r="T92" s="2"/>
    </row>
    <row r="93" spans="15:20">
      <c r="P93" s="2"/>
      <c r="Q93" s="220"/>
      <c r="R93" s="224"/>
      <c r="S93" s="221"/>
      <c r="T93" s="2"/>
    </row>
    <row r="94" spans="15:20">
      <c r="P94" s="2"/>
      <c r="Q94" s="220"/>
      <c r="R94" s="224"/>
      <c r="S94" s="221"/>
      <c r="T94" s="2"/>
    </row>
    <row r="95" spans="15:20">
      <c r="P95" s="180"/>
      <c r="Q95" s="180"/>
    </row>
  </sheetData>
  <sheetProtection algorithmName="SHA-512" hashValue="8F054UZWA4yws9bCX+Bub+GWExN1kgU1RB42NexNLR4LDG+kxvL4knyxh7kynriYOe+Fo9kPXcqgqL9slkWOFg==" saltValue="gXTBy/BcBJWTlgXfYe74Vw==" spinCount="100000" sheet="1" objects="1" scenarios="1" selectLockedCells="1"/>
  <mergeCells count="137">
    <mergeCell ref="R64:S64"/>
    <mergeCell ref="Q58:R58"/>
    <mergeCell ref="B62:E62"/>
    <mergeCell ref="H62:L62"/>
    <mergeCell ref="B50:C50"/>
    <mergeCell ref="D50:E50"/>
    <mergeCell ref="K50:L50"/>
    <mergeCell ref="K52:L52"/>
    <mergeCell ref="H54:J54"/>
    <mergeCell ref="A57:F57"/>
    <mergeCell ref="A55:F55"/>
    <mergeCell ref="Q57:T57"/>
    <mergeCell ref="Q59:V59"/>
    <mergeCell ref="B48:C48"/>
    <mergeCell ref="D48:E48"/>
    <mergeCell ref="K48:L48"/>
    <mergeCell ref="B49:C49"/>
    <mergeCell ref="D49:E49"/>
    <mergeCell ref="K49:L49"/>
    <mergeCell ref="B46:C46"/>
    <mergeCell ref="D46:E46"/>
    <mergeCell ref="K46:L46"/>
    <mergeCell ref="B47:C47"/>
    <mergeCell ref="D47:E47"/>
    <mergeCell ref="K47:L47"/>
    <mergeCell ref="B44:C44"/>
    <mergeCell ref="D44:E44"/>
    <mergeCell ref="K44:L44"/>
    <mergeCell ref="B45:C45"/>
    <mergeCell ref="D45:E45"/>
    <mergeCell ref="K45:L45"/>
    <mergeCell ref="B42:C42"/>
    <mergeCell ref="D42:E42"/>
    <mergeCell ref="K42:L42"/>
    <mergeCell ref="B43:C43"/>
    <mergeCell ref="D43:E43"/>
    <mergeCell ref="K43:L43"/>
    <mergeCell ref="B40:C40"/>
    <mergeCell ref="D40:E40"/>
    <mergeCell ref="K40:L40"/>
    <mergeCell ref="B41:C41"/>
    <mergeCell ref="D41:E41"/>
    <mergeCell ref="K41:L41"/>
    <mergeCell ref="B38:C38"/>
    <mergeCell ref="D38:E38"/>
    <mergeCell ref="K38:L38"/>
    <mergeCell ref="B39:C39"/>
    <mergeCell ref="D39:E39"/>
    <mergeCell ref="K39:L39"/>
    <mergeCell ref="B36:C36"/>
    <mergeCell ref="D36:E36"/>
    <mergeCell ref="K36:L36"/>
    <mergeCell ref="B37:C37"/>
    <mergeCell ref="D37:E37"/>
    <mergeCell ref="K37:L37"/>
    <mergeCell ref="B34:C34"/>
    <mergeCell ref="D34:E34"/>
    <mergeCell ref="K34:L34"/>
    <mergeCell ref="B35:C35"/>
    <mergeCell ref="D35:E35"/>
    <mergeCell ref="K35:L35"/>
    <mergeCell ref="B32:C32"/>
    <mergeCell ref="D32:E32"/>
    <mergeCell ref="K32:L32"/>
    <mergeCell ref="B33:C33"/>
    <mergeCell ref="D33:E33"/>
    <mergeCell ref="K33:L33"/>
    <mergeCell ref="B30:C30"/>
    <mergeCell ref="D30:E30"/>
    <mergeCell ref="K30:L30"/>
    <mergeCell ref="B31:C31"/>
    <mergeCell ref="D31:E31"/>
    <mergeCell ref="K31:L31"/>
    <mergeCell ref="B28:C28"/>
    <mergeCell ref="D28:E28"/>
    <mergeCell ref="K28:L28"/>
    <mergeCell ref="B29:C29"/>
    <mergeCell ref="D29:E29"/>
    <mergeCell ref="K29:L29"/>
    <mergeCell ref="B26:C26"/>
    <mergeCell ref="D26:E26"/>
    <mergeCell ref="K26:L26"/>
    <mergeCell ref="B27:C27"/>
    <mergeCell ref="D27:E27"/>
    <mergeCell ref="K27:L27"/>
    <mergeCell ref="B24:C24"/>
    <mergeCell ref="D24:E24"/>
    <mergeCell ref="K24:L24"/>
    <mergeCell ref="B25:C25"/>
    <mergeCell ref="D25:E25"/>
    <mergeCell ref="K25:L25"/>
    <mergeCell ref="B22:C22"/>
    <mergeCell ref="D22:E22"/>
    <mergeCell ref="K22:L22"/>
    <mergeCell ref="B23:C23"/>
    <mergeCell ref="D23:E23"/>
    <mergeCell ref="K23:L23"/>
    <mergeCell ref="R19:T19"/>
    <mergeCell ref="B20:C20"/>
    <mergeCell ref="D20:E20"/>
    <mergeCell ref="K20:L20"/>
    <mergeCell ref="B21:C21"/>
    <mergeCell ref="D21:E21"/>
    <mergeCell ref="K21:L21"/>
    <mergeCell ref="A16:F16"/>
    <mergeCell ref="G16:L16"/>
    <mergeCell ref="B17:K17"/>
    <mergeCell ref="B19:C19"/>
    <mergeCell ref="D19:E19"/>
    <mergeCell ref="K19:L19"/>
    <mergeCell ref="A13:B13"/>
    <mergeCell ref="A14:B14"/>
    <mergeCell ref="C14:D14"/>
    <mergeCell ref="H14:L14"/>
    <mergeCell ref="M14:N14"/>
    <mergeCell ref="C15:D15"/>
    <mergeCell ref="K15:L15"/>
    <mergeCell ref="A9:B9"/>
    <mergeCell ref="C9:D9"/>
    <mergeCell ref="K9:L9"/>
    <mergeCell ref="A11:B11"/>
    <mergeCell ref="C11:D11"/>
    <mergeCell ref="K11:L11"/>
    <mergeCell ref="M1:O1"/>
    <mergeCell ref="A3:B3"/>
    <mergeCell ref="C3:F3"/>
    <mergeCell ref="K3:L3"/>
    <mergeCell ref="A5:B5"/>
    <mergeCell ref="C5:F5"/>
    <mergeCell ref="K5:L5"/>
    <mergeCell ref="A7:B7"/>
    <mergeCell ref="C7:F7"/>
    <mergeCell ref="K7:L7"/>
    <mergeCell ref="A1:B1"/>
    <mergeCell ref="C1:F1"/>
    <mergeCell ref="H1:J1"/>
    <mergeCell ref="K1:L1"/>
  </mergeCells>
  <conditionalFormatting sqref="F14">
    <cfRule type="cellIs" dxfId="1263" priority="356" operator="greaterThan">
      <formula>$C$14+30</formula>
    </cfRule>
    <cfRule type="expression" dxfId="1262" priority="395">
      <formula>$F$14&gt;$F$9</formula>
    </cfRule>
    <cfRule type="expression" dxfId="1261" priority="401">
      <formula>$F$14&lt;$C$14</formula>
    </cfRule>
  </conditionalFormatting>
  <conditionalFormatting sqref="F9">
    <cfRule type="expression" dxfId="1260" priority="399">
      <formula>$F$14&lt;$C$14</formula>
    </cfRule>
  </conditionalFormatting>
  <conditionalFormatting sqref="C9">
    <cfRule type="expression" dxfId="1259" priority="396">
      <formula>"$C$9&gt;$C$14"</formula>
    </cfRule>
    <cfRule type="expression" dxfId="1258" priority="398">
      <formula>$F$14&lt;$C$14</formula>
    </cfRule>
  </conditionalFormatting>
  <conditionalFormatting sqref="I51">
    <cfRule type="expression" dxfId="1257" priority="397">
      <formula>WEEKDAY($A51,2)&gt;5</formula>
    </cfRule>
  </conditionalFormatting>
  <conditionalFormatting sqref="I51">
    <cfRule type="cellIs" dxfId="1256" priority="394" operator="lessThan">
      <formula>0</formula>
    </cfRule>
  </conditionalFormatting>
  <conditionalFormatting sqref="C14:D14">
    <cfRule type="expression" dxfId="1255" priority="361">
      <formula>"F14&gt;F9"</formula>
    </cfRule>
    <cfRule type="expression" dxfId="1254" priority="362">
      <formula>$C$14&lt;$C$9</formula>
    </cfRule>
    <cfRule type="expression" dxfId="1253" priority="392">
      <formula>$C$14&gt;$F$9</formula>
    </cfRule>
    <cfRule type="expression" dxfId="1252" priority="393">
      <formula>$F$14&lt;$C$9</formula>
    </cfRule>
  </conditionalFormatting>
  <conditionalFormatting sqref="G53">
    <cfRule type="expression" dxfId="1251" priority="391">
      <formula>ABS(SUM(#REF!))&gt;$A$61</formula>
    </cfRule>
  </conditionalFormatting>
  <conditionalFormatting sqref="I51 F20:J50">
    <cfRule type="expression" dxfId="1250" priority="402">
      <formula>AND(WEEKDAY($A20,2)=3,$I$6=FALSE)</formula>
    </cfRule>
    <cfRule type="expression" dxfId="1249" priority="403">
      <formula>AND(WEEKDAY($A20,2)=4,$I$8=TRUE)</formula>
    </cfRule>
    <cfRule type="expression" dxfId="1248" priority="404">
      <formula>AND(WEEKDAY($A20,2)=4,$I$8=FALSE)</formula>
    </cfRule>
    <cfRule type="expression" dxfId="1247" priority="405">
      <formula>AND(WEEKDAY($A20,2)=5,$I$10=TRUE)</formula>
    </cfRule>
    <cfRule type="expression" dxfId="1246" priority="406">
      <formula>AND(WEEKDAY($A20,2)=5,$G$14=FALSE)</formula>
    </cfRule>
  </conditionalFormatting>
  <conditionalFormatting sqref="I51 F20:J50">
    <cfRule type="expression" dxfId="1245" priority="407">
      <formula>AND(WEEKDAY($A20,2)=1,$I$2=TRUE)</formula>
    </cfRule>
    <cfRule type="expression" dxfId="1244" priority="408">
      <formula>AND(WEEKDAY($A20,2)=1,$I$2=FALSE)</formula>
    </cfRule>
    <cfRule type="expression" dxfId="1243" priority="409">
      <formula>AND(WEEKDAY($A20,2)=2,$I$4=TRUE)</formula>
    </cfRule>
    <cfRule type="expression" dxfId="1242" priority="410">
      <formula>AND(WEEKDAY($A20,2)=2,$I$4=FALSE)</formula>
    </cfRule>
    <cfRule type="expression" dxfId="1241" priority="411">
      <formula>AND(WEEKDAY($A20,2)=3,$I$6=TRUE)</formula>
    </cfRule>
  </conditionalFormatting>
  <conditionalFormatting sqref="K3:L3">
    <cfRule type="expression" dxfId="1240" priority="376">
      <formula>AND(I2=TRUE,$C$11&lt;&gt;($K$3+$K$5+$K$7+$K$9+$K$11))</formula>
    </cfRule>
    <cfRule type="expression" dxfId="1239" priority="377">
      <formula>(I2=TRUE)</formula>
    </cfRule>
    <cfRule type="expression" dxfId="1238" priority="378">
      <formula>AND(I2=FALSE,$K$3&gt;0)</formula>
    </cfRule>
  </conditionalFormatting>
  <conditionalFormatting sqref="K7:L7">
    <cfRule type="expression" dxfId="1237" priority="379">
      <formula>AND(I6=TRUE,$C$11&lt;&gt;($K$3+$K$5+$K$7+$K$9+$K$11))</formula>
    </cfRule>
    <cfRule type="expression" dxfId="1236" priority="380">
      <formula>(I6=TRUE)</formula>
    </cfRule>
    <cfRule type="expression" dxfId="1235" priority="381">
      <formula>AND(I6=FALSE,$K$7&gt;0)</formula>
    </cfRule>
  </conditionalFormatting>
  <conditionalFormatting sqref="K11:L11">
    <cfRule type="expression" dxfId="1234" priority="382">
      <formula>AND(I10=TRUE,$C$11&lt;&gt;($K$3+$K$5+$K$7+$K$9+$K$11))</formula>
    </cfRule>
    <cfRule type="expression" dxfId="1233" priority="383">
      <formula>(I10=TRUE)</formula>
    </cfRule>
    <cfRule type="expression" dxfId="1232" priority="384">
      <formula>AND(I10=FALSE,K11&gt;0)</formula>
    </cfRule>
  </conditionalFormatting>
  <conditionalFormatting sqref="K9:L9">
    <cfRule type="expression" dxfId="1231" priority="385">
      <formula>AND(I8=TRUE,$C$11&lt;&gt;($K$3+$K$5+$K$7+$K$9+$K$11))</formula>
    </cfRule>
    <cfRule type="expression" dxfId="1230" priority="386">
      <formula>(I8=TRUE)</formula>
    </cfRule>
    <cfRule type="expression" dxfId="1229" priority="387">
      <formula>AND(I8=FALSE,K9&gt;0)</formula>
    </cfRule>
  </conditionalFormatting>
  <conditionalFormatting sqref="K5:L5">
    <cfRule type="expression" dxfId="1228" priority="374">
      <formula>AND(I4=FALSE,K5&gt;0)</formula>
    </cfRule>
    <cfRule type="expression" dxfId="1227" priority="375">
      <formula>AND(I4=TRUE,$C$11&lt;&gt;($K$3+$K$5+$K$7+$K$9+$K$11))</formula>
    </cfRule>
    <cfRule type="expression" dxfId="1226" priority="388">
      <formula>($I$4=TRUE)</formula>
    </cfRule>
  </conditionalFormatting>
  <conditionalFormatting sqref="K51">
    <cfRule type="expression" dxfId="1225" priority="412">
      <formula>ABS(SUM(#REF!))&gt;$A$53</formula>
    </cfRule>
  </conditionalFormatting>
  <conditionalFormatting sqref="J52">
    <cfRule type="cellIs" dxfId="1224" priority="373" operator="lessThan">
      <formula>0</formula>
    </cfRule>
  </conditionalFormatting>
  <conditionalFormatting sqref="F20:F50">
    <cfRule type="expression" dxfId="1223" priority="372">
      <formula>WEEKDAY($A20,2)&gt;5</formula>
    </cfRule>
  </conditionalFormatting>
  <conditionalFormatting sqref="H20:I50">
    <cfRule type="expression" dxfId="1222" priority="371">
      <formula>WEEKDAY($A20,2)&gt;5</formula>
    </cfRule>
  </conditionalFormatting>
  <conditionalFormatting sqref="I20:I50">
    <cfRule type="cellIs" dxfId="1221" priority="370" operator="lessThan">
      <formula>0</formula>
    </cfRule>
  </conditionalFormatting>
  <conditionalFormatting sqref="J20:J50">
    <cfRule type="expression" dxfId="1220" priority="364">
      <formula>WEEKDAY($A20,2)&gt;5</formula>
    </cfRule>
  </conditionalFormatting>
  <conditionalFormatting sqref="J20:J50">
    <cfRule type="cellIs" dxfId="1219" priority="363" operator="lessThan">
      <formula>0</formula>
    </cfRule>
  </conditionalFormatting>
  <conditionalFormatting sqref="C14">
    <cfRule type="expression" dxfId="1218" priority="400">
      <formula>$C$14&lt;$C$9</formula>
    </cfRule>
  </conditionalFormatting>
  <conditionalFormatting sqref="G20:G50">
    <cfRule type="expression" dxfId="1217" priority="359">
      <formula>WEEKDAY($A20,2)&gt;5</formula>
    </cfRule>
  </conditionalFormatting>
  <conditionalFormatting sqref="G20:G50">
    <cfRule type="containsText" dxfId="1216" priority="358" operator="containsText" text="0,00">
      <formula>NOT(ISERROR(SEARCH("0,00",G20)))</formula>
    </cfRule>
  </conditionalFormatting>
  <conditionalFormatting sqref="H52">
    <cfRule type="cellIs" dxfId="1215" priority="336" operator="lessThan">
      <formula>0</formula>
    </cfRule>
  </conditionalFormatting>
  <conditionalFormatting sqref="Q93:Q94">
    <cfRule type="expression" dxfId="1214" priority="257">
      <formula>AND(WEEKDAY($A93,2)=3,$I$6=FALSE)</formula>
    </cfRule>
    <cfRule type="expression" dxfId="1213" priority="258">
      <formula>AND(WEEKDAY($A93,2)=4,$I$8=TRUE)</formula>
    </cfRule>
    <cfRule type="expression" dxfId="1212" priority="259">
      <formula>AND(WEEKDAY($A93,2)=4,$I$8=FALSE)</formula>
    </cfRule>
    <cfRule type="expression" dxfId="1211" priority="260">
      <formula>AND(WEEKDAY($A93,2)=5,$I$10=TRUE)</formula>
    </cfRule>
    <cfRule type="expression" dxfId="1210" priority="261">
      <formula>AND(WEEKDAY($A93,2)=5,$G$14=FALSE)</formula>
    </cfRule>
  </conditionalFormatting>
  <conditionalFormatting sqref="Q93:Q94">
    <cfRule type="expression" dxfId="1209" priority="262">
      <formula>AND(WEEKDAY($A93,2)=1,$I$2=TRUE)</formula>
    </cfRule>
    <cfRule type="expression" dxfId="1208" priority="263">
      <formula>AND(WEEKDAY($A93,2)=1,$I$2=FALSE)</formula>
    </cfRule>
    <cfRule type="expression" dxfId="1207" priority="264">
      <formula>AND(WEEKDAY($A93,2)=2,$I$4=TRUE)</formula>
    </cfRule>
    <cfRule type="expression" dxfId="1206" priority="265">
      <formula>AND(WEEKDAY($A93,2)=2,$I$4=FALSE)</formula>
    </cfRule>
    <cfRule type="expression" dxfId="1205" priority="266">
      <formula>AND(WEEKDAY($A93,2)=3,$I$6=TRUE)</formula>
    </cfRule>
  </conditionalFormatting>
  <conditionalFormatting sqref="Q93:Q94">
    <cfRule type="expression" dxfId="1204" priority="256">
      <formula>WEEKDAY($A93,2)&gt;5</formula>
    </cfRule>
  </conditionalFormatting>
  <conditionalFormatting sqref="U20:U50 Q81:Q92 P80 Q77:Q79">
    <cfRule type="expression" dxfId="1203" priority="234">
      <formula>AND(WEEKDAY($A20,2)=3,$I$6=FALSE)</formula>
    </cfRule>
    <cfRule type="expression" dxfId="1202" priority="235">
      <formula>AND(WEEKDAY($A20,2)=4,$I$8=TRUE)</formula>
    </cfRule>
    <cfRule type="expression" dxfId="1201" priority="236">
      <formula>AND(WEEKDAY($A20,2)=4,$I$8=FALSE)</formula>
    </cfRule>
    <cfRule type="expression" dxfId="1200" priority="237">
      <formula>AND(WEEKDAY($A20,2)=5,$I$10=TRUE)</formula>
    </cfRule>
    <cfRule type="expression" dxfId="1199" priority="238">
      <formula>AND(WEEKDAY($A20,2)=5,$G$14=FALSE)</formula>
    </cfRule>
  </conditionalFormatting>
  <conditionalFormatting sqref="U20:U50 Q81:Q92 P80 Q77:Q79">
    <cfRule type="expression" dxfId="1198" priority="239">
      <formula>AND(WEEKDAY($A20,2)=1,$I$2=TRUE)</formula>
    </cfRule>
    <cfRule type="expression" dxfId="1197" priority="240">
      <formula>AND(WEEKDAY($A20,2)=1,$I$2=FALSE)</formula>
    </cfRule>
    <cfRule type="expression" dxfId="1196" priority="241">
      <formula>AND(WEEKDAY($A20,2)=2,$I$4=TRUE)</formula>
    </cfRule>
    <cfRule type="expression" dxfId="1195" priority="242">
      <formula>AND(WEEKDAY($A20,2)=2,$I$4=FALSE)</formula>
    </cfRule>
    <cfRule type="expression" dxfId="1194" priority="243">
      <formula>AND(WEEKDAY($A20,2)=3,$I$6=TRUE)</formula>
    </cfRule>
  </conditionalFormatting>
  <conditionalFormatting sqref="U20:U50">
    <cfRule type="expression" dxfId="1193" priority="233">
      <formula>WEEKDAY($A20,2)&gt;5</formula>
    </cfRule>
  </conditionalFormatting>
  <conditionalFormatting sqref="U20:U50">
    <cfRule type="expression" dxfId="1192" priority="244">
      <formula>#REF!&lt;&gt;""</formula>
    </cfRule>
  </conditionalFormatting>
  <conditionalFormatting sqref="Q81:Q92 P80 Q77:Q79">
    <cfRule type="expression" dxfId="1191" priority="232">
      <formula>WEEKDAY($A77,2)&gt;5</formula>
    </cfRule>
  </conditionalFormatting>
  <conditionalFormatting sqref="Q80">
    <cfRule type="expression" dxfId="1190" priority="222">
      <formula>AND(WEEKDAY($A80,2)=3,$I$6=FALSE)</formula>
    </cfRule>
    <cfRule type="expression" dxfId="1189" priority="223">
      <formula>AND(WEEKDAY($A80,2)=4,$I$8=TRUE)</formula>
    </cfRule>
    <cfRule type="expression" dxfId="1188" priority="224">
      <formula>AND(WEEKDAY($A80,2)=4,$I$8=FALSE)</formula>
    </cfRule>
    <cfRule type="expression" dxfId="1187" priority="225">
      <formula>AND(WEEKDAY($A80,2)=5,$I$10=TRUE)</formula>
    </cfRule>
    <cfRule type="expression" dxfId="1186" priority="226">
      <formula>AND(WEEKDAY($A80,2)=5,$G$14=FALSE)</formula>
    </cfRule>
  </conditionalFormatting>
  <conditionalFormatting sqref="Q80">
    <cfRule type="expression" dxfId="1185" priority="227">
      <formula>AND(WEEKDAY($A80,2)=1,$I$2=TRUE)</formula>
    </cfRule>
    <cfRule type="expression" dxfId="1184" priority="228">
      <formula>AND(WEEKDAY($A80,2)=1,$I$2=FALSE)</formula>
    </cfRule>
    <cfRule type="expression" dxfId="1183" priority="229">
      <formula>AND(WEEKDAY($A80,2)=2,$I$4=TRUE)</formula>
    </cfRule>
    <cfRule type="expression" dxfId="1182" priority="230">
      <formula>AND(WEEKDAY($A80,2)=2,$I$4=FALSE)</formula>
    </cfRule>
    <cfRule type="expression" dxfId="1181" priority="231">
      <formula>AND(WEEKDAY($A80,2)=3,$I$6=TRUE)</formula>
    </cfRule>
  </conditionalFormatting>
  <conditionalFormatting sqref="Q80">
    <cfRule type="expression" dxfId="1180" priority="221">
      <formula>WEEKDAY($A80,2)&gt;5</formula>
    </cfRule>
  </conditionalFormatting>
  <conditionalFormatting sqref="C1">
    <cfRule type="expression" dxfId="1179" priority="90">
      <formula>ISBLANK($C$1)</formula>
    </cfRule>
  </conditionalFormatting>
  <conditionalFormatting sqref="C3">
    <cfRule type="expression" dxfId="1178" priority="89">
      <formula>ISBLANK($C$3)</formula>
    </cfRule>
  </conditionalFormatting>
  <conditionalFormatting sqref="C5">
    <cfRule type="expression" dxfId="1177" priority="88">
      <formula>ISBLANK($C$5)</formula>
    </cfRule>
  </conditionalFormatting>
  <conditionalFormatting sqref="C7">
    <cfRule type="expression" dxfId="1176" priority="87">
      <formula>ISBLANK($C$7)</formula>
    </cfRule>
  </conditionalFormatting>
  <conditionalFormatting sqref="C11:D11">
    <cfRule type="expression" dxfId="1175" priority="85">
      <formula>ISBLANK($C$11)</formula>
    </cfRule>
    <cfRule type="expression" dxfId="1174" priority="86">
      <formula>($C$11/24)&lt;&gt;$M$3</formula>
    </cfRule>
  </conditionalFormatting>
  <conditionalFormatting sqref="B45:E45 B47:E47 B46:D46 B48:D50 A20:A50 B20:D44">
    <cfRule type="expression" dxfId="1173" priority="57">
      <formula>AND(WEEKDAY($A20,2)=3,$I$6=FALSE)</formula>
    </cfRule>
    <cfRule type="expression" dxfId="1172" priority="58">
      <formula>AND(WEEKDAY($A20,2)=4,$I$8=TRUE)</formula>
    </cfRule>
    <cfRule type="expression" dxfId="1171" priority="59">
      <formula>AND(WEEKDAY($A20,2)=4,$I$8=FALSE)</formula>
    </cfRule>
    <cfRule type="expression" dxfId="1170" priority="60">
      <formula>AND(WEEKDAY($A20,2)=5,$I$10=TRUE)</formula>
    </cfRule>
    <cfRule type="expression" dxfId="1169" priority="61">
      <formula>AND(WEEKDAY($A20,2)=5,$G$14=FALSE)</formula>
    </cfRule>
  </conditionalFormatting>
  <conditionalFormatting sqref="A20:E50">
    <cfRule type="expression" dxfId="1168" priority="62">
      <formula>AND(WEEKDAY($A20,2)=1,$I$2=TRUE)</formula>
    </cfRule>
    <cfRule type="expression" dxfId="1167" priority="63">
      <formula>AND(WEEKDAY($A20,2)=1,$I$2=FALSE)</formula>
    </cfRule>
    <cfRule type="expression" dxfId="1166" priority="64">
      <formula>AND(WEEKDAY($A20,2)=2,$I$4=TRUE)</formula>
    </cfRule>
    <cfRule type="expression" dxfId="1165" priority="65">
      <formula>AND(WEEKDAY($A20,2)=2,$I$4=FALSE)</formula>
    </cfRule>
    <cfRule type="expression" dxfId="1164" priority="66">
      <formula>AND(WEEKDAY($A20,2)=3,$I$6=TRUE)</formula>
    </cfRule>
  </conditionalFormatting>
  <conditionalFormatting sqref="A20:E50">
    <cfRule type="expression" dxfId="1163" priority="56">
      <formula>WEEKDAY($A20,2)&gt;5</formula>
    </cfRule>
  </conditionalFormatting>
  <conditionalFormatting sqref="D21:E21">
    <cfRule type="expression" dxfId="1162" priority="55">
      <formula>WEEKDAY($A21,2)&gt;5</formula>
    </cfRule>
  </conditionalFormatting>
  <conditionalFormatting sqref="D27:E27">
    <cfRule type="expression" dxfId="1161" priority="54">
      <formula>WEEKDAY($A27,2)&gt;5</formula>
    </cfRule>
  </conditionalFormatting>
  <conditionalFormatting sqref="D34:E34">
    <cfRule type="expression" dxfId="1160" priority="53">
      <formula>WEEKDAY($A34,2)&gt;5</formula>
    </cfRule>
  </conditionalFormatting>
  <conditionalFormatting sqref="D22:E22">
    <cfRule type="expression" dxfId="1159" priority="52">
      <formula>WEEKDAY($A22,2)&gt;5</formula>
    </cfRule>
  </conditionalFormatting>
  <conditionalFormatting sqref="D28:E28">
    <cfRule type="expression" dxfId="1158" priority="51">
      <formula>WEEKDAY($A28,2)&gt;5</formula>
    </cfRule>
  </conditionalFormatting>
  <conditionalFormatting sqref="D36:E36">
    <cfRule type="expression" dxfId="1157" priority="50">
      <formula>WEEKDAY($A36,2)&gt;5</formula>
    </cfRule>
  </conditionalFormatting>
  <conditionalFormatting sqref="D42:E42">
    <cfRule type="expression" dxfId="1156" priority="49">
      <formula>WEEKDAY($A42,2)&gt;5</formula>
    </cfRule>
  </conditionalFormatting>
  <conditionalFormatting sqref="D41:E41">
    <cfRule type="expression" dxfId="1155" priority="48">
      <formula>WEEKDAY($A41,2)&gt;5</formula>
    </cfRule>
  </conditionalFormatting>
  <conditionalFormatting sqref="D48:E48">
    <cfRule type="expression" dxfId="1154" priority="47">
      <formula>WEEKDAY($A48,2)&gt;5</formula>
    </cfRule>
  </conditionalFormatting>
  <conditionalFormatting sqref="D35:E35">
    <cfRule type="expression" dxfId="1153" priority="46">
      <formula>WEEKDAY($A35,2)&gt;5</formula>
    </cfRule>
  </conditionalFormatting>
  <conditionalFormatting sqref="D29:E29">
    <cfRule type="expression" dxfId="1152" priority="45">
      <formula>WEEKDAY($A29,2)&gt;5</formula>
    </cfRule>
  </conditionalFormatting>
  <conditionalFormatting sqref="D41:E41">
    <cfRule type="expression" dxfId="1151" priority="44">
      <formula>WEEKDAY($A41,2)&gt;5</formula>
    </cfRule>
  </conditionalFormatting>
  <conditionalFormatting sqref="D42:E42">
    <cfRule type="expression" dxfId="1150" priority="43">
      <formula>WEEKDAY($A42,2)&gt;5</formula>
    </cfRule>
  </conditionalFormatting>
  <conditionalFormatting sqref="D43:E43">
    <cfRule type="expression" dxfId="1149" priority="42">
      <formula>WEEKDAY($A43,2)&gt;5</formula>
    </cfRule>
  </conditionalFormatting>
  <conditionalFormatting sqref="D41:E41">
    <cfRule type="expression" dxfId="1148" priority="41">
      <formula>WEEKDAY($A41,2)&gt;5</formula>
    </cfRule>
  </conditionalFormatting>
  <conditionalFormatting sqref="D42:E42">
    <cfRule type="expression" dxfId="1147" priority="40">
      <formula>WEEKDAY($A42,2)&gt;5</formula>
    </cfRule>
  </conditionalFormatting>
  <conditionalFormatting sqref="D35:E35">
    <cfRule type="expression" dxfId="1146" priority="39">
      <formula>WEEKDAY($A35,2)&gt;5</formula>
    </cfRule>
  </conditionalFormatting>
  <conditionalFormatting sqref="D36:E36">
    <cfRule type="expression" dxfId="1145" priority="38">
      <formula>WEEKDAY($A36,2)&gt;5</formula>
    </cfRule>
  </conditionalFormatting>
  <conditionalFormatting sqref="D35:E35">
    <cfRule type="expression" dxfId="1144" priority="37">
      <formula>WEEKDAY($A35,2)&gt;5</formula>
    </cfRule>
  </conditionalFormatting>
  <conditionalFormatting sqref="D36:E36">
    <cfRule type="expression" dxfId="1143" priority="36">
      <formula>WEEKDAY($A36,2)&gt;5</formula>
    </cfRule>
  </conditionalFormatting>
  <conditionalFormatting sqref="D23:E23">
    <cfRule type="expression" dxfId="1142" priority="35">
      <formula>WEEKDAY($A23,2)&gt;5</formula>
    </cfRule>
  </conditionalFormatting>
  <conditionalFormatting sqref="D49:E49">
    <cfRule type="expression" dxfId="1141" priority="34">
      <formula>WEEKDAY($A49,2)&gt;5</formula>
    </cfRule>
  </conditionalFormatting>
  <conditionalFormatting sqref="D41:E41">
    <cfRule type="expression" dxfId="1140" priority="33">
      <formula>WEEKDAY($A41,2)&gt;5</formula>
    </cfRule>
  </conditionalFormatting>
  <conditionalFormatting sqref="D41:E41">
    <cfRule type="expression" dxfId="1139" priority="32">
      <formula>WEEKDAY($A41,2)&gt;5</formula>
    </cfRule>
  </conditionalFormatting>
  <conditionalFormatting sqref="D41:E41">
    <cfRule type="expression" dxfId="1138" priority="31">
      <formula>WEEKDAY($A41,2)&gt;5</formula>
    </cfRule>
  </conditionalFormatting>
  <conditionalFormatting sqref="A20:A50">
    <cfRule type="expression" dxfId="1137" priority="29">
      <formula>V20&lt;&gt;""</formula>
    </cfRule>
    <cfRule type="expression" dxfId="1136" priority="30">
      <formula>T20&lt;&gt;""</formula>
    </cfRule>
    <cfRule type="expression" dxfId="1135" priority="67">
      <formula>T20&lt;&gt;""</formula>
    </cfRule>
  </conditionalFormatting>
  <conditionalFormatting sqref="B20:B50">
    <cfRule type="expression" dxfId="1134" priority="68">
      <formula>#REF!&lt;&gt;""</formula>
    </cfRule>
  </conditionalFormatting>
  <conditionalFormatting sqref="D29:E29">
    <cfRule type="expression" dxfId="1133" priority="28">
      <formula>WEEKDAY($A29,2)&gt;5</formula>
    </cfRule>
  </conditionalFormatting>
  <conditionalFormatting sqref="D30:E30">
    <cfRule type="expression" dxfId="1132" priority="27">
      <formula>WEEKDAY($A30,2)&gt;5</formula>
    </cfRule>
  </conditionalFormatting>
  <conditionalFormatting sqref="D31:E31">
    <cfRule type="expression" dxfId="1131" priority="26">
      <formula>WEEKDAY($A31,2)&gt;5</formula>
    </cfRule>
  </conditionalFormatting>
  <conditionalFormatting sqref="D36:E36">
    <cfRule type="expression" dxfId="1130" priority="25">
      <formula>WEEKDAY($A36,2)&gt;5</formula>
    </cfRule>
  </conditionalFormatting>
  <conditionalFormatting sqref="D37:E37">
    <cfRule type="expression" dxfId="1129" priority="24">
      <formula>WEEKDAY($A37,2)&gt;5</formula>
    </cfRule>
  </conditionalFormatting>
  <conditionalFormatting sqref="D38:E38">
    <cfRule type="expression" dxfId="1128" priority="23">
      <formula>WEEKDAY($A38,2)&gt;5</formula>
    </cfRule>
  </conditionalFormatting>
  <conditionalFormatting sqref="D42:E42">
    <cfRule type="expression" dxfId="1127" priority="22">
      <formula>WEEKDAY($A42,2)&gt;5</formula>
    </cfRule>
  </conditionalFormatting>
  <conditionalFormatting sqref="D43:E43">
    <cfRule type="expression" dxfId="1126" priority="21">
      <formula>WEEKDAY($A43,2)&gt;5</formula>
    </cfRule>
  </conditionalFormatting>
  <conditionalFormatting sqref="D44:E44">
    <cfRule type="expression" dxfId="1125" priority="20">
      <formula>WEEKDAY($A44,2)&gt;5</formula>
    </cfRule>
  </conditionalFormatting>
  <conditionalFormatting sqref="D33:E33">
    <cfRule type="expression" dxfId="1124" priority="19">
      <formula>WEEKDAY($A33,2)&gt;5</formula>
    </cfRule>
  </conditionalFormatting>
  <conditionalFormatting sqref="D40:E40">
    <cfRule type="expression" dxfId="1123" priority="18">
      <formula>WEEKDAY($A40,2)&gt;5</formula>
    </cfRule>
  </conditionalFormatting>
  <conditionalFormatting sqref="K20:K50">
    <cfRule type="expression" dxfId="1122" priority="8">
      <formula>AND(WEEKDAY($A20,2)=3,$I$6=FALSE)</formula>
    </cfRule>
    <cfRule type="expression" dxfId="1121" priority="9">
      <formula>AND(WEEKDAY($A20,2)=4,$I$8=TRUE)</formula>
    </cfRule>
    <cfRule type="expression" dxfId="1120" priority="10">
      <formula>AND(WEEKDAY($A20,2)=4,$I$8=FALSE)</formula>
    </cfRule>
    <cfRule type="expression" dxfId="1119" priority="11">
      <formula>AND(WEEKDAY($A20,2)=5,$I$10=TRUE)</formula>
    </cfRule>
    <cfRule type="expression" dxfId="1118" priority="12">
      <formula>AND(WEEKDAY($A20,2)=5,$G$14=FALSE)</formula>
    </cfRule>
  </conditionalFormatting>
  <conditionalFormatting sqref="K20:L50">
    <cfRule type="expression" dxfId="1117" priority="13">
      <formula>AND(WEEKDAY($A20,2)=1,$I$2=TRUE)</formula>
    </cfRule>
    <cfRule type="expression" dxfId="1116" priority="14">
      <formula>AND(WEEKDAY($A20,2)=1,$I$2=FALSE)</formula>
    </cfRule>
    <cfRule type="expression" dxfId="1115" priority="15">
      <formula>AND(WEEKDAY($A20,2)=2,$I$4=TRUE)</formula>
    </cfRule>
    <cfRule type="expression" dxfId="1114" priority="16">
      <formula>AND(WEEKDAY($A20,2)=2,$I$4=FALSE)</formula>
    </cfRule>
    <cfRule type="expression" dxfId="1113" priority="17">
      <formula>AND(WEEKDAY($A20,2)=3,$I$6=TRUE)</formula>
    </cfRule>
  </conditionalFormatting>
  <conditionalFormatting sqref="K20:L50">
    <cfRule type="containsText" dxfId="1112" priority="3" operator="containsText" text="Angaben überprüfen">
      <formula>NOT(ISERROR(SEARCH("Angaben überprüfen",K20)))</formula>
    </cfRule>
    <cfRule type="cellIs" dxfId="1111" priority="4" operator="equal">
      <formula>"30 min. Pause erforderlich"</formula>
    </cfRule>
    <cfRule type="expression" dxfId="1110" priority="7">
      <formula>WEEKDAY($A20,2)&gt;5</formula>
    </cfRule>
  </conditionalFormatting>
  <conditionalFormatting sqref="K20:L50">
    <cfRule type="expression" dxfId="1109" priority="6">
      <formula>WEEKDAY($A20,2)&gt;5</formula>
    </cfRule>
  </conditionalFormatting>
  <conditionalFormatting sqref="K20:L50">
    <cfRule type="expression" dxfId="1108" priority="5">
      <formula>WEEKDAY($A20,2)&gt;5</formula>
    </cfRule>
  </conditionalFormatting>
  <conditionalFormatting sqref="B17:K17">
    <cfRule type="expression" dxfId="1107" priority="1">
      <formula>ISBLANK($C$14)</formula>
    </cfRule>
  </conditionalFormatting>
  <dataValidations count="5">
    <dataValidation type="date" allowBlank="1" showInputMessage="1" showErrorMessage="1" error="Kein gültiges Datum" prompt="TT.MM.JJJJ" sqref="C9:D9 F9 C14:D14 F14">
      <formula1>40178</formula1>
      <formula2>71588</formula2>
    </dataValidation>
    <dataValidation type="decimal" allowBlank="1" showInputMessage="1" showErrorMessage="1" errorTitle="Achtung" error="Kein Dezimalwert" sqref="K3:L11">
      <formula1>0.25</formula1>
      <formula2>24</formula2>
    </dataValidation>
    <dataValidation type="decimal" allowBlank="1" showInputMessage="1" showErrorMessage="1" errorTitle="Falschen Zahlenformat" error="Bitte nur ganze Zahlen oder Dezimal eingeben." promptTitle="                 INFO" prompt="_x000a_Beim Ausfüllen unbedingt den Leitfaden zum Arbeitszeitkonto beachten_x000a_ -Siehe Hilfebutton" sqref="C11:D11">
      <formula1>1</formula1>
      <formula2>40</formula2>
    </dataValidation>
    <dataValidation type="textLength" operator="greaterThan" allowBlank="1" showInputMessage="1" showErrorMessage="1" errorTitle="Arbeitszeitkonto beendet" error="Ihr Arbeitszeitkonto überschreitet 12 Monate und ist damit beendet. Bitte erstellen Sie ein neues Konto." sqref="G16:L16">
      <formula1>40</formula1>
    </dataValidation>
    <dataValidation type="time" errorStyle="warning" allowBlank="1" showInputMessage="1" showErrorMessage="1" error="Außerhalb des Arbeitszeitrahmens" sqref="B20:E50">
      <formula1>0.25</formula1>
      <formula2>0.958333333333333</formula2>
    </dataValidation>
  </dataValidations>
  <pageMargins left="0.7" right="0.53156250000000005" top="1.6752083333333334" bottom="0.28125" header="0.47125" footer="0.3"/>
  <pageSetup paperSize="9" scale="87" orientation="portrait" r:id="rId1"/>
  <headerFooter>
    <oddHeader>&amp;L&amp;"BO Regular Bold,Fett"&amp;12Stundennachweis&amp;"-,Standard"&amp;10
&amp;"BO Regular Normal,Standard"nach §17 MiLoG
für SHK, WHK, studentische Aushilfskräfte TV-L 
und geringfügig Beschäftigte&amp;R&amp;G</oddHeader>
  </headerFooter>
  <ignoredErrors>
    <ignoredError sqref="C1:F7 K20:L50" unlockedFormula="1"/>
  </ignoredError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9223" r:id="rId5" name="Check Box 7">
              <controlPr locked="0" defaultSize="0" autoFill="0" autoLine="0" autoPict="0">
                <anchor moveWithCells="1">
                  <from>
                    <xdr:col>7</xdr:col>
                    <xdr:colOff>314325</xdr:colOff>
                    <xdr:row>1</xdr:row>
                    <xdr:rowOff>57150</xdr:rowOff>
                  </from>
                  <to>
                    <xdr:col>9</xdr:col>
                    <xdr:colOff>819150</xdr:colOff>
                    <xdr:row>3</xdr:row>
                    <xdr:rowOff>47625</xdr:rowOff>
                  </to>
                </anchor>
              </controlPr>
            </control>
          </mc:Choice>
        </mc:AlternateContent>
        <mc:AlternateContent xmlns:mc="http://schemas.openxmlformats.org/markup-compatibility/2006">
          <mc:Choice Requires="x14">
            <control shapeId="9224" r:id="rId6" name="Check Box 8">
              <controlPr locked="0" defaultSize="0" autoFill="0" autoLine="0" autoPict="0">
                <anchor moveWithCells="1">
                  <from>
                    <xdr:col>7</xdr:col>
                    <xdr:colOff>314325</xdr:colOff>
                    <xdr:row>3</xdr:row>
                    <xdr:rowOff>76200</xdr:rowOff>
                  </from>
                  <to>
                    <xdr:col>10</xdr:col>
                    <xdr:colOff>133350</xdr:colOff>
                    <xdr:row>5</xdr:row>
                    <xdr:rowOff>47625</xdr:rowOff>
                  </to>
                </anchor>
              </controlPr>
            </control>
          </mc:Choice>
        </mc:AlternateContent>
        <mc:AlternateContent xmlns:mc="http://schemas.openxmlformats.org/markup-compatibility/2006">
          <mc:Choice Requires="x14">
            <control shapeId="9225" r:id="rId7" name="Check Box 9">
              <controlPr locked="0" defaultSize="0" autoFill="0" autoLine="0" autoPict="0">
                <anchor moveWithCells="1">
                  <from>
                    <xdr:col>7</xdr:col>
                    <xdr:colOff>314325</xdr:colOff>
                    <xdr:row>5</xdr:row>
                    <xdr:rowOff>76200</xdr:rowOff>
                  </from>
                  <to>
                    <xdr:col>10</xdr:col>
                    <xdr:colOff>133350</xdr:colOff>
                    <xdr:row>7</xdr:row>
                    <xdr:rowOff>38100</xdr:rowOff>
                  </to>
                </anchor>
              </controlPr>
            </control>
          </mc:Choice>
        </mc:AlternateContent>
        <mc:AlternateContent xmlns:mc="http://schemas.openxmlformats.org/markup-compatibility/2006">
          <mc:Choice Requires="x14">
            <control shapeId="9226" r:id="rId8" name="Check Box 10">
              <controlPr locked="0" defaultSize="0" autoFill="0" autoLine="0" autoPict="0">
                <anchor moveWithCells="1">
                  <from>
                    <xdr:col>7</xdr:col>
                    <xdr:colOff>314325</xdr:colOff>
                    <xdr:row>7</xdr:row>
                    <xdr:rowOff>76200</xdr:rowOff>
                  </from>
                  <to>
                    <xdr:col>10</xdr:col>
                    <xdr:colOff>133350</xdr:colOff>
                    <xdr:row>9</xdr:row>
                    <xdr:rowOff>47625</xdr:rowOff>
                  </to>
                </anchor>
              </controlPr>
            </control>
          </mc:Choice>
        </mc:AlternateContent>
        <mc:AlternateContent xmlns:mc="http://schemas.openxmlformats.org/markup-compatibility/2006">
          <mc:Choice Requires="x14">
            <control shapeId="9227" r:id="rId9" name="Check Box 11">
              <controlPr locked="0" defaultSize="0" autoFill="0" autoLine="0" autoPict="0">
                <anchor moveWithCells="1">
                  <from>
                    <xdr:col>7</xdr:col>
                    <xdr:colOff>314325</xdr:colOff>
                    <xdr:row>9</xdr:row>
                    <xdr:rowOff>76200</xdr:rowOff>
                  </from>
                  <to>
                    <xdr:col>10</xdr:col>
                    <xdr:colOff>133350</xdr:colOff>
                    <xdr:row>11</xdr:row>
                    <xdr:rowOff>47625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2" operator="containsText" id="{A5237108-22FD-45B2-AF0A-C21474809B98}">
            <xm:f>NOT(ISERROR(SEARCH("45 min. Pause erforderlich",K20)))</xm:f>
            <xm:f>"45 min. Pause erforderlich"</xm:f>
            <x14:dxf>
              <font>
                <b/>
                <i val="0"/>
                <color rgb="FFA50021"/>
              </font>
            </x14:dxf>
          </x14:cfRule>
          <xm:sqref>K20:L50</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7"/>
  <dimension ref="A1:V95"/>
  <sheetViews>
    <sheetView showGridLines="0" showRowColHeaders="0" view="pageLayout" workbookViewId="0">
      <selection activeCell="C11" sqref="C11:D11"/>
    </sheetView>
  </sheetViews>
  <sheetFormatPr baseColWidth="10" defaultColWidth="12.42578125" defaultRowHeight="15"/>
  <cols>
    <col min="1" max="1" width="11.28515625" customWidth="1"/>
    <col min="2" max="2" width="8.7109375" customWidth="1"/>
    <col min="3" max="3" width="5" customWidth="1"/>
    <col min="4" max="4" width="6" customWidth="1"/>
    <col min="5" max="5" width="10.7109375" customWidth="1"/>
    <col min="6" max="6" width="12.140625" customWidth="1"/>
    <col min="7" max="7" width="7.7109375" customWidth="1"/>
    <col min="8" max="8" width="9.85546875" customWidth="1"/>
    <col min="9" max="9" width="6.5703125" hidden="1" customWidth="1"/>
    <col min="10" max="10" width="11.85546875" customWidth="1"/>
    <col min="11" max="11" width="11.140625" customWidth="1"/>
    <col min="12" max="12" width="8" customWidth="1"/>
    <col min="13" max="13" width="5.28515625" style="37" hidden="1" customWidth="1"/>
    <col min="14" max="14" width="5.42578125" style="33" hidden="1" customWidth="1"/>
    <col min="15" max="15" width="14.5703125" hidden="1" customWidth="1"/>
    <col min="16" max="16" width="9.28515625" hidden="1" customWidth="1"/>
    <col min="17" max="17" width="8.42578125" hidden="1" customWidth="1"/>
    <col min="18" max="18" width="7.140625" hidden="1" customWidth="1"/>
    <col min="19" max="21" width="12.42578125" hidden="1" customWidth="1"/>
    <col min="22" max="22" width="1.140625" hidden="1" customWidth="1"/>
    <col min="23" max="16353" width="12.42578125" customWidth="1"/>
    <col min="16354" max="16354" width="3.7109375" customWidth="1"/>
    <col min="16355" max="16384" width="4.42578125" customWidth="1"/>
  </cols>
  <sheetData>
    <row r="1" spans="1:20" s="2" customFormat="1" ht="18" customHeight="1">
      <c r="A1" s="254" t="s">
        <v>0</v>
      </c>
      <c r="B1" s="254"/>
      <c r="C1" s="255" t="str">
        <f>IF('Blatt 1'!C1:F1="","",'Blatt 1'!C1:F1)</f>
        <v/>
      </c>
      <c r="D1" s="255"/>
      <c r="E1" s="255"/>
      <c r="F1" s="255"/>
      <c r="G1" s="1"/>
      <c r="H1" s="260" t="s">
        <v>1</v>
      </c>
      <c r="I1" s="260"/>
      <c r="J1" s="260"/>
      <c r="K1" s="259" t="s">
        <v>2</v>
      </c>
      <c r="L1" s="259"/>
      <c r="M1" s="253" t="s">
        <v>3</v>
      </c>
      <c r="N1" s="253"/>
      <c r="O1" s="253"/>
    </row>
    <row r="2" spans="1:20" ht="7.5" customHeight="1">
      <c r="A2" s="80"/>
      <c r="B2" s="80"/>
      <c r="C2" s="61"/>
      <c r="D2" s="61"/>
      <c r="E2" s="61"/>
      <c r="F2" s="61"/>
      <c r="G2" s="3"/>
      <c r="H2" s="3"/>
      <c r="I2" s="6" t="b">
        <v>0</v>
      </c>
      <c r="J2" s="3"/>
      <c r="K2" s="3"/>
      <c r="M2" s="143"/>
      <c r="N2" s="212"/>
    </row>
    <row r="3" spans="1:20" s="2" customFormat="1" ht="15.75">
      <c r="A3" s="254" t="s">
        <v>4</v>
      </c>
      <c r="B3" s="254"/>
      <c r="C3" s="255" t="str">
        <f>IF('Blatt 1'!C3:F3="","",'Blatt 1'!C3:F3)</f>
        <v/>
      </c>
      <c r="D3" s="255"/>
      <c r="E3" s="255"/>
      <c r="F3" s="255"/>
      <c r="H3" s="47"/>
      <c r="I3" s="55"/>
      <c r="J3" s="8"/>
      <c r="K3" s="323"/>
      <c r="L3" s="323"/>
      <c r="M3" s="9">
        <f>($K$3+$K$5+$K$7+$K$9+$K$11)/24</f>
        <v>0</v>
      </c>
      <c r="N3" s="10"/>
    </row>
    <row r="4" spans="1:20" ht="7.5" customHeight="1">
      <c r="A4" s="80"/>
      <c r="B4" s="80"/>
      <c r="C4" s="62"/>
      <c r="D4" s="62"/>
      <c r="E4" s="62"/>
      <c r="F4" s="62"/>
      <c r="H4" s="3"/>
      <c r="I4" s="6" t="b">
        <v>0</v>
      </c>
      <c r="J4" s="3"/>
      <c r="K4" s="73"/>
      <c r="L4" s="74"/>
      <c r="M4" s="143"/>
      <c r="N4" s="212"/>
    </row>
    <row r="5" spans="1:20" s="2" customFormat="1" ht="15.75">
      <c r="A5" s="254" t="s">
        <v>5</v>
      </c>
      <c r="B5" s="254"/>
      <c r="C5" s="256" t="str">
        <f>IF('Blatt 1'!C5:F5="","",'Blatt 1'!C5:F5)</f>
        <v/>
      </c>
      <c r="D5" s="255"/>
      <c r="E5" s="255"/>
      <c r="F5" s="255"/>
      <c r="H5" s="47"/>
      <c r="I5" s="55"/>
      <c r="J5" s="8"/>
      <c r="K5" s="300"/>
      <c r="L5" s="300"/>
      <c r="M5" s="143"/>
      <c r="N5" s="212"/>
    </row>
    <row r="6" spans="1:20" ht="7.5" customHeight="1">
      <c r="A6" s="80"/>
      <c r="B6" s="80"/>
      <c r="C6" s="62"/>
      <c r="D6" s="62"/>
      <c r="E6" s="62"/>
      <c r="F6" s="62"/>
      <c r="H6" s="3"/>
      <c r="I6" s="6" t="b">
        <v>0</v>
      </c>
      <c r="J6" s="3"/>
      <c r="K6" s="73"/>
      <c r="L6" s="74"/>
      <c r="M6" s="143"/>
      <c r="N6" s="212"/>
    </row>
    <row r="7" spans="1:20" s="2" customFormat="1" ht="15.75">
      <c r="A7" s="254" t="s">
        <v>6</v>
      </c>
      <c r="B7" s="254"/>
      <c r="C7" s="258" t="str">
        <f>IF('Blatt 1'!C7:F7="","",'Blatt 1'!C7:F7)</f>
        <v/>
      </c>
      <c r="D7" s="258"/>
      <c r="E7" s="258"/>
      <c r="F7" s="258"/>
      <c r="H7" s="11"/>
      <c r="I7" s="55"/>
      <c r="J7" s="11"/>
      <c r="K7" s="300"/>
      <c r="L7" s="300"/>
      <c r="M7" s="143"/>
      <c r="N7" s="212"/>
    </row>
    <row r="8" spans="1:20" ht="7.5" customHeight="1">
      <c r="A8" s="80"/>
      <c r="B8" s="80"/>
      <c r="C8" s="62"/>
      <c r="D8" s="62"/>
      <c r="E8" s="62"/>
      <c r="F8" s="62"/>
      <c r="H8" s="3"/>
      <c r="I8" s="6" t="b">
        <v>0</v>
      </c>
      <c r="J8" s="3"/>
      <c r="K8" s="73"/>
      <c r="L8" s="74"/>
      <c r="M8" s="143"/>
      <c r="N8" s="212"/>
    </row>
    <row r="9" spans="1:20" ht="15.75">
      <c r="A9" s="254" t="s">
        <v>146</v>
      </c>
      <c r="B9" s="254"/>
      <c r="C9" s="265"/>
      <c r="D9" s="265"/>
      <c r="E9" s="82" t="s">
        <v>7</v>
      </c>
      <c r="F9" s="105"/>
      <c r="H9" s="3"/>
      <c r="I9" s="55"/>
      <c r="J9" s="3"/>
      <c r="K9" s="300"/>
      <c r="L9" s="300"/>
      <c r="M9" s="143"/>
      <c r="N9" s="212"/>
    </row>
    <row r="10" spans="1:20" ht="7.5" customHeight="1">
      <c r="A10" s="80"/>
      <c r="B10" s="80"/>
      <c r="C10" s="62"/>
      <c r="D10" s="62"/>
      <c r="E10" s="80"/>
      <c r="F10" s="62"/>
      <c r="H10" s="3"/>
      <c r="I10" s="12" t="b">
        <v>0</v>
      </c>
      <c r="J10" s="3"/>
      <c r="K10" s="73"/>
      <c r="L10" s="74"/>
      <c r="M10" s="143"/>
      <c r="N10" s="212"/>
    </row>
    <row r="11" spans="1:20" ht="15.75">
      <c r="A11" s="254" t="s">
        <v>8</v>
      </c>
      <c r="B11" s="254"/>
      <c r="C11" s="267"/>
      <c r="D11" s="267"/>
      <c r="E11" s="83" t="s">
        <v>9</v>
      </c>
      <c r="F11" s="64"/>
      <c r="H11" s="3"/>
      <c r="I11" s="12"/>
      <c r="J11" s="3"/>
      <c r="K11" s="300"/>
      <c r="L11" s="300"/>
      <c r="M11" s="143"/>
      <c r="N11" s="212"/>
      <c r="S11" s="146"/>
      <c r="T11" s="146"/>
    </row>
    <row r="12" spans="1:20" ht="7.5" customHeight="1">
      <c r="A12" s="211"/>
      <c r="B12" s="211"/>
      <c r="C12" s="65"/>
      <c r="D12" s="65"/>
      <c r="E12" s="84"/>
      <c r="F12" s="51"/>
      <c r="H12" s="50"/>
      <c r="I12" s="55"/>
      <c r="J12" s="3"/>
      <c r="K12" s="50"/>
      <c r="L12" s="50"/>
      <c r="M12" s="143"/>
      <c r="N12" s="212"/>
      <c r="S12" s="146"/>
    </row>
    <row r="13" spans="1:20" ht="4.5" customHeight="1">
      <c r="A13" s="254"/>
      <c r="B13" s="254"/>
      <c r="C13" s="65"/>
      <c r="D13" s="65"/>
      <c r="E13" s="80"/>
      <c r="F13" s="62"/>
      <c r="H13" s="3"/>
      <c r="I13" s="55"/>
      <c r="J13" s="3"/>
      <c r="M13" s="143"/>
      <c r="N13" s="212"/>
    </row>
    <row r="14" spans="1:20" ht="16.5" customHeight="1">
      <c r="A14" s="305" t="s">
        <v>141</v>
      </c>
      <c r="B14" s="305"/>
      <c r="C14" s="306"/>
      <c r="D14" s="306"/>
      <c r="E14" s="196" t="s">
        <v>7</v>
      </c>
      <c r="F14" s="213"/>
      <c r="G14" s="52" t="b">
        <v>0</v>
      </c>
      <c r="H14" s="320" t="str">
        <f>IF($C$14="","",IF(AND($O$16&lt;&gt;$C$14,$O$16&lt;$F$9),"Achtung! Stundennachweis unterbrochen",""))</f>
        <v/>
      </c>
      <c r="I14" s="320"/>
      <c r="J14" s="320"/>
      <c r="K14" s="320"/>
      <c r="L14" s="320"/>
      <c r="M14" s="304" t="s">
        <v>21</v>
      </c>
      <c r="N14" s="304"/>
      <c r="O14" s="147"/>
    </row>
    <row r="15" spans="1:20" hidden="1">
      <c r="A15" s="43"/>
      <c r="B15" s="47"/>
      <c r="C15" s="262"/>
      <c r="D15" s="262"/>
      <c r="E15" s="14"/>
      <c r="F15" s="39"/>
      <c r="G15" s="52"/>
      <c r="H15" s="3"/>
      <c r="I15" s="3"/>
      <c r="J15" s="3"/>
      <c r="K15" s="263"/>
      <c r="L15" s="263"/>
      <c r="M15" s="216"/>
      <c r="N15" s="149"/>
      <c r="O15" s="147"/>
    </row>
    <row r="16" spans="1:20" ht="41.25" customHeight="1">
      <c r="A16" s="321" t="str">
        <f ca="1">IF(($C$14+30)&lt;$F$14,"                                       Bitte nur einen Monat angeben! ",IF(COUNTIF(R20:R50,1)&gt;0,"Hinweis: Es erfolgt keine Berechnung der Zukunftswerte",""))</f>
        <v/>
      </c>
      <c r="B16" s="321"/>
      <c r="C16" s="321"/>
      <c r="D16" s="321"/>
      <c r="E16" s="321"/>
      <c r="F16" s="321"/>
      <c r="G16" s="303" t="str">
        <f>IF(AND(Q58&lt;365,Q58&gt;300),"Ihnen verbleiben noch "&amp;(364-Q58)&amp;" Tage um Ihr Arbeitszeitkonto auszugleichen",IF(Q58&gt;365,"Sie haben Ihr Arbeitszeitkonto überschritten, bitte erstellen Sie ein neues Konto",""))</f>
        <v/>
      </c>
      <c r="H16" s="303"/>
      <c r="I16" s="303"/>
      <c r="J16" s="303"/>
      <c r="K16" s="303"/>
      <c r="L16" s="303"/>
      <c r="M16" s="153">
        <f ca="1">IF(AND($H$14="Achtung! Stundennachweis unterbrochen",'Blatt 5'!J52&gt;0),0,'Blatt 5'!J52)</f>
        <v>0</v>
      </c>
      <c r="N16" s="154">
        <f ca="1">+$M$16+$N$55</f>
        <v>0</v>
      </c>
      <c r="O16" s="155" t="str">
        <f>IF($F$9=$F$14,"",'Blatt 5'!$F$14+1)</f>
        <v/>
      </c>
    </row>
    <row r="17" spans="1:22" ht="18.75">
      <c r="A17" s="40"/>
      <c r="B17" s="264">
        <f ca="1">IF(ISBLANK($C$14),EOMONTH('Blatt 5'!$B$17,0)+1,DATE(YEAR($C$14),MONTH($C$14),1))</f>
        <v>42308</v>
      </c>
      <c r="C17" s="264"/>
      <c r="D17" s="264"/>
      <c r="E17" s="264"/>
      <c r="F17" s="264"/>
      <c r="G17" s="264"/>
      <c r="H17" s="264"/>
      <c r="I17" s="264"/>
      <c r="J17" s="264"/>
      <c r="K17" s="264"/>
      <c r="L17" s="41"/>
      <c r="M17" s="15"/>
      <c r="N17" s="212"/>
    </row>
    <row r="18" spans="1:22" ht="8.4499999999999993" customHeight="1" thickBot="1">
      <c r="A18" s="3"/>
      <c r="B18" s="3"/>
      <c r="C18" s="3"/>
      <c r="D18" s="3"/>
      <c r="E18" s="3"/>
      <c r="F18" s="3"/>
      <c r="G18" s="3"/>
      <c r="H18" s="3"/>
      <c r="I18" s="3"/>
      <c r="J18" s="3"/>
      <c r="K18" s="3"/>
      <c r="L18" s="3"/>
      <c r="M18" s="143"/>
      <c r="N18" s="212"/>
    </row>
    <row r="19" spans="1:22" s="17" customFormat="1" ht="42.75" customHeight="1" thickBot="1">
      <c r="A19" s="187" t="s">
        <v>10</v>
      </c>
      <c r="B19" s="277" t="s">
        <v>11</v>
      </c>
      <c r="C19" s="277"/>
      <c r="D19" s="278" t="s">
        <v>12</v>
      </c>
      <c r="E19" s="279"/>
      <c r="F19" s="86" t="s">
        <v>27</v>
      </c>
      <c r="G19" s="210" t="s">
        <v>13</v>
      </c>
      <c r="H19" s="86" t="s">
        <v>14</v>
      </c>
      <c r="I19" s="88"/>
      <c r="J19" s="89" t="s">
        <v>15</v>
      </c>
      <c r="K19" s="278" t="s">
        <v>16</v>
      </c>
      <c r="L19" s="280"/>
      <c r="M19" s="16" t="s">
        <v>17</v>
      </c>
      <c r="N19" s="16"/>
      <c r="O19" s="58" t="s">
        <v>24</v>
      </c>
      <c r="P19" s="126" t="s">
        <v>28</v>
      </c>
      <c r="Q19" s="126" t="s">
        <v>31</v>
      </c>
      <c r="R19" s="289" t="s">
        <v>49</v>
      </c>
      <c r="S19" s="289"/>
      <c r="T19" s="289"/>
    </row>
    <row r="20" spans="1:22" s="2" customFormat="1" ht="12.6" customHeight="1">
      <c r="A20" s="188">
        <f ca="1">($B$17+ROW(A1)-1)*(MONTH(B17+1)=MONTH($B$17))</f>
        <v>42308</v>
      </c>
      <c r="B20" s="271"/>
      <c r="C20" s="272"/>
      <c r="D20" s="273"/>
      <c r="E20" s="274"/>
      <c r="F20" s="209"/>
      <c r="G20" s="110" t="str">
        <f ca="1">IF(OR(A20&lt;$C$14,A20&gt;$F$14,$G$16="Sie haben Ihr Arbeitszeitkonto überschritten, bitte erstellen Sie ein neues Konto",A20&gt;TODAY()),"0,00",IF(ISBLANK($C$14),"0,00",(D20-B20-F20)))</f>
        <v>0,00</v>
      </c>
      <c r="H20" s="111" t="str">
        <f ca="1">IF(WEEKDAY(A20,2)=7,SUMIF($M$19:$M$50,M20,$G$19:$G$50),"")</f>
        <v/>
      </c>
      <c r="I20" s="112">
        <f ca="1">IF(A20&lt;TODAY(),ROUND(SUM(G20-N20),7),0)</f>
        <v>0</v>
      </c>
      <c r="J20" s="156" t="str">
        <f t="shared" ref="J20:J24" ca="1" si="0">IF($G$16="Sie haben Ihr Arbeitszeitkonto überschritten, bitte erstellen Sie ein neues Konto","",IF(AND(A20&lt;TODAY(),WEEKDAY(A20,2)=7),I20+$N$16,""))</f>
        <v/>
      </c>
      <c r="K20" s="275" t="str">
        <f t="shared" ref="K20:K26" ca="1" si="1">IF(T20&lt;&gt;"",T20,IF(P20="1","Angaben überprüfen",IF(OR(A20&lt;$C$14,A20&gt;$F$14,G20="0,00"),"--------",IF(AND(G20&gt;(6/24),G20&lt;(9/24),F20&lt;0.5/24),"30 min. Pause erforderlich",IF(AND(G20&gt;=(9/24),F20&lt;0.75/24),"45 min. Pause erforderlich ","")))))</f>
        <v>--------</v>
      </c>
      <c r="L20" s="276"/>
      <c r="M20" s="93">
        <f ca="1">WEEKNUM(A20,2)</f>
        <v>44</v>
      </c>
      <c r="N20" s="94">
        <f ca="1">IF(AND(A20&gt;=$C$14,A20&lt;=$F$14),IF(AND(WEEKDAY(A20,2)=1,$K$3&gt;0),$K$3,IF(AND(WEEKDAY(A20,2)=2,$K$5&gt;0),$K$5,IF(AND(WEEKDAY(A20,2)=3,$K$7&gt;0),$K$7,IF(AND(WEEKDAY(A20,2)=4,$K$9&gt;0),$K$9,IF(AND(WEEKDAY(A20,2)=5,$K$11&gt;0),$K$11,IF(WEEKDAY(A20,2)&gt;5,0,0))))))/24,0)</f>
        <v>0</v>
      </c>
      <c r="O20" s="95">
        <f ca="1">IF(I20&lt;&gt;0,I20,0)</f>
        <v>0</v>
      </c>
      <c r="P20" s="120" t="str">
        <f ca="1">IF(AND(Q20="1",B20&gt;0),"1","")</f>
        <v/>
      </c>
      <c r="Q20" s="120" t="str">
        <f t="shared" ref="Q20:Q50" ca="1" si="2">IF(OR(A20&lt;$C$14,A20&gt;$F$14,A20&lt;$C$9,A20&gt;$F$9),"1","")</f>
        <v>1</v>
      </c>
      <c r="R20" s="184" t="str">
        <f t="shared" ref="R20:R50" ca="1" si="3">IF(AND(A20&gt;TODAY(),B20&gt;0),"1","")</f>
        <v/>
      </c>
      <c r="S20" s="185" t="e">
        <f t="shared" ref="S20:S50" ca="1" si="4">VLOOKUP(A20,$Q$77:$S$92,2,FALSE)</f>
        <v>#N/A</v>
      </c>
      <c r="T20" s="186" t="str">
        <f t="shared" ref="T20:T49" ca="1" si="5">IF(ISNA(S20),"",S20)</f>
        <v/>
      </c>
      <c r="U20" s="193" t="str">
        <f t="shared" ref="U20:U50" ca="1" si="6">IF(AND(WEEKDAY(A20,2)=1,$I$2=TRUE),"X",IF(AND(WEEKDAY(A20,2)=4,$I$8=TRUE),"X",IF(AND(WEEKDAY(A20,2)=5,$I$10=TRUE),"X",IF(AND(WEEKDAY(A20,2)=2,$I$4=TRUE),"X",IF(AND(WEEKDAY(A20,2)=3,$I$6=TRUE),"X","")
))))</f>
        <v/>
      </c>
      <c r="V20" s="197" t="str">
        <f ca="1">IF(AND(U20&lt;&gt;"",T20&lt;&gt;""),"!","")</f>
        <v/>
      </c>
    </row>
    <row r="21" spans="1:22" s="2" customFormat="1" ht="12.6" customHeight="1">
      <c r="A21" s="189">
        <f t="shared" ref="A21:A29" ca="1" si="7">($B$17+ROW(A2)-1)*(MONTH(A20+1)=MONTH($B$17))</f>
        <v>42309</v>
      </c>
      <c r="B21" s="271"/>
      <c r="C21" s="272"/>
      <c r="D21" s="273"/>
      <c r="E21" s="274"/>
      <c r="F21" s="205"/>
      <c r="G21" s="110" t="str">
        <f t="shared" ref="G21:G49" ca="1" si="8">IF(OR(A21&lt;$C$14,A21&gt;$F$14,$G$16="Sie haben Ihr Arbeitszeitkonto überschritten, bitte erstellen Sie ein neues Konto",A21&gt;TODAY()),"0,00",IF(ISBLANK($C$14),"0,00",(D21-B21-F21)))</f>
        <v>0,00</v>
      </c>
      <c r="H21" s="111" t="str">
        <f t="shared" ref="H21:H50" ca="1" si="9">IF(WEEKDAY(A21,2)=7,SUMIF($M$19:$M$50,M21,$G$19:$G$50),"")</f>
        <v/>
      </c>
      <c r="I21" s="112">
        <f t="shared" ref="I21:I50" ca="1" si="10">IF(A21&lt;TODAY(),ROUND(SUM(G21+I20-N21),7),0)</f>
        <v>0</v>
      </c>
      <c r="J21" s="157" t="str">
        <f t="shared" ca="1" si="0"/>
        <v/>
      </c>
      <c r="K21" s="275" t="str">
        <f t="shared" ca="1" si="1"/>
        <v>--------</v>
      </c>
      <c r="L21" s="276"/>
      <c r="M21" s="93">
        <f t="shared" ref="M21:M49" ca="1" si="11">WEEKNUM(A21,2)</f>
        <v>44</v>
      </c>
      <c r="N21" s="94">
        <f t="shared" ref="N21:N50" ca="1" si="12">IF(AND(A21&gt;=$C$14,A21&lt;=$F$14),IF(AND(WEEKDAY(A21,2)=1,$K$3&gt;0),$K$3,IF(AND(WEEKDAY(A21,2)=2,$K$5&gt;0),$K$5,IF(AND(WEEKDAY(A21,2)=3,$K$7&gt;0),$K$7,IF(AND(WEEKDAY(A21,2)=4,$K$9&gt;0),$K$9,IF(AND(WEEKDAY(A21,2)=5,$K$11&gt;0),$K$11,IF(WEEKDAY(A21,2)&gt;5,0,0))))))/24,0)</f>
        <v>0</v>
      </c>
      <c r="O21" s="95">
        <f t="shared" ref="O21:O50" ca="1" si="13">IF(I21&lt;&gt;0,I21,0)</f>
        <v>0</v>
      </c>
      <c r="P21" s="120" t="str">
        <f t="shared" ref="P21:P50" ca="1" si="14">IF(AND(Q21="1",B21&gt;0),"1","")</f>
        <v/>
      </c>
      <c r="Q21" s="120" t="str">
        <f t="shared" ca="1" si="2"/>
        <v>1</v>
      </c>
      <c r="R21" s="184" t="str">
        <f t="shared" ca="1" si="3"/>
        <v/>
      </c>
      <c r="S21" s="185" t="e">
        <f t="shared" ca="1" si="4"/>
        <v>#N/A</v>
      </c>
      <c r="T21" s="186" t="str">
        <f t="shared" ca="1" si="5"/>
        <v/>
      </c>
      <c r="U21" s="194" t="str">
        <f t="shared" ca="1" si="6"/>
        <v/>
      </c>
      <c r="V21" s="197" t="str">
        <f t="shared" ref="V21:V50" ca="1" si="15">IF(AND(U21&lt;&gt;"",T21&lt;&gt;""),"!","")</f>
        <v/>
      </c>
    </row>
    <row r="22" spans="1:22" s="2" customFormat="1" ht="12.6" customHeight="1">
      <c r="A22" s="189">
        <f t="shared" ca="1" si="7"/>
        <v>42310</v>
      </c>
      <c r="B22" s="285"/>
      <c r="C22" s="286"/>
      <c r="D22" s="273"/>
      <c r="E22" s="274"/>
      <c r="F22" s="205"/>
      <c r="G22" s="110" t="str">
        <f t="shared" ca="1" si="8"/>
        <v>0,00</v>
      </c>
      <c r="H22" s="111">
        <f t="shared" ca="1" si="9"/>
        <v>0</v>
      </c>
      <c r="I22" s="112">
        <f t="shared" ca="1" si="10"/>
        <v>0</v>
      </c>
      <c r="J22" s="157" t="str">
        <f t="shared" ca="1" si="0"/>
        <v/>
      </c>
      <c r="K22" s="275" t="str">
        <f t="shared" ca="1" si="1"/>
        <v>--------</v>
      </c>
      <c r="L22" s="276"/>
      <c r="M22" s="93">
        <f t="shared" ca="1" si="11"/>
        <v>44</v>
      </c>
      <c r="N22" s="94">
        <f t="shared" ca="1" si="12"/>
        <v>0</v>
      </c>
      <c r="O22" s="95">
        <f t="shared" ca="1" si="13"/>
        <v>0</v>
      </c>
      <c r="P22" s="120" t="str">
        <f t="shared" ca="1" si="14"/>
        <v/>
      </c>
      <c r="Q22" s="120" t="str">
        <f t="shared" ca="1" si="2"/>
        <v>1</v>
      </c>
      <c r="R22" s="184" t="str">
        <f t="shared" ca="1" si="3"/>
        <v/>
      </c>
      <c r="S22" s="185" t="e">
        <f t="shared" ca="1" si="4"/>
        <v>#N/A</v>
      </c>
      <c r="T22" s="186" t="str">
        <f t="shared" ca="1" si="5"/>
        <v/>
      </c>
      <c r="U22" s="194" t="str">
        <f t="shared" ca="1" si="6"/>
        <v/>
      </c>
      <c r="V22" s="197" t="str">
        <f t="shared" ca="1" si="15"/>
        <v/>
      </c>
    </row>
    <row r="23" spans="1:22" s="2" customFormat="1" ht="12.6" customHeight="1">
      <c r="A23" s="189">
        <f t="shared" ca="1" si="7"/>
        <v>42311</v>
      </c>
      <c r="B23" s="285"/>
      <c r="C23" s="286"/>
      <c r="D23" s="273"/>
      <c r="E23" s="274"/>
      <c r="F23" s="205"/>
      <c r="G23" s="110" t="str">
        <f t="shared" ca="1" si="8"/>
        <v>0,00</v>
      </c>
      <c r="H23" s="111" t="str">
        <f t="shared" ca="1" si="9"/>
        <v/>
      </c>
      <c r="I23" s="112">
        <f t="shared" ca="1" si="10"/>
        <v>0</v>
      </c>
      <c r="J23" s="157" t="str">
        <f t="shared" ca="1" si="0"/>
        <v/>
      </c>
      <c r="K23" s="275" t="str">
        <f t="shared" ca="1" si="1"/>
        <v>--------</v>
      </c>
      <c r="L23" s="276"/>
      <c r="M23" s="93">
        <f t="shared" ca="1" si="11"/>
        <v>45</v>
      </c>
      <c r="N23" s="94">
        <f t="shared" ca="1" si="12"/>
        <v>0</v>
      </c>
      <c r="O23" s="95">
        <f t="shared" ca="1" si="13"/>
        <v>0</v>
      </c>
      <c r="P23" s="120" t="str">
        <f t="shared" ca="1" si="14"/>
        <v/>
      </c>
      <c r="Q23" s="120" t="str">
        <f t="shared" ca="1" si="2"/>
        <v>1</v>
      </c>
      <c r="R23" s="184" t="str">
        <f t="shared" ca="1" si="3"/>
        <v/>
      </c>
      <c r="S23" s="185" t="e">
        <f t="shared" ca="1" si="4"/>
        <v>#N/A</v>
      </c>
      <c r="T23" s="186" t="str">
        <f t="shared" ca="1" si="5"/>
        <v/>
      </c>
      <c r="U23" s="194" t="str">
        <f t="shared" ca="1" si="6"/>
        <v/>
      </c>
      <c r="V23" s="197" t="str">
        <f t="shared" ca="1" si="15"/>
        <v/>
      </c>
    </row>
    <row r="24" spans="1:22" s="2" customFormat="1" ht="12.6" customHeight="1">
      <c r="A24" s="190">
        <f t="shared" ca="1" si="7"/>
        <v>42312</v>
      </c>
      <c r="B24" s="281"/>
      <c r="C24" s="282"/>
      <c r="D24" s="283"/>
      <c r="E24" s="284"/>
      <c r="F24" s="208"/>
      <c r="G24" s="110" t="str">
        <f t="shared" ca="1" si="8"/>
        <v>0,00</v>
      </c>
      <c r="H24" s="111" t="str">
        <f t="shared" ca="1" si="9"/>
        <v/>
      </c>
      <c r="I24" s="112">
        <f t="shared" ca="1" si="10"/>
        <v>0</v>
      </c>
      <c r="J24" s="157" t="str">
        <f t="shared" ca="1" si="0"/>
        <v/>
      </c>
      <c r="K24" s="275" t="str">
        <f t="shared" ca="1" si="1"/>
        <v>--------</v>
      </c>
      <c r="L24" s="276"/>
      <c r="M24" s="93">
        <f t="shared" ca="1" si="11"/>
        <v>45</v>
      </c>
      <c r="N24" s="94">
        <f t="shared" ca="1" si="12"/>
        <v>0</v>
      </c>
      <c r="O24" s="95">
        <f t="shared" ca="1" si="13"/>
        <v>0</v>
      </c>
      <c r="P24" s="120" t="str">
        <f ca="1">IF(AND(Q24="1",B24&gt;0),"1","")</f>
        <v/>
      </c>
      <c r="Q24" s="120" t="str">
        <f t="shared" ca="1" si="2"/>
        <v>1</v>
      </c>
      <c r="R24" s="184" t="str">
        <f t="shared" ca="1" si="3"/>
        <v/>
      </c>
      <c r="S24" s="185" t="e">
        <f t="shared" ca="1" si="4"/>
        <v>#N/A</v>
      </c>
      <c r="T24" s="186" t="str">
        <f t="shared" ca="1" si="5"/>
        <v/>
      </c>
      <c r="U24" s="194" t="str">
        <f t="shared" ca="1" si="6"/>
        <v/>
      </c>
      <c r="V24" s="197" t="str">
        <f t="shared" ca="1" si="15"/>
        <v/>
      </c>
    </row>
    <row r="25" spans="1:22" s="18" customFormat="1" ht="12.6" customHeight="1">
      <c r="A25" s="190">
        <f t="shared" ca="1" si="7"/>
        <v>42313</v>
      </c>
      <c r="B25" s="281"/>
      <c r="C25" s="282"/>
      <c r="D25" s="283"/>
      <c r="E25" s="284"/>
      <c r="F25" s="207"/>
      <c r="G25" s="110" t="str">
        <f t="shared" ca="1" si="8"/>
        <v>0,00</v>
      </c>
      <c r="H25" s="111" t="str">
        <f t="shared" ca="1" si="9"/>
        <v/>
      </c>
      <c r="I25" s="112">
        <f t="shared" ca="1" si="10"/>
        <v>0</v>
      </c>
      <c r="J25" s="157" t="str">
        <f ca="1">IF($G$16="Sie haben Ihr Arbeitszeitkonto überschritten, bitte erstellen Sie ein neues Konto","",IF(AND(A25&lt;TODAY(),WEEKDAY(A25,2)=7),I25+$N$16,""))</f>
        <v/>
      </c>
      <c r="K25" s="275" t="str">
        <f t="shared" ca="1" si="1"/>
        <v>--------</v>
      </c>
      <c r="L25" s="276"/>
      <c r="M25" s="93">
        <f t="shared" ca="1" si="11"/>
        <v>45</v>
      </c>
      <c r="N25" s="94">
        <f t="shared" ca="1" si="12"/>
        <v>0</v>
      </c>
      <c r="O25" s="95">
        <f t="shared" ca="1" si="13"/>
        <v>0</v>
      </c>
      <c r="P25" s="120" t="str">
        <f t="shared" ca="1" si="14"/>
        <v/>
      </c>
      <c r="Q25" s="120" t="str">
        <f t="shared" ca="1" si="2"/>
        <v>1</v>
      </c>
      <c r="R25" s="184" t="str">
        <f t="shared" ca="1" si="3"/>
        <v/>
      </c>
      <c r="S25" s="185" t="e">
        <f t="shared" ca="1" si="4"/>
        <v>#N/A</v>
      </c>
      <c r="T25" s="186" t="str">
        <f t="shared" ca="1" si="5"/>
        <v/>
      </c>
      <c r="U25" s="194" t="str">
        <f t="shared" ca="1" si="6"/>
        <v/>
      </c>
      <c r="V25" s="197" t="str">
        <f t="shared" ca="1" si="15"/>
        <v/>
      </c>
    </row>
    <row r="26" spans="1:22" s="18" customFormat="1" ht="12.6" customHeight="1">
      <c r="A26" s="190">
        <f t="shared" ca="1" si="7"/>
        <v>42314</v>
      </c>
      <c r="B26" s="285"/>
      <c r="C26" s="286"/>
      <c r="D26" s="301"/>
      <c r="E26" s="276"/>
      <c r="F26" s="117"/>
      <c r="G26" s="110" t="str">
        <f t="shared" ca="1" si="8"/>
        <v>0,00</v>
      </c>
      <c r="H26" s="111" t="str">
        <f t="shared" ca="1" si="9"/>
        <v/>
      </c>
      <c r="I26" s="112">
        <f t="shared" ca="1" si="10"/>
        <v>0</v>
      </c>
      <c r="J26" s="157" t="str">
        <f t="shared" ref="J26:J50" ca="1" si="16">IF($G$16="Sie haben Ihr Arbeitszeitkonto überschritten, bitte erstellen Sie ein neues Konto","",IF(AND(A26&lt;TODAY(),WEEKDAY(A26,2)=7),I26+$N$16,""))</f>
        <v/>
      </c>
      <c r="K26" s="275" t="str">
        <f t="shared" ca="1" si="1"/>
        <v>--------</v>
      </c>
      <c r="L26" s="276"/>
      <c r="M26" s="93">
        <f t="shared" ca="1" si="11"/>
        <v>45</v>
      </c>
      <c r="N26" s="94">
        <f t="shared" ca="1" si="12"/>
        <v>0</v>
      </c>
      <c r="O26" s="95">
        <f t="shared" ca="1" si="13"/>
        <v>0</v>
      </c>
      <c r="P26" s="120" t="str">
        <f t="shared" ca="1" si="14"/>
        <v/>
      </c>
      <c r="Q26" s="120" t="str">
        <f t="shared" ca="1" si="2"/>
        <v>1</v>
      </c>
      <c r="R26" s="184" t="str">
        <f t="shared" ca="1" si="3"/>
        <v/>
      </c>
      <c r="S26" s="185" t="e">
        <f t="shared" ca="1" si="4"/>
        <v>#N/A</v>
      </c>
      <c r="T26" s="186" t="str">
        <f t="shared" ca="1" si="5"/>
        <v/>
      </c>
      <c r="U26" s="194" t="str">
        <f t="shared" ca="1" si="6"/>
        <v/>
      </c>
      <c r="V26" s="197" t="str">
        <f t="shared" ca="1" si="15"/>
        <v/>
      </c>
    </row>
    <row r="27" spans="1:22" ht="12.6" customHeight="1">
      <c r="A27" s="190">
        <f t="shared" ca="1" si="7"/>
        <v>42315</v>
      </c>
      <c r="B27" s="285"/>
      <c r="C27" s="286"/>
      <c r="D27" s="273"/>
      <c r="E27" s="274"/>
      <c r="F27" s="217"/>
      <c r="G27" s="110" t="str">
        <f t="shared" ca="1" si="8"/>
        <v>0,00</v>
      </c>
      <c r="H27" s="111" t="str">
        <f t="shared" ca="1" si="9"/>
        <v/>
      </c>
      <c r="I27" s="112">
        <f t="shared" ca="1" si="10"/>
        <v>0</v>
      </c>
      <c r="J27" s="157" t="str">
        <f t="shared" ca="1" si="16"/>
        <v/>
      </c>
      <c r="K27" s="275" t="str">
        <f ca="1">IF(T27&lt;&gt;"",T27,IF(P27="1","Angaben überprüfen",IF(OR(A27&lt;$C$14,A27&gt;$F$14,G27="0,00"),"--------",IF(AND(G27&gt;(6/24),G27&lt;(9/24),F27&lt;0.5/24),"30 min. Pause erforderlich",IF(AND(G27&gt;=(9/24),F27&lt;0.75/24),"45 min. Pause erforderlich ","")))))</f>
        <v>--------</v>
      </c>
      <c r="L27" s="276"/>
      <c r="M27" s="93">
        <f t="shared" ca="1" si="11"/>
        <v>45</v>
      </c>
      <c r="N27" s="94">
        <f t="shared" ca="1" si="12"/>
        <v>0</v>
      </c>
      <c r="O27" s="95">
        <f t="shared" ca="1" si="13"/>
        <v>0</v>
      </c>
      <c r="P27" s="120" t="str">
        <f t="shared" ca="1" si="14"/>
        <v/>
      </c>
      <c r="Q27" s="120" t="str">
        <f t="shared" ca="1" si="2"/>
        <v>1</v>
      </c>
      <c r="R27" s="184" t="str">
        <f t="shared" ca="1" si="3"/>
        <v/>
      </c>
      <c r="S27" s="185" t="e">
        <f t="shared" ca="1" si="4"/>
        <v>#N/A</v>
      </c>
      <c r="T27" s="186" t="str">
        <f t="shared" ca="1" si="5"/>
        <v/>
      </c>
      <c r="U27" s="194" t="str">
        <f t="shared" ca="1" si="6"/>
        <v/>
      </c>
      <c r="V27" s="197" t="str">
        <f t="shared" ca="1" si="15"/>
        <v/>
      </c>
    </row>
    <row r="28" spans="1:22" ht="12.6" customHeight="1">
      <c r="A28" s="190">
        <f t="shared" ca="1" si="7"/>
        <v>42316</v>
      </c>
      <c r="B28" s="285"/>
      <c r="C28" s="286"/>
      <c r="D28" s="273"/>
      <c r="E28" s="274"/>
      <c r="F28" s="217"/>
      <c r="G28" s="110" t="str">
        <f t="shared" ca="1" si="8"/>
        <v>0,00</v>
      </c>
      <c r="H28" s="111" t="str">
        <f t="shared" ca="1" si="9"/>
        <v/>
      </c>
      <c r="I28" s="112">
        <f t="shared" ca="1" si="10"/>
        <v>0</v>
      </c>
      <c r="J28" s="157" t="str">
        <f t="shared" ca="1" si="16"/>
        <v/>
      </c>
      <c r="K28" s="275" t="str">
        <f t="shared" ref="K28:K50" ca="1" si="17">IF(T28&lt;&gt;"",T28,IF(P28="1","Angaben überprüfen",IF(OR(A28&lt;$C$14,A28&gt;$F$14,G28="0,00"),"--------",IF(AND(G28&gt;(6/24),G28&lt;(9/24),F28&lt;0.5/24),"30 min. Pause erforderlich",IF(AND(G28&gt;=(9/24),F28&lt;0.75/24),"45 min. Pause erforderlich ","")))))</f>
        <v>--------</v>
      </c>
      <c r="L28" s="276"/>
      <c r="M28" s="93">
        <f t="shared" ca="1" si="11"/>
        <v>45</v>
      </c>
      <c r="N28" s="94">
        <f t="shared" ca="1" si="12"/>
        <v>0</v>
      </c>
      <c r="O28" s="95">
        <f t="shared" ca="1" si="13"/>
        <v>0</v>
      </c>
      <c r="P28" s="120" t="str">
        <f t="shared" ca="1" si="14"/>
        <v/>
      </c>
      <c r="Q28" s="120" t="str">
        <f t="shared" ca="1" si="2"/>
        <v>1</v>
      </c>
      <c r="R28" s="184" t="str">
        <f t="shared" ca="1" si="3"/>
        <v/>
      </c>
      <c r="S28" s="185" t="e">
        <f t="shared" ca="1" si="4"/>
        <v>#N/A</v>
      </c>
      <c r="T28" s="186" t="str">
        <f t="shared" ca="1" si="5"/>
        <v/>
      </c>
      <c r="U28" s="194" t="str">
        <f t="shared" ca="1" si="6"/>
        <v/>
      </c>
      <c r="V28" s="197" t="str">
        <f t="shared" ca="1" si="15"/>
        <v/>
      </c>
    </row>
    <row r="29" spans="1:22" ht="12.6" customHeight="1">
      <c r="A29" s="190">
        <f t="shared" ca="1" si="7"/>
        <v>42317</v>
      </c>
      <c r="B29" s="285"/>
      <c r="C29" s="286"/>
      <c r="D29" s="273"/>
      <c r="E29" s="274"/>
      <c r="F29" s="206"/>
      <c r="G29" s="110" t="str">
        <f t="shared" ca="1" si="8"/>
        <v>0,00</v>
      </c>
      <c r="H29" s="111">
        <f t="shared" ca="1" si="9"/>
        <v>0</v>
      </c>
      <c r="I29" s="112">
        <f t="shared" ca="1" si="10"/>
        <v>0</v>
      </c>
      <c r="J29" s="157" t="str">
        <f t="shared" ca="1" si="16"/>
        <v/>
      </c>
      <c r="K29" s="275" t="str">
        <f t="shared" ca="1" si="17"/>
        <v>--------</v>
      </c>
      <c r="L29" s="276"/>
      <c r="M29" s="93">
        <f t="shared" ca="1" si="11"/>
        <v>45</v>
      </c>
      <c r="N29" s="94">
        <f t="shared" ca="1" si="12"/>
        <v>0</v>
      </c>
      <c r="O29" s="95">
        <f t="shared" ca="1" si="13"/>
        <v>0</v>
      </c>
      <c r="P29" s="120" t="str">
        <f t="shared" ca="1" si="14"/>
        <v/>
      </c>
      <c r="Q29" s="120" t="str">
        <f t="shared" ca="1" si="2"/>
        <v>1</v>
      </c>
      <c r="R29" s="184" t="str">
        <f t="shared" ca="1" si="3"/>
        <v/>
      </c>
      <c r="S29" s="185" t="e">
        <f t="shared" ca="1" si="4"/>
        <v>#N/A</v>
      </c>
      <c r="T29" s="186" t="str">
        <f t="shared" ca="1" si="5"/>
        <v/>
      </c>
      <c r="U29" s="194" t="str">
        <f t="shared" ca="1" si="6"/>
        <v/>
      </c>
      <c r="V29" s="197" t="str">
        <f t="shared" ca="1" si="15"/>
        <v/>
      </c>
    </row>
    <row r="30" spans="1:22" ht="12.6" customHeight="1">
      <c r="A30" s="189">
        <f ca="1">($B$17+ROW(A11)-1)*(MONTH(A27+1)=MONTH($B$17))</f>
        <v>42318</v>
      </c>
      <c r="B30" s="285"/>
      <c r="C30" s="286"/>
      <c r="D30" s="273"/>
      <c r="E30" s="274"/>
      <c r="F30" s="206"/>
      <c r="G30" s="110" t="str">
        <f t="shared" ca="1" si="8"/>
        <v>0,00</v>
      </c>
      <c r="H30" s="111" t="str">
        <f t="shared" ca="1" si="9"/>
        <v/>
      </c>
      <c r="I30" s="112">
        <f t="shared" ca="1" si="10"/>
        <v>0</v>
      </c>
      <c r="J30" s="157" t="str">
        <f t="shared" ca="1" si="16"/>
        <v/>
      </c>
      <c r="K30" s="275" t="str">
        <f t="shared" ca="1" si="17"/>
        <v>--------</v>
      </c>
      <c r="L30" s="276"/>
      <c r="M30" s="93">
        <f t="shared" ca="1" si="11"/>
        <v>46</v>
      </c>
      <c r="N30" s="94">
        <f t="shared" ca="1" si="12"/>
        <v>0</v>
      </c>
      <c r="O30" s="95">
        <f t="shared" ca="1" si="13"/>
        <v>0</v>
      </c>
      <c r="P30" s="120" t="str">
        <f t="shared" ca="1" si="14"/>
        <v/>
      </c>
      <c r="Q30" s="120" t="str">
        <f t="shared" ca="1" si="2"/>
        <v>1</v>
      </c>
      <c r="R30" s="184" t="str">
        <f t="shared" ca="1" si="3"/>
        <v/>
      </c>
      <c r="S30" s="185" t="e">
        <f t="shared" ca="1" si="4"/>
        <v>#N/A</v>
      </c>
      <c r="T30" s="186" t="str">
        <f t="shared" ca="1" si="5"/>
        <v/>
      </c>
      <c r="U30" s="194" t="str">
        <f t="shared" ca="1" si="6"/>
        <v/>
      </c>
      <c r="V30" s="197" t="str">
        <f t="shared" ca="1" si="15"/>
        <v/>
      </c>
    </row>
    <row r="31" spans="1:22" ht="12.6" customHeight="1">
      <c r="A31" s="189">
        <f ca="1">($B$17+ROW(A12)-1)*(MONTH(A28+1)=MONTH($B$17))</f>
        <v>42319</v>
      </c>
      <c r="B31" s="281"/>
      <c r="C31" s="282"/>
      <c r="D31" s="283"/>
      <c r="E31" s="284"/>
      <c r="F31" s="206"/>
      <c r="G31" s="110" t="str">
        <f t="shared" ca="1" si="8"/>
        <v>0,00</v>
      </c>
      <c r="H31" s="111" t="str">
        <f t="shared" ca="1" si="9"/>
        <v/>
      </c>
      <c r="I31" s="112">
        <f t="shared" ca="1" si="10"/>
        <v>0</v>
      </c>
      <c r="J31" s="157" t="str">
        <f t="shared" ca="1" si="16"/>
        <v/>
      </c>
      <c r="K31" s="275" t="str">
        <f t="shared" ca="1" si="17"/>
        <v>--------</v>
      </c>
      <c r="L31" s="276"/>
      <c r="M31" s="93">
        <f t="shared" ca="1" si="11"/>
        <v>46</v>
      </c>
      <c r="N31" s="94">
        <f t="shared" ca="1" si="12"/>
        <v>0</v>
      </c>
      <c r="O31" s="95">
        <f t="shared" ca="1" si="13"/>
        <v>0</v>
      </c>
      <c r="P31" s="120" t="str">
        <f t="shared" ca="1" si="14"/>
        <v/>
      </c>
      <c r="Q31" s="120" t="str">
        <f t="shared" ca="1" si="2"/>
        <v>1</v>
      </c>
      <c r="R31" s="184" t="str">
        <f t="shared" ca="1" si="3"/>
        <v/>
      </c>
      <c r="S31" s="185" t="e">
        <f t="shared" ca="1" si="4"/>
        <v>#N/A</v>
      </c>
      <c r="T31" s="186" t="str">
        <f t="shared" ca="1" si="5"/>
        <v/>
      </c>
      <c r="U31" s="194" t="str">
        <f t="shared" ca="1" si="6"/>
        <v/>
      </c>
      <c r="V31" s="197" t="str">
        <f t="shared" ca="1" si="15"/>
        <v/>
      </c>
    </row>
    <row r="32" spans="1:22" ht="12.6" customHeight="1">
      <c r="A32" s="189">
        <f ca="1">($B$17+ROW(A13)-1)*(MONTH(A30+1)=MONTH($B$17))</f>
        <v>42320</v>
      </c>
      <c r="B32" s="285"/>
      <c r="C32" s="286"/>
      <c r="D32" s="301"/>
      <c r="E32" s="276"/>
      <c r="F32" s="206"/>
      <c r="G32" s="110" t="str">
        <f t="shared" ca="1" si="8"/>
        <v>0,00</v>
      </c>
      <c r="H32" s="111" t="str">
        <f t="shared" ca="1" si="9"/>
        <v/>
      </c>
      <c r="I32" s="112">
        <f t="shared" ca="1" si="10"/>
        <v>0</v>
      </c>
      <c r="J32" s="157" t="str">
        <f t="shared" ca="1" si="16"/>
        <v/>
      </c>
      <c r="K32" s="275" t="str">
        <f t="shared" ca="1" si="17"/>
        <v>--------</v>
      </c>
      <c r="L32" s="276"/>
      <c r="M32" s="93">
        <f t="shared" ca="1" si="11"/>
        <v>46</v>
      </c>
      <c r="N32" s="94">
        <f t="shared" ca="1" si="12"/>
        <v>0</v>
      </c>
      <c r="O32" s="95">
        <f t="shared" ca="1" si="13"/>
        <v>0</v>
      </c>
      <c r="P32" s="120" t="str">
        <f t="shared" ca="1" si="14"/>
        <v/>
      </c>
      <c r="Q32" s="120" t="str">
        <f t="shared" ca="1" si="2"/>
        <v>1</v>
      </c>
      <c r="R32" s="184" t="str">
        <f t="shared" ca="1" si="3"/>
        <v/>
      </c>
      <c r="S32" s="185" t="e">
        <f t="shared" ca="1" si="4"/>
        <v>#N/A</v>
      </c>
      <c r="T32" s="186" t="str">
        <f t="shared" ca="1" si="5"/>
        <v/>
      </c>
      <c r="U32" s="194" t="str">
        <f t="shared" ca="1" si="6"/>
        <v/>
      </c>
      <c r="V32" s="197" t="str">
        <f t="shared" ca="1" si="15"/>
        <v/>
      </c>
    </row>
    <row r="33" spans="1:22" ht="12.6" customHeight="1">
      <c r="A33" s="189">
        <f t="shared" ref="A33:A50" ca="1" si="18">($B$17+ROW(A14)-1)*(MONTH(A32+1)=MONTH($B$17))</f>
        <v>42321</v>
      </c>
      <c r="B33" s="285"/>
      <c r="C33" s="286"/>
      <c r="D33" s="273"/>
      <c r="E33" s="274"/>
      <c r="F33" s="206"/>
      <c r="G33" s="110" t="str">
        <f t="shared" ca="1" si="8"/>
        <v>0,00</v>
      </c>
      <c r="H33" s="111" t="str">
        <f t="shared" ca="1" si="9"/>
        <v/>
      </c>
      <c r="I33" s="112">
        <f t="shared" ca="1" si="10"/>
        <v>0</v>
      </c>
      <c r="J33" s="157" t="str">
        <f t="shared" ca="1" si="16"/>
        <v/>
      </c>
      <c r="K33" s="275" t="str">
        <f t="shared" ca="1" si="17"/>
        <v>--------</v>
      </c>
      <c r="L33" s="276"/>
      <c r="M33" s="93">
        <f t="shared" ca="1" si="11"/>
        <v>46</v>
      </c>
      <c r="N33" s="94">
        <f t="shared" ca="1" si="12"/>
        <v>0</v>
      </c>
      <c r="O33" s="95">
        <f t="shared" ca="1" si="13"/>
        <v>0</v>
      </c>
      <c r="P33" s="120" t="str">
        <f t="shared" ca="1" si="14"/>
        <v/>
      </c>
      <c r="Q33" s="120" t="str">
        <f t="shared" ca="1" si="2"/>
        <v>1</v>
      </c>
      <c r="R33" s="184" t="str">
        <f t="shared" ca="1" si="3"/>
        <v/>
      </c>
      <c r="S33" s="185" t="e">
        <f t="shared" ca="1" si="4"/>
        <v>#N/A</v>
      </c>
      <c r="T33" s="186" t="str">
        <f t="shared" ca="1" si="5"/>
        <v/>
      </c>
      <c r="U33" s="194" t="str">
        <f t="shared" ca="1" si="6"/>
        <v/>
      </c>
      <c r="V33" s="197" t="str">
        <f t="shared" ca="1" si="15"/>
        <v/>
      </c>
    </row>
    <row r="34" spans="1:22" ht="12.6" customHeight="1">
      <c r="A34" s="189">
        <f t="shared" ca="1" si="18"/>
        <v>42322</v>
      </c>
      <c r="B34" s="285"/>
      <c r="C34" s="286"/>
      <c r="D34" s="273"/>
      <c r="E34" s="274"/>
      <c r="F34" s="206"/>
      <c r="G34" s="110" t="str">
        <f t="shared" ca="1" si="8"/>
        <v>0,00</v>
      </c>
      <c r="H34" s="111" t="str">
        <f t="shared" ca="1" si="9"/>
        <v/>
      </c>
      <c r="I34" s="112">
        <f t="shared" ca="1" si="10"/>
        <v>0</v>
      </c>
      <c r="J34" s="157" t="str">
        <f t="shared" ca="1" si="16"/>
        <v/>
      </c>
      <c r="K34" s="275" t="str">
        <f t="shared" ca="1" si="17"/>
        <v>--------</v>
      </c>
      <c r="L34" s="276"/>
      <c r="M34" s="93">
        <f t="shared" ca="1" si="11"/>
        <v>46</v>
      </c>
      <c r="N34" s="94">
        <f t="shared" ca="1" si="12"/>
        <v>0</v>
      </c>
      <c r="O34" s="95">
        <f t="shared" ca="1" si="13"/>
        <v>0</v>
      </c>
      <c r="P34" s="120" t="str">
        <f t="shared" ca="1" si="14"/>
        <v/>
      </c>
      <c r="Q34" s="120" t="str">
        <f t="shared" ca="1" si="2"/>
        <v>1</v>
      </c>
      <c r="R34" s="184" t="str">
        <f t="shared" ca="1" si="3"/>
        <v/>
      </c>
      <c r="S34" s="185" t="e">
        <f t="shared" ca="1" si="4"/>
        <v>#N/A</v>
      </c>
      <c r="T34" s="186" t="str">
        <f t="shared" ca="1" si="5"/>
        <v/>
      </c>
      <c r="U34" s="194" t="str">
        <f t="shared" ca="1" si="6"/>
        <v/>
      </c>
      <c r="V34" s="197" t="str">
        <f t="shared" ca="1" si="15"/>
        <v/>
      </c>
    </row>
    <row r="35" spans="1:22" ht="12.6" customHeight="1">
      <c r="A35" s="189">
        <f t="shared" ca="1" si="18"/>
        <v>42323</v>
      </c>
      <c r="B35" s="285"/>
      <c r="C35" s="286"/>
      <c r="D35" s="273"/>
      <c r="E35" s="274"/>
      <c r="F35" s="206"/>
      <c r="G35" s="110" t="str">
        <f t="shared" ca="1" si="8"/>
        <v>0,00</v>
      </c>
      <c r="H35" s="111" t="str">
        <f t="shared" ca="1" si="9"/>
        <v/>
      </c>
      <c r="I35" s="112">
        <f t="shared" ca="1" si="10"/>
        <v>0</v>
      </c>
      <c r="J35" s="157" t="str">
        <f t="shared" ca="1" si="16"/>
        <v/>
      </c>
      <c r="K35" s="275" t="str">
        <f t="shared" ca="1" si="17"/>
        <v>--------</v>
      </c>
      <c r="L35" s="276"/>
      <c r="M35" s="93">
        <f t="shared" ca="1" si="11"/>
        <v>46</v>
      </c>
      <c r="N35" s="94">
        <f t="shared" ca="1" si="12"/>
        <v>0</v>
      </c>
      <c r="O35" s="95">
        <f t="shared" ca="1" si="13"/>
        <v>0</v>
      </c>
      <c r="P35" s="120" t="str">
        <f t="shared" ca="1" si="14"/>
        <v/>
      </c>
      <c r="Q35" s="120" t="str">
        <f t="shared" ca="1" si="2"/>
        <v>1</v>
      </c>
      <c r="R35" s="184" t="str">
        <f t="shared" ca="1" si="3"/>
        <v/>
      </c>
      <c r="S35" s="185" t="e">
        <f t="shared" ca="1" si="4"/>
        <v>#N/A</v>
      </c>
      <c r="T35" s="186" t="str">
        <f t="shared" ca="1" si="5"/>
        <v/>
      </c>
      <c r="U35" s="194" t="str">
        <f t="shared" ca="1" si="6"/>
        <v/>
      </c>
      <c r="V35" s="197" t="str">
        <f t="shared" ca="1" si="15"/>
        <v/>
      </c>
    </row>
    <row r="36" spans="1:22" ht="12.6" customHeight="1">
      <c r="A36" s="189">
        <f t="shared" ca="1" si="18"/>
        <v>42324</v>
      </c>
      <c r="B36" s="285"/>
      <c r="C36" s="286"/>
      <c r="D36" s="273"/>
      <c r="E36" s="274"/>
      <c r="F36" s="205"/>
      <c r="G36" s="110" t="str">
        <f t="shared" ca="1" si="8"/>
        <v>0,00</v>
      </c>
      <c r="H36" s="111">
        <f t="shared" ca="1" si="9"/>
        <v>0</v>
      </c>
      <c r="I36" s="112">
        <f t="shared" ca="1" si="10"/>
        <v>0</v>
      </c>
      <c r="J36" s="157" t="str">
        <f t="shared" ca="1" si="16"/>
        <v/>
      </c>
      <c r="K36" s="275" t="str">
        <f t="shared" ca="1" si="17"/>
        <v>--------</v>
      </c>
      <c r="L36" s="276"/>
      <c r="M36" s="93">
        <f t="shared" ca="1" si="11"/>
        <v>46</v>
      </c>
      <c r="N36" s="94">
        <f t="shared" ca="1" si="12"/>
        <v>0</v>
      </c>
      <c r="O36" s="95">
        <f t="shared" ca="1" si="13"/>
        <v>0</v>
      </c>
      <c r="P36" s="120" t="str">
        <f t="shared" ca="1" si="14"/>
        <v/>
      </c>
      <c r="Q36" s="120" t="str">
        <f t="shared" ca="1" si="2"/>
        <v>1</v>
      </c>
      <c r="R36" s="184" t="str">
        <f t="shared" ca="1" si="3"/>
        <v/>
      </c>
      <c r="S36" s="185" t="e">
        <f t="shared" ca="1" si="4"/>
        <v>#N/A</v>
      </c>
      <c r="T36" s="186" t="str">
        <f t="shared" ca="1" si="5"/>
        <v/>
      </c>
      <c r="U36" s="194" t="str">
        <f t="shared" ca="1" si="6"/>
        <v/>
      </c>
      <c r="V36" s="197" t="str">
        <f t="shared" ca="1" si="15"/>
        <v/>
      </c>
    </row>
    <row r="37" spans="1:22" ht="12.6" customHeight="1">
      <c r="A37" s="189">
        <f t="shared" ca="1" si="18"/>
        <v>42325</v>
      </c>
      <c r="B37" s="285"/>
      <c r="C37" s="286"/>
      <c r="D37" s="273"/>
      <c r="E37" s="274"/>
      <c r="F37" s="205"/>
      <c r="G37" s="110" t="str">
        <f t="shared" ca="1" si="8"/>
        <v>0,00</v>
      </c>
      <c r="H37" s="111" t="str">
        <f t="shared" ca="1" si="9"/>
        <v/>
      </c>
      <c r="I37" s="112">
        <f t="shared" ca="1" si="10"/>
        <v>0</v>
      </c>
      <c r="J37" s="157" t="str">
        <f t="shared" ca="1" si="16"/>
        <v/>
      </c>
      <c r="K37" s="275" t="str">
        <f t="shared" ca="1" si="17"/>
        <v>--------</v>
      </c>
      <c r="L37" s="276"/>
      <c r="M37" s="93">
        <f t="shared" ca="1" si="11"/>
        <v>47</v>
      </c>
      <c r="N37" s="94">
        <f t="shared" ca="1" si="12"/>
        <v>0</v>
      </c>
      <c r="O37" s="95">
        <f t="shared" ca="1" si="13"/>
        <v>0</v>
      </c>
      <c r="P37" s="120" t="str">
        <f t="shared" ca="1" si="14"/>
        <v/>
      </c>
      <c r="Q37" s="120" t="str">
        <f t="shared" ca="1" si="2"/>
        <v>1</v>
      </c>
      <c r="R37" s="184" t="str">
        <f t="shared" ca="1" si="3"/>
        <v/>
      </c>
      <c r="S37" s="185" t="e">
        <f t="shared" ca="1" si="4"/>
        <v>#N/A</v>
      </c>
      <c r="T37" s="186" t="str">
        <f t="shared" ca="1" si="5"/>
        <v/>
      </c>
      <c r="U37" s="194" t="str">
        <f t="shared" ca="1" si="6"/>
        <v/>
      </c>
      <c r="V37" s="197" t="str">
        <f t="shared" ca="1" si="15"/>
        <v/>
      </c>
    </row>
    <row r="38" spans="1:22" ht="12.6" customHeight="1">
      <c r="A38" s="189">
        <f t="shared" ca="1" si="18"/>
        <v>42326</v>
      </c>
      <c r="B38" s="281"/>
      <c r="C38" s="282"/>
      <c r="D38" s="283"/>
      <c r="E38" s="284"/>
      <c r="F38" s="206"/>
      <c r="G38" s="110" t="str">
        <f t="shared" ca="1" si="8"/>
        <v>0,00</v>
      </c>
      <c r="H38" s="111" t="str">
        <f t="shared" ca="1" si="9"/>
        <v/>
      </c>
      <c r="I38" s="112">
        <f t="shared" ca="1" si="10"/>
        <v>0</v>
      </c>
      <c r="J38" s="157" t="str">
        <f t="shared" ca="1" si="16"/>
        <v/>
      </c>
      <c r="K38" s="275" t="str">
        <f t="shared" ca="1" si="17"/>
        <v>--------</v>
      </c>
      <c r="L38" s="276"/>
      <c r="M38" s="93">
        <f t="shared" ca="1" si="11"/>
        <v>47</v>
      </c>
      <c r="N38" s="94">
        <f t="shared" ca="1" si="12"/>
        <v>0</v>
      </c>
      <c r="O38" s="95">
        <f t="shared" ca="1" si="13"/>
        <v>0</v>
      </c>
      <c r="P38" s="120" t="str">
        <f t="shared" ca="1" si="14"/>
        <v/>
      </c>
      <c r="Q38" s="120" t="str">
        <f t="shared" ca="1" si="2"/>
        <v>1</v>
      </c>
      <c r="R38" s="184" t="str">
        <f t="shared" ca="1" si="3"/>
        <v/>
      </c>
      <c r="S38" s="185" t="e">
        <f t="shared" ca="1" si="4"/>
        <v>#N/A</v>
      </c>
      <c r="T38" s="186" t="str">
        <f t="shared" ca="1" si="5"/>
        <v/>
      </c>
      <c r="U38" s="194" t="str">
        <f t="shared" ca="1" si="6"/>
        <v/>
      </c>
      <c r="V38" s="197" t="str">
        <f t="shared" ca="1" si="15"/>
        <v/>
      </c>
    </row>
    <row r="39" spans="1:22" ht="12.6" customHeight="1">
      <c r="A39" s="189">
        <f t="shared" ca="1" si="18"/>
        <v>42327</v>
      </c>
      <c r="B39" s="285"/>
      <c r="C39" s="286"/>
      <c r="D39" s="301"/>
      <c r="E39" s="276"/>
      <c r="F39" s="206"/>
      <c r="G39" s="110" t="str">
        <f t="shared" ca="1" si="8"/>
        <v>0,00</v>
      </c>
      <c r="H39" s="111" t="str">
        <f t="shared" ca="1" si="9"/>
        <v/>
      </c>
      <c r="I39" s="112">
        <f t="shared" ca="1" si="10"/>
        <v>0</v>
      </c>
      <c r="J39" s="157" t="str">
        <f t="shared" ca="1" si="16"/>
        <v/>
      </c>
      <c r="K39" s="275" t="str">
        <f t="shared" ca="1" si="17"/>
        <v>--------</v>
      </c>
      <c r="L39" s="276"/>
      <c r="M39" s="93">
        <f t="shared" ca="1" si="11"/>
        <v>47</v>
      </c>
      <c r="N39" s="94">
        <f t="shared" ca="1" si="12"/>
        <v>0</v>
      </c>
      <c r="O39" s="95">
        <f t="shared" ca="1" si="13"/>
        <v>0</v>
      </c>
      <c r="P39" s="120" t="str">
        <f t="shared" ca="1" si="14"/>
        <v/>
      </c>
      <c r="Q39" s="120" t="str">
        <f t="shared" ca="1" si="2"/>
        <v>1</v>
      </c>
      <c r="R39" s="184" t="str">
        <f t="shared" ca="1" si="3"/>
        <v/>
      </c>
      <c r="S39" s="185" t="e">
        <f t="shared" ca="1" si="4"/>
        <v>#N/A</v>
      </c>
      <c r="T39" s="186" t="str">
        <f t="shared" ca="1" si="5"/>
        <v/>
      </c>
      <c r="U39" s="194" t="str">
        <f t="shared" ca="1" si="6"/>
        <v/>
      </c>
      <c r="V39" s="197" t="str">
        <f t="shared" ca="1" si="15"/>
        <v/>
      </c>
    </row>
    <row r="40" spans="1:22" ht="12.6" customHeight="1">
      <c r="A40" s="189">
        <f t="shared" ca="1" si="18"/>
        <v>42328</v>
      </c>
      <c r="B40" s="285"/>
      <c r="C40" s="286"/>
      <c r="D40" s="273"/>
      <c r="E40" s="274"/>
      <c r="F40" s="206"/>
      <c r="G40" s="110" t="str">
        <f t="shared" ca="1" si="8"/>
        <v>0,00</v>
      </c>
      <c r="H40" s="111" t="str">
        <f t="shared" ca="1" si="9"/>
        <v/>
      </c>
      <c r="I40" s="112">
        <f t="shared" ca="1" si="10"/>
        <v>0</v>
      </c>
      <c r="J40" s="157" t="str">
        <f t="shared" ca="1" si="16"/>
        <v/>
      </c>
      <c r="K40" s="275" t="str">
        <f t="shared" ca="1" si="17"/>
        <v>--------</v>
      </c>
      <c r="L40" s="276"/>
      <c r="M40" s="93">
        <f t="shared" ca="1" si="11"/>
        <v>47</v>
      </c>
      <c r="N40" s="94">
        <f t="shared" ca="1" si="12"/>
        <v>0</v>
      </c>
      <c r="O40" s="95">
        <f t="shared" ca="1" si="13"/>
        <v>0</v>
      </c>
      <c r="P40" s="120" t="str">
        <f t="shared" ca="1" si="14"/>
        <v/>
      </c>
      <c r="Q40" s="120" t="str">
        <f t="shared" ca="1" si="2"/>
        <v>1</v>
      </c>
      <c r="R40" s="184" t="str">
        <f t="shared" ca="1" si="3"/>
        <v/>
      </c>
      <c r="S40" s="185" t="e">
        <f t="shared" ca="1" si="4"/>
        <v>#N/A</v>
      </c>
      <c r="T40" s="186" t="str">
        <f t="shared" ca="1" si="5"/>
        <v/>
      </c>
      <c r="U40" s="194" t="str">
        <f t="shared" ca="1" si="6"/>
        <v/>
      </c>
      <c r="V40" s="197" t="str">
        <f t="shared" ca="1" si="15"/>
        <v/>
      </c>
    </row>
    <row r="41" spans="1:22" ht="12.6" customHeight="1">
      <c r="A41" s="189">
        <f t="shared" ca="1" si="18"/>
        <v>42329</v>
      </c>
      <c r="B41" s="285"/>
      <c r="C41" s="286"/>
      <c r="D41" s="273"/>
      <c r="E41" s="274"/>
      <c r="F41" s="206"/>
      <c r="G41" s="110" t="str">
        <f t="shared" ca="1" si="8"/>
        <v>0,00</v>
      </c>
      <c r="H41" s="111" t="str">
        <f t="shared" ca="1" si="9"/>
        <v/>
      </c>
      <c r="I41" s="112">
        <f t="shared" ca="1" si="10"/>
        <v>0</v>
      </c>
      <c r="J41" s="157" t="str">
        <f t="shared" ca="1" si="16"/>
        <v/>
      </c>
      <c r="K41" s="275" t="str">
        <f t="shared" ca="1" si="17"/>
        <v>--------</v>
      </c>
      <c r="L41" s="276"/>
      <c r="M41" s="93">
        <f t="shared" ca="1" si="11"/>
        <v>47</v>
      </c>
      <c r="N41" s="94">
        <f t="shared" ca="1" si="12"/>
        <v>0</v>
      </c>
      <c r="O41" s="95">
        <f t="shared" ca="1" si="13"/>
        <v>0</v>
      </c>
      <c r="P41" s="120" t="str">
        <f t="shared" ca="1" si="14"/>
        <v/>
      </c>
      <c r="Q41" s="120" t="str">
        <f t="shared" ca="1" si="2"/>
        <v>1</v>
      </c>
      <c r="R41" s="184" t="str">
        <f t="shared" ca="1" si="3"/>
        <v/>
      </c>
      <c r="S41" s="185" t="e">
        <f t="shared" ca="1" si="4"/>
        <v>#N/A</v>
      </c>
      <c r="T41" s="186" t="str">
        <f t="shared" ca="1" si="5"/>
        <v/>
      </c>
      <c r="U41" s="194" t="str">
        <f t="shared" ca="1" si="6"/>
        <v/>
      </c>
      <c r="V41" s="197" t="str">
        <f t="shared" ca="1" si="15"/>
        <v/>
      </c>
    </row>
    <row r="42" spans="1:22" ht="12.6" customHeight="1">
      <c r="A42" s="189">
        <f t="shared" ca="1" si="18"/>
        <v>42330</v>
      </c>
      <c r="B42" s="285"/>
      <c r="C42" s="286"/>
      <c r="D42" s="273"/>
      <c r="E42" s="274"/>
      <c r="F42" s="206"/>
      <c r="G42" s="110" t="str">
        <f t="shared" ca="1" si="8"/>
        <v>0,00</v>
      </c>
      <c r="H42" s="111" t="str">
        <f t="shared" ca="1" si="9"/>
        <v/>
      </c>
      <c r="I42" s="112">
        <f t="shared" ca="1" si="10"/>
        <v>0</v>
      </c>
      <c r="J42" s="157" t="str">
        <f t="shared" ca="1" si="16"/>
        <v/>
      </c>
      <c r="K42" s="275" t="str">
        <f t="shared" ca="1" si="17"/>
        <v>--------</v>
      </c>
      <c r="L42" s="276"/>
      <c r="M42" s="93">
        <f t="shared" ca="1" si="11"/>
        <v>47</v>
      </c>
      <c r="N42" s="94">
        <f t="shared" ca="1" si="12"/>
        <v>0</v>
      </c>
      <c r="O42" s="95">
        <f t="shared" ca="1" si="13"/>
        <v>0</v>
      </c>
      <c r="P42" s="120" t="str">
        <f t="shared" ca="1" si="14"/>
        <v/>
      </c>
      <c r="Q42" s="120" t="str">
        <f t="shared" ca="1" si="2"/>
        <v>1</v>
      </c>
      <c r="R42" s="184" t="str">
        <f t="shared" ca="1" si="3"/>
        <v/>
      </c>
      <c r="S42" s="185" t="e">
        <f t="shared" ca="1" si="4"/>
        <v>#N/A</v>
      </c>
      <c r="T42" s="186" t="str">
        <f t="shared" ca="1" si="5"/>
        <v/>
      </c>
      <c r="U42" s="194" t="str">
        <f t="shared" ca="1" si="6"/>
        <v/>
      </c>
      <c r="V42" s="197" t="str">
        <f t="shared" ca="1" si="15"/>
        <v/>
      </c>
    </row>
    <row r="43" spans="1:22" ht="12.6" customHeight="1">
      <c r="A43" s="189">
        <f t="shared" ca="1" si="18"/>
        <v>42331</v>
      </c>
      <c r="B43" s="285"/>
      <c r="C43" s="286"/>
      <c r="D43" s="273"/>
      <c r="E43" s="274"/>
      <c r="F43" s="205"/>
      <c r="G43" s="110" t="str">
        <f t="shared" ca="1" si="8"/>
        <v>0,00</v>
      </c>
      <c r="H43" s="111">
        <f t="shared" ca="1" si="9"/>
        <v>0</v>
      </c>
      <c r="I43" s="112">
        <f t="shared" ca="1" si="10"/>
        <v>0</v>
      </c>
      <c r="J43" s="157" t="str">
        <f t="shared" ca="1" si="16"/>
        <v/>
      </c>
      <c r="K43" s="275" t="str">
        <f t="shared" ca="1" si="17"/>
        <v>--------</v>
      </c>
      <c r="L43" s="276"/>
      <c r="M43" s="93">
        <f t="shared" ca="1" si="11"/>
        <v>47</v>
      </c>
      <c r="N43" s="94">
        <f t="shared" ca="1" si="12"/>
        <v>0</v>
      </c>
      <c r="O43" s="95">
        <f t="shared" ca="1" si="13"/>
        <v>0</v>
      </c>
      <c r="P43" s="120" t="str">
        <f t="shared" ca="1" si="14"/>
        <v/>
      </c>
      <c r="Q43" s="120" t="str">
        <f t="shared" ca="1" si="2"/>
        <v>1</v>
      </c>
      <c r="R43" s="184" t="str">
        <f t="shared" ca="1" si="3"/>
        <v/>
      </c>
      <c r="S43" s="185" t="e">
        <f ca="1">VLOOKUP(A43,$Q$77:$S$92,2,FALSE)</f>
        <v>#N/A</v>
      </c>
      <c r="T43" s="186" t="str">
        <f t="shared" ca="1" si="5"/>
        <v/>
      </c>
      <c r="U43" s="194" t="str">
        <f t="shared" ca="1" si="6"/>
        <v/>
      </c>
      <c r="V43" s="197" t="str">
        <f t="shared" ca="1" si="15"/>
        <v/>
      </c>
    </row>
    <row r="44" spans="1:22" ht="12.6" customHeight="1">
      <c r="A44" s="189">
        <f t="shared" ca="1" si="18"/>
        <v>42332</v>
      </c>
      <c r="B44" s="285"/>
      <c r="C44" s="286"/>
      <c r="D44" s="273"/>
      <c r="E44" s="274"/>
      <c r="F44" s="205"/>
      <c r="G44" s="110" t="str">
        <f t="shared" ca="1" si="8"/>
        <v>0,00</v>
      </c>
      <c r="H44" s="111" t="str">
        <f t="shared" ca="1" si="9"/>
        <v/>
      </c>
      <c r="I44" s="112">
        <f t="shared" ca="1" si="10"/>
        <v>0</v>
      </c>
      <c r="J44" s="157" t="str">
        <f t="shared" ca="1" si="16"/>
        <v/>
      </c>
      <c r="K44" s="275" t="str">
        <f t="shared" ca="1" si="17"/>
        <v>--------</v>
      </c>
      <c r="L44" s="276"/>
      <c r="M44" s="93">
        <f t="shared" ca="1" si="11"/>
        <v>48</v>
      </c>
      <c r="N44" s="94">
        <f t="shared" ca="1" si="12"/>
        <v>0</v>
      </c>
      <c r="O44" s="95">
        <f t="shared" ca="1" si="13"/>
        <v>0</v>
      </c>
      <c r="P44" s="120" t="str">
        <f t="shared" ca="1" si="14"/>
        <v/>
      </c>
      <c r="Q44" s="120" t="str">
        <f t="shared" ca="1" si="2"/>
        <v>1</v>
      </c>
      <c r="R44" s="184" t="str">
        <f t="shared" ca="1" si="3"/>
        <v/>
      </c>
      <c r="S44" s="185" t="e">
        <f t="shared" ca="1" si="4"/>
        <v>#N/A</v>
      </c>
      <c r="T44" s="186" t="str">
        <f t="shared" ca="1" si="5"/>
        <v/>
      </c>
      <c r="U44" s="194" t="str">
        <f t="shared" ca="1" si="6"/>
        <v/>
      </c>
      <c r="V44" s="197" t="str">
        <f t="shared" ca="1" si="15"/>
        <v/>
      </c>
    </row>
    <row r="45" spans="1:22" ht="12.6" customHeight="1">
      <c r="A45" s="189">
        <f t="shared" ca="1" si="18"/>
        <v>42333</v>
      </c>
      <c r="B45" s="308"/>
      <c r="C45" s="309"/>
      <c r="D45" s="308"/>
      <c r="E45" s="309"/>
      <c r="F45" s="206"/>
      <c r="G45" s="110" t="str">
        <f t="shared" ca="1" si="8"/>
        <v>0,00</v>
      </c>
      <c r="H45" s="111" t="str">
        <f t="shared" ca="1" si="9"/>
        <v/>
      </c>
      <c r="I45" s="112">
        <f t="shared" ca="1" si="10"/>
        <v>0</v>
      </c>
      <c r="J45" s="157" t="str">
        <f t="shared" ca="1" si="16"/>
        <v/>
      </c>
      <c r="K45" s="275" t="str">
        <f t="shared" ca="1" si="17"/>
        <v>--------</v>
      </c>
      <c r="L45" s="276"/>
      <c r="M45" s="93">
        <f t="shared" ca="1" si="11"/>
        <v>48</v>
      </c>
      <c r="N45" s="94">
        <f t="shared" ca="1" si="12"/>
        <v>0</v>
      </c>
      <c r="O45" s="95">
        <f t="shared" ca="1" si="13"/>
        <v>0</v>
      </c>
      <c r="P45" s="120" t="str">
        <f t="shared" ca="1" si="14"/>
        <v/>
      </c>
      <c r="Q45" s="120" t="str">
        <f t="shared" ca="1" si="2"/>
        <v>1</v>
      </c>
      <c r="R45" s="184" t="str">
        <f t="shared" ca="1" si="3"/>
        <v/>
      </c>
      <c r="S45" s="185" t="e">
        <f t="shared" ca="1" si="4"/>
        <v>#N/A</v>
      </c>
      <c r="T45" s="186" t="str">
        <f t="shared" ca="1" si="5"/>
        <v/>
      </c>
      <c r="U45" s="194" t="str">
        <f t="shared" ca="1" si="6"/>
        <v/>
      </c>
      <c r="V45" s="197" t="str">
        <f t="shared" ca="1" si="15"/>
        <v/>
      </c>
    </row>
    <row r="46" spans="1:22" ht="12.6" customHeight="1">
      <c r="A46" s="189">
        <f t="shared" ca="1" si="18"/>
        <v>42334</v>
      </c>
      <c r="B46" s="308"/>
      <c r="C46" s="309"/>
      <c r="D46" s="313"/>
      <c r="E46" s="314"/>
      <c r="F46" s="206"/>
      <c r="G46" s="110" t="str">
        <f t="shared" ca="1" si="8"/>
        <v>0,00</v>
      </c>
      <c r="H46" s="111" t="str">
        <f t="shared" ca="1" si="9"/>
        <v/>
      </c>
      <c r="I46" s="112">
        <f t="shared" ca="1" si="10"/>
        <v>0</v>
      </c>
      <c r="J46" s="157" t="str">
        <f t="shared" ca="1" si="16"/>
        <v/>
      </c>
      <c r="K46" s="275" t="str">
        <f t="shared" ca="1" si="17"/>
        <v>--------</v>
      </c>
      <c r="L46" s="276"/>
      <c r="M46" s="93">
        <f t="shared" ca="1" si="11"/>
        <v>48</v>
      </c>
      <c r="N46" s="94">
        <f t="shared" ca="1" si="12"/>
        <v>0</v>
      </c>
      <c r="O46" s="95">
        <f t="shared" ca="1" si="13"/>
        <v>0</v>
      </c>
      <c r="P46" s="120" t="str">
        <f t="shared" ca="1" si="14"/>
        <v/>
      </c>
      <c r="Q46" s="120" t="str">
        <f t="shared" ca="1" si="2"/>
        <v>1</v>
      </c>
      <c r="R46" s="184" t="str">
        <f t="shared" ca="1" si="3"/>
        <v/>
      </c>
      <c r="S46" s="185" t="e">
        <f t="shared" ca="1" si="4"/>
        <v>#N/A</v>
      </c>
      <c r="T46" s="186" t="str">
        <f t="shared" ca="1" si="5"/>
        <v/>
      </c>
      <c r="U46" s="194" t="str">
        <f t="shared" ca="1" si="6"/>
        <v/>
      </c>
      <c r="V46" s="197" t="str">
        <f t="shared" ca="1" si="15"/>
        <v/>
      </c>
    </row>
    <row r="47" spans="1:22" ht="12.6" customHeight="1">
      <c r="A47" s="189">
        <f t="shared" ca="1" si="18"/>
        <v>42335</v>
      </c>
      <c r="B47" s="308"/>
      <c r="C47" s="309"/>
      <c r="D47" s="308"/>
      <c r="E47" s="309"/>
      <c r="F47" s="206"/>
      <c r="G47" s="110" t="str">
        <f t="shared" ca="1" si="8"/>
        <v>0,00</v>
      </c>
      <c r="H47" s="111" t="str">
        <f t="shared" ca="1" si="9"/>
        <v/>
      </c>
      <c r="I47" s="112">
        <f t="shared" ca="1" si="10"/>
        <v>0</v>
      </c>
      <c r="J47" s="157" t="str">
        <f t="shared" ca="1" si="16"/>
        <v/>
      </c>
      <c r="K47" s="275" t="str">
        <f t="shared" ca="1" si="17"/>
        <v>--------</v>
      </c>
      <c r="L47" s="276"/>
      <c r="M47" s="93">
        <f t="shared" ca="1" si="11"/>
        <v>48</v>
      </c>
      <c r="N47" s="94">
        <f t="shared" ca="1" si="12"/>
        <v>0</v>
      </c>
      <c r="O47" s="95">
        <f t="shared" ca="1" si="13"/>
        <v>0</v>
      </c>
      <c r="P47" s="120" t="str">
        <f t="shared" ca="1" si="14"/>
        <v/>
      </c>
      <c r="Q47" s="120" t="str">
        <f t="shared" ca="1" si="2"/>
        <v>1</v>
      </c>
      <c r="R47" s="184" t="str">
        <f t="shared" ca="1" si="3"/>
        <v/>
      </c>
      <c r="S47" s="185" t="e">
        <f t="shared" ca="1" si="4"/>
        <v>#N/A</v>
      </c>
      <c r="T47" s="186" t="str">
        <f t="shared" ca="1" si="5"/>
        <v/>
      </c>
      <c r="U47" s="194" t="str">
        <f t="shared" ca="1" si="6"/>
        <v/>
      </c>
      <c r="V47" s="197" t="str">
        <f t="shared" ca="1" si="15"/>
        <v/>
      </c>
    </row>
    <row r="48" spans="1:22" ht="12.6" customHeight="1">
      <c r="A48" s="189">
        <f t="shared" ca="1" si="18"/>
        <v>42336</v>
      </c>
      <c r="B48" s="285"/>
      <c r="C48" s="286"/>
      <c r="D48" s="273"/>
      <c r="E48" s="274"/>
      <c r="F48" s="206"/>
      <c r="G48" s="110" t="str">
        <f t="shared" ca="1" si="8"/>
        <v>0,00</v>
      </c>
      <c r="H48" s="111" t="str">
        <f t="shared" ca="1" si="9"/>
        <v/>
      </c>
      <c r="I48" s="112">
        <f t="shared" ca="1" si="10"/>
        <v>0</v>
      </c>
      <c r="J48" s="157" t="str">
        <f t="shared" ca="1" si="16"/>
        <v/>
      </c>
      <c r="K48" s="275" t="str">
        <f t="shared" ca="1" si="17"/>
        <v>--------</v>
      </c>
      <c r="L48" s="276"/>
      <c r="M48" s="93">
        <f t="shared" ca="1" si="11"/>
        <v>48</v>
      </c>
      <c r="N48" s="94">
        <f t="shared" ca="1" si="12"/>
        <v>0</v>
      </c>
      <c r="O48" s="95">
        <f t="shared" ca="1" si="13"/>
        <v>0</v>
      </c>
      <c r="P48" s="120" t="str">
        <f t="shared" ca="1" si="14"/>
        <v/>
      </c>
      <c r="Q48" s="120" t="str">
        <f t="shared" ca="1" si="2"/>
        <v>1</v>
      </c>
      <c r="R48" s="184" t="str">
        <f t="shared" ca="1" si="3"/>
        <v/>
      </c>
      <c r="S48" s="185" t="e">
        <f t="shared" ca="1" si="4"/>
        <v>#N/A</v>
      </c>
      <c r="T48" s="186" t="str">
        <f t="shared" ca="1" si="5"/>
        <v/>
      </c>
      <c r="U48" s="194" t="str">
        <f t="shared" ca="1" si="6"/>
        <v/>
      </c>
      <c r="V48" s="197" t="str">
        <f t="shared" ca="1" si="15"/>
        <v/>
      </c>
    </row>
    <row r="49" spans="1:22" ht="12.6" customHeight="1">
      <c r="A49" s="189">
        <f t="shared" ca="1" si="18"/>
        <v>42337</v>
      </c>
      <c r="B49" s="285"/>
      <c r="C49" s="286"/>
      <c r="D49" s="273"/>
      <c r="E49" s="274"/>
      <c r="F49" s="206"/>
      <c r="G49" s="110" t="str">
        <f t="shared" ca="1" si="8"/>
        <v>0,00</v>
      </c>
      <c r="H49" s="111" t="str">
        <f t="shared" ca="1" si="9"/>
        <v/>
      </c>
      <c r="I49" s="112">
        <f t="shared" ca="1" si="10"/>
        <v>0</v>
      </c>
      <c r="J49" s="157" t="str">
        <f t="shared" ca="1" si="16"/>
        <v/>
      </c>
      <c r="K49" s="275" t="str">
        <f t="shared" ca="1" si="17"/>
        <v>--------</v>
      </c>
      <c r="L49" s="276"/>
      <c r="M49" s="93">
        <f t="shared" ca="1" si="11"/>
        <v>48</v>
      </c>
      <c r="N49" s="94">
        <f t="shared" ca="1" si="12"/>
        <v>0</v>
      </c>
      <c r="O49" s="95">
        <f t="shared" ca="1" si="13"/>
        <v>0</v>
      </c>
      <c r="P49" s="120" t="str">
        <f t="shared" ca="1" si="14"/>
        <v/>
      </c>
      <c r="Q49" s="120" t="str">
        <f t="shared" ca="1" si="2"/>
        <v>1</v>
      </c>
      <c r="R49" s="184" t="str">
        <f t="shared" ca="1" si="3"/>
        <v/>
      </c>
      <c r="S49" s="185" t="e">
        <f t="shared" ca="1" si="4"/>
        <v>#N/A</v>
      </c>
      <c r="T49" s="186" t="str">
        <f t="shared" ca="1" si="5"/>
        <v/>
      </c>
      <c r="U49" s="194" t="str">
        <f t="shared" ca="1" si="6"/>
        <v/>
      </c>
      <c r="V49" s="197" t="str">
        <f t="shared" ca="1" si="15"/>
        <v/>
      </c>
    </row>
    <row r="50" spans="1:22" ht="12.6" customHeight="1" thickBot="1">
      <c r="A50" s="191">
        <f t="shared" ca="1" si="18"/>
        <v>0</v>
      </c>
      <c r="B50" s="293"/>
      <c r="C50" s="294"/>
      <c r="D50" s="295"/>
      <c r="E50" s="296"/>
      <c r="F50" s="204"/>
      <c r="G50" s="135" t="str">
        <f ca="1">IF(OR(A50&lt;$C$14,A50&gt;$F$14,A50&gt;TODAY()),"0,00",IF(ISBLANK($C$14),"0,00",(D50-B50-F50)))</f>
        <v>0,00</v>
      </c>
      <c r="H50" s="136" t="str">
        <f t="shared" ca="1" si="9"/>
        <v/>
      </c>
      <c r="I50" s="137">
        <f t="shared" ca="1" si="10"/>
        <v>0</v>
      </c>
      <c r="J50" s="158" t="str">
        <f t="shared" ca="1" si="16"/>
        <v/>
      </c>
      <c r="K50" s="318" t="str">
        <f t="shared" ca="1" si="17"/>
        <v>--------</v>
      </c>
      <c r="L50" s="296"/>
      <c r="M50" s="93" t="str">
        <f ca="1">IF(A50&gt;DATE(1904,1,1),WEEKNUM(A50,2),"")</f>
        <v/>
      </c>
      <c r="N50" s="94">
        <f t="shared" ca="1" si="12"/>
        <v>0</v>
      </c>
      <c r="O50" s="95">
        <f t="shared" ca="1" si="13"/>
        <v>0</v>
      </c>
      <c r="P50" s="120" t="str">
        <f t="shared" ca="1" si="14"/>
        <v/>
      </c>
      <c r="Q50" s="120" t="str">
        <f t="shared" ca="1" si="2"/>
        <v/>
      </c>
      <c r="R50" s="184" t="str">
        <f t="shared" ca="1" si="3"/>
        <v/>
      </c>
      <c r="S50" s="185" t="e">
        <f t="shared" ca="1" si="4"/>
        <v>#N/A</v>
      </c>
      <c r="T50" s="186" t="str">
        <f ca="1">IF(ISNA(S50),"",S50)</f>
        <v/>
      </c>
      <c r="U50" s="195" t="str">
        <f t="shared" ca="1" si="6"/>
        <v/>
      </c>
      <c r="V50" s="197" t="str">
        <f t="shared" ca="1" si="15"/>
        <v/>
      </c>
    </row>
    <row r="51" spans="1:22" ht="11.25" customHeight="1">
      <c r="A51" s="19"/>
      <c r="B51" s="43"/>
      <c r="C51" s="43"/>
      <c r="D51" s="43"/>
      <c r="E51" s="20"/>
      <c r="I51" s="42"/>
      <c r="K51" s="21"/>
      <c r="L51" s="11"/>
      <c r="M51" s="143"/>
      <c r="N51" s="230"/>
      <c r="O51" s="59"/>
      <c r="S51" s="183"/>
      <c r="V51" s="198">
        <f ca="1">COUNTIF(V20:V50,"!")</f>
        <v>0</v>
      </c>
    </row>
    <row r="52" spans="1:22" ht="14.1" customHeight="1">
      <c r="D52" s="104"/>
      <c r="E52" s="22"/>
      <c r="F52" s="140" t="s">
        <v>29</v>
      </c>
      <c r="G52" s="141">
        <f ca="1">IF($G$16="Sie haben Ihr Arbeitszeitkonto überschritten, bitte erstellen Sie ein neues Konto","",SUM($G$20:$G$50))</f>
        <v>0</v>
      </c>
      <c r="H52" s="130" t="s">
        <v>30</v>
      </c>
      <c r="J52" s="142">
        <f ca="1">IF($G$16="Sie haben Ihr Arbeitszeitkonto überschritten, bitte erstellen Sie ein neues Konto","",IF(ISNA($H$56),0,IF($H$56&gt;$D$53,($D$53+$D$54),($H$56+$D$54))))</f>
        <v>0</v>
      </c>
      <c r="K52" s="290" t="str">
        <f ca="1">IF(ISNA($E$56),"",IF($E$56&gt;$D$53,"Kappung erfolgt",""))</f>
        <v/>
      </c>
      <c r="L52" s="290"/>
      <c r="M52" s="143"/>
      <c r="N52" s="230">
        <f ca="1">SUM(N20:N50)</f>
        <v>0</v>
      </c>
      <c r="O52" s="59"/>
    </row>
    <row r="53" spans="1:22">
      <c r="A53" s="100" t="s">
        <v>26</v>
      </c>
      <c r="B53" s="100"/>
      <c r="C53" s="100"/>
      <c r="D53" s="101">
        <f ca="1">$N$52*0.5</f>
        <v>0</v>
      </c>
      <c r="E53" s="23"/>
      <c r="F53" s="23"/>
      <c r="G53" s="24"/>
      <c r="H53" s="2"/>
      <c r="I53" s="2"/>
      <c r="K53" s="127"/>
      <c r="L53" s="127"/>
      <c r="M53" s="143"/>
      <c r="N53" s="38">
        <f ca="1">SUM(N20:N50)</f>
        <v>0</v>
      </c>
      <c r="O53" s="60"/>
    </row>
    <row r="54" spans="1:22">
      <c r="A54" s="215" t="s">
        <v>25</v>
      </c>
      <c r="B54" s="215"/>
      <c r="C54" s="215"/>
      <c r="D54" s="102">
        <f ca="1">$M$16</f>
        <v>0</v>
      </c>
      <c r="F54" s="106"/>
      <c r="G54" s="106"/>
      <c r="H54" s="299" t="str">
        <f ca="1">IF($K$52="Kappung erfolgt","INFO: (Gekappte Std.: "&amp;$J$56,"")</f>
        <v/>
      </c>
      <c r="I54" s="299"/>
      <c r="J54" s="299"/>
      <c r="K54" s="127" t="str">
        <f ca="1">IF($K$52="Kappung erfolgt","von insg. "&amp;$L$56&amp;" Mehrstunden)","")</f>
        <v/>
      </c>
      <c r="L54" s="131"/>
      <c r="M54" s="143"/>
      <c r="N54" s="28">
        <f>IF($A$55="Wg.Unterbrechung  keine Stundenübernahme möglich! Bitte Angaben prüfen","1",0)</f>
        <v>0</v>
      </c>
      <c r="P54" s="164"/>
      <c r="Q54" s="164"/>
      <c r="R54" s="164"/>
      <c r="S54" s="164"/>
      <c r="T54" s="164"/>
      <c r="U54" s="164"/>
      <c r="V54" s="164"/>
    </row>
    <row r="55" spans="1:22">
      <c r="A55" s="319" t="str">
        <f>IF($H$14="Achtung! Stundennachweis unterbrochen","Wg.Unterbrechung  keine Stundenübernahme möglich! Bitte Angaben prüfen","")</f>
        <v/>
      </c>
      <c r="B55" s="319"/>
      <c r="C55" s="319"/>
      <c r="D55" s="319"/>
      <c r="E55" s="319"/>
      <c r="F55" s="319"/>
      <c r="G55" s="2"/>
      <c r="M55" s="143"/>
      <c r="N55" s="123" t="str">
        <f>IF($N$54&gt;0,($D$54*-1),"0:00")</f>
        <v>0:00</v>
      </c>
      <c r="O55" s="239" t="str">
        <f ca="1">IF(O50="",0,"")</f>
        <v/>
      </c>
    </row>
    <row r="56" spans="1:22" hidden="1">
      <c r="E56" s="232">
        <f>+H56-F56</f>
        <v>-6.9444444444444447E-4</v>
      </c>
      <c r="F56" s="60">
        <v>6.9444444444444447E-4</v>
      </c>
      <c r="G56" s="124">
        <f ca="1">+$H$56+$D$54</f>
        <v>0</v>
      </c>
      <c r="H56" s="38">
        <f>IF($C$14&gt;DATE(1904,1,1),LOOKUP(10000000,O19:O99),0)</f>
        <v>0</v>
      </c>
      <c r="I56" s="60">
        <f ca="1">+($H$56+$N$16)-J52</f>
        <v>0</v>
      </c>
      <c r="J56" s="233">
        <f ca="1">ROUND(I56*24,2)</f>
        <v>0</v>
      </c>
      <c r="K56">
        <f ca="1">($H$56+$N$16)*24</f>
        <v>0</v>
      </c>
      <c r="L56">
        <f ca="1">ROUND(K56,1)</f>
        <v>0</v>
      </c>
      <c r="M56" s="143"/>
      <c r="N56" s="28"/>
    </row>
    <row r="57" spans="1:22">
      <c r="A57" s="322" t="str">
        <f ca="1">IF(V51&gt;0,"Achtung! Bitte bei den blau markierten Feldern die Regelstunden eintragen.","")</f>
        <v/>
      </c>
      <c r="B57" s="322"/>
      <c r="C57" s="322"/>
      <c r="D57" s="322"/>
      <c r="E57" s="322"/>
      <c r="F57" s="322"/>
      <c r="G57" s="199"/>
      <c r="H57">
        <f>IF($C$14&gt;DATE(1904,1,1),LOOKUP(10000000,O19:O52),0)</f>
        <v>0</v>
      </c>
      <c r="M57" s="143"/>
      <c r="N57" s="28"/>
      <c r="Q57" s="251" t="s">
        <v>32</v>
      </c>
      <c r="R57" s="251"/>
      <c r="S57" s="251"/>
      <c r="T57" s="251"/>
    </row>
    <row r="58" spans="1:22">
      <c r="A58" s="25"/>
      <c r="B58" s="25"/>
      <c r="C58" s="38"/>
      <c r="D58" s="26"/>
      <c r="E58" s="27"/>
      <c r="F58" s="144"/>
      <c r="G58" s="2"/>
      <c r="H58" s="38"/>
      <c r="J58" s="132"/>
      <c r="M58" s="219"/>
      <c r="N58" s="219"/>
      <c r="O58" s="219"/>
      <c r="Q58" s="250">
        <f>+F14-C14</f>
        <v>0</v>
      </c>
      <c r="R58" s="250"/>
    </row>
    <row r="59" spans="1:22">
      <c r="A59" s="25"/>
      <c r="B59" s="25"/>
      <c r="C59" s="38"/>
      <c r="D59" s="26"/>
      <c r="E59" s="27"/>
      <c r="F59" s="144"/>
      <c r="G59" s="2"/>
      <c r="H59" s="145"/>
      <c r="M59" s="143"/>
      <c r="N59" s="28"/>
      <c r="Q59" s="252" t="s">
        <v>33</v>
      </c>
      <c r="R59" s="252"/>
      <c r="S59" s="252"/>
      <c r="T59" s="252"/>
      <c r="U59" s="252"/>
      <c r="V59" s="252"/>
    </row>
    <row r="60" spans="1:22" ht="12.75" customHeight="1">
      <c r="A60" s="29"/>
      <c r="B60" s="11"/>
      <c r="C60" s="11"/>
      <c r="D60" s="11"/>
      <c r="E60" s="11"/>
      <c r="F60" s="11"/>
      <c r="G60" s="11"/>
      <c r="H60" s="30"/>
      <c r="I60" s="30"/>
      <c r="J60" s="31"/>
      <c r="K60" s="31"/>
      <c r="L60" s="31"/>
      <c r="M60" s="143"/>
      <c r="N60" s="28"/>
    </row>
    <row r="61" spans="1:22" ht="12.75" customHeight="1">
      <c r="A61" s="226"/>
      <c r="B61" s="34"/>
      <c r="C61" s="34"/>
      <c r="D61" s="34"/>
      <c r="E61" s="34"/>
      <c r="F61" s="11"/>
      <c r="G61" s="11"/>
      <c r="H61" s="34"/>
      <c r="I61" s="34"/>
      <c r="J61" s="35"/>
      <c r="K61" s="35"/>
      <c r="L61" s="35"/>
    </row>
    <row r="62" spans="1:22" ht="18.75" customHeight="1" thickBot="1">
      <c r="A62" s="203" t="s">
        <v>18</v>
      </c>
      <c r="B62" s="292" t="s">
        <v>19</v>
      </c>
      <c r="C62" s="292"/>
      <c r="D62" s="292"/>
      <c r="E62" s="292"/>
      <c r="F62" s="3"/>
      <c r="G62" s="36" t="s">
        <v>18</v>
      </c>
      <c r="H62" s="292" t="s">
        <v>20</v>
      </c>
      <c r="I62" s="292"/>
      <c r="J62" s="292"/>
      <c r="K62" s="292"/>
      <c r="L62" s="292"/>
    </row>
    <row r="63" spans="1:22" ht="17.25" thickTop="1" thickBot="1">
      <c r="P63" s="160">
        <f ca="1">YEAR($B$17)</f>
        <v>2019</v>
      </c>
      <c r="Q63" s="3"/>
    </row>
    <row r="64" spans="1:22" ht="15.75" thickTop="1">
      <c r="O64" s="218"/>
      <c r="Q64" s="3">
        <f ca="1">MOD(P63,19)</f>
        <v>5</v>
      </c>
      <c r="R64" s="287" t="s">
        <v>34</v>
      </c>
      <c r="S64" s="287"/>
      <c r="T64" s="231"/>
    </row>
    <row r="65" spans="16:20">
      <c r="P65" s="3"/>
      <c r="Q65" s="3">
        <f ca="1">MOD(P63,4)</f>
        <v>3</v>
      </c>
    </row>
    <row r="66" spans="16:20">
      <c r="P66" s="3"/>
      <c r="Q66" s="3">
        <f ca="1">MOD(P63,7)</f>
        <v>3</v>
      </c>
    </row>
    <row r="67" spans="16:20">
      <c r="P67" s="3"/>
      <c r="Q67" s="3">
        <f ca="1">TRUNC((8*(TRUNC(P63/100))+13)/25)-2</f>
        <v>4</v>
      </c>
    </row>
    <row r="68" spans="16:20">
      <c r="P68" s="3"/>
      <c r="Q68" s="3">
        <f ca="1">TRUNC(P63/100)-TRUNC(P63/400)-2</f>
        <v>13</v>
      </c>
    </row>
    <row r="69" spans="16:20">
      <c r="P69" s="3"/>
      <c r="Q69" s="3">
        <f ca="1">MOD(15+Q68-Q67,30)</f>
        <v>24</v>
      </c>
    </row>
    <row r="70" spans="16:20">
      <c r="P70" s="161"/>
      <c r="Q70" s="3">
        <f ca="1">MOD(6+Q68,7)</f>
        <v>5</v>
      </c>
    </row>
    <row r="71" spans="16:20">
      <c r="P71" s="3"/>
      <c r="Q71" s="3">
        <f ca="1">MOD(Q69+19*Q64,30)</f>
        <v>29</v>
      </c>
    </row>
    <row r="72" spans="16:20">
      <c r="P72" s="3"/>
      <c r="Q72" s="3">
        <f ca="1">IF(Q71=29,28,IF(AND(Q71=28,Q64&gt;=11),27,IF(AND(Q71&lt;28,Q71&gt;29),,Q71)))</f>
        <v>28</v>
      </c>
    </row>
    <row r="73" spans="16:20">
      <c r="P73" s="3"/>
      <c r="Q73" s="3">
        <f ca="1">MOD(2*Q65+4*Q66+6*Q72+Q70,7)</f>
        <v>2</v>
      </c>
    </row>
    <row r="74" spans="16:20">
      <c r="P74" s="3"/>
      <c r="Q74" s="3">
        <f ca="1">Q72+Q73+1</f>
        <v>31</v>
      </c>
    </row>
    <row r="75" spans="16:20">
      <c r="P75" s="3"/>
      <c r="Q75" s="3">
        <f>DATEVALUE("21.märz")</f>
        <v>40988</v>
      </c>
    </row>
    <row r="77" spans="16:20">
      <c r="P77" s="183"/>
      <c r="Q77" s="228">
        <f ca="1">+T77</f>
        <v>42004</v>
      </c>
      <c r="R77" s="30" t="s">
        <v>35</v>
      </c>
      <c r="T77" s="229">
        <f ca="1">DATE($P$63,1,1)</f>
        <v>42004</v>
      </c>
    </row>
    <row r="78" spans="16:20">
      <c r="P78" s="2"/>
      <c r="Q78" s="220">
        <f ca="1">+$Q$80-2</f>
        <v>42112</v>
      </c>
      <c r="R78" s="30" t="s">
        <v>36</v>
      </c>
      <c r="S78" s="221"/>
      <c r="T78" s="2"/>
    </row>
    <row r="79" spans="16:20">
      <c r="P79" s="2"/>
      <c r="Q79" s="220">
        <f ca="1">+Q80-1</f>
        <v>42113</v>
      </c>
      <c r="R79" s="30" t="s">
        <v>37</v>
      </c>
      <c r="S79" s="221"/>
      <c r="T79" s="2"/>
    </row>
    <row r="80" spans="16:20">
      <c r="P80" s="222">
        <f ca="1">IF(R80="Ostersonntag",Q74+Q75,"")</f>
        <v>41019</v>
      </c>
      <c r="Q80" s="220">
        <f ca="1">T80</f>
        <v>42114</v>
      </c>
      <c r="R80" s="181" t="str">
        <f ca="1">IF(P63&lt;1583,"Der gregorianische Kalender gilt erst seit dem 15.10.1582  !!!",IF(P63&gt;8202,"Die gauß´sche Osterformel gilt nur bis zum Jahre    8202  !!!","Ostersonntag"))</f>
        <v>Ostersonntag</v>
      </c>
      <c r="S80">
        <f ca="1">DAY(T81)</f>
        <v>21</v>
      </c>
      <c r="T80" s="146">
        <f ca="1">DATE($P$63,S81,S80)</f>
        <v>42114</v>
      </c>
    </row>
    <row r="81" spans="15:20">
      <c r="P81" s="2"/>
      <c r="Q81" s="220">
        <f ca="1">+Q80+1</f>
        <v>42115</v>
      </c>
      <c r="R81" s="223" t="s">
        <v>38</v>
      </c>
      <c r="S81" s="182">
        <f ca="1">MONTH(P80)</f>
        <v>4</v>
      </c>
      <c r="T81" s="183" t="str">
        <f ca="1">DAY(P80)&amp;"."&amp;MONTH(P80)&amp;"."&amp;YEAR($B$17)</f>
        <v>21.4.2019</v>
      </c>
    </row>
    <row r="82" spans="15:20">
      <c r="O82" s="183"/>
      <c r="P82" s="2"/>
      <c r="Q82" s="220">
        <v>40846</v>
      </c>
      <c r="R82" s="224" t="s">
        <v>50</v>
      </c>
      <c r="S82" s="221"/>
      <c r="T82" s="2"/>
    </row>
    <row r="83" spans="15:20">
      <c r="P83" s="2"/>
      <c r="Q83" s="220">
        <f ca="1">+T83</f>
        <v>42124</v>
      </c>
      <c r="R83" s="224" t="s">
        <v>39</v>
      </c>
      <c r="S83" s="221"/>
      <c r="T83" s="144">
        <f ca="1">DATE($P$63,5,1)</f>
        <v>42124</v>
      </c>
    </row>
    <row r="84" spans="15:20">
      <c r="P84" s="2"/>
      <c r="Q84" s="220">
        <f ca="1">+Q80+39</f>
        <v>42153</v>
      </c>
      <c r="R84" s="224" t="s">
        <v>40</v>
      </c>
      <c r="S84" s="221"/>
      <c r="T84" s="2"/>
    </row>
    <row r="85" spans="15:20">
      <c r="P85" s="2"/>
      <c r="Q85" s="220">
        <f ca="1">+Q80+49</f>
        <v>42163</v>
      </c>
      <c r="R85" s="224" t="s">
        <v>41</v>
      </c>
      <c r="S85" s="221"/>
      <c r="T85" s="2"/>
    </row>
    <row r="86" spans="15:20">
      <c r="P86" s="2"/>
      <c r="Q86" s="220">
        <f ca="1">+Q85+1</f>
        <v>42164</v>
      </c>
      <c r="R86" s="224" t="s">
        <v>42</v>
      </c>
      <c r="S86" s="221"/>
      <c r="T86" s="2"/>
    </row>
    <row r="87" spans="15:20">
      <c r="P87" s="2"/>
      <c r="Q87" s="220">
        <f ca="1">+Q80+60</f>
        <v>42174</v>
      </c>
      <c r="R87" s="224" t="s">
        <v>43</v>
      </c>
      <c r="S87" s="221"/>
      <c r="T87" s="2"/>
    </row>
    <row r="88" spans="15:20">
      <c r="P88" s="2"/>
      <c r="Q88" s="220">
        <f ca="1">+T88</f>
        <v>42279</v>
      </c>
      <c r="R88" s="224" t="s">
        <v>44</v>
      </c>
      <c r="S88" s="221"/>
      <c r="T88" s="144">
        <f ca="1">DATE($P$63,10,3)</f>
        <v>42279</v>
      </c>
    </row>
    <row r="89" spans="15:20">
      <c r="P89" s="2"/>
      <c r="Q89" s="220">
        <f ca="1">+T89</f>
        <v>42361</v>
      </c>
      <c r="R89" s="224" t="s">
        <v>45</v>
      </c>
      <c r="S89" s="221"/>
      <c r="T89" s="144">
        <f ca="1">DATE($P$63,12,24)</f>
        <v>42361</v>
      </c>
    </row>
    <row r="90" spans="15:20">
      <c r="P90" s="2"/>
      <c r="Q90" s="220">
        <f ca="1">+Q89+1</f>
        <v>42362</v>
      </c>
      <c r="R90" s="221" t="s">
        <v>46</v>
      </c>
      <c r="S90" s="221"/>
      <c r="T90" s="2"/>
    </row>
    <row r="91" spans="15:20">
      <c r="P91" s="2"/>
      <c r="Q91" s="220">
        <f ca="1">Q90+1</f>
        <v>42363</v>
      </c>
      <c r="R91" s="224" t="s">
        <v>47</v>
      </c>
      <c r="S91" s="221"/>
      <c r="T91" s="2"/>
    </row>
    <row r="92" spans="15:20">
      <c r="P92" s="2"/>
      <c r="Q92" s="220">
        <f ca="1">+Q91+5</f>
        <v>42368</v>
      </c>
      <c r="R92" s="224" t="s">
        <v>48</v>
      </c>
      <c r="S92" s="221"/>
      <c r="T92" s="2"/>
    </row>
    <row r="93" spans="15:20">
      <c r="P93" s="2"/>
      <c r="Q93" s="220"/>
      <c r="R93" s="224"/>
      <c r="S93" s="221"/>
      <c r="T93" s="2"/>
    </row>
    <row r="94" spans="15:20">
      <c r="P94" s="2"/>
      <c r="Q94" s="220"/>
      <c r="R94" s="224"/>
      <c r="S94" s="221"/>
      <c r="T94" s="2"/>
    </row>
    <row r="95" spans="15:20">
      <c r="P95" s="180"/>
      <c r="Q95" s="180"/>
    </row>
  </sheetData>
  <sheetProtection algorithmName="SHA-512" hashValue="VoiSVPiaeeAZetnkZd7af5SsnCK9vSp+gSpUmpPwC2raPYxGXI1eoUxExHI+B5XODSVrdmdw17auJnR780YFmg==" saltValue="mIHVCvnbsVlShozWr7t/SQ==" spinCount="100000" sheet="1" objects="1" scenarios="1" selectLockedCells="1"/>
  <mergeCells count="137">
    <mergeCell ref="R64:S64"/>
    <mergeCell ref="Q58:R58"/>
    <mergeCell ref="B62:E62"/>
    <mergeCell ref="H62:L62"/>
    <mergeCell ref="B50:C50"/>
    <mergeCell ref="D50:E50"/>
    <mergeCell ref="K50:L50"/>
    <mergeCell ref="K52:L52"/>
    <mergeCell ref="H54:J54"/>
    <mergeCell ref="A57:F57"/>
    <mergeCell ref="A55:F55"/>
    <mergeCell ref="Q57:T57"/>
    <mergeCell ref="Q59:V59"/>
    <mergeCell ref="B48:C48"/>
    <mergeCell ref="D48:E48"/>
    <mergeCell ref="K48:L48"/>
    <mergeCell ref="B49:C49"/>
    <mergeCell ref="D49:E49"/>
    <mergeCell ref="K49:L49"/>
    <mergeCell ref="B46:C46"/>
    <mergeCell ref="D46:E46"/>
    <mergeCell ref="K46:L46"/>
    <mergeCell ref="B47:C47"/>
    <mergeCell ref="D47:E47"/>
    <mergeCell ref="K47:L47"/>
    <mergeCell ref="B44:C44"/>
    <mergeCell ref="D44:E44"/>
    <mergeCell ref="K44:L44"/>
    <mergeCell ref="B45:C45"/>
    <mergeCell ref="D45:E45"/>
    <mergeCell ref="K45:L45"/>
    <mergeCell ref="B42:C42"/>
    <mergeCell ref="D42:E42"/>
    <mergeCell ref="K42:L42"/>
    <mergeCell ref="B43:C43"/>
    <mergeCell ref="D43:E43"/>
    <mergeCell ref="K43:L43"/>
    <mergeCell ref="B40:C40"/>
    <mergeCell ref="D40:E40"/>
    <mergeCell ref="K40:L40"/>
    <mergeCell ref="B41:C41"/>
    <mergeCell ref="D41:E41"/>
    <mergeCell ref="K41:L41"/>
    <mergeCell ref="B38:C38"/>
    <mergeCell ref="D38:E38"/>
    <mergeCell ref="K38:L38"/>
    <mergeCell ref="B39:C39"/>
    <mergeCell ref="D39:E39"/>
    <mergeCell ref="K39:L39"/>
    <mergeCell ref="B36:C36"/>
    <mergeCell ref="D36:E36"/>
    <mergeCell ref="K36:L36"/>
    <mergeCell ref="B37:C37"/>
    <mergeCell ref="D37:E37"/>
    <mergeCell ref="K37:L37"/>
    <mergeCell ref="B34:C34"/>
    <mergeCell ref="D34:E34"/>
    <mergeCell ref="K34:L34"/>
    <mergeCell ref="B35:C35"/>
    <mergeCell ref="D35:E35"/>
    <mergeCell ref="K35:L35"/>
    <mergeCell ref="B32:C32"/>
    <mergeCell ref="D32:E32"/>
    <mergeCell ref="K32:L32"/>
    <mergeCell ref="B33:C33"/>
    <mergeCell ref="D33:E33"/>
    <mergeCell ref="K33:L33"/>
    <mergeCell ref="B30:C30"/>
    <mergeCell ref="D30:E30"/>
    <mergeCell ref="K30:L30"/>
    <mergeCell ref="B31:C31"/>
    <mergeCell ref="D31:E31"/>
    <mergeCell ref="K31:L31"/>
    <mergeCell ref="B28:C28"/>
    <mergeCell ref="D28:E28"/>
    <mergeCell ref="K28:L28"/>
    <mergeCell ref="B29:C29"/>
    <mergeCell ref="D29:E29"/>
    <mergeCell ref="K29:L29"/>
    <mergeCell ref="B26:C26"/>
    <mergeCell ref="D26:E26"/>
    <mergeCell ref="K26:L26"/>
    <mergeCell ref="B27:C27"/>
    <mergeCell ref="D27:E27"/>
    <mergeCell ref="K27:L27"/>
    <mergeCell ref="B24:C24"/>
    <mergeCell ref="D24:E24"/>
    <mergeCell ref="K24:L24"/>
    <mergeCell ref="B25:C25"/>
    <mergeCell ref="D25:E25"/>
    <mergeCell ref="K25:L25"/>
    <mergeCell ref="B22:C22"/>
    <mergeCell ref="D22:E22"/>
    <mergeCell ref="K22:L22"/>
    <mergeCell ref="B23:C23"/>
    <mergeCell ref="D23:E23"/>
    <mergeCell ref="K23:L23"/>
    <mergeCell ref="R19:T19"/>
    <mergeCell ref="B20:C20"/>
    <mergeCell ref="D20:E20"/>
    <mergeCell ref="K20:L20"/>
    <mergeCell ref="B21:C21"/>
    <mergeCell ref="D21:E21"/>
    <mergeCell ref="K21:L21"/>
    <mergeCell ref="A16:F16"/>
    <mergeCell ref="G16:L16"/>
    <mergeCell ref="B17:K17"/>
    <mergeCell ref="B19:C19"/>
    <mergeCell ref="D19:E19"/>
    <mergeCell ref="K19:L19"/>
    <mergeCell ref="A13:B13"/>
    <mergeCell ref="A14:B14"/>
    <mergeCell ref="C14:D14"/>
    <mergeCell ref="H14:L14"/>
    <mergeCell ref="M14:N14"/>
    <mergeCell ref="C15:D15"/>
    <mergeCell ref="K15:L15"/>
    <mergeCell ref="A9:B9"/>
    <mergeCell ref="C9:D9"/>
    <mergeCell ref="K9:L9"/>
    <mergeCell ref="A11:B11"/>
    <mergeCell ref="C11:D11"/>
    <mergeCell ref="K11:L11"/>
    <mergeCell ref="M1:O1"/>
    <mergeCell ref="A3:B3"/>
    <mergeCell ref="C3:F3"/>
    <mergeCell ref="K3:L3"/>
    <mergeCell ref="A5:B5"/>
    <mergeCell ref="C5:F5"/>
    <mergeCell ref="K5:L5"/>
    <mergeCell ref="A7:B7"/>
    <mergeCell ref="C7:F7"/>
    <mergeCell ref="K7:L7"/>
    <mergeCell ref="A1:B1"/>
    <mergeCell ref="C1:F1"/>
    <mergeCell ref="H1:J1"/>
    <mergeCell ref="K1:L1"/>
  </mergeCells>
  <conditionalFormatting sqref="F14">
    <cfRule type="cellIs" dxfId="1105" priority="299" operator="greaterThan">
      <formula>$C$14+30</formula>
    </cfRule>
    <cfRule type="expression" dxfId="1104" priority="338">
      <formula>$F$14&gt;$F$9</formula>
    </cfRule>
    <cfRule type="expression" dxfId="1103" priority="344">
      <formula>$F$14&lt;$C$14</formula>
    </cfRule>
  </conditionalFormatting>
  <conditionalFormatting sqref="F9">
    <cfRule type="expression" dxfId="1102" priority="342">
      <formula>$F$14&lt;$C$14</formula>
    </cfRule>
  </conditionalFormatting>
  <conditionalFormatting sqref="C9">
    <cfRule type="expression" dxfId="1101" priority="339">
      <formula>"$C$9&gt;$C$14"</formula>
    </cfRule>
    <cfRule type="expression" dxfId="1100" priority="341">
      <formula>$F$14&lt;$C$14</formula>
    </cfRule>
  </conditionalFormatting>
  <conditionalFormatting sqref="I51">
    <cfRule type="expression" dxfId="1099" priority="340">
      <formula>WEEKDAY($A51,2)&gt;5</formula>
    </cfRule>
  </conditionalFormatting>
  <conditionalFormatting sqref="I51">
    <cfRule type="cellIs" dxfId="1098" priority="337" operator="lessThan">
      <formula>0</formula>
    </cfRule>
  </conditionalFormatting>
  <conditionalFormatting sqref="C14:D14">
    <cfRule type="expression" dxfId="1097" priority="304">
      <formula>"F14&gt;F9"</formula>
    </cfRule>
    <cfRule type="expression" dxfId="1096" priority="305">
      <formula>$C$14&lt;$C$9</formula>
    </cfRule>
    <cfRule type="expression" dxfId="1095" priority="335">
      <formula>$C$14&gt;$F$9</formula>
    </cfRule>
    <cfRule type="expression" dxfId="1094" priority="336">
      <formula>$F$14&lt;$C$9</formula>
    </cfRule>
  </conditionalFormatting>
  <conditionalFormatting sqref="G53">
    <cfRule type="expression" dxfId="1093" priority="334">
      <formula>ABS(SUM(#REF!))&gt;$A$61</formula>
    </cfRule>
  </conditionalFormatting>
  <conditionalFormatting sqref="I51 F20:J50">
    <cfRule type="expression" dxfId="1092" priority="345">
      <formula>AND(WEEKDAY($A20,2)=3,$I$6=FALSE)</formula>
    </cfRule>
    <cfRule type="expression" dxfId="1091" priority="346">
      <formula>AND(WEEKDAY($A20,2)=4,$I$8=TRUE)</formula>
    </cfRule>
    <cfRule type="expression" dxfId="1090" priority="347">
      <formula>AND(WEEKDAY($A20,2)=4,$I$8=FALSE)</formula>
    </cfRule>
    <cfRule type="expression" dxfId="1089" priority="348">
      <formula>AND(WEEKDAY($A20,2)=5,$I$10=TRUE)</formula>
    </cfRule>
    <cfRule type="expression" dxfId="1088" priority="349">
      <formula>AND(WEEKDAY($A20,2)=5,$G$14=FALSE)</formula>
    </cfRule>
  </conditionalFormatting>
  <conditionalFormatting sqref="I51 F20:J50">
    <cfRule type="expression" dxfId="1087" priority="350">
      <formula>AND(WEEKDAY($A20,2)=1,$I$2=TRUE)</formula>
    </cfRule>
    <cfRule type="expression" dxfId="1086" priority="351">
      <formula>AND(WEEKDAY($A20,2)=1,$I$2=FALSE)</formula>
    </cfRule>
    <cfRule type="expression" dxfId="1085" priority="352">
      <formula>AND(WEEKDAY($A20,2)=2,$I$4=TRUE)</formula>
    </cfRule>
    <cfRule type="expression" dxfId="1084" priority="353">
      <formula>AND(WEEKDAY($A20,2)=2,$I$4=FALSE)</formula>
    </cfRule>
    <cfRule type="expression" dxfId="1083" priority="354">
      <formula>AND(WEEKDAY($A20,2)=3,$I$6=TRUE)</formula>
    </cfRule>
  </conditionalFormatting>
  <conditionalFormatting sqref="K3:L3">
    <cfRule type="expression" dxfId="1082" priority="319">
      <formula>AND(I2=TRUE,$C$11&lt;&gt;($K$3+$K$5+$K$7+$K$9+$K$11))</formula>
    </cfRule>
    <cfRule type="expression" dxfId="1081" priority="320">
      <formula>(I2=TRUE)</formula>
    </cfRule>
    <cfRule type="expression" dxfId="1080" priority="321">
      <formula>AND(I2=FALSE,$K$3&gt;0)</formula>
    </cfRule>
  </conditionalFormatting>
  <conditionalFormatting sqref="K7:L7">
    <cfRule type="expression" dxfId="1079" priority="322">
      <formula>AND(I6=TRUE,$C$11&lt;&gt;($K$3+$K$5+$K$7+$K$9+$K$11))</formula>
    </cfRule>
    <cfRule type="expression" dxfId="1078" priority="323">
      <formula>(I6=TRUE)</formula>
    </cfRule>
    <cfRule type="expression" dxfId="1077" priority="324">
      <formula>AND(I6=FALSE,$K$7&gt;0)</formula>
    </cfRule>
  </conditionalFormatting>
  <conditionalFormatting sqref="K11:L11">
    <cfRule type="expression" dxfId="1076" priority="325">
      <formula>AND(I10=TRUE,$C$11&lt;&gt;($K$3+$K$5+$K$7+$K$9+$K$11))</formula>
    </cfRule>
    <cfRule type="expression" dxfId="1075" priority="326">
      <formula>(I10=TRUE)</formula>
    </cfRule>
    <cfRule type="expression" dxfId="1074" priority="327">
      <formula>AND(I10=FALSE,K11&gt;0)</formula>
    </cfRule>
  </conditionalFormatting>
  <conditionalFormatting sqref="K9:L9">
    <cfRule type="expression" dxfId="1073" priority="328">
      <formula>AND(I8=TRUE,$C$11&lt;&gt;($K$3+$K$5+$K$7+$K$9+$K$11))</formula>
    </cfRule>
    <cfRule type="expression" dxfId="1072" priority="329">
      <formula>(I8=TRUE)</formula>
    </cfRule>
    <cfRule type="expression" dxfId="1071" priority="330">
      <formula>AND(I8=FALSE,K9&gt;0)</formula>
    </cfRule>
  </conditionalFormatting>
  <conditionalFormatting sqref="K5:L5">
    <cfRule type="expression" dxfId="1070" priority="317">
      <formula>AND(I4=FALSE,K5&gt;0)</formula>
    </cfRule>
    <cfRule type="expression" dxfId="1069" priority="318">
      <formula>AND(I4=TRUE,$C$11&lt;&gt;($K$3+$K$5+$K$7+$K$9+$K$11))</formula>
    </cfRule>
    <cfRule type="expression" dxfId="1068" priority="331">
      <formula>($I$4=TRUE)</formula>
    </cfRule>
  </conditionalFormatting>
  <conditionalFormatting sqref="K51">
    <cfRule type="expression" dxfId="1067" priority="355">
      <formula>ABS(SUM(#REF!))&gt;$A$53</formula>
    </cfRule>
  </conditionalFormatting>
  <conditionalFormatting sqref="J52">
    <cfRule type="cellIs" dxfId="1066" priority="316" operator="lessThan">
      <formula>0</formula>
    </cfRule>
  </conditionalFormatting>
  <conditionalFormatting sqref="F20:F50">
    <cfRule type="expression" dxfId="1065" priority="315">
      <formula>WEEKDAY($A20,2)&gt;5</formula>
    </cfRule>
  </conditionalFormatting>
  <conditionalFormatting sqref="H20:I50">
    <cfRule type="expression" dxfId="1064" priority="314">
      <formula>WEEKDAY($A20,2)&gt;5</formula>
    </cfRule>
  </conditionalFormatting>
  <conditionalFormatting sqref="I20:I50">
    <cfRule type="cellIs" dxfId="1063" priority="313" operator="lessThan">
      <formula>0</formula>
    </cfRule>
  </conditionalFormatting>
  <conditionalFormatting sqref="J20:J50">
    <cfRule type="expression" dxfId="1062" priority="307">
      <formula>WEEKDAY($A20,2)&gt;5</formula>
    </cfRule>
  </conditionalFormatting>
  <conditionalFormatting sqref="J20:J50">
    <cfRule type="cellIs" dxfId="1061" priority="306" operator="lessThan">
      <formula>0</formula>
    </cfRule>
  </conditionalFormatting>
  <conditionalFormatting sqref="C14">
    <cfRule type="expression" dxfId="1060" priority="343">
      <formula>$C$14&lt;$C$9</formula>
    </cfRule>
  </conditionalFormatting>
  <conditionalFormatting sqref="G20:G50">
    <cfRule type="expression" dxfId="1059" priority="302">
      <formula>WEEKDAY($A20,2)&gt;5</formula>
    </cfRule>
  </conditionalFormatting>
  <conditionalFormatting sqref="G20:G50">
    <cfRule type="containsText" dxfId="1058" priority="301" operator="containsText" text="0,00">
      <formula>NOT(ISERROR(SEARCH("0,00",G20)))</formula>
    </cfRule>
  </conditionalFormatting>
  <conditionalFormatting sqref="H52">
    <cfRule type="cellIs" dxfId="1057" priority="279" operator="lessThan">
      <formula>0</formula>
    </cfRule>
  </conditionalFormatting>
  <conditionalFormatting sqref="Q93:Q94">
    <cfRule type="expression" dxfId="1056" priority="200">
      <formula>AND(WEEKDAY($A93,2)=3,$I$6=FALSE)</formula>
    </cfRule>
    <cfRule type="expression" dxfId="1055" priority="201">
      <formula>AND(WEEKDAY($A93,2)=4,$I$8=TRUE)</formula>
    </cfRule>
    <cfRule type="expression" dxfId="1054" priority="202">
      <formula>AND(WEEKDAY($A93,2)=4,$I$8=FALSE)</formula>
    </cfRule>
    <cfRule type="expression" dxfId="1053" priority="203">
      <formula>AND(WEEKDAY($A93,2)=5,$I$10=TRUE)</formula>
    </cfRule>
    <cfRule type="expression" dxfId="1052" priority="204">
      <formula>AND(WEEKDAY($A93,2)=5,$G$14=FALSE)</formula>
    </cfRule>
  </conditionalFormatting>
  <conditionalFormatting sqref="Q93:Q94">
    <cfRule type="expression" dxfId="1051" priority="205">
      <formula>AND(WEEKDAY($A93,2)=1,$I$2=TRUE)</formula>
    </cfRule>
    <cfRule type="expression" dxfId="1050" priority="206">
      <formula>AND(WEEKDAY($A93,2)=1,$I$2=FALSE)</formula>
    </cfRule>
    <cfRule type="expression" dxfId="1049" priority="207">
      <formula>AND(WEEKDAY($A93,2)=2,$I$4=TRUE)</formula>
    </cfRule>
    <cfRule type="expression" dxfId="1048" priority="208">
      <formula>AND(WEEKDAY($A93,2)=2,$I$4=FALSE)</formula>
    </cfRule>
    <cfRule type="expression" dxfId="1047" priority="209">
      <formula>AND(WEEKDAY($A93,2)=3,$I$6=TRUE)</formula>
    </cfRule>
  </conditionalFormatting>
  <conditionalFormatting sqref="Q93:Q94">
    <cfRule type="expression" dxfId="1046" priority="199">
      <formula>WEEKDAY($A93,2)&gt;5</formula>
    </cfRule>
  </conditionalFormatting>
  <conditionalFormatting sqref="U20:U50 Q81:Q92 P80 Q77:Q79">
    <cfRule type="expression" dxfId="1045" priority="177">
      <formula>AND(WEEKDAY($A20,2)=3,$I$6=FALSE)</formula>
    </cfRule>
    <cfRule type="expression" dxfId="1044" priority="178">
      <formula>AND(WEEKDAY($A20,2)=4,$I$8=TRUE)</formula>
    </cfRule>
    <cfRule type="expression" dxfId="1043" priority="179">
      <formula>AND(WEEKDAY($A20,2)=4,$I$8=FALSE)</formula>
    </cfRule>
    <cfRule type="expression" dxfId="1042" priority="180">
      <formula>AND(WEEKDAY($A20,2)=5,$I$10=TRUE)</formula>
    </cfRule>
    <cfRule type="expression" dxfId="1041" priority="181">
      <formula>AND(WEEKDAY($A20,2)=5,$G$14=FALSE)</formula>
    </cfRule>
  </conditionalFormatting>
  <conditionalFormatting sqref="U20:U50 Q81:Q92 P80 Q77:Q79">
    <cfRule type="expression" dxfId="1040" priority="182">
      <formula>AND(WEEKDAY($A20,2)=1,$I$2=TRUE)</formula>
    </cfRule>
    <cfRule type="expression" dxfId="1039" priority="183">
      <formula>AND(WEEKDAY($A20,2)=1,$I$2=FALSE)</formula>
    </cfRule>
    <cfRule type="expression" dxfId="1038" priority="184">
      <formula>AND(WEEKDAY($A20,2)=2,$I$4=TRUE)</formula>
    </cfRule>
    <cfRule type="expression" dxfId="1037" priority="185">
      <formula>AND(WEEKDAY($A20,2)=2,$I$4=FALSE)</formula>
    </cfRule>
    <cfRule type="expression" dxfId="1036" priority="186">
      <formula>AND(WEEKDAY($A20,2)=3,$I$6=TRUE)</formula>
    </cfRule>
  </conditionalFormatting>
  <conditionalFormatting sqref="U20:U50">
    <cfRule type="expression" dxfId="1035" priority="176">
      <formula>WEEKDAY($A20,2)&gt;5</formula>
    </cfRule>
  </conditionalFormatting>
  <conditionalFormatting sqref="U20:U50">
    <cfRule type="expression" dxfId="1034" priority="187">
      <formula>#REF!&lt;&gt;""</formula>
    </cfRule>
  </conditionalFormatting>
  <conditionalFormatting sqref="Q81:Q92 P80 Q77:Q79">
    <cfRule type="expression" dxfId="1033" priority="175">
      <formula>WEEKDAY($A77,2)&gt;5</formula>
    </cfRule>
  </conditionalFormatting>
  <conditionalFormatting sqref="Q80">
    <cfRule type="expression" dxfId="1032" priority="165">
      <formula>AND(WEEKDAY($A80,2)=3,$I$6=FALSE)</formula>
    </cfRule>
    <cfRule type="expression" dxfId="1031" priority="166">
      <formula>AND(WEEKDAY($A80,2)=4,$I$8=TRUE)</formula>
    </cfRule>
    <cfRule type="expression" dxfId="1030" priority="167">
      <formula>AND(WEEKDAY($A80,2)=4,$I$8=FALSE)</formula>
    </cfRule>
    <cfRule type="expression" dxfId="1029" priority="168">
      <formula>AND(WEEKDAY($A80,2)=5,$I$10=TRUE)</formula>
    </cfRule>
    <cfRule type="expression" dxfId="1028" priority="169">
      <formula>AND(WEEKDAY($A80,2)=5,$G$14=FALSE)</formula>
    </cfRule>
  </conditionalFormatting>
  <conditionalFormatting sqref="Q80">
    <cfRule type="expression" dxfId="1027" priority="170">
      <formula>AND(WEEKDAY($A80,2)=1,$I$2=TRUE)</formula>
    </cfRule>
    <cfRule type="expression" dxfId="1026" priority="171">
      <formula>AND(WEEKDAY($A80,2)=1,$I$2=FALSE)</formula>
    </cfRule>
    <cfRule type="expression" dxfId="1025" priority="172">
      <formula>AND(WEEKDAY($A80,2)=2,$I$4=TRUE)</formula>
    </cfRule>
    <cfRule type="expression" dxfId="1024" priority="173">
      <formula>AND(WEEKDAY($A80,2)=2,$I$4=FALSE)</formula>
    </cfRule>
    <cfRule type="expression" dxfId="1023" priority="174">
      <formula>AND(WEEKDAY($A80,2)=3,$I$6=TRUE)</formula>
    </cfRule>
  </conditionalFormatting>
  <conditionalFormatting sqref="Q80">
    <cfRule type="expression" dxfId="1022" priority="164">
      <formula>WEEKDAY($A80,2)&gt;5</formula>
    </cfRule>
  </conditionalFormatting>
  <conditionalFormatting sqref="C1">
    <cfRule type="expression" dxfId="1021" priority="90">
      <formula>ISBLANK($C$1)</formula>
    </cfRule>
  </conditionalFormatting>
  <conditionalFormatting sqref="C3">
    <cfRule type="expression" dxfId="1020" priority="89">
      <formula>ISBLANK($C$3)</formula>
    </cfRule>
  </conditionalFormatting>
  <conditionalFormatting sqref="C5">
    <cfRule type="expression" dxfId="1019" priority="88">
      <formula>ISBLANK($C$5)</formula>
    </cfRule>
  </conditionalFormatting>
  <conditionalFormatting sqref="C7">
    <cfRule type="expression" dxfId="1018" priority="87">
      <formula>ISBLANK($C$7)</formula>
    </cfRule>
  </conditionalFormatting>
  <conditionalFormatting sqref="C11:D11">
    <cfRule type="expression" dxfId="1017" priority="85">
      <formula>ISBLANK($C$11)</formula>
    </cfRule>
    <cfRule type="expression" dxfId="1016" priority="86">
      <formula>($C$11/24)&lt;&gt;$M$3</formula>
    </cfRule>
  </conditionalFormatting>
  <conditionalFormatting sqref="B45:E45 B47:E47 B46:D46 B48:D50 A20:A50 B20:D44">
    <cfRule type="expression" dxfId="1015" priority="57">
      <formula>AND(WEEKDAY($A20,2)=3,$I$6=FALSE)</formula>
    </cfRule>
    <cfRule type="expression" dxfId="1014" priority="58">
      <formula>AND(WEEKDAY($A20,2)=4,$I$8=TRUE)</formula>
    </cfRule>
    <cfRule type="expression" dxfId="1013" priority="59">
      <formula>AND(WEEKDAY($A20,2)=4,$I$8=FALSE)</formula>
    </cfRule>
    <cfRule type="expression" dxfId="1012" priority="60">
      <formula>AND(WEEKDAY($A20,2)=5,$I$10=TRUE)</formula>
    </cfRule>
    <cfRule type="expression" dxfId="1011" priority="61">
      <formula>AND(WEEKDAY($A20,2)=5,$G$14=FALSE)</formula>
    </cfRule>
  </conditionalFormatting>
  <conditionalFormatting sqref="A20:E50">
    <cfRule type="expression" dxfId="1010" priority="62">
      <formula>AND(WEEKDAY($A20,2)=1,$I$2=TRUE)</formula>
    </cfRule>
    <cfRule type="expression" dxfId="1009" priority="63">
      <formula>AND(WEEKDAY($A20,2)=1,$I$2=FALSE)</formula>
    </cfRule>
    <cfRule type="expression" dxfId="1008" priority="64">
      <formula>AND(WEEKDAY($A20,2)=2,$I$4=TRUE)</formula>
    </cfRule>
    <cfRule type="expression" dxfId="1007" priority="65">
      <formula>AND(WEEKDAY($A20,2)=2,$I$4=FALSE)</formula>
    </cfRule>
    <cfRule type="expression" dxfId="1006" priority="66">
      <formula>AND(WEEKDAY($A20,2)=3,$I$6=TRUE)</formula>
    </cfRule>
  </conditionalFormatting>
  <conditionalFormatting sqref="A20:E50">
    <cfRule type="expression" dxfId="1005" priority="56">
      <formula>WEEKDAY($A20,2)&gt;5</formula>
    </cfRule>
  </conditionalFormatting>
  <conditionalFormatting sqref="D21:E21">
    <cfRule type="expression" dxfId="1004" priority="55">
      <formula>WEEKDAY($A21,2)&gt;5</formula>
    </cfRule>
  </conditionalFormatting>
  <conditionalFormatting sqref="D27:E27">
    <cfRule type="expression" dxfId="1003" priority="54">
      <formula>WEEKDAY($A27,2)&gt;5</formula>
    </cfRule>
  </conditionalFormatting>
  <conditionalFormatting sqref="D34:E34">
    <cfRule type="expression" dxfId="1002" priority="53">
      <formula>WEEKDAY($A34,2)&gt;5</formula>
    </cfRule>
  </conditionalFormatting>
  <conditionalFormatting sqref="D22:E22">
    <cfRule type="expression" dxfId="1001" priority="52">
      <formula>WEEKDAY($A22,2)&gt;5</formula>
    </cfRule>
  </conditionalFormatting>
  <conditionalFormatting sqref="D28:E28">
    <cfRule type="expression" dxfId="1000" priority="51">
      <formula>WEEKDAY($A28,2)&gt;5</formula>
    </cfRule>
  </conditionalFormatting>
  <conditionalFormatting sqref="D36:E36">
    <cfRule type="expression" dxfId="999" priority="50">
      <formula>WEEKDAY($A36,2)&gt;5</formula>
    </cfRule>
  </conditionalFormatting>
  <conditionalFormatting sqref="D42:E42">
    <cfRule type="expression" dxfId="998" priority="49">
      <formula>WEEKDAY($A42,2)&gt;5</formula>
    </cfRule>
  </conditionalFormatting>
  <conditionalFormatting sqref="D41:E41">
    <cfRule type="expression" dxfId="997" priority="48">
      <formula>WEEKDAY($A41,2)&gt;5</formula>
    </cfRule>
  </conditionalFormatting>
  <conditionalFormatting sqref="D48:E48">
    <cfRule type="expression" dxfId="996" priority="47">
      <formula>WEEKDAY($A48,2)&gt;5</formula>
    </cfRule>
  </conditionalFormatting>
  <conditionalFormatting sqref="D35:E35">
    <cfRule type="expression" dxfId="995" priority="46">
      <formula>WEEKDAY($A35,2)&gt;5</formula>
    </cfRule>
  </conditionalFormatting>
  <conditionalFormatting sqref="D29:E29">
    <cfRule type="expression" dxfId="994" priority="45">
      <formula>WEEKDAY($A29,2)&gt;5</formula>
    </cfRule>
  </conditionalFormatting>
  <conditionalFormatting sqref="D41:E41">
    <cfRule type="expression" dxfId="993" priority="44">
      <formula>WEEKDAY($A41,2)&gt;5</formula>
    </cfRule>
  </conditionalFormatting>
  <conditionalFormatting sqref="D42:E42">
    <cfRule type="expression" dxfId="992" priority="43">
      <formula>WEEKDAY($A42,2)&gt;5</formula>
    </cfRule>
  </conditionalFormatting>
  <conditionalFormatting sqref="D43:E43">
    <cfRule type="expression" dxfId="991" priority="42">
      <formula>WEEKDAY($A43,2)&gt;5</formula>
    </cfRule>
  </conditionalFormatting>
  <conditionalFormatting sqref="D41:E41">
    <cfRule type="expression" dxfId="990" priority="41">
      <formula>WEEKDAY($A41,2)&gt;5</formula>
    </cfRule>
  </conditionalFormatting>
  <conditionalFormatting sqref="D42:E42">
    <cfRule type="expression" dxfId="989" priority="40">
      <formula>WEEKDAY($A42,2)&gt;5</formula>
    </cfRule>
  </conditionalFormatting>
  <conditionalFormatting sqref="D35:E35">
    <cfRule type="expression" dxfId="988" priority="39">
      <formula>WEEKDAY($A35,2)&gt;5</formula>
    </cfRule>
  </conditionalFormatting>
  <conditionalFormatting sqref="D36:E36">
    <cfRule type="expression" dxfId="987" priority="38">
      <formula>WEEKDAY($A36,2)&gt;5</formula>
    </cfRule>
  </conditionalFormatting>
  <conditionalFormatting sqref="D35:E35">
    <cfRule type="expression" dxfId="986" priority="37">
      <formula>WEEKDAY($A35,2)&gt;5</formula>
    </cfRule>
  </conditionalFormatting>
  <conditionalFormatting sqref="D36:E36">
    <cfRule type="expression" dxfId="985" priority="36">
      <formula>WEEKDAY($A36,2)&gt;5</formula>
    </cfRule>
  </conditionalFormatting>
  <conditionalFormatting sqref="D23:E23">
    <cfRule type="expression" dxfId="984" priority="35">
      <formula>WEEKDAY($A23,2)&gt;5</formula>
    </cfRule>
  </conditionalFormatting>
  <conditionalFormatting sqref="D49:E49">
    <cfRule type="expression" dxfId="983" priority="34">
      <formula>WEEKDAY($A49,2)&gt;5</formula>
    </cfRule>
  </conditionalFormatting>
  <conditionalFormatting sqref="D41:E41">
    <cfRule type="expression" dxfId="982" priority="33">
      <formula>WEEKDAY($A41,2)&gt;5</formula>
    </cfRule>
  </conditionalFormatting>
  <conditionalFormatting sqref="D41:E41">
    <cfRule type="expression" dxfId="981" priority="32">
      <formula>WEEKDAY($A41,2)&gt;5</formula>
    </cfRule>
  </conditionalFormatting>
  <conditionalFormatting sqref="D41:E41">
    <cfRule type="expression" dxfId="980" priority="31">
      <formula>WEEKDAY($A41,2)&gt;5</formula>
    </cfRule>
  </conditionalFormatting>
  <conditionalFormatting sqref="A20:A50">
    <cfRule type="expression" dxfId="979" priority="29">
      <formula>V20&lt;&gt;""</formula>
    </cfRule>
    <cfRule type="expression" dxfId="978" priority="30">
      <formula>T20&lt;&gt;""</formula>
    </cfRule>
    <cfRule type="expression" dxfId="977" priority="67">
      <formula>T20&lt;&gt;""</formula>
    </cfRule>
  </conditionalFormatting>
  <conditionalFormatting sqref="B20:B50">
    <cfRule type="expression" dxfId="976" priority="68">
      <formula>#REF!&lt;&gt;""</formula>
    </cfRule>
  </conditionalFormatting>
  <conditionalFormatting sqref="D29:E29">
    <cfRule type="expression" dxfId="975" priority="28">
      <formula>WEEKDAY($A29,2)&gt;5</formula>
    </cfRule>
  </conditionalFormatting>
  <conditionalFormatting sqref="D30:E30">
    <cfRule type="expression" dxfId="974" priority="27">
      <formula>WEEKDAY($A30,2)&gt;5</formula>
    </cfRule>
  </conditionalFormatting>
  <conditionalFormatting sqref="D31:E31">
    <cfRule type="expression" dxfId="973" priority="26">
      <formula>WEEKDAY($A31,2)&gt;5</formula>
    </cfRule>
  </conditionalFormatting>
  <conditionalFormatting sqref="D36:E36">
    <cfRule type="expression" dxfId="972" priority="25">
      <formula>WEEKDAY($A36,2)&gt;5</formula>
    </cfRule>
  </conditionalFormatting>
  <conditionalFormatting sqref="D37:E37">
    <cfRule type="expression" dxfId="971" priority="24">
      <formula>WEEKDAY($A37,2)&gt;5</formula>
    </cfRule>
  </conditionalFormatting>
  <conditionalFormatting sqref="D38:E38">
    <cfRule type="expression" dxfId="970" priority="23">
      <formula>WEEKDAY($A38,2)&gt;5</formula>
    </cfRule>
  </conditionalFormatting>
  <conditionalFormatting sqref="D42:E42">
    <cfRule type="expression" dxfId="969" priority="22">
      <formula>WEEKDAY($A42,2)&gt;5</formula>
    </cfRule>
  </conditionalFormatting>
  <conditionalFormatting sqref="D43:E43">
    <cfRule type="expression" dxfId="968" priority="21">
      <formula>WEEKDAY($A43,2)&gt;5</formula>
    </cfRule>
  </conditionalFormatting>
  <conditionalFormatting sqref="D44:E44">
    <cfRule type="expression" dxfId="967" priority="20">
      <formula>WEEKDAY($A44,2)&gt;5</formula>
    </cfRule>
  </conditionalFormatting>
  <conditionalFormatting sqref="D33:E33">
    <cfRule type="expression" dxfId="966" priority="19">
      <formula>WEEKDAY($A33,2)&gt;5</formula>
    </cfRule>
  </conditionalFormatting>
  <conditionalFormatting sqref="D40:E40">
    <cfRule type="expression" dxfId="965" priority="18">
      <formula>WEEKDAY($A40,2)&gt;5</formula>
    </cfRule>
  </conditionalFormatting>
  <conditionalFormatting sqref="K20:K50">
    <cfRule type="expression" dxfId="964" priority="8">
      <formula>AND(WEEKDAY($A20,2)=3,$I$6=FALSE)</formula>
    </cfRule>
    <cfRule type="expression" dxfId="963" priority="9">
      <formula>AND(WEEKDAY($A20,2)=4,$I$8=TRUE)</formula>
    </cfRule>
    <cfRule type="expression" dxfId="962" priority="10">
      <formula>AND(WEEKDAY($A20,2)=4,$I$8=FALSE)</formula>
    </cfRule>
    <cfRule type="expression" dxfId="961" priority="11">
      <formula>AND(WEEKDAY($A20,2)=5,$I$10=TRUE)</formula>
    </cfRule>
    <cfRule type="expression" dxfId="960" priority="12">
      <formula>AND(WEEKDAY($A20,2)=5,$G$14=FALSE)</formula>
    </cfRule>
  </conditionalFormatting>
  <conditionalFormatting sqref="K20:L50">
    <cfRule type="expression" dxfId="959" priority="13">
      <formula>AND(WEEKDAY($A20,2)=1,$I$2=TRUE)</formula>
    </cfRule>
    <cfRule type="expression" dxfId="958" priority="14">
      <formula>AND(WEEKDAY($A20,2)=1,$I$2=FALSE)</formula>
    </cfRule>
    <cfRule type="expression" dxfId="957" priority="15">
      <formula>AND(WEEKDAY($A20,2)=2,$I$4=TRUE)</formula>
    </cfRule>
    <cfRule type="expression" dxfId="956" priority="16">
      <formula>AND(WEEKDAY($A20,2)=2,$I$4=FALSE)</formula>
    </cfRule>
    <cfRule type="expression" dxfId="955" priority="17">
      <formula>AND(WEEKDAY($A20,2)=3,$I$6=TRUE)</formula>
    </cfRule>
  </conditionalFormatting>
  <conditionalFormatting sqref="K20:L50">
    <cfRule type="containsText" dxfId="954" priority="3" operator="containsText" text="Angaben überprüfen">
      <formula>NOT(ISERROR(SEARCH("Angaben überprüfen",K20)))</formula>
    </cfRule>
    <cfRule type="cellIs" dxfId="953" priority="4" operator="equal">
      <formula>"30 min. Pause erforderlich"</formula>
    </cfRule>
    <cfRule type="expression" dxfId="952" priority="7">
      <formula>WEEKDAY($A20,2)&gt;5</formula>
    </cfRule>
  </conditionalFormatting>
  <conditionalFormatting sqref="K20:L50">
    <cfRule type="expression" dxfId="951" priority="6">
      <formula>WEEKDAY($A20,2)&gt;5</formula>
    </cfRule>
  </conditionalFormatting>
  <conditionalFormatting sqref="K20:L50">
    <cfRule type="expression" dxfId="950" priority="5">
      <formula>WEEKDAY($A20,2)&gt;5</formula>
    </cfRule>
  </conditionalFormatting>
  <conditionalFormatting sqref="B17:K17">
    <cfRule type="expression" dxfId="949" priority="1">
      <formula>ISBLANK($C$14)</formula>
    </cfRule>
  </conditionalFormatting>
  <dataValidations count="5">
    <dataValidation type="time" errorStyle="warning" allowBlank="1" showInputMessage="1" showErrorMessage="1" error="Außerhalb des Arbeitszeitrahmens" sqref="B20:E50">
      <formula1>0.25</formula1>
      <formula2>0.958333333333333</formula2>
    </dataValidation>
    <dataValidation type="textLength" operator="greaterThan" allowBlank="1" showInputMessage="1" showErrorMessage="1" errorTitle="Arbeitszeitkonto beendet" error="Ihr Arbeitszeitkonto überschreitet 12 Monate und ist damit beendet. Bitte erstellen Sie ein neues Konto." sqref="G16:L16">
      <formula1>40</formula1>
    </dataValidation>
    <dataValidation type="decimal" allowBlank="1" showInputMessage="1" showErrorMessage="1" errorTitle="Falsches Zahlenformat" error="Bitte nur ganze Zahlen oder Dezimal eingeben." promptTitle="                 INFO" prompt="_x000a_Beim Ausfüllen unbedingt den Leitfaden zum Arbeitszeitkonto beachten_x000a_ -Siehe Hilfebutton" sqref="C11:D11">
      <formula1>1</formula1>
      <formula2>40</formula2>
    </dataValidation>
    <dataValidation type="decimal" allowBlank="1" showInputMessage="1" showErrorMessage="1" errorTitle="Achtung" error="Kein Dezimalwert" sqref="K3:L11">
      <formula1>0.25</formula1>
      <formula2>24</formula2>
    </dataValidation>
    <dataValidation type="date" allowBlank="1" showInputMessage="1" showErrorMessage="1" error="Kein gültiges Datum" prompt="TT.MM.JJJJ" sqref="C9:D9 F9 C14:D14 F14">
      <formula1>40178</formula1>
      <formula2>71588</formula2>
    </dataValidation>
  </dataValidations>
  <pageMargins left="0.7" right="0.53156250000000005" top="1.6752083333333334" bottom="0.28125" header="0.47125" footer="0.3"/>
  <pageSetup paperSize="9" scale="87" orientation="portrait" r:id="rId1"/>
  <headerFooter>
    <oddHeader>&amp;L&amp;"BO Regular Bold,Fett"&amp;12Stundennachweis&amp;"-,Standard"&amp;10
&amp;"BO Regular Normal,Standard"nach §17 MiLoG
für SHK, WHK, studentische Aushilfskräfte TV-L 
und geringfügig Beschäftigte&amp;R&amp;G</oddHeader>
  </headerFooter>
  <ignoredErrors>
    <ignoredError sqref="K51:L51 C1:F7 K20:L50" unlockedFormula="1"/>
  </ignoredError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0241" r:id="rId5" name="Check Box 1">
              <controlPr locked="0" defaultSize="0" autoFill="0" autoLine="0" autoPict="0">
                <anchor moveWithCells="1">
                  <from>
                    <xdr:col>7</xdr:col>
                    <xdr:colOff>304800</xdr:colOff>
                    <xdr:row>1</xdr:row>
                    <xdr:rowOff>28575</xdr:rowOff>
                  </from>
                  <to>
                    <xdr:col>9</xdr:col>
                    <xdr:colOff>638175</xdr:colOff>
                    <xdr:row>3</xdr:row>
                    <xdr:rowOff>47625</xdr:rowOff>
                  </to>
                </anchor>
              </controlPr>
            </control>
          </mc:Choice>
        </mc:AlternateContent>
        <mc:AlternateContent xmlns:mc="http://schemas.openxmlformats.org/markup-compatibility/2006">
          <mc:Choice Requires="x14">
            <control shapeId="10242" r:id="rId6" name="Check Box 2">
              <controlPr locked="0" defaultSize="0" autoFill="0" autoLine="0" autoPict="0">
                <anchor moveWithCells="1">
                  <from>
                    <xdr:col>7</xdr:col>
                    <xdr:colOff>304800</xdr:colOff>
                    <xdr:row>3</xdr:row>
                    <xdr:rowOff>38100</xdr:rowOff>
                  </from>
                  <to>
                    <xdr:col>9</xdr:col>
                    <xdr:colOff>790575</xdr:colOff>
                    <xdr:row>5</xdr:row>
                    <xdr:rowOff>38100</xdr:rowOff>
                  </to>
                </anchor>
              </controlPr>
            </control>
          </mc:Choice>
        </mc:AlternateContent>
        <mc:AlternateContent xmlns:mc="http://schemas.openxmlformats.org/markup-compatibility/2006">
          <mc:Choice Requires="x14">
            <control shapeId="10243" r:id="rId7" name="Check Box 3">
              <controlPr locked="0" defaultSize="0" autoFill="0" autoLine="0" autoPict="0">
                <anchor moveWithCells="1">
                  <from>
                    <xdr:col>7</xdr:col>
                    <xdr:colOff>304800</xdr:colOff>
                    <xdr:row>5</xdr:row>
                    <xdr:rowOff>38100</xdr:rowOff>
                  </from>
                  <to>
                    <xdr:col>9</xdr:col>
                    <xdr:colOff>695325</xdr:colOff>
                    <xdr:row>7</xdr:row>
                    <xdr:rowOff>28575</xdr:rowOff>
                  </to>
                </anchor>
              </controlPr>
            </control>
          </mc:Choice>
        </mc:AlternateContent>
        <mc:AlternateContent xmlns:mc="http://schemas.openxmlformats.org/markup-compatibility/2006">
          <mc:Choice Requires="x14">
            <control shapeId="10244" r:id="rId8" name="Check Box 4">
              <controlPr locked="0" defaultSize="0" autoFill="0" autoLine="0" autoPict="0">
                <anchor moveWithCells="1">
                  <from>
                    <xdr:col>7</xdr:col>
                    <xdr:colOff>304800</xdr:colOff>
                    <xdr:row>7</xdr:row>
                    <xdr:rowOff>38100</xdr:rowOff>
                  </from>
                  <to>
                    <xdr:col>10</xdr:col>
                    <xdr:colOff>228600</xdr:colOff>
                    <xdr:row>9</xdr:row>
                    <xdr:rowOff>38100</xdr:rowOff>
                  </to>
                </anchor>
              </controlPr>
            </control>
          </mc:Choice>
        </mc:AlternateContent>
        <mc:AlternateContent xmlns:mc="http://schemas.openxmlformats.org/markup-compatibility/2006">
          <mc:Choice Requires="x14">
            <control shapeId="10245" r:id="rId9" name="Check Box 5">
              <controlPr locked="0" defaultSize="0" autoFill="0" autoLine="0" autoPict="0">
                <anchor moveWithCells="1">
                  <from>
                    <xdr:col>7</xdr:col>
                    <xdr:colOff>304800</xdr:colOff>
                    <xdr:row>9</xdr:row>
                    <xdr:rowOff>38100</xdr:rowOff>
                  </from>
                  <to>
                    <xdr:col>9</xdr:col>
                    <xdr:colOff>828675</xdr:colOff>
                    <xdr:row>11</xdr:row>
                    <xdr:rowOff>38100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2" operator="containsText" id="{0BCEE653-FED3-487C-9B06-6FC110E5BC99}">
            <xm:f>NOT(ISERROR(SEARCH("45 min. Pause erforderlich",K20)))</xm:f>
            <xm:f>"45 min. Pause erforderlich"</xm:f>
            <x14:dxf>
              <font>
                <b/>
                <i val="0"/>
                <color rgb="FFA50021"/>
              </font>
            </x14:dxf>
          </x14:cfRule>
          <xm:sqref>K20:L50</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8"/>
  <dimension ref="A1:V95"/>
  <sheetViews>
    <sheetView showGridLines="0" showRowColHeaders="0" view="pageLayout" workbookViewId="0">
      <selection activeCell="C11" sqref="C11:D11"/>
    </sheetView>
  </sheetViews>
  <sheetFormatPr baseColWidth="10" defaultColWidth="12.42578125" defaultRowHeight="15"/>
  <cols>
    <col min="1" max="1" width="11.28515625" customWidth="1"/>
    <col min="2" max="2" width="8.7109375" customWidth="1"/>
    <col min="3" max="3" width="5" customWidth="1"/>
    <col min="4" max="4" width="6" customWidth="1"/>
    <col min="5" max="5" width="10.7109375" customWidth="1"/>
    <col min="6" max="6" width="12.140625" customWidth="1"/>
    <col min="7" max="7" width="7.7109375" customWidth="1"/>
    <col min="8" max="8" width="9.85546875" customWidth="1"/>
    <col min="9" max="9" width="6.5703125" hidden="1" customWidth="1"/>
    <col min="10" max="10" width="11.85546875" customWidth="1"/>
    <col min="11" max="11" width="11.140625" customWidth="1"/>
    <col min="12" max="12" width="7.85546875" customWidth="1"/>
    <col min="13" max="13" width="5.28515625" style="37" hidden="1" customWidth="1"/>
    <col min="14" max="14" width="5.42578125" style="33" hidden="1" customWidth="1"/>
    <col min="15" max="15" width="14.5703125" hidden="1" customWidth="1"/>
    <col min="16" max="16" width="9.28515625" hidden="1" customWidth="1"/>
    <col min="17" max="17" width="8.42578125" hidden="1" customWidth="1"/>
    <col min="18" max="18" width="7.140625" hidden="1" customWidth="1"/>
    <col min="19" max="21" width="12.42578125" hidden="1" customWidth="1"/>
    <col min="22" max="22" width="1.140625" hidden="1" customWidth="1"/>
    <col min="23" max="16353" width="12.42578125" customWidth="1"/>
    <col min="16354" max="16354" width="3.7109375" customWidth="1"/>
    <col min="16355" max="16384" width="4.42578125" customWidth="1"/>
  </cols>
  <sheetData>
    <row r="1" spans="1:20" s="2" customFormat="1" ht="18" customHeight="1">
      <c r="A1" s="254" t="s">
        <v>0</v>
      </c>
      <c r="B1" s="254"/>
      <c r="C1" s="255" t="str">
        <f>IF('Blatt 1'!C1:F1="","",'Blatt 1'!C1:F1)</f>
        <v/>
      </c>
      <c r="D1" s="255"/>
      <c r="E1" s="255"/>
      <c r="F1" s="255"/>
      <c r="G1" s="1"/>
      <c r="H1" s="260" t="s">
        <v>1</v>
      </c>
      <c r="I1" s="260"/>
      <c r="J1" s="260"/>
      <c r="K1" s="259" t="s">
        <v>2</v>
      </c>
      <c r="L1" s="259"/>
      <c r="M1" s="253" t="s">
        <v>3</v>
      </c>
      <c r="N1" s="253"/>
      <c r="O1" s="253"/>
    </row>
    <row r="2" spans="1:20" ht="7.5" customHeight="1">
      <c r="A2" s="80"/>
      <c r="B2" s="80"/>
      <c r="C2" s="61"/>
      <c r="D2" s="61"/>
      <c r="E2" s="61"/>
      <c r="F2" s="61"/>
      <c r="G2" s="3"/>
      <c r="H2" s="3"/>
      <c r="I2" s="6" t="b">
        <v>0</v>
      </c>
      <c r="J2" s="3"/>
      <c r="K2" s="3"/>
      <c r="M2" s="143"/>
      <c r="N2" s="212"/>
    </row>
    <row r="3" spans="1:20" s="2" customFormat="1" ht="15.75">
      <c r="A3" s="254" t="s">
        <v>4</v>
      </c>
      <c r="B3" s="254"/>
      <c r="C3" s="255" t="str">
        <f>IF('Blatt 1'!C3:F3="","",'Blatt 1'!C3:F3)</f>
        <v/>
      </c>
      <c r="D3" s="255"/>
      <c r="E3" s="255"/>
      <c r="F3" s="255"/>
      <c r="H3" s="47"/>
      <c r="I3" s="55"/>
      <c r="J3" s="8"/>
      <c r="K3" s="323"/>
      <c r="L3" s="323"/>
      <c r="M3" s="9">
        <f>($K$3+$K$5+$K$7+$K$9+$K$11)/24</f>
        <v>0</v>
      </c>
      <c r="N3" s="10"/>
    </row>
    <row r="4" spans="1:20" ht="7.5" customHeight="1">
      <c r="A4" s="80"/>
      <c r="B4" s="80"/>
      <c r="C4" s="62"/>
      <c r="D4" s="62"/>
      <c r="E4" s="62"/>
      <c r="F4" s="62"/>
      <c r="H4" s="3"/>
      <c r="I4" s="6" t="b">
        <v>0</v>
      </c>
      <c r="J4" s="3"/>
      <c r="K4" s="73"/>
      <c r="L4" s="74"/>
      <c r="M4" s="143"/>
      <c r="N4" s="212"/>
    </row>
    <row r="5" spans="1:20" s="2" customFormat="1" ht="15.75">
      <c r="A5" s="254" t="s">
        <v>5</v>
      </c>
      <c r="B5" s="254"/>
      <c r="C5" s="256" t="str">
        <f>IF('Blatt 1'!C5:F5="","",'Blatt 1'!C5:F5)</f>
        <v/>
      </c>
      <c r="D5" s="255"/>
      <c r="E5" s="255"/>
      <c r="F5" s="255"/>
      <c r="H5" s="47"/>
      <c r="I5" s="55"/>
      <c r="J5" s="8"/>
      <c r="K5" s="300"/>
      <c r="L5" s="300"/>
      <c r="M5" s="143"/>
      <c r="N5" s="212"/>
    </row>
    <row r="6" spans="1:20" ht="7.5" customHeight="1">
      <c r="A6" s="80"/>
      <c r="B6" s="80"/>
      <c r="C6" s="62"/>
      <c r="D6" s="62"/>
      <c r="E6" s="62"/>
      <c r="F6" s="62"/>
      <c r="H6" s="3"/>
      <c r="I6" s="6" t="b">
        <v>0</v>
      </c>
      <c r="J6" s="3"/>
      <c r="K6" s="73"/>
      <c r="L6" s="74"/>
      <c r="M6" s="143"/>
      <c r="N6" s="212"/>
    </row>
    <row r="7" spans="1:20" s="2" customFormat="1" ht="15.75">
      <c r="A7" s="254" t="s">
        <v>6</v>
      </c>
      <c r="B7" s="254"/>
      <c r="C7" s="258" t="str">
        <f>IF('Blatt 1'!C7:F7="","",'Blatt 1'!C7:F7)</f>
        <v/>
      </c>
      <c r="D7" s="258"/>
      <c r="E7" s="258"/>
      <c r="F7" s="258"/>
      <c r="H7" s="11"/>
      <c r="I7" s="55"/>
      <c r="J7" s="11"/>
      <c r="K7" s="300"/>
      <c r="L7" s="300"/>
      <c r="M7" s="143"/>
      <c r="N7" s="212"/>
    </row>
    <row r="8" spans="1:20" ht="7.5" customHeight="1">
      <c r="A8" s="80"/>
      <c r="B8" s="80"/>
      <c r="C8" s="62"/>
      <c r="D8" s="62"/>
      <c r="E8" s="62"/>
      <c r="F8" s="62"/>
      <c r="H8" s="3"/>
      <c r="I8" s="6" t="b">
        <v>0</v>
      </c>
      <c r="J8" s="3"/>
      <c r="K8" s="73"/>
      <c r="L8" s="74"/>
      <c r="M8" s="143"/>
      <c r="N8" s="212"/>
    </row>
    <row r="9" spans="1:20" ht="15.75">
      <c r="A9" s="254" t="s">
        <v>146</v>
      </c>
      <c r="B9" s="254"/>
      <c r="C9" s="265"/>
      <c r="D9" s="265"/>
      <c r="E9" s="82" t="s">
        <v>7</v>
      </c>
      <c r="F9" s="105"/>
      <c r="H9" s="3"/>
      <c r="I9" s="55"/>
      <c r="J9" s="3"/>
      <c r="K9" s="300"/>
      <c r="L9" s="300"/>
      <c r="M9" s="143"/>
      <c r="N9" s="212"/>
    </row>
    <row r="10" spans="1:20" ht="7.5" customHeight="1">
      <c r="A10" s="80"/>
      <c r="B10" s="80"/>
      <c r="C10" s="62"/>
      <c r="D10" s="62"/>
      <c r="E10" s="80"/>
      <c r="F10" s="62"/>
      <c r="H10" s="3"/>
      <c r="I10" s="12" t="b">
        <v>0</v>
      </c>
      <c r="J10" s="3"/>
      <c r="K10" s="73"/>
      <c r="L10" s="74"/>
      <c r="M10" s="143"/>
      <c r="N10" s="212"/>
    </row>
    <row r="11" spans="1:20" ht="15.75">
      <c r="A11" s="254" t="s">
        <v>8</v>
      </c>
      <c r="B11" s="254"/>
      <c r="C11" s="267"/>
      <c r="D11" s="267"/>
      <c r="E11" s="83" t="s">
        <v>9</v>
      </c>
      <c r="F11" s="64"/>
      <c r="H11" s="3"/>
      <c r="I11" s="12"/>
      <c r="J11" s="3"/>
      <c r="K11" s="300"/>
      <c r="L11" s="300"/>
      <c r="M11" s="143"/>
      <c r="N11" s="212"/>
      <c r="S11" s="146"/>
      <c r="T11" s="146"/>
    </row>
    <row r="12" spans="1:20" ht="7.5" customHeight="1">
      <c r="A12" s="211"/>
      <c r="B12" s="211"/>
      <c r="C12" s="65"/>
      <c r="D12" s="65"/>
      <c r="E12" s="84"/>
      <c r="F12" s="51"/>
      <c r="H12" s="50"/>
      <c r="I12" s="55"/>
      <c r="J12" s="3"/>
      <c r="K12" s="50"/>
      <c r="L12" s="50"/>
      <c r="M12" s="143"/>
      <c r="N12" s="212"/>
      <c r="S12" s="146"/>
    </row>
    <row r="13" spans="1:20" ht="4.5" customHeight="1">
      <c r="A13" s="254"/>
      <c r="B13" s="254"/>
      <c r="C13" s="65"/>
      <c r="D13" s="65"/>
      <c r="E13" s="80"/>
      <c r="F13" s="62"/>
      <c r="H13" s="3"/>
      <c r="I13" s="55"/>
      <c r="J13" s="3"/>
      <c r="M13" s="143"/>
      <c r="N13" s="212"/>
    </row>
    <row r="14" spans="1:20" ht="16.5" customHeight="1">
      <c r="A14" s="305" t="s">
        <v>141</v>
      </c>
      <c r="B14" s="305"/>
      <c r="C14" s="306"/>
      <c r="D14" s="306"/>
      <c r="E14" s="196" t="s">
        <v>7</v>
      </c>
      <c r="F14" s="213"/>
      <c r="G14" s="52" t="b">
        <v>0</v>
      </c>
      <c r="H14" s="320" t="str">
        <f>IF($C$14="","",IF(AND($O$16&lt;&gt;$C$14,$O$16&lt;$F$9),"Achtung! Stundennachweis unterbrochen",""))</f>
        <v/>
      </c>
      <c r="I14" s="320"/>
      <c r="J14" s="320"/>
      <c r="K14" s="320"/>
      <c r="L14" s="320"/>
      <c r="M14" s="304" t="s">
        <v>21</v>
      </c>
      <c r="N14" s="304"/>
      <c r="O14" s="147"/>
    </row>
    <row r="15" spans="1:20" hidden="1">
      <c r="A15" s="43"/>
      <c r="B15" s="47"/>
      <c r="C15" s="262"/>
      <c r="D15" s="262"/>
      <c r="E15" s="14"/>
      <c r="F15" s="39"/>
      <c r="G15" s="52"/>
      <c r="H15" s="3"/>
      <c r="I15" s="3"/>
      <c r="J15" s="3"/>
      <c r="K15" s="263"/>
      <c r="L15" s="263"/>
      <c r="M15" s="216"/>
      <c r="N15" s="149"/>
      <c r="O15" s="147"/>
    </row>
    <row r="16" spans="1:20" ht="41.25" customHeight="1">
      <c r="A16" s="321" t="str">
        <f ca="1">IF(($C$14+30)&lt;$F$14,"                                       Bitte nur einen Monat angeben! ",IF(COUNTIF(R20:R50,1)&gt;0,"Hinweis: Es erfolgt keine Berechnung der Zukunftswerte",""))</f>
        <v/>
      </c>
      <c r="B16" s="321"/>
      <c r="C16" s="321"/>
      <c r="D16" s="321"/>
      <c r="E16" s="321"/>
      <c r="F16" s="321"/>
      <c r="G16" s="303" t="str">
        <f>IF(AND(Q58&lt;365,Q58&gt;300),"Ihnen verbleiben noch "&amp;(364-Q58)&amp;" Tage um Ihr Arbeitszeitkonto auszugleichen",IF(Q58&gt;365,"Sie haben Ihr Arbeitszeitkonto überschritten, bitte erstellen Sie ein neues Konto",""))</f>
        <v/>
      </c>
      <c r="H16" s="303"/>
      <c r="I16" s="303"/>
      <c r="J16" s="303"/>
      <c r="K16" s="303"/>
      <c r="L16" s="303"/>
      <c r="M16" s="153">
        <f ca="1">IF(AND($H$14="Achtung! Stundennachweis unterbrochen",'Blatt 6'!J52&gt;0),0,'Blatt 6'!J52)</f>
        <v>0</v>
      </c>
      <c r="N16" s="154">
        <f ca="1">+$M$16+$N$55</f>
        <v>0</v>
      </c>
      <c r="O16" s="155" t="str">
        <f>IF($F$9=$F$14,"",'Blatt 6'!$F$14+1)</f>
        <v/>
      </c>
    </row>
    <row r="17" spans="1:22" ht="18.75">
      <c r="A17" s="40"/>
      <c r="B17" s="264">
        <f ca="1">IF(ISBLANK($C$14),EOMONTH('Blatt 6'!$B$17,0)+1,DATE(YEAR($C$14),MONTH($C$14),1))</f>
        <v>42338</v>
      </c>
      <c r="C17" s="264"/>
      <c r="D17" s="264"/>
      <c r="E17" s="264"/>
      <c r="F17" s="264"/>
      <c r="G17" s="264"/>
      <c r="H17" s="264"/>
      <c r="I17" s="264"/>
      <c r="J17" s="264"/>
      <c r="K17" s="264"/>
      <c r="L17" s="41"/>
      <c r="M17" s="15"/>
      <c r="N17" s="212"/>
    </row>
    <row r="18" spans="1:22" ht="8.4499999999999993" customHeight="1" thickBot="1">
      <c r="A18" s="3"/>
      <c r="B18" s="3"/>
      <c r="C18" s="3"/>
      <c r="D18" s="3"/>
      <c r="E18" s="3"/>
      <c r="F18" s="3"/>
      <c r="G18" s="3"/>
      <c r="H18" s="3"/>
      <c r="I18" s="3"/>
      <c r="J18" s="3"/>
      <c r="K18" s="3"/>
      <c r="L18" s="3"/>
      <c r="M18" s="143"/>
      <c r="N18" s="212"/>
    </row>
    <row r="19" spans="1:22" s="17" customFormat="1" ht="42.75" customHeight="1" thickBot="1">
      <c r="A19" s="187" t="s">
        <v>10</v>
      </c>
      <c r="B19" s="277" t="s">
        <v>11</v>
      </c>
      <c r="C19" s="277"/>
      <c r="D19" s="278" t="s">
        <v>12</v>
      </c>
      <c r="E19" s="279"/>
      <c r="F19" s="86" t="s">
        <v>27</v>
      </c>
      <c r="G19" s="210" t="s">
        <v>13</v>
      </c>
      <c r="H19" s="86" t="s">
        <v>14</v>
      </c>
      <c r="I19" s="88"/>
      <c r="J19" s="89" t="s">
        <v>15</v>
      </c>
      <c r="K19" s="278" t="s">
        <v>16</v>
      </c>
      <c r="L19" s="280"/>
      <c r="M19" s="16" t="s">
        <v>17</v>
      </c>
      <c r="N19" s="16"/>
      <c r="O19" s="58" t="s">
        <v>24</v>
      </c>
      <c r="P19" s="126" t="s">
        <v>28</v>
      </c>
      <c r="Q19" s="126" t="s">
        <v>31</v>
      </c>
      <c r="R19" s="289" t="s">
        <v>49</v>
      </c>
      <c r="S19" s="289"/>
      <c r="T19" s="289"/>
    </row>
    <row r="20" spans="1:22" s="2" customFormat="1" ht="12.6" customHeight="1">
      <c r="A20" s="188">
        <f ca="1">($B$17+ROW(A1)-1)*(MONTH(B17+1)=MONTH($B$17))</f>
        <v>42338</v>
      </c>
      <c r="B20" s="271"/>
      <c r="C20" s="272"/>
      <c r="D20" s="273"/>
      <c r="E20" s="274"/>
      <c r="F20" s="209"/>
      <c r="G20" s="110" t="str">
        <f ca="1">IF(OR(A20&lt;$C$14,A20&gt;$F$14,$G$16="Sie haben Ihr Arbeitszeitkonto überschritten, bitte erstellen Sie ein neues Konto",A20&gt;TODAY()),"0,00",IF(ISBLANK($C$14),"0,00",(D20-B20-F20)))</f>
        <v>0,00</v>
      </c>
      <c r="H20" s="111">
        <f ca="1">IF(WEEKDAY(A20,2)=7,SUMIF($M$19:$M$50,M20,$G$19:$G$50),"")</f>
        <v>0</v>
      </c>
      <c r="I20" s="112">
        <f ca="1">IF(A20&lt;TODAY(),ROUND(SUM(G20-N20),7),0)</f>
        <v>0</v>
      </c>
      <c r="J20" s="156" t="str">
        <f t="shared" ref="J20:J24" ca="1" si="0">IF($G$16="Sie haben Ihr Arbeitszeitkonto überschritten, bitte erstellen Sie ein neues Konto","",IF(AND(A20&lt;TODAY(),WEEKDAY(A20,2)=7),I20+$N$16,""))</f>
        <v/>
      </c>
      <c r="K20" s="275" t="str">
        <f t="shared" ref="K20:K26" ca="1" si="1">IF(T20&lt;&gt;"",T20,IF(P20="1","Angaben überprüfen",IF(OR(A20&lt;$C$14,A20&gt;$F$14,G20="0,00"),"--------",IF(AND(G20&gt;(6/24),G20&lt;(9/24),F20&lt;0.5/24),"30 min. Pause erforderlich",IF(AND(G20&gt;=(9/24),F20&lt;0.75/24),"45 min. Pause erforderlich ","")))))</f>
        <v>--------</v>
      </c>
      <c r="L20" s="276"/>
      <c r="M20" s="93">
        <f ca="1">WEEKNUM(A20,2)</f>
        <v>48</v>
      </c>
      <c r="N20" s="94">
        <f ca="1">IF(AND(A20&gt;=$C$14,A20&lt;=$F$14),IF(AND(WEEKDAY(A20,2)=1,$K$3&gt;0),$K$3,IF(AND(WEEKDAY(A20,2)=2,$K$5&gt;0),$K$5,IF(AND(WEEKDAY(A20,2)=3,$K$7&gt;0),$K$7,IF(AND(WEEKDAY(A20,2)=4,$K$9&gt;0),$K$9,IF(AND(WEEKDAY(A20,2)=5,$K$11&gt;0),$K$11,IF(WEEKDAY(A20,2)&gt;5,0,0))))))/24,0)</f>
        <v>0</v>
      </c>
      <c r="O20" s="95">
        <f ca="1">IF(I20&lt;&gt;0,I20,0)</f>
        <v>0</v>
      </c>
      <c r="P20" s="120" t="str">
        <f ca="1">IF(AND(Q20="1",B20&gt;0),"1","")</f>
        <v/>
      </c>
      <c r="Q20" s="120" t="str">
        <f t="shared" ref="Q20:Q50" ca="1" si="2">IF(OR(A20&lt;$C$14,A20&gt;$F$14,A20&lt;$C$9,A20&gt;$F$9),"1","")</f>
        <v>1</v>
      </c>
      <c r="R20" s="184" t="str">
        <f t="shared" ref="R20:R50" ca="1" si="3">IF(AND(A20&gt;TODAY(),B20&gt;0),"1","")</f>
        <v/>
      </c>
      <c r="S20" s="185" t="e">
        <f t="shared" ref="S20:S50" ca="1" si="4">VLOOKUP(A20,$Q$77:$S$92,2,FALSE)</f>
        <v>#N/A</v>
      </c>
      <c r="T20" s="186" t="str">
        <f t="shared" ref="T20:T49" ca="1" si="5">IF(ISNA(S20),"",S20)</f>
        <v/>
      </c>
      <c r="U20" s="193" t="str">
        <f t="shared" ref="U20:U50" ca="1" si="6">IF(AND(WEEKDAY(A20,2)=1,$I$2=TRUE),"X",IF(AND(WEEKDAY(A20,2)=4,$I$8=TRUE),"X",IF(AND(WEEKDAY(A20,2)=5,$I$10=TRUE),"X",IF(AND(WEEKDAY(A20,2)=2,$I$4=TRUE),"X",IF(AND(WEEKDAY(A20,2)=3,$I$6=TRUE),"X","")
))))</f>
        <v/>
      </c>
      <c r="V20" s="197" t="str">
        <f ca="1">IF(AND(U20&lt;&gt;"",T20&lt;&gt;""),"!","")</f>
        <v/>
      </c>
    </row>
    <row r="21" spans="1:22" s="2" customFormat="1" ht="12.6" customHeight="1">
      <c r="A21" s="189">
        <f t="shared" ref="A21:A29" ca="1" si="7">($B$17+ROW(A2)-1)*(MONTH(A20+1)=MONTH($B$17))</f>
        <v>42339</v>
      </c>
      <c r="B21" s="271"/>
      <c r="C21" s="272"/>
      <c r="D21" s="273"/>
      <c r="E21" s="274"/>
      <c r="F21" s="205"/>
      <c r="G21" s="110" t="str">
        <f t="shared" ref="G21:G49" ca="1" si="8">IF(OR(A21&lt;$C$14,A21&gt;$F$14,$G$16="Sie haben Ihr Arbeitszeitkonto überschritten, bitte erstellen Sie ein neues Konto",A21&gt;TODAY()),"0,00",IF(ISBLANK($C$14),"0,00",(D21-B21-F21)))</f>
        <v>0,00</v>
      </c>
      <c r="H21" s="111" t="str">
        <f t="shared" ref="H21:H50" ca="1" si="9">IF(WEEKDAY(A21,2)=7,SUMIF($M$19:$M$50,M21,$G$19:$G$50),"")</f>
        <v/>
      </c>
      <c r="I21" s="112">
        <f t="shared" ref="I21:I50" ca="1" si="10">IF(A21&lt;TODAY(),ROUND(SUM(G21+I20-N21),7),0)</f>
        <v>0</v>
      </c>
      <c r="J21" s="157" t="str">
        <f t="shared" ca="1" si="0"/>
        <v/>
      </c>
      <c r="K21" s="275" t="str">
        <f t="shared" ca="1" si="1"/>
        <v>--------</v>
      </c>
      <c r="L21" s="276"/>
      <c r="M21" s="93">
        <f t="shared" ref="M21:M49" ca="1" si="11">WEEKNUM(A21,2)</f>
        <v>49</v>
      </c>
      <c r="N21" s="94">
        <f t="shared" ref="N21:N50" ca="1" si="12">IF(AND(A21&gt;=$C$14,A21&lt;=$F$14),IF(AND(WEEKDAY(A21,2)=1,$K$3&gt;0),$K$3,IF(AND(WEEKDAY(A21,2)=2,$K$5&gt;0),$K$5,IF(AND(WEEKDAY(A21,2)=3,$K$7&gt;0),$K$7,IF(AND(WEEKDAY(A21,2)=4,$K$9&gt;0),$K$9,IF(AND(WEEKDAY(A21,2)=5,$K$11&gt;0),$K$11,IF(WEEKDAY(A21,2)&gt;5,0,0))))))/24,0)</f>
        <v>0</v>
      </c>
      <c r="O21" s="95">
        <f t="shared" ref="O21:O50" ca="1" si="13">IF(I21&lt;&gt;0,I21,0)</f>
        <v>0</v>
      </c>
      <c r="P21" s="120" t="str">
        <f t="shared" ref="P21:P50" ca="1" si="14">IF(AND(Q21="1",B21&gt;0),"1","")</f>
        <v/>
      </c>
      <c r="Q21" s="120" t="str">
        <f t="shared" ca="1" si="2"/>
        <v>1</v>
      </c>
      <c r="R21" s="184" t="str">
        <f t="shared" ca="1" si="3"/>
        <v/>
      </c>
      <c r="S21" s="185" t="e">
        <f t="shared" ca="1" si="4"/>
        <v>#N/A</v>
      </c>
      <c r="T21" s="186" t="str">
        <f t="shared" ca="1" si="5"/>
        <v/>
      </c>
      <c r="U21" s="194" t="str">
        <f t="shared" ca="1" si="6"/>
        <v/>
      </c>
      <c r="V21" s="197" t="str">
        <f t="shared" ref="V21:V50" ca="1" si="15">IF(AND(U21&lt;&gt;"",T21&lt;&gt;""),"!","")</f>
        <v/>
      </c>
    </row>
    <row r="22" spans="1:22" s="2" customFormat="1" ht="12.6" customHeight="1">
      <c r="A22" s="189">
        <f t="shared" ca="1" si="7"/>
        <v>42340</v>
      </c>
      <c r="B22" s="285"/>
      <c r="C22" s="286"/>
      <c r="D22" s="273"/>
      <c r="E22" s="274"/>
      <c r="F22" s="205"/>
      <c r="G22" s="110" t="str">
        <f t="shared" ca="1" si="8"/>
        <v>0,00</v>
      </c>
      <c r="H22" s="111" t="str">
        <f t="shared" ca="1" si="9"/>
        <v/>
      </c>
      <c r="I22" s="112">
        <f t="shared" ca="1" si="10"/>
        <v>0</v>
      </c>
      <c r="J22" s="157" t="str">
        <f t="shared" ca="1" si="0"/>
        <v/>
      </c>
      <c r="K22" s="275" t="str">
        <f t="shared" ca="1" si="1"/>
        <v>--------</v>
      </c>
      <c r="L22" s="276"/>
      <c r="M22" s="93">
        <f t="shared" ca="1" si="11"/>
        <v>49</v>
      </c>
      <c r="N22" s="94">
        <f t="shared" ca="1" si="12"/>
        <v>0</v>
      </c>
      <c r="O22" s="95">
        <f t="shared" ca="1" si="13"/>
        <v>0</v>
      </c>
      <c r="P22" s="120" t="str">
        <f t="shared" ca="1" si="14"/>
        <v/>
      </c>
      <c r="Q22" s="120" t="str">
        <f t="shared" ca="1" si="2"/>
        <v>1</v>
      </c>
      <c r="R22" s="184" t="str">
        <f t="shared" ca="1" si="3"/>
        <v/>
      </c>
      <c r="S22" s="185" t="e">
        <f t="shared" ca="1" si="4"/>
        <v>#N/A</v>
      </c>
      <c r="T22" s="186" t="str">
        <f t="shared" ca="1" si="5"/>
        <v/>
      </c>
      <c r="U22" s="194" t="str">
        <f t="shared" ca="1" si="6"/>
        <v/>
      </c>
      <c r="V22" s="197" t="str">
        <f t="shared" ca="1" si="15"/>
        <v/>
      </c>
    </row>
    <row r="23" spans="1:22" s="2" customFormat="1" ht="12.6" customHeight="1">
      <c r="A23" s="189">
        <f t="shared" ca="1" si="7"/>
        <v>42341</v>
      </c>
      <c r="B23" s="285"/>
      <c r="C23" s="286"/>
      <c r="D23" s="273"/>
      <c r="E23" s="274"/>
      <c r="F23" s="205"/>
      <c r="G23" s="110" t="str">
        <f t="shared" ca="1" si="8"/>
        <v>0,00</v>
      </c>
      <c r="H23" s="111" t="str">
        <f t="shared" ca="1" si="9"/>
        <v/>
      </c>
      <c r="I23" s="112">
        <f t="shared" ca="1" si="10"/>
        <v>0</v>
      </c>
      <c r="J23" s="157" t="str">
        <f t="shared" ca="1" si="0"/>
        <v/>
      </c>
      <c r="K23" s="275" t="str">
        <f t="shared" ca="1" si="1"/>
        <v>--------</v>
      </c>
      <c r="L23" s="276"/>
      <c r="M23" s="93">
        <f t="shared" ca="1" si="11"/>
        <v>49</v>
      </c>
      <c r="N23" s="94">
        <f t="shared" ca="1" si="12"/>
        <v>0</v>
      </c>
      <c r="O23" s="95">
        <f t="shared" ca="1" si="13"/>
        <v>0</v>
      </c>
      <c r="P23" s="120" t="str">
        <f t="shared" ca="1" si="14"/>
        <v/>
      </c>
      <c r="Q23" s="120" t="str">
        <f t="shared" ca="1" si="2"/>
        <v>1</v>
      </c>
      <c r="R23" s="184" t="str">
        <f t="shared" ca="1" si="3"/>
        <v/>
      </c>
      <c r="S23" s="185" t="e">
        <f t="shared" ca="1" si="4"/>
        <v>#N/A</v>
      </c>
      <c r="T23" s="186" t="str">
        <f t="shared" ca="1" si="5"/>
        <v/>
      </c>
      <c r="U23" s="194" t="str">
        <f t="shared" ca="1" si="6"/>
        <v/>
      </c>
      <c r="V23" s="197" t="str">
        <f t="shared" ca="1" si="15"/>
        <v/>
      </c>
    </row>
    <row r="24" spans="1:22" s="2" customFormat="1" ht="12.6" customHeight="1">
      <c r="A24" s="190">
        <f t="shared" ca="1" si="7"/>
        <v>42342</v>
      </c>
      <c r="B24" s="281"/>
      <c r="C24" s="282"/>
      <c r="D24" s="283"/>
      <c r="E24" s="284"/>
      <c r="F24" s="208"/>
      <c r="G24" s="110" t="str">
        <f t="shared" ca="1" si="8"/>
        <v>0,00</v>
      </c>
      <c r="H24" s="111" t="str">
        <f t="shared" ca="1" si="9"/>
        <v/>
      </c>
      <c r="I24" s="112">
        <f t="shared" ca="1" si="10"/>
        <v>0</v>
      </c>
      <c r="J24" s="157" t="str">
        <f t="shared" ca="1" si="0"/>
        <v/>
      </c>
      <c r="K24" s="275" t="str">
        <f t="shared" ca="1" si="1"/>
        <v>--------</v>
      </c>
      <c r="L24" s="276"/>
      <c r="M24" s="93">
        <f t="shared" ca="1" si="11"/>
        <v>49</v>
      </c>
      <c r="N24" s="94">
        <f t="shared" ca="1" si="12"/>
        <v>0</v>
      </c>
      <c r="O24" s="95">
        <f t="shared" ca="1" si="13"/>
        <v>0</v>
      </c>
      <c r="P24" s="120" t="str">
        <f ca="1">IF(AND(Q24="1",B24&gt;0),"1","")</f>
        <v/>
      </c>
      <c r="Q24" s="120" t="str">
        <f t="shared" ca="1" si="2"/>
        <v>1</v>
      </c>
      <c r="R24" s="184" t="str">
        <f t="shared" ca="1" si="3"/>
        <v/>
      </c>
      <c r="S24" s="185" t="e">
        <f t="shared" ca="1" si="4"/>
        <v>#N/A</v>
      </c>
      <c r="T24" s="186" t="str">
        <f t="shared" ca="1" si="5"/>
        <v/>
      </c>
      <c r="U24" s="194" t="str">
        <f t="shared" ca="1" si="6"/>
        <v/>
      </c>
      <c r="V24" s="197" t="str">
        <f t="shared" ca="1" si="15"/>
        <v/>
      </c>
    </row>
    <row r="25" spans="1:22" s="18" customFormat="1" ht="12.6" customHeight="1">
      <c r="A25" s="190">
        <f t="shared" ca="1" si="7"/>
        <v>42343</v>
      </c>
      <c r="B25" s="281"/>
      <c r="C25" s="282"/>
      <c r="D25" s="283"/>
      <c r="E25" s="284"/>
      <c r="F25" s="207"/>
      <c r="G25" s="110" t="str">
        <f t="shared" ca="1" si="8"/>
        <v>0,00</v>
      </c>
      <c r="H25" s="111" t="str">
        <f t="shared" ca="1" si="9"/>
        <v/>
      </c>
      <c r="I25" s="112">
        <f t="shared" ca="1" si="10"/>
        <v>0</v>
      </c>
      <c r="J25" s="157" t="str">
        <f ca="1">IF($G$16="Sie haben Ihr Arbeitszeitkonto überschritten, bitte erstellen Sie ein neues Konto","",IF(AND(A25&lt;TODAY(),WEEKDAY(A25,2)=7),I25+$N$16,""))</f>
        <v/>
      </c>
      <c r="K25" s="275" t="str">
        <f t="shared" ca="1" si="1"/>
        <v>--------</v>
      </c>
      <c r="L25" s="276"/>
      <c r="M25" s="93">
        <f t="shared" ca="1" si="11"/>
        <v>49</v>
      </c>
      <c r="N25" s="94">
        <f t="shared" ca="1" si="12"/>
        <v>0</v>
      </c>
      <c r="O25" s="95">
        <f t="shared" ca="1" si="13"/>
        <v>0</v>
      </c>
      <c r="P25" s="120" t="str">
        <f t="shared" ca="1" si="14"/>
        <v/>
      </c>
      <c r="Q25" s="120" t="str">
        <f t="shared" ca="1" si="2"/>
        <v>1</v>
      </c>
      <c r="R25" s="184" t="str">
        <f t="shared" ca="1" si="3"/>
        <v/>
      </c>
      <c r="S25" s="185" t="e">
        <f t="shared" ca="1" si="4"/>
        <v>#N/A</v>
      </c>
      <c r="T25" s="186" t="str">
        <f t="shared" ca="1" si="5"/>
        <v/>
      </c>
      <c r="U25" s="194" t="str">
        <f t="shared" ca="1" si="6"/>
        <v/>
      </c>
      <c r="V25" s="197" t="str">
        <f t="shared" ca="1" si="15"/>
        <v/>
      </c>
    </row>
    <row r="26" spans="1:22" s="18" customFormat="1" ht="12.6" customHeight="1">
      <c r="A26" s="190">
        <f t="shared" ca="1" si="7"/>
        <v>42344</v>
      </c>
      <c r="B26" s="301"/>
      <c r="C26" s="324"/>
      <c r="D26" s="301"/>
      <c r="E26" s="324"/>
      <c r="F26" s="117"/>
      <c r="G26" s="110" t="str">
        <f t="shared" ca="1" si="8"/>
        <v>0,00</v>
      </c>
      <c r="H26" s="111" t="str">
        <f t="shared" ca="1" si="9"/>
        <v/>
      </c>
      <c r="I26" s="112">
        <f t="shared" ca="1" si="10"/>
        <v>0</v>
      </c>
      <c r="J26" s="157" t="str">
        <f t="shared" ref="J26:J50" ca="1" si="16">IF($G$16="Sie haben Ihr Arbeitszeitkonto überschritten, bitte erstellen Sie ein neues Konto","",IF(AND(A26&lt;TODAY(),WEEKDAY(A26,2)=7),I26+$N$16,""))</f>
        <v/>
      </c>
      <c r="K26" s="275" t="str">
        <f t="shared" ca="1" si="1"/>
        <v>--------</v>
      </c>
      <c r="L26" s="276"/>
      <c r="M26" s="93">
        <f t="shared" ca="1" si="11"/>
        <v>49</v>
      </c>
      <c r="N26" s="94">
        <f t="shared" ca="1" si="12"/>
        <v>0</v>
      </c>
      <c r="O26" s="95">
        <f t="shared" ca="1" si="13"/>
        <v>0</v>
      </c>
      <c r="P26" s="120" t="str">
        <f t="shared" ca="1" si="14"/>
        <v/>
      </c>
      <c r="Q26" s="120" t="str">
        <f t="shared" ca="1" si="2"/>
        <v>1</v>
      </c>
      <c r="R26" s="184" t="str">
        <f t="shared" ca="1" si="3"/>
        <v/>
      </c>
      <c r="S26" s="185" t="e">
        <f t="shared" ca="1" si="4"/>
        <v>#N/A</v>
      </c>
      <c r="T26" s="186" t="str">
        <f t="shared" ca="1" si="5"/>
        <v/>
      </c>
      <c r="U26" s="194" t="str">
        <f t="shared" ca="1" si="6"/>
        <v/>
      </c>
      <c r="V26" s="197" t="str">
        <f t="shared" ca="1" si="15"/>
        <v/>
      </c>
    </row>
    <row r="27" spans="1:22" ht="12.6" customHeight="1">
      <c r="A27" s="190">
        <f t="shared" ca="1" si="7"/>
        <v>42345</v>
      </c>
      <c r="B27" s="301"/>
      <c r="C27" s="324"/>
      <c r="D27" s="273"/>
      <c r="E27" s="325"/>
      <c r="F27" s="217"/>
      <c r="G27" s="110" t="str">
        <f t="shared" ca="1" si="8"/>
        <v>0,00</v>
      </c>
      <c r="H27" s="111">
        <f t="shared" ca="1" si="9"/>
        <v>0</v>
      </c>
      <c r="I27" s="112">
        <f t="shared" ca="1" si="10"/>
        <v>0</v>
      </c>
      <c r="J27" s="157" t="str">
        <f t="shared" ca="1" si="16"/>
        <v/>
      </c>
      <c r="K27" s="275" t="str">
        <f ca="1">IF(T27&lt;&gt;"",T27,IF(P27="1","Angaben überprüfen",IF(OR(A27&lt;$C$14,A27&gt;$F$14,G27="0,00"),"--------",IF(AND(G27&gt;(6/24),G27&lt;(9/24),F27&lt;0.5/24),"30 min. Pause erforderlich",IF(AND(G27&gt;=(9/24),F27&lt;0.75/24),"45 min. Pause erforderlich ","")))))</f>
        <v>--------</v>
      </c>
      <c r="L27" s="276"/>
      <c r="M27" s="93">
        <f t="shared" ca="1" si="11"/>
        <v>49</v>
      </c>
      <c r="N27" s="94">
        <f t="shared" ca="1" si="12"/>
        <v>0</v>
      </c>
      <c r="O27" s="95">
        <f t="shared" ca="1" si="13"/>
        <v>0</v>
      </c>
      <c r="P27" s="120" t="str">
        <f t="shared" ca="1" si="14"/>
        <v/>
      </c>
      <c r="Q27" s="120" t="str">
        <f t="shared" ca="1" si="2"/>
        <v>1</v>
      </c>
      <c r="R27" s="184" t="str">
        <f t="shared" ca="1" si="3"/>
        <v/>
      </c>
      <c r="S27" s="185" t="e">
        <f t="shared" ca="1" si="4"/>
        <v>#N/A</v>
      </c>
      <c r="T27" s="186" t="str">
        <f t="shared" ca="1" si="5"/>
        <v/>
      </c>
      <c r="U27" s="194" t="str">
        <f t="shared" ca="1" si="6"/>
        <v/>
      </c>
      <c r="V27" s="197" t="str">
        <f t="shared" ca="1" si="15"/>
        <v/>
      </c>
    </row>
    <row r="28" spans="1:22" ht="12.6" customHeight="1">
      <c r="A28" s="190">
        <f t="shared" ca="1" si="7"/>
        <v>42346</v>
      </c>
      <c r="B28" s="301"/>
      <c r="C28" s="324"/>
      <c r="D28" s="273"/>
      <c r="E28" s="325"/>
      <c r="F28" s="217"/>
      <c r="G28" s="110" t="str">
        <f t="shared" ca="1" si="8"/>
        <v>0,00</v>
      </c>
      <c r="H28" s="111" t="str">
        <f t="shared" ca="1" si="9"/>
        <v/>
      </c>
      <c r="I28" s="112">
        <f t="shared" ca="1" si="10"/>
        <v>0</v>
      </c>
      <c r="J28" s="157" t="str">
        <f t="shared" ca="1" si="16"/>
        <v/>
      </c>
      <c r="K28" s="275" t="str">
        <f t="shared" ref="K28:K50" ca="1" si="17">IF(T28&lt;&gt;"",T28,IF(P28="1","Angaben überprüfen",IF(OR(A28&lt;$C$14,A28&gt;$F$14,G28="0,00"),"--------",IF(AND(G28&gt;(6/24),G28&lt;(9/24),F28&lt;0.5/24),"30 min. Pause erforderlich",IF(AND(G28&gt;=(9/24),F28&lt;0.75/24),"45 min. Pause erforderlich ","")))))</f>
        <v>--------</v>
      </c>
      <c r="L28" s="276"/>
      <c r="M28" s="93">
        <f t="shared" ca="1" si="11"/>
        <v>50</v>
      </c>
      <c r="N28" s="94">
        <f t="shared" ca="1" si="12"/>
        <v>0</v>
      </c>
      <c r="O28" s="95">
        <f t="shared" ca="1" si="13"/>
        <v>0</v>
      </c>
      <c r="P28" s="120" t="str">
        <f t="shared" ca="1" si="14"/>
        <v/>
      </c>
      <c r="Q28" s="120" t="str">
        <f t="shared" ca="1" si="2"/>
        <v>1</v>
      </c>
      <c r="R28" s="184" t="str">
        <f t="shared" ca="1" si="3"/>
        <v/>
      </c>
      <c r="S28" s="185" t="e">
        <f t="shared" ca="1" si="4"/>
        <v>#N/A</v>
      </c>
      <c r="T28" s="186" t="str">
        <f t="shared" ca="1" si="5"/>
        <v/>
      </c>
      <c r="U28" s="194" t="str">
        <f t="shared" ca="1" si="6"/>
        <v/>
      </c>
      <c r="V28" s="197" t="str">
        <f t="shared" ca="1" si="15"/>
        <v/>
      </c>
    </row>
    <row r="29" spans="1:22" ht="12.6" customHeight="1">
      <c r="A29" s="190">
        <f t="shared" ca="1" si="7"/>
        <v>42347</v>
      </c>
      <c r="B29" s="285"/>
      <c r="C29" s="286"/>
      <c r="D29" s="273"/>
      <c r="E29" s="274"/>
      <c r="F29" s="206"/>
      <c r="G29" s="110" t="str">
        <f t="shared" ca="1" si="8"/>
        <v>0,00</v>
      </c>
      <c r="H29" s="111" t="str">
        <f t="shared" ca="1" si="9"/>
        <v/>
      </c>
      <c r="I29" s="112">
        <f t="shared" ca="1" si="10"/>
        <v>0</v>
      </c>
      <c r="J29" s="157" t="str">
        <f t="shared" ca="1" si="16"/>
        <v/>
      </c>
      <c r="K29" s="275" t="str">
        <f t="shared" ca="1" si="17"/>
        <v>--------</v>
      </c>
      <c r="L29" s="276"/>
      <c r="M29" s="93">
        <f t="shared" ca="1" si="11"/>
        <v>50</v>
      </c>
      <c r="N29" s="94">
        <f t="shared" ca="1" si="12"/>
        <v>0</v>
      </c>
      <c r="O29" s="95">
        <f t="shared" ca="1" si="13"/>
        <v>0</v>
      </c>
      <c r="P29" s="120" t="str">
        <f t="shared" ca="1" si="14"/>
        <v/>
      </c>
      <c r="Q29" s="120" t="str">
        <f t="shared" ca="1" si="2"/>
        <v>1</v>
      </c>
      <c r="R29" s="184" t="str">
        <f t="shared" ca="1" si="3"/>
        <v/>
      </c>
      <c r="S29" s="185" t="e">
        <f t="shared" ca="1" si="4"/>
        <v>#N/A</v>
      </c>
      <c r="T29" s="186" t="str">
        <f t="shared" ca="1" si="5"/>
        <v/>
      </c>
      <c r="U29" s="194" t="str">
        <f t="shared" ca="1" si="6"/>
        <v/>
      </c>
      <c r="V29" s="197" t="str">
        <f t="shared" ca="1" si="15"/>
        <v/>
      </c>
    </row>
    <row r="30" spans="1:22" ht="12.6" customHeight="1">
      <c r="A30" s="189">
        <f ca="1">($B$17+ROW(A11)-1)*(MONTH(A27+1)=MONTH($B$17))</f>
        <v>42348</v>
      </c>
      <c r="B30" s="285"/>
      <c r="C30" s="286"/>
      <c r="D30" s="273"/>
      <c r="E30" s="274"/>
      <c r="F30" s="206"/>
      <c r="G30" s="110" t="str">
        <f t="shared" ca="1" si="8"/>
        <v>0,00</v>
      </c>
      <c r="H30" s="111" t="str">
        <f t="shared" ca="1" si="9"/>
        <v/>
      </c>
      <c r="I30" s="112">
        <f t="shared" ca="1" si="10"/>
        <v>0</v>
      </c>
      <c r="J30" s="157" t="str">
        <f t="shared" ca="1" si="16"/>
        <v/>
      </c>
      <c r="K30" s="275" t="str">
        <f t="shared" ca="1" si="17"/>
        <v>--------</v>
      </c>
      <c r="L30" s="276"/>
      <c r="M30" s="93">
        <f t="shared" ca="1" si="11"/>
        <v>50</v>
      </c>
      <c r="N30" s="94">
        <f t="shared" ca="1" si="12"/>
        <v>0</v>
      </c>
      <c r="O30" s="95">
        <f t="shared" ca="1" si="13"/>
        <v>0</v>
      </c>
      <c r="P30" s="120" t="str">
        <f t="shared" ca="1" si="14"/>
        <v/>
      </c>
      <c r="Q30" s="120" t="str">
        <f t="shared" ca="1" si="2"/>
        <v>1</v>
      </c>
      <c r="R30" s="184" t="str">
        <f t="shared" ca="1" si="3"/>
        <v/>
      </c>
      <c r="S30" s="185" t="e">
        <f t="shared" ca="1" si="4"/>
        <v>#N/A</v>
      </c>
      <c r="T30" s="186" t="str">
        <f t="shared" ca="1" si="5"/>
        <v/>
      </c>
      <c r="U30" s="194" t="str">
        <f t="shared" ca="1" si="6"/>
        <v/>
      </c>
      <c r="V30" s="197" t="str">
        <f t="shared" ca="1" si="15"/>
        <v/>
      </c>
    </row>
    <row r="31" spans="1:22" ht="12.6" customHeight="1">
      <c r="A31" s="189">
        <f ca="1">($B$17+ROW(A12)-1)*(MONTH(A28+1)=MONTH($B$17))</f>
        <v>42349</v>
      </c>
      <c r="B31" s="281"/>
      <c r="C31" s="282"/>
      <c r="D31" s="283"/>
      <c r="E31" s="284"/>
      <c r="F31" s="206"/>
      <c r="G31" s="110" t="str">
        <f t="shared" ca="1" si="8"/>
        <v>0,00</v>
      </c>
      <c r="H31" s="111" t="str">
        <f t="shared" ca="1" si="9"/>
        <v/>
      </c>
      <c r="I31" s="112">
        <f t="shared" ca="1" si="10"/>
        <v>0</v>
      </c>
      <c r="J31" s="157" t="str">
        <f t="shared" ca="1" si="16"/>
        <v/>
      </c>
      <c r="K31" s="275" t="str">
        <f t="shared" ca="1" si="17"/>
        <v>--------</v>
      </c>
      <c r="L31" s="276"/>
      <c r="M31" s="93">
        <f t="shared" ca="1" si="11"/>
        <v>50</v>
      </c>
      <c r="N31" s="94">
        <f t="shared" ca="1" si="12"/>
        <v>0</v>
      </c>
      <c r="O31" s="95">
        <f t="shared" ca="1" si="13"/>
        <v>0</v>
      </c>
      <c r="P31" s="120" t="str">
        <f t="shared" ca="1" si="14"/>
        <v/>
      </c>
      <c r="Q31" s="120" t="str">
        <f t="shared" ca="1" si="2"/>
        <v>1</v>
      </c>
      <c r="R31" s="184" t="str">
        <f t="shared" ca="1" si="3"/>
        <v/>
      </c>
      <c r="S31" s="185" t="e">
        <f t="shared" ca="1" si="4"/>
        <v>#N/A</v>
      </c>
      <c r="T31" s="186" t="str">
        <f t="shared" ca="1" si="5"/>
        <v/>
      </c>
      <c r="U31" s="194" t="str">
        <f t="shared" ca="1" si="6"/>
        <v/>
      </c>
      <c r="V31" s="197" t="str">
        <f t="shared" ca="1" si="15"/>
        <v/>
      </c>
    </row>
    <row r="32" spans="1:22" ht="12.6" customHeight="1">
      <c r="A32" s="189">
        <f ca="1">($B$17+ROW(A13)-1)*(MONTH(A30+1)=MONTH($B$17))</f>
        <v>42350</v>
      </c>
      <c r="B32" s="285"/>
      <c r="C32" s="286"/>
      <c r="D32" s="301"/>
      <c r="E32" s="276"/>
      <c r="F32" s="206"/>
      <c r="G32" s="110" t="str">
        <f t="shared" ca="1" si="8"/>
        <v>0,00</v>
      </c>
      <c r="H32" s="111" t="str">
        <f t="shared" ca="1" si="9"/>
        <v/>
      </c>
      <c r="I32" s="112">
        <f t="shared" ca="1" si="10"/>
        <v>0</v>
      </c>
      <c r="J32" s="157" t="str">
        <f t="shared" ca="1" si="16"/>
        <v/>
      </c>
      <c r="K32" s="275" t="str">
        <f t="shared" ca="1" si="17"/>
        <v>--------</v>
      </c>
      <c r="L32" s="276"/>
      <c r="M32" s="93">
        <f t="shared" ca="1" si="11"/>
        <v>50</v>
      </c>
      <c r="N32" s="94">
        <f t="shared" ca="1" si="12"/>
        <v>0</v>
      </c>
      <c r="O32" s="95">
        <f t="shared" ca="1" si="13"/>
        <v>0</v>
      </c>
      <c r="P32" s="120" t="str">
        <f t="shared" ca="1" si="14"/>
        <v/>
      </c>
      <c r="Q32" s="120" t="str">
        <f t="shared" ca="1" si="2"/>
        <v>1</v>
      </c>
      <c r="R32" s="184" t="str">
        <f t="shared" ca="1" si="3"/>
        <v/>
      </c>
      <c r="S32" s="185" t="e">
        <f t="shared" ca="1" si="4"/>
        <v>#N/A</v>
      </c>
      <c r="T32" s="186" t="str">
        <f t="shared" ca="1" si="5"/>
        <v/>
      </c>
      <c r="U32" s="194" t="str">
        <f t="shared" ca="1" si="6"/>
        <v/>
      </c>
      <c r="V32" s="197" t="str">
        <f t="shared" ca="1" si="15"/>
        <v/>
      </c>
    </row>
    <row r="33" spans="1:22" ht="12.6" customHeight="1">
      <c r="A33" s="189">
        <f t="shared" ref="A33:A50" ca="1" si="18">($B$17+ROW(A14)-1)*(MONTH(A32+1)=MONTH($B$17))</f>
        <v>42351</v>
      </c>
      <c r="B33" s="285"/>
      <c r="C33" s="286"/>
      <c r="D33" s="273"/>
      <c r="E33" s="274"/>
      <c r="F33" s="206"/>
      <c r="G33" s="110" t="str">
        <f t="shared" ca="1" si="8"/>
        <v>0,00</v>
      </c>
      <c r="H33" s="111" t="str">
        <f t="shared" ca="1" si="9"/>
        <v/>
      </c>
      <c r="I33" s="112">
        <f t="shared" ca="1" si="10"/>
        <v>0</v>
      </c>
      <c r="J33" s="157" t="str">
        <f t="shared" ca="1" si="16"/>
        <v/>
      </c>
      <c r="K33" s="275" t="str">
        <f t="shared" ca="1" si="17"/>
        <v>--------</v>
      </c>
      <c r="L33" s="276"/>
      <c r="M33" s="93">
        <f t="shared" ca="1" si="11"/>
        <v>50</v>
      </c>
      <c r="N33" s="94">
        <f t="shared" ca="1" si="12"/>
        <v>0</v>
      </c>
      <c r="O33" s="95">
        <f t="shared" ca="1" si="13"/>
        <v>0</v>
      </c>
      <c r="P33" s="120" t="str">
        <f t="shared" ca="1" si="14"/>
        <v/>
      </c>
      <c r="Q33" s="120" t="str">
        <f t="shared" ca="1" si="2"/>
        <v>1</v>
      </c>
      <c r="R33" s="184" t="str">
        <f t="shared" ca="1" si="3"/>
        <v/>
      </c>
      <c r="S33" s="185" t="e">
        <f t="shared" ca="1" si="4"/>
        <v>#N/A</v>
      </c>
      <c r="T33" s="186" t="str">
        <f t="shared" ca="1" si="5"/>
        <v/>
      </c>
      <c r="U33" s="194" t="str">
        <f t="shared" ca="1" si="6"/>
        <v/>
      </c>
      <c r="V33" s="197" t="str">
        <f t="shared" ca="1" si="15"/>
        <v/>
      </c>
    </row>
    <row r="34" spans="1:22" ht="12.6" customHeight="1">
      <c r="A34" s="189">
        <f t="shared" ca="1" si="18"/>
        <v>42352</v>
      </c>
      <c r="B34" s="285"/>
      <c r="C34" s="286"/>
      <c r="D34" s="273"/>
      <c r="E34" s="274"/>
      <c r="F34" s="206"/>
      <c r="G34" s="110" t="str">
        <f t="shared" ca="1" si="8"/>
        <v>0,00</v>
      </c>
      <c r="H34" s="111">
        <f t="shared" ca="1" si="9"/>
        <v>0</v>
      </c>
      <c r="I34" s="112">
        <f t="shared" ca="1" si="10"/>
        <v>0</v>
      </c>
      <c r="J34" s="157" t="str">
        <f t="shared" ca="1" si="16"/>
        <v/>
      </c>
      <c r="K34" s="275" t="str">
        <f t="shared" ca="1" si="17"/>
        <v>--------</v>
      </c>
      <c r="L34" s="276"/>
      <c r="M34" s="93">
        <f t="shared" ca="1" si="11"/>
        <v>50</v>
      </c>
      <c r="N34" s="94">
        <f t="shared" ca="1" si="12"/>
        <v>0</v>
      </c>
      <c r="O34" s="95">
        <f t="shared" ca="1" si="13"/>
        <v>0</v>
      </c>
      <c r="P34" s="120" t="str">
        <f t="shared" ca="1" si="14"/>
        <v/>
      </c>
      <c r="Q34" s="120" t="str">
        <f t="shared" ca="1" si="2"/>
        <v>1</v>
      </c>
      <c r="R34" s="184" t="str">
        <f t="shared" ca="1" si="3"/>
        <v/>
      </c>
      <c r="S34" s="185" t="e">
        <f t="shared" ca="1" si="4"/>
        <v>#N/A</v>
      </c>
      <c r="T34" s="186" t="str">
        <f t="shared" ca="1" si="5"/>
        <v/>
      </c>
      <c r="U34" s="194" t="str">
        <f t="shared" ca="1" si="6"/>
        <v/>
      </c>
      <c r="V34" s="197" t="str">
        <f t="shared" ca="1" si="15"/>
        <v/>
      </c>
    </row>
    <row r="35" spans="1:22" ht="12.6" customHeight="1">
      <c r="A35" s="189">
        <f t="shared" ca="1" si="18"/>
        <v>42353</v>
      </c>
      <c r="B35" s="285"/>
      <c r="C35" s="286"/>
      <c r="D35" s="273"/>
      <c r="E35" s="274"/>
      <c r="F35" s="206"/>
      <c r="G35" s="110" t="str">
        <f t="shared" ca="1" si="8"/>
        <v>0,00</v>
      </c>
      <c r="H35" s="111" t="str">
        <f t="shared" ca="1" si="9"/>
        <v/>
      </c>
      <c r="I35" s="112">
        <f t="shared" ca="1" si="10"/>
        <v>0</v>
      </c>
      <c r="J35" s="157" t="str">
        <f t="shared" ca="1" si="16"/>
        <v/>
      </c>
      <c r="K35" s="275" t="str">
        <f t="shared" ca="1" si="17"/>
        <v>--------</v>
      </c>
      <c r="L35" s="276"/>
      <c r="M35" s="93">
        <f t="shared" ca="1" si="11"/>
        <v>51</v>
      </c>
      <c r="N35" s="94">
        <f t="shared" ca="1" si="12"/>
        <v>0</v>
      </c>
      <c r="O35" s="95">
        <f t="shared" ca="1" si="13"/>
        <v>0</v>
      </c>
      <c r="P35" s="120" t="str">
        <f t="shared" ca="1" si="14"/>
        <v/>
      </c>
      <c r="Q35" s="120" t="str">
        <f t="shared" ca="1" si="2"/>
        <v>1</v>
      </c>
      <c r="R35" s="184" t="str">
        <f t="shared" ca="1" si="3"/>
        <v/>
      </c>
      <c r="S35" s="185" t="e">
        <f t="shared" ca="1" si="4"/>
        <v>#N/A</v>
      </c>
      <c r="T35" s="186" t="str">
        <f t="shared" ca="1" si="5"/>
        <v/>
      </c>
      <c r="U35" s="194" t="str">
        <f t="shared" ca="1" si="6"/>
        <v/>
      </c>
      <c r="V35" s="197" t="str">
        <f t="shared" ca="1" si="15"/>
        <v/>
      </c>
    </row>
    <row r="36" spans="1:22" ht="12.6" customHeight="1">
      <c r="A36" s="189">
        <f t="shared" ca="1" si="18"/>
        <v>42354</v>
      </c>
      <c r="B36" s="285"/>
      <c r="C36" s="286"/>
      <c r="D36" s="273"/>
      <c r="E36" s="274"/>
      <c r="F36" s="205"/>
      <c r="G36" s="110" t="str">
        <f t="shared" ca="1" si="8"/>
        <v>0,00</v>
      </c>
      <c r="H36" s="111" t="str">
        <f t="shared" ca="1" si="9"/>
        <v/>
      </c>
      <c r="I36" s="112">
        <f t="shared" ca="1" si="10"/>
        <v>0</v>
      </c>
      <c r="J36" s="157" t="str">
        <f t="shared" ca="1" si="16"/>
        <v/>
      </c>
      <c r="K36" s="275" t="str">
        <f t="shared" ca="1" si="17"/>
        <v>--------</v>
      </c>
      <c r="L36" s="276"/>
      <c r="M36" s="93">
        <f t="shared" ca="1" si="11"/>
        <v>51</v>
      </c>
      <c r="N36" s="94">
        <f t="shared" ca="1" si="12"/>
        <v>0</v>
      </c>
      <c r="O36" s="95">
        <f t="shared" ca="1" si="13"/>
        <v>0</v>
      </c>
      <c r="P36" s="120" t="str">
        <f t="shared" ca="1" si="14"/>
        <v/>
      </c>
      <c r="Q36" s="120" t="str">
        <f t="shared" ca="1" si="2"/>
        <v>1</v>
      </c>
      <c r="R36" s="184" t="str">
        <f t="shared" ca="1" si="3"/>
        <v/>
      </c>
      <c r="S36" s="185" t="e">
        <f t="shared" ca="1" si="4"/>
        <v>#N/A</v>
      </c>
      <c r="T36" s="186" t="str">
        <f t="shared" ca="1" si="5"/>
        <v/>
      </c>
      <c r="U36" s="194" t="str">
        <f t="shared" ca="1" si="6"/>
        <v/>
      </c>
      <c r="V36" s="197" t="str">
        <f t="shared" ca="1" si="15"/>
        <v/>
      </c>
    </row>
    <row r="37" spans="1:22" ht="12.6" customHeight="1">
      <c r="A37" s="189">
        <f t="shared" ca="1" si="18"/>
        <v>42355</v>
      </c>
      <c r="B37" s="285"/>
      <c r="C37" s="286"/>
      <c r="D37" s="273"/>
      <c r="E37" s="274"/>
      <c r="F37" s="205"/>
      <c r="G37" s="110" t="str">
        <f t="shared" ca="1" si="8"/>
        <v>0,00</v>
      </c>
      <c r="H37" s="111" t="str">
        <f t="shared" ca="1" si="9"/>
        <v/>
      </c>
      <c r="I37" s="112">
        <f t="shared" ca="1" si="10"/>
        <v>0</v>
      </c>
      <c r="J37" s="157" t="str">
        <f t="shared" ca="1" si="16"/>
        <v/>
      </c>
      <c r="K37" s="275" t="str">
        <f t="shared" ca="1" si="17"/>
        <v>--------</v>
      </c>
      <c r="L37" s="276"/>
      <c r="M37" s="93">
        <f t="shared" ca="1" si="11"/>
        <v>51</v>
      </c>
      <c r="N37" s="94">
        <f t="shared" ca="1" si="12"/>
        <v>0</v>
      </c>
      <c r="O37" s="95">
        <f t="shared" ca="1" si="13"/>
        <v>0</v>
      </c>
      <c r="P37" s="120" t="str">
        <f t="shared" ca="1" si="14"/>
        <v/>
      </c>
      <c r="Q37" s="120" t="str">
        <f t="shared" ca="1" si="2"/>
        <v>1</v>
      </c>
      <c r="R37" s="184" t="str">
        <f t="shared" ca="1" si="3"/>
        <v/>
      </c>
      <c r="S37" s="185" t="e">
        <f t="shared" ca="1" si="4"/>
        <v>#N/A</v>
      </c>
      <c r="T37" s="186" t="str">
        <f t="shared" ca="1" si="5"/>
        <v/>
      </c>
      <c r="U37" s="194" t="str">
        <f t="shared" ca="1" si="6"/>
        <v/>
      </c>
      <c r="V37" s="197" t="str">
        <f t="shared" ca="1" si="15"/>
        <v/>
      </c>
    </row>
    <row r="38" spans="1:22" ht="12.6" customHeight="1">
      <c r="A38" s="189">
        <f t="shared" ca="1" si="18"/>
        <v>42356</v>
      </c>
      <c r="B38" s="281"/>
      <c r="C38" s="282"/>
      <c r="D38" s="283"/>
      <c r="E38" s="284"/>
      <c r="F38" s="206"/>
      <c r="G38" s="110" t="str">
        <f t="shared" ca="1" si="8"/>
        <v>0,00</v>
      </c>
      <c r="H38" s="111" t="str">
        <f t="shared" ca="1" si="9"/>
        <v/>
      </c>
      <c r="I38" s="112">
        <f t="shared" ca="1" si="10"/>
        <v>0</v>
      </c>
      <c r="J38" s="157" t="str">
        <f t="shared" ca="1" si="16"/>
        <v/>
      </c>
      <c r="K38" s="275" t="str">
        <f t="shared" ca="1" si="17"/>
        <v>--------</v>
      </c>
      <c r="L38" s="276"/>
      <c r="M38" s="93">
        <f t="shared" ca="1" si="11"/>
        <v>51</v>
      </c>
      <c r="N38" s="94">
        <f t="shared" ca="1" si="12"/>
        <v>0</v>
      </c>
      <c r="O38" s="95">
        <f t="shared" ca="1" si="13"/>
        <v>0</v>
      </c>
      <c r="P38" s="120" t="str">
        <f t="shared" ca="1" si="14"/>
        <v/>
      </c>
      <c r="Q38" s="120" t="str">
        <f t="shared" ca="1" si="2"/>
        <v>1</v>
      </c>
      <c r="R38" s="184" t="str">
        <f t="shared" ca="1" si="3"/>
        <v/>
      </c>
      <c r="S38" s="185" t="e">
        <f t="shared" ca="1" si="4"/>
        <v>#N/A</v>
      </c>
      <c r="T38" s="186" t="str">
        <f t="shared" ca="1" si="5"/>
        <v/>
      </c>
      <c r="U38" s="194" t="str">
        <f t="shared" ca="1" si="6"/>
        <v/>
      </c>
      <c r="V38" s="197" t="str">
        <f t="shared" ca="1" si="15"/>
        <v/>
      </c>
    </row>
    <row r="39" spans="1:22" ht="12.6" customHeight="1">
      <c r="A39" s="189">
        <f t="shared" ca="1" si="18"/>
        <v>42357</v>
      </c>
      <c r="B39" s="285"/>
      <c r="C39" s="286"/>
      <c r="D39" s="301"/>
      <c r="E39" s="276"/>
      <c r="F39" s="206"/>
      <c r="G39" s="110" t="str">
        <f t="shared" ca="1" si="8"/>
        <v>0,00</v>
      </c>
      <c r="H39" s="111" t="str">
        <f t="shared" ca="1" si="9"/>
        <v/>
      </c>
      <c r="I39" s="112">
        <f t="shared" ca="1" si="10"/>
        <v>0</v>
      </c>
      <c r="J39" s="157" t="str">
        <f t="shared" ca="1" si="16"/>
        <v/>
      </c>
      <c r="K39" s="275" t="str">
        <f t="shared" ca="1" si="17"/>
        <v>--------</v>
      </c>
      <c r="L39" s="276"/>
      <c r="M39" s="93">
        <f t="shared" ca="1" si="11"/>
        <v>51</v>
      </c>
      <c r="N39" s="94">
        <f t="shared" ca="1" si="12"/>
        <v>0</v>
      </c>
      <c r="O39" s="95">
        <f t="shared" ca="1" si="13"/>
        <v>0</v>
      </c>
      <c r="P39" s="120" t="str">
        <f t="shared" ca="1" si="14"/>
        <v/>
      </c>
      <c r="Q39" s="120" t="str">
        <f t="shared" ca="1" si="2"/>
        <v>1</v>
      </c>
      <c r="R39" s="184" t="str">
        <f t="shared" ca="1" si="3"/>
        <v/>
      </c>
      <c r="S39" s="185" t="e">
        <f t="shared" ca="1" si="4"/>
        <v>#N/A</v>
      </c>
      <c r="T39" s="186" t="str">
        <f t="shared" ca="1" si="5"/>
        <v/>
      </c>
      <c r="U39" s="194" t="str">
        <f t="shared" ca="1" si="6"/>
        <v/>
      </c>
      <c r="V39" s="197" t="str">
        <f t="shared" ca="1" si="15"/>
        <v/>
      </c>
    </row>
    <row r="40" spans="1:22" ht="12.6" customHeight="1">
      <c r="A40" s="189">
        <f t="shared" ca="1" si="18"/>
        <v>42358</v>
      </c>
      <c r="B40" s="285"/>
      <c r="C40" s="286"/>
      <c r="D40" s="273"/>
      <c r="E40" s="274"/>
      <c r="F40" s="206"/>
      <c r="G40" s="110" t="str">
        <f t="shared" ca="1" si="8"/>
        <v>0,00</v>
      </c>
      <c r="H40" s="111" t="str">
        <f t="shared" ca="1" si="9"/>
        <v/>
      </c>
      <c r="I40" s="112">
        <f t="shared" ca="1" si="10"/>
        <v>0</v>
      </c>
      <c r="J40" s="157" t="str">
        <f t="shared" ca="1" si="16"/>
        <v/>
      </c>
      <c r="K40" s="275" t="str">
        <f t="shared" ca="1" si="17"/>
        <v>--------</v>
      </c>
      <c r="L40" s="276"/>
      <c r="M40" s="93">
        <f t="shared" ca="1" si="11"/>
        <v>51</v>
      </c>
      <c r="N40" s="94">
        <f t="shared" ca="1" si="12"/>
        <v>0</v>
      </c>
      <c r="O40" s="95">
        <f t="shared" ca="1" si="13"/>
        <v>0</v>
      </c>
      <c r="P40" s="120" t="str">
        <f t="shared" ca="1" si="14"/>
        <v/>
      </c>
      <c r="Q40" s="120" t="str">
        <f t="shared" ca="1" si="2"/>
        <v>1</v>
      </c>
      <c r="R40" s="184" t="str">
        <f t="shared" ca="1" si="3"/>
        <v/>
      </c>
      <c r="S40" s="185" t="e">
        <f t="shared" ca="1" si="4"/>
        <v>#N/A</v>
      </c>
      <c r="T40" s="186" t="str">
        <f t="shared" ca="1" si="5"/>
        <v/>
      </c>
      <c r="U40" s="194" t="str">
        <f t="shared" ca="1" si="6"/>
        <v/>
      </c>
      <c r="V40" s="197" t="str">
        <f t="shared" ca="1" si="15"/>
        <v/>
      </c>
    </row>
    <row r="41" spans="1:22" ht="12.6" customHeight="1">
      <c r="A41" s="189">
        <f t="shared" ca="1" si="18"/>
        <v>42359</v>
      </c>
      <c r="B41" s="285"/>
      <c r="C41" s="286"/>
      <c r="D41" s="273"/>
      <c r="E41" s="274"/>
      <c r="F41" s="206"/>
      <c r="G41" s="110" t="str">
        <f t="shared" ca="1" si="8"/>
        <v>0,00</v>
      </c>
      <c r="H41" s="111">
        <f t="shared" ca="1" si="9"/>
        <v>0</v>
      </c>
      <c r="I41" s="112">
        <f t="shared" ca="1" si="10"/>
        <v>0</v>
      </c>
      <c r="J41" s="157" t="str">
        <f t="shared" ca="1" si="16"/>
        <v/>
      </c>
      <c r="K41" s="275" t="str">
        <f t="shared" ca="1" si="17"/>
        <v>--------</v>
      </c>
      <c r="L41" s="276"/>
      <c r="M41" s="93">
        <f t="shared" ca="1" si="11"/>
        <v>51</v>
      </c>
      <c r="N41" s="94">
        <f t="shared" ca="1" si="12"/>
        <v>0</v>
      </c>
      <c r="O41" s="95">
        <f t="shared" ca="1" si="13"/>
        <v>0</v>
      </c>
      <c r="P41" s="120" t="str">
        <f t="shared" ca="1" si="14"/>
        <v/>
      </c>
      <c r="Q41" s="120" t="str">
        <f t="shared" ca="1" si="2"/>
        <v>1</v>
      </c>
      <c r="R41" s="184" t="str">
        <f t="shared" ca="1" si="3"/>
        <v/>
      </c>
      <c r="S41" s="185" t="e">
        <f t="shared" ca="1" si="4"/>
        <v>#N/A</v>
      </c>
      <c r="T41" s="186" t="str">
        <f t="shared" ca="1" si="5"/>
        <v/>
      </c>
      <c r="U41" s="194" t="str">
        <f t="shared" ca="1" si="6"/>
        <v/>
      </c>
      <c r="V41" s="197" t="str">
        <f t="shared" ca="1" si="15"/>
        <v/>
      </c>
    </row>
    <row r="42" spans="1:22" ht="12.6" customHeight="1">
      <c r="A42" s="189">
        <f t="shared" ca="1" si="18"/>
        <v>42360</v>
      </c>
      <c r="B42" s="285"/>
      <c r="C42" s="286"/>
      <c r="D42" s="273"/>
      <c r="E42" s="274"/>
      <c r="F42" s="206"/>
      <c r="G42" s="110" t="str">
        <f t="shared" ca="1" si="8"/>
        <v>0,00</v>
      </c>
      <c r="H42" s="111" t="str">
        <f t="shared" ca="1" si="9"/>
        <v/>
      </c>
      <c r="I42" s="112">
        <f t="shared" ca="1" si="10"/>
        <v>0</v>
      </c>
      <c r="J42" s="157" t="str">
        <f t="shared" ca="1" si="16"/>
        <v/>
      </c>
      <c r="K42" s="275" t="str">
        <f t="shared" ca="1" si="17"/>
        <v>--------</v>
      </c>
      <c r="L42" s="276"/>
      <c r="M42" s="93">
        <f t="shared" ca="1" si="11"/>
        <v>52</v>
      </c>
      <c r="N42" s="94">
        <f t="shared" ca="1" si="12"/>
        <v>0</v>
      </c>
      <c r="O42" s="95">
        <f t="shared" ca="1" si="13"/>
        <v>0</v>
      </c>
      <c r="P42" s="120" t="str">
        <f t="shared" ca="1" si="14"/>
        <v/>
      </c>
      <c r="Q42" s="120" t="str">
        <f t="shared" ca="1" si="2"/>
        <v>1</v>
      </c>
      <c r="R42" s="184" t="str">
        <f t="shared" ca="1" si="3"/>
        <v/>
      </c>
      <c r="S42" s="185" t="e">
        <f t="shared" ca="1" si="4"/>
        <v>#N/A</v>
      </c>
      <c r="T42" s="186" t="str">
        <f t="shared" ca="1" si="5"/>
        <v/>
      </c>
      <c r="U42" s="194" t="str">
        <f t="shared" ca="1" si="6"/>
        <v/>
      </c>
      <c r="V42" s="197" t="str">
        <f t="shared" ca="1" si="15"/>
        <v/>
      </c>
    </row>
    <row r="43" spans="1:22" ht="12.6" customHeight="1">
      <c r="A43" s="189">
        <f t="shared" ca="1" si="18"/>
        <v>42361</v>
      </c>
      <c r="B43" s="285"/>
      <c r="C43" s="286"/>
      <c r="D43" s="273"/>
      <c r="E43" s="274"/>
      <c r="F43" s="205"/>
      <c r="G43" s="110" t="str">
        <f t="shared" ca="1" si="8"/>
        <v>0,00</v>
      </c>
      <c r="H43" s="111" t="str">
        <f t="shared" ca="1" si="9"/>
        <v/>
      </c>
      <c r="I43" s="112">
        <f t="shared" ca="1" si="10"/>
        <v>0</v>
      </c>
      <c r="J43" s="157" t="str">
        <f t="shared" ca="1" si="16"/>
        <v/>
      </c>
      <c r="K43" s="275" t="str">
        <f t="shared" ca="1" si="17"/>
        <v>Heiligabend</v>
      </c>
      <c r="L43" s="276"/>
      <c r="M43" s="93">
        <f t="shared" ca="1" si="11"/>
        <v>52</v>
      </c>
      <c r="N43" s="94">
        <f t="shared" ca="1" si="12"/>
        <v>0</v>
      </c>
      <c r="O43" s="95">
        <f t="shared" ca="1" si="13"/>
        <v>0</v>
      </c>
      <c r="P43" s="120" t="str">
        <f t="shared" ca="1" si="14"/>
        <v/>
      </c>
      <c r="Q43" s="120" t="str">
        <f t="shared" ca="1" si="2"/>
        <v>1</v>
      </c>
      <c r="R43" s="184" t="str">
        <f t="shared" ca="1" si="3"/>
        <v/>
      </c>
      <c r="S43" s="185" t="str">
        <f ca="1">VLOOKUP(A43,$Q$77:$S$92,2,FALSE)</f>
        <v>Heiligabend</v>
      </c>
      <c r="T43" s="186" t="str">
        <f t="shared" ca="1" si="5"/>
        <v>Heiligabend</v>
      </c>
      <c r="U43" s="194" t="str">
        <f t="shared" ca="1" si="6"/>
        <v/>
      </c>
      <c r="V43" s="197" t="str">
        <f t="shared" ca="1" si="15"/>
        <v/>
      </c>
    </row>
    <row r="44" spans="1:22" ht="12.6" customHeight="1">
      <c r="A44" s="189">
        <f t="shared" ca="1" si="18"/>
        <v>42362</v>
      </c>
      <c r="B44" s="285"/>
      <c r="C44" s="286"/>
      <c r="D44" s="273"/>
      <c r="E44" s="274"/>
      <c r="F44" s="205"/>
      <c r="G44" s="110" t="str">
        <f t="shared" ca="1" si="8"/>
        <v>0,00</v>
      </c>
      <c r="H44" s="111" t="str">
        <f t="shared" ca="1" si="9"/>
        <v/>
      </c>
      <c r="I44" s="112">
        <f t="shared" ca="1" si="10"/>
        <v>0</v>
      </c>
      <c r="J44" s="157" t="str">
        <f t="shared" ca="1" si="16"/>
        <v/>
      </c>
      <c r="K44" s="275" t="str">
        <f t="shared" ca="1" si="17"/>
        <v>1. Weihnachtstag</v>
      </c>
      <c r="L44" s="276"/>
      <c r="M44" s="93">
        <f t="shared" ca="1" si="11"/>
        <v>52</v>
      </c>
      <c r="N44" s="94">
        <f t="shared" ca="1" si="12"/>
        <v>0</v>
      </c>
      <c r="O44" s="95">
        <f t="shared" ca="1" si="13"/>
        <v>0</v>
      </c>
      <c r="P44" s="120" t="str">
        <f t="shared" ca="1" si="14"/>
        <v/>
      </c>
      <c r="Q44" s="120" t="str">
        <f t="shared" ca="1" si="2"/>
        <v>1</v>
      </c>
      <c r="R44" s="184" t="str">
        <f t="shared" ca="1" si="3"/>
        <v/>
      </c>
      <c r="S44" s="185" t="str">
        <f t="shared" ca="1" si="4"/>
        <v>1. Weihnachtstag</v>
      </c>
      <c r="T44" s="186" t="str">
        <f t="shared" ca="1" si="5"/>
        <v>1. Weihnachtstag</v>
      </c>
      <c r="U44" s="194" t="str">
        <f t="shared" ca="1" si="6"/>
        <v/>
      </c>
      <c r="V44" s="197" t="str">
        <f t="shared" ca="1" si="15"/>
        <v/>
      </c>
    </row>
    <row r="45" spans="1:22" ht="12.6" customHeight="1">
      <c r="A45" s="189">
        <f t="shared" ca="1" si="18"/>
        <v>42363</v>
      </c>
      <c r="B45" s="308"/>
      <c r="C45" s="309"/>
      <c r="D45" s="308"/>
      <c r="E45" s="309"/>
      <c r="F45" s="206"/>
      <c r="G45" s="110" t="str">
        <f t="shared" ca="1" si="8"/>
        <v>0,00</v>
      </c>
      <c r="H45" s="111" t="str">
        <f t="shared" ca="1" si="9"/>
        <v/>
      </c>
      <c r="I45" s="112">
        <f t="shared" ca="1" si="10"/>
        <v>0</v>
      </c>
      <c r="J45" s="157" t="str">
        <f t="shared" ca="1" si="16"/>
        <v/>
      </c>
      <c r="K45" s="275" t="str">
        <f t="shared" ca="1" si="17"/>
        <v>2. Weihnachtstag</v>
      </c>
      <c r="L45" s="276"/>
      <c r="M45" s="93">
        <f t="shared" ca="1" si="11"/>
        <v>52</v>
      </c>
      <c r="N45" s="94">
        <f t="shared" ca="1" si="12"/>
        <v>0</v>
      </c>
      <c r="O45" s="95">
        <f t="shared" ca="1" si="13"/>
        <v>0</v>
      </c>
      <c r="P45" s="120" t="str">
        <f t="shared" ca="1" si="14"/>
        <v/>
      </c>
      <c r="Q45" s="120" t="str">
        <f t="shared" ca="1" si="2"/>
        <v>1</v>
      </c>
      <c r="R45" s="184" t="str">
        <f t="shared" ca="1" si="3"/>
        <v/>
      </c>
      <c r="S45" s="185" t="str">
        <f t="shared" ca="1" si="4"/>
        <v>2. Weihnachtstag</v>
      </c>
      <c r="T45" s="186" t="str">
        <f t="shared" ca="1" si="5"/>
        <v>2. Weihnachtstag</v>
      </c>
      <c r="U45" s="194" t="str">
        <f t="shared" ca="1" si="6"/>
        <v/>
      </c>
      <c r="V45" s="197" t="str">
        <f t="shared" ca="1" si="15"/>
        <v/>
      </c>
    </row>
    <row r="46" spans="1:22" ht="12.6" customHeight="1">
      <c r="A46" s="189">
        <f t="shared" ca="1" si="18"/>
        <v>42364</v>
      </c>
      <c r="B46" s="308"/>
      <c r="C46" s="309"/>
      <c r="D46" s="313"/>
      <c r="E46" s="314"/>
      <c r="F46" s="206"/>
      <c r="G46" s="110" t="str">
        <f t="shared" ca="1" si="8"/>
        <v>0,00</v>
      </c>
      <c r="H46" s="111" t="str">
        <f t="shared" ca="1" si="9"/>
        <v/>
      </c>
      <c r="I46" s="112">
        <f t="shared" ca="1" si="10"/>
        <v>0</v>
      </c>
      <c r="J46" s="157" t="str">
        <f t="shared" ca="1" si="16"/>
        <v/>
      </c>
      <c r="K46" s="275" t="str">
        <f t="shared" ca="1" si="17"/>
        <v>--------</v>
      </c>
      <c r="L46" s="276"/>
      <c r="M46" s="93">
        <f t="shared" ca="1" si="11"/>
        <v>52</v>
      </c>
      <c r="N46" s="94">
        <f t="shared" ca="1" si="12"/>
        <v>0</v>
      </c>
      <c r="O46" s="95">
        <f t="shared" ca="1" si="13"/>
        <v>0</v>
      </c>
      <c r="P46" s="120" t="str">
        <f t="shared" ca="1" si="14"/>
        <v/>
      </c>
      <c r="Q46" s="120" t="str">
        <f t="shared" ca="1" si="2"/>
        <v>1</v>
      </c>
      <c r="R46" s="184" t="str">
        <f t="shared" ca="1" si="3"/>
        <v/>
      </c>
      <c r="S46" s="185" t="e">
        <f t="shared" ca="1" si="4"/>
        <v>#N/A</v>
      </c>
      <c r="T46" s="186" t="str">
        <f t="shared" ca="1" si="5"/>
        <v/>
      </c>
      <c r="U46" s="194" t="str">
        <f t="shared" ca="1" si="6"/>
        <v/>
      </c>
      <c r="V46" s="197" t="str">
        <f t="shared" ca="1" si="15"/>
        <v/>
      </c>
    </row>
    <row r="47" spans="1:22" ht="12.6" customHeight="1">
      <c r="A47" s="189">
        <f t="shared" ca="1" si="18"/>
        <v>42365</v>
      </c>
      <c r="B47" s="308"/>
      <c r="C47" s="309"/>
      <c r="D47" s="309"/>
      <c r="E47" s="309"/>
      <c r="F47" s="206"/>
      <c r="G47" s="110" t="str">
        <f t="shared" ca="1" si="8"/>
        <v>0,00</v>
      </c>
      <c r="H47" s="111" t="str">
        <f t="shared" ca="1" si="9"/>
        <v/>
      </c>
      <c r="I47" s="112">
        <f t="shared" ca="1" si="10"/>
        <v>0</v>
      </c>
      <c r="J47" s="157" t="str">
        <f t="shared" ca="1" si="16"/>
        <v/>
      </c>
      <c r="K47" s="275" t="str">
        <f t="shared" ca="1" si="17"/>
        <v>--------</v>
      </c>
      <c r="L47" s="276"/>
      <c r="M47" s="93">
        <f t="shared" ca="1" si="11"/>
        <v>52</v>
      </c>
      <c r="N47" s="94">
        <f t="shared" ca="1" si="12"/>
        <v>0</v>
      </c>
      <c r="O47" s="95">
        <f t="shared" ca="1" si="13"/>
        <v>0</v>
      </c>
      <c r="P47" s="120" t="str">
        <f t="shared" ca="1" si="14"/>
        <v/>
      </c>
      <c r="Q47" s="120" t="str">
        <f t="shared" ca="1" si="2"/>
        <v>1</v>
      </c>
      <c r="R47" s="184" t="str">
        <f t="shared" ca="1" si="3"/>
        <v/>
      </c>
      <c r="S47" s="185" t="e">
        <f t="shared" ca="1" si="4"/>
        <v>#N/A</v>
      </c>
      <c r="T47" s="186" t="str">
        <f t="shared" ca="1" si="5"/>
        <v/>
      </c>
      <c r="U47" s="194" t="str">
        <f t="shared" ca="1" si="6"/>
        <v/>
      </c>
      <c r="V47" s="197" t="str">
        <f t="shared" ca="1" si="15"/>
        <v/>
      </c>
    </row>
    <row r="48" spans="1:22" ht="12.6" customHeight="1">
      <c r="A48" s="189">
        <f t="shared" ca="1" si="18"/>
        <v>42366</v>
      </c>
      <c r="B48" s="285"/>
      <c r="C48" s="286"/>
      <c r="D48" s="273"/>
      <c r="E48" s="274"/>
      <c r="F48" s="206"/>
      <c r="G48" s="110" t="str">
        <f t="shared" ca="1" si="8"/>
        <v>0,00</v>
      </c>
      <c r="H48" s="111">
        <f t="shared" ca="1" si="9"/>
        <v>0</v>
      </c>
      <c r="I48" s="112">
        <f t="shared" ca="1" si="10"/>
        <v>0</v>
      </c>
      <c r="J48" s="157" t="str">
        <f t="shared" ca="1" si="16"/>
        <v/>
      </c>
      <c r="K48" s="275" t="str">
        <f t="shared" ca="1" si="17"/>
        <v>--------</v>
      </c>
      <c r="L48" s="276"/>
      <c r="M48" s="93">
        <f t="shared" ca="1" si="11"/>
        <v>52</v>
      </c>
      <c r="N48" s="94">
        <f t="shared" ca="1" si="12"/>
        <v>0</v>
      </c>
      <c r="O48" s="95">
        <f t="shared" ca="1" si="13"/>
        <v>0</v>
      </c>
      <c r="P48" s="120" t="str">
        <f t="shared" ca="1" si="14"/>
        <v/>
      </c>
      <c r="Q48" s="120" t="str">
        <f t="shared" ca="1" si="2"/>
        <v>1</v>
      </c>
      <c r="R48" s="184" t="str">
        <f t="shared" ca="1" si="3"/>
        <v/>
      </c>
      <c r="S48" s="185" t="e">
        <f t="shared" ca="1" si="4"/>
        <v>#N/A</v>
      </c>
      <c r="T48" s="186" t="str">
        <f t="shared" ca="1" si="5"/>
        <v/>
      </c>
      <c r="U48" s="194" t="str">
        <f t="shared" ca="1" si="6"/>
        <v/>
      </c>
      <c r="V48" s="197" t="str">
        <f t="shared" ca="1" si="15"/>
        <v/>
      </c>
    </row>
    <row r="49" spans="1:22" ht="12.6" customHeight="1">
      <c r="A49" s="189">
        <f t="shared" ca="1" si="18"/>
        <v>42367</v>
      </c>
      <c r="B49" s="285"/>
      <c r="C49" s="286"/>
      <c r="D49" s="273"/>
      <c r="E49" s="274"/>
      <c r="F49" s="206"/>
      <c r="G49" s="110" t="str">
        <f t="shared" ca="1" si="8"/>
        <v>0,00</v>
      </c>
      <c r="H49" s="111" t="str">
        <f t="shared" ca="1" si="9"/>
        <v/>
      </c>
      <c r="I49" s="112">
        <f t="shared" ca="1" si="10"/>
        <v>0</v>
      </c>
      <c r="J49" s="157" t="str">
        <f t="shared" ca="1" si="16"/>
        <v/>
      </c>
      <c r="K49" s="275" t="str">
        <f t="shared" ca="1" si="17"/>
        <v>--------</v>
      </c>
      <c r="L49" s="276"/>
      <c r="M49" s="93">
        <f t="shared" ca="1" si="11"/>
        <v>53</v>
      </c>
      <c r="N49" s="94">
        <f t="shared" ca="1" si="12"/>
        <v>0</v>
      </c>
      <c r="O49" s="95">
        <f t="shared" ca="1" si="13"/>
        <v>0</v>
      </c>
      <c r="P49" s="120" t="str">
        <f t="shared" ca="1" si="14"/>
        <v/>
      </c>
      <c r="Q49" s="120" t="str">
        <f t="shared" ca="1" si="2"/>
        <v>1</v>
      </c>
      <c r="R49" s="184" t="str">
        <f t="shared" ca="1" si="3"/>
        <v/>
      </c>
      <c r="S49" s="185" t="e">
        <f t="shared" ca="1" si="4"/>
        <v>#N/A</v>
      </c>
      <c r="T49" s="186" t="str">
        <f t="shared" ca="1" si="5"/>
        <v/>
      </c>
      <c r="U49" s="194" t="str">
        <f t="shared" ca="1" si="6"/>
        <v/>
      </c>
      <c r="V49" s="197" t="str">
        <f t="shared" ca="1" si="15"/>
        <v/>
      </c>
    </row>
    <row r="50" spans="1:22" ht="12.6" customHeight="1" thickBot="1">
      <c r="A50" s="191">
        <f t="shared" ca="1" si="18"/>
        <v>42368</v>
      </c>
      <c r="B50" s="293"/>
      <c r="C50" s="294"/>
      <c r="D50" s="295"/>
      <c r="E50" s="296"/>
      <c r="F50" s="204"/>
      <c r="G50" s="135" t="str">
        <f ca="1">IF(OR(A50&lt;$C$14,A50&gt;$F$14,A50&gt;TODAY()),"0,00",IF(ISBLANK($C$14),"0,00",(D50-B50-F50)))</f>
        <v>0,00</v>
      </c>
      <c r="H50" s="136" t="str">
        <f t="shared" ca="1" si="9"/>
        <v/>
      </c>
      <c r="I50" s="137">
        <f t="shared" ca="1" si="10"/>
        <v>0</v>
      </c>
      <c r="J50" s="158" t="str">
        <f t="shared" ca="1" si="16"/>
        <v/>
      </c>
      <c r="K50" s="318" t="str">
        <f t="shared" ca="1" si="17"/>
        <v>Silvester</v>
      </c>
      <c r="L50" s="296"/>
      <c r="M50" s="93">
        <f ca="1">IF(A50&gt;DATE(1904,1,1),WEEKNUM(A50,2),"")</f>
        <v>53</v>
      </c>
      <c r="N50" s="94">
        <f t="shared" ca="1" si="12"/>
        <v>0</v>
      </c>
      <c r="O50" s="95">
        <f t="shared" ca="1" si="13"/>
        <v>0</v>
      </c>
      <c r="P50" s="120" t="str">
        <f t="shared" ca="1" si="14"/>
        <v/>
      </c>
      <c r="Q50" s="120" t="str">
        <f t="shared" ca="1" si="2"/>
        <v>1</v>
      </c>
      <c r="R50" s="184" t="str">
        <f t="shared" ca="1" si="3"/>
        <v/>
      </c>
      <c r="S50" s="185" t="str">
        <f t="shared" ca="1" si="4"/>
        <v>Silvester</v>
      </c>
      <c r="T50" s="186" t="str">
        <f ca="1">IF(ISNA(S50),"",S50)</f>
        <v>Silvester</v>
      </c>
      <c r="U50" s="195" t="str">
        <f t="shared" ca="1" si="6"/>
        <v/>
      </c>
      <c r="V50" s="197" t="str">
        <f t="shared" ca="1" si="15"/>
        <v/>
      </c>
    </row>
    <row r="51" spans="1:22" ht="11.25" customHeight="1">
      <c r="A51" s="19"/>
      <c r="B51" s="43"/>
      <c r="C51" s="43"/>
      <c r="D51" s="43"/>
      <c r="E51" s="20"/>
      <c r="I51" s="42"/>
      <c r="K51" s="21"/>
      <c r="L51" s="11"/>
      <c r="M51" s="143"/>
      <c r="N51" s="230"/>
      <c r="O51" s="59"/>
      <c r="S51" s="183"/>
      <c r="V51" s="198">
        <f ca="1">COUNTIF(V20:V50,"!")</f>
        <v>0</v>
      </c>
    </row>
    <row r="52" spans="1:22" ht="14.1" customHeight="1">
      <c r="D52" s="104"/>
      <c r="E52" s="22"/>
      <c r="F52" s="140" t="s">
        <v>29</v>
      </c>
      <c r="G52" s="141">
        <f ca="1">IF($G$16="Sie haben Ihr Arbeitszeitkonto überschritten, bitte erstellen Sie ein neues Konto","",SUM($G$20:$G$50))</f>
        <v>0</v>
      </c>
      <c r="H52" s="130" t="s">
        <v>30</v>
      </c>
      <c r="J52" s="142">
        <f ca="1">IF($G$16="Sie haben Ihr Arbeitszeitkonto überschritten, bitte erstellen Sie ein neues Konto","",IF(ISNA($H$56),0,IF($H$56&gt;$D$53,($D$53+$D$54),($H$56+$D$54))))</f>
        <v>0</v>
      </c>
      <c r="K52" s="290" t="str">
        <f ca="1">IF(ISNA($E$56),"",IF($E$56&gt;$D$53,"Kappung erfolgt",""))</f>
        <v/>
      </c>
      <c r="L52" s="290"/>
      <c r="M52" s="143"/>
      <c r="N52" s="230">
        <f ca="1">SUM(N20:N50)</f>
        <v>0</v>
      </c>
      <c r="O52" s="59"/>
    </row>
    <row r="53" spans="1:22">
      <c r="A53" s="100" t="s">
        <v>26</v>
      </c>
      <c r="B53" s="100"/>
      <c r="C53" s="100"/>
      <c r="D53" s="101">
        <f ca="1">$N$52*0.5</f>
        <v>0</v>
      </c>
      <c r="E53" s="23"/>
      <c r="F53" s="23"/>
      <c r="G53" s="24"/>
      <c r="H53" s="2"/>
      <c r="I53" s="2"/>
      <c r="K53" s="127"/>
      <c r="L53" s="127"/>
      <c r="M53" s="143"/>
      <c r="N53" s="38">
        <f ca="1">SUM(N20:N50)</f>
        <v>0</v>
      </c>
      <c r="O53" s="60"/>
    </row>
    <row r="54" spans="1:22">
      <c r="A54" s="215" t="s">
        <v>25</v>
      </c>
      <c r="B54" s="215"/>
      <c r="C54" s="215"/>
      <c r="D54" s="102">
        <f ca="1">$M$16</f>
        <v>0</v>
      </c>
      <c r="F54" s="106"/>
      <c r="G54" s="106"/>
      <c r="H54" s="299" t="str">
        <f ca="1">IF($K$52="Kappung erfolgt","INFO: (Gekappte Std.: "&amp;$J$56,"")</f>
        <v/>
      </c>
      <c r="I54" s="299"/>
      <c r="J54" s="299"/>
      <c r="K54" s="127" t="str">
        <f ca="1">IF($K$52="Kappung erfolgt","von insg. "&amp;$L$56&amp;" Mehrstunden)","")</f>
        <v/>
      </c>
      <c r="L54" s="131"/>
      <c r="M54" s="143"/>
      <c r="N54" s="28">
        <f>IF($A$55="Wg.Unterbrechung  keine Stundenübernahme möglich! Bitte Angaben prüfen","1",0)</f>
        <v>0</v>
      </c>
      <c r="P54" s="164"/>
      <c r="Q54" s="164"/>
      <c r="R54" s="164"/>
      <c r="S54" s="164"/>
      <c r="T54" s="164"/>
      <c r="U54" s="164"/>
      <c r="V54" s="164"/>
    </row>
    <row r="55" spans="1:22">
      <c r="A55" s="319" t="str">
        <f>IF($H$14="Achtung! Stundennachweis unterbrochen","Wg.Unterbrechung  keine Stundenübernahme möglich! Bitte Angaben prüfen","")</f>
        <v/>
      </c>
      <c r="B55" s="319"/>
      <c r="C55" s="319"/>
      <c r="D55" s="319"/>
      <c r="E55" s="319"/>
      <c r="F55" s="319"/>
      <c r="G55" s="2"/>
      <c r="M55" s="143"/>
      <c r="N55" s="123" t="str">
        <f>IF($N$54&gt;0,($D$54*-1),"0:00")</f>
        <v>0:00</v>
      </c>
      <c r="O55" s="239" t="str">
        <f ca="1">IF(O50="",0,"")</f>
        <v/>
      </c>
    </row>
    <row r="56" spans="1:22" hidden="1">
      <c r="E56" s="232">
        <f>+H56-F56</f>
        <v>-6.9444444444444447E-4</v>
      </c>
      <c r="F56" s="60">
        <v>6.9444444444444447E-4</v>
      </c>
      <c r="G56" s="124">
        <f ca="1">+$H$56+$D$54</f>
        <v>0</v>
      </c>
      <c r="H56" s="38">
        <f>IF($C$14&gt;DATE(1904,1,1),LOOKUP(10000000,O19:O99),0)</f>
        <v>0</v>
      </c>
      <c r="I56" s="60">
        <f ca="1">+($H$56+$N$16)-J52</f>
        <v>0</v>
      </c>
      <c r="J56" s="233">
        <f ca="1">ROUND(I56*24,2)</f>
        <v>0</v>
      </c>
      <c r="K56">
        <f ca="1">($H$56+$N$16)*24</f>
        <v>0</v>
      </c>
      <c r="L56">
        <f ca="1">ROUND(K56,1)</f>
        <v>0</v>
      </c>
      <c r="M56" s="143"/>
      <c r="N56" s="28"/>
    </row>
    <row r="57" spans="1:22">
      <c r="A57" s="322" t="str">
        <f ca="1">IF(V51&gt;0,"Achtung! Bitte bei den blau markierten Feldern die Regelstunden eintragen.","")</f>
        <v/>
      </c>
      <c r="B57" s="322"/>
      <c r="C57" s="322"/>
      <c r="D57" s="322"/>
      <c r="E57" s="322"/>
      <c r="F57" s="322"/>
      <c r="G57" s="199"/>
      <c r="H57">
        <f>IF($C$14&gt;DATE(1904,1,1),LOOKUP(10000000,O19:O52),0)</f>
        <v>0</v>
      </c>
      <c r="M57" s="143"/>
      <c r="N57" s="28"/>
      <c r="Q57" s="251" t="s">
        <v>32</v>
      </c>
      <c r="R57" s="251"/>
      <c r="S57" s="251"/>
      <c r="T57" s="251"/>
    </row>
    <row r="58" spans="1:22">
      <c r="A58" s="25"/>
      <c r="B58" s="25"/>
      <c r="C58" s="38"/>
      <c r="D58" s="26"/>
      <c r="E58" s="27"/>
      <c r="F58" s="144"/>
      <c r="G58" s="2"/>
      <c r="H58" s="38"/>
      <c r="J58" s="132"/>
      <c r="M58" s="219"/>
      <c r="N58" s="219"/>
      <c r="O58" s="219"/>
      <c r="Q58" s="250">
        <f>+F14-C14</f>
        <v>0</v>
      </c>
      <c r="R58" s="250"/>
    </row>
    <row r="59" spans="1:22">
      <c r="A59" s="25"/>
      <c r="B59" s="25"/>
      <c r="C59" s="38"/>
      <c r="D59" s="26"/>
      <c r="E59" s="27"/>
      <c r="F59" s="144"/>
      <c r="G59" s="2"/>
      <c r="H59" s="145"/>
      <c r="M59" s="143"/>
      <c r="N59" s="28"/>
      <c r="Q59" s="252" t="s">
        <v>33</v>
      </c>
      <c r="R59" s="252"/>
      <c r="S59" s="252"/>
      <c r="T59" s="252"/>
      <c r="U59" s="252"/>
      <c r="V59" s="252"/>
    </row>
    <row r="60" spans="1:22" ht="12.75" customHeight="1">
      <c r="A60" s="29"/>
      <c r="B60" s="11"/>
      <c r="C60" s="11"/>
      <c r="D60" s="11"/>
      <c r="E60" s="11"/>
      <c r="F60" s="11"/>
      <c r="G60" s="11"/>
      <c r="H60" s="30"/>
      <c r="I60" s="30"/>
      <c r="J60" s="31"/>
      <c r="K60" s="31"/>
      <c r="L60" s="31"/>
      <c r="M60" s="143"/>
      <c r="N60" s="28"/>
    </row>
    <row r="61" spans="1:22" ht="12.75" customHeight="1">
      <c r="A61" s="226"/>
      <c r="B61" s="34"/>
      <c r="C61" s="34"/>
      <c r="D61" s="34"/>
      <c r="E61" s="34"/>
      <c r="F61" s="11"/>
      <c r="G61" s="11"/>
      <c r="H61" s="34"/>
      <c r="I61" s="34"/>
      <c r="J61" s="35"/>
      <c r="K61" s="35"/>
      <c r="L61" s="35"/>
    </row>
    <row r="62" spans="1:22" ht="18.75" customHeight="1" thickBot="1">
      <c r="A62" s="203" t="s">
        <v>18</v>
      </c>
      <c r="B62" s="292" t="s">
        <v>19</v>
      </c>
      <c r="C62" s="292"/>
      <c r="D62" s="292"/>
      <c r="E62" s="292"/>
      <c r="F62" s="3"/>
      <c r="G62" s="36" t="s">
        <v>18</v>
      </c>
      <c r="H62" s="292" t="s">
        <v>20</v>
      </c>
      <c r="I62" s="292"/>
      <c r="J62" s="292"/>
      <c r="K62" s="292"/>
      <c r="L62" s="292"/>
    </row>
    <row r="63" spans="1:22" ht="17.25" thickTop="1" thickBot="1">
      <c r="P63" s="160">
        <f ca="1">YEAR($B$17)</f>
        <v>2019</v>
      </c>
      <c r="Q63" s="3"/>
    </row>
    <row r="64" spans="1:22" ht="15.75" thickTop="1">
      <c r="O64" s="218"/>
      <c r="Q64" s="3">
        <f ca="1">MOD(P63,19)</f>
        <v>5</v>
      </c>
      <c r="R64" s="287" t="s">
        <v>34</v>
      </c>
      <c r="S64" s="287"/>
      <c r="T64" s="231"/>
    </row>
    <row r="65" spans="16:20">
      <c r="P65" s="3"/>
      <c r="Q65" s="3">
        <f ca="1">MOD(P63,4)</f>
        <v>3</v>
      </c>
    </row>
    <row r="66" spans="16:20">
      <c r="P66" s="3"/>
      <c r="Q66" s="3">
        <f ca="1">MOD(P63,7)</f>
        <v>3</v>
      </c>
    </row>
    <row r="67" spans="16:20">
      <c r="P67" s="3"/>
      <c r="Q67" s="3">
        <f ca="1">TRUNC((8*(TRUNC(P63/100))+13)/25)-2</f>
        <v>4</v>
      </c>
    </row>
    <row r="68" spans="16:20">
      <c r="P68" s="3"/>
      <c r="Q68" s="3">
        <f ca="1">TRUNC(P63/100)-TRUNC(P63/400)-2</f>
        <v>13</v>
      </c>
    </row>
    <row r="69" spans="16:20">
      <c r="P69" s="3"/>
      <c r="Q69" s="3">
        <f ca="1">MOD(15+Q68-Q67,30)</f>
        <v>24</v>
      </c>
    </row>
    <row r="70" spans="16:20">
      <c r="P70" s="161"/>
      <c r="Q70" s="3">
        <f ca="1">MOD(6+Q68,7)</f>
        <v>5</v>
      </c>
    </row>
    <row r="71" spans="16:20">
      <c r="P71" s="3"/>
      <c r="Q71" s="3">
        <f ca="1">MOD(Q69+19*Q64,30)</f>
        <v>29</v>
      </c>
    </row>
    <row r="72" spans="16:20">
      <c r="P72" s="3"/>
      <c r="Q72" s="3">
        <f ca="1">IF(Q71=29,28,IF(AND(Q71=28,Q64&gt;=11),27,IF(AND(Q71&lt;28,Q71&gt;29),,Q71)))</f>
        <v>28</v>
      </c>
    </row>
    <row r="73" spans="16:20">
      <c r="P73" s="3"/>
      <c r="Q73" s="3">
        <f ca="1">MOD(2*Q65+4*Q66+6*Q72+Q70,7)</f>
        <v>2</v>
      </c>
    </row>
    <row r="74" spans="16:20">
      <c r="P74" s="3"/>
      <c r="Q74" s="3">
        <f ca="1">Q72+Q73+1</f>
        <v>31</v>
      </c>
    </row>
    <row r="75" spans="16:20">
      <c r="P75" s="3"/>
      <c r="Q75" s="3">
        <f>DATEVALUE("21.märz")</f>
        <v>40988</v>
      </c>
    </row>
    <row r="77" spans="16:20">
      <c r="P77" s="183"/>
      <c r="Q77" s="228">
        <f ca="1">+T77</f>
        <v>42004</v>
      </c>
      <c r="R77" s="30" t="s">
        <v>35</v>
      </c>
      <c r="T77" s="229">
        <f ca="1">DATE($P$63,1,1)</f>
        <v>42004</v>
      </c>
    </row>
    <row r="78" spans="16:20">
      <c r="P78" s="2"/>
      <c r="Q78" s="220">
        <f ca="1">+$Q$80-2</f>
        <v>42112</v>
      </c>
      <c r="R78" s="30" t="s">
        <v>36</v>
      </c>
      <c r="S78" s="221"/>
      <c r="T78" s="2"/>
    </row>
    <row r="79" spans="16:20">
      <c r="P79" s="2"/>
      <c r="Q79" s="220">
        <f ca="1">+Q80-1</f>
        <v>42113</v>
      </c>
      <c r="R79" s="30" t="s">
        <v>37</v>
      </c>
      <c r="S79" s="221"/>
      <c r="T79" s="2"/>
    </row>
    <row r="80" spans="16:20">
      <c r="P80" s="222">
        <f ca="1">IF(R80="Ostersonntag",Q74+Q75,"")</f>
        <v>41019</v>
      </c>
      <c r="Q80" s="220">
        <f ca="1">T80</f>
        <v>42114</v>
      </c>
      <c r="R80" s="181" t="str">
        <f ca="1">IF(P63&lt;1583,"Der gregorianische Kalender gilt erst seit dem 15.10.1582  !!!",IF(P63&gt;8202,"Die gauß´sche Osterformel gilt nur bis zum Jahre    8202  !!!","Ostersonntag"))</f>
        <v>Ostersonntag</v>
      </c>
      <c r="S80">
        <f ca="1">DAY(T81)</f>
        <v>21</v>
      </c>
      <c r="T80" s="146">
        <f ca="1">DATE($P$63,S81,S80)</f>
        <v>42114</v>
      </c>
    </row>
    <row r="81" spans="15:20">
      <c r="P81" s="2"/>
      <c r="Q81" s="220">
        <f ca="1">+Q80+1</f>
        <v>42115</v>
      </c>
      <c r="R81" s="223" t="s">
        <v>38</v>
      </c>
      <c r="S81" s="182">
        <f ca="1">MONTH(P80)</f>
        <v>4</v>
      </c>
      <c r="T81" s="183" t="str">
        <f ca="1">DAY(P80)&amp;"."&amp;MONTH(P80)&amp;"."&amp;YEAR($B$17)</f>
        <v>21.4.2019</v>
      </c>
    </row>
    <row r="82" spans="15:20">
      <c r="O82" s="183"/>
      <c r="P82" s="2"/>
      <c r="Q82" s="220">
        <v>40846</v>
      </c>
      <c r="R82" s="224" t="s">
        <v>50</v>
      </c>
      <c r="S82" s="221"/>
      <c r="T82" s="2"/>
    </row>
    <row r="83" spans="15:20">
      <c r="P83" s="2"/>
      <c r="Q83" s="220">
        <f ca="1">+T83</f>
        <v>42124</v>
      </c>
      <c r="R83" s="224" t="s">
        <v>39</v>
      </c>
      <c r="S83" s="221"/>
      <c r="T83" s="144">
        <f ca="1">DATE($P$63,5,1)</f>
        <v>42124</v>
      </c>
    </row>
    <row r="84" spans="15:20">
      <c r="P84" s="2"/>
      <c r="Q84" s="220">
        <f ca="1">+Q80+39</f>
        <v>42153</v>
      </c>
      <c r="R84" s="224" t="s">
        <v>40</v>
      </c>
      <c r="S84" s="221"/>
      <c r="T84" s="2"/>
    </row>
    <row r="85" spans="15:20">
      <c r="P85" s="2"/>
      <c r="Q85" s="220">
        <f ca="1">+Q80+49</f>
        <v>42163</v>
      </c>
      <c r="R85" s="224" t="s">
        <v>41</v>
      </c>
      <c r="S85" s="221"/>
      <c r="T85" s="2"/>
    </row>
    <row r="86" spans="15:20">
      <c r="P86" s="2"/>
      <c r="Q86" s="220">
        <f ca="1">+Q85+1</f>
        <v>42164</v>
      </c>
      <c r="R86" s="224" t="s">
        <v>42</v>
      </c>
      <c r="S86" s="221"/>
      <c r="T86" s="2"/>
    </row>
    <row r="87" spans="15:20">
      <c r="P87" s="2"/>
      <c r="Q87" s="220">
        <f ca="1">+Q80+60</f>
        <v>42174</v>
      </c>
      <c r="R87" s="224" t="s">
        <v>43</v>
      </c>
      <c r="S87" s="221"/>
      <c r="T87" s="2"/>
    </row>
    <row r="88" spans="15:20">
      <c r="P88" s="2"/>
      <c r="Q88" s="220">
        <f ca="1">+T88</f>
        <v>42279</v>
      </c>
      <c r="R88" s="224" t="s">
        <v>44</v>
      </c>
      <c r="S88" s="221"/>
      <c r="T88" s="144">
        <f ca="1">DATE($P$63,10,3)</f>
        <v>42279</v>
      </c>
    </row>
    <row r="89" spans="15:20">
      <c r="P89" s="2"/>
      <c r="Q89" s="220">
        <f ca="1">+T89</f>
        <v>42361</v>
      </c>
      <c r="R89" s="224" t="s">
        <v>45</v>
      </c>
      <c r="S89" s="221"/>
      <c r="T89" s="144">
        <f ca="1">DATE($P$63,12,24)</f>
        <v>42361</v>
      </c>
    </row>
    <row r="90" spans="15:20">
      <c r="P90" s="2"/>
      <c r="Q90" s="220">
        <f ca="1">+Q89+1</f>
        <v>42362</v>
      </c>
      <c r="R90" s="221" t="s">
        <v>46</v>
      </c>
      <c r="S90" s="221"/>
      <c r="T90" s="2"/>
    </row>
    <row r="91" spans="15:20">
      <c r="P91" s="2"/>
      <c r="Q91" s="220">
        <f ca="1">Q90+1</f>
        <v>42363</v>
      </c>
      <c r="R91" s="224" t="s">
        <v>47</v>
      </c>
      <c r="S91" s="221"/>
      <c r="T91" s="2"/>
    </row>
    <row r="92" spans="15:20">
      <c r="P92" s="2"/>
      <c r="Q92" s="220">
        <f ca="1">+Q91+5</f>
        <v>42368</v>
      </c>
      <c r="R92" s="224" t="s">
        <v>48</v>
      </c>
      <c r="S92" s="221"/>
      <c r="T92" s="2"/>
    </row>
    <row r="93" spans="15:20">
      <c r="P93" s="2"/>
      <c r="Q93" s="220"/>
      <c r="R93" s="224"/>
      <c r="S93" s="221"/>
      <c r="T93" s="2"/>
    </row>
    <row r="94" spans="15:20">
      <c r="P94" s="2"/>
      <c r="Q94" s="220"/>
      <c r="R94" s="224"/>
      <c r="S94" s="221"/>
      <c r="T94" s="2"/>
    </row>
    <row r="95" spans="15:20">
      <c r="P95" s="180"/>
      <c r="Q95" s="180"/>
    </row>
  </sheetData>
  <sheetProtection algorithmName="SHA-512" hashValue="t+57Vwkc2bEmNcVpIDH5qZ8B7TZdgPWJKVXlaYwV5uTHOiy3zavQmlO3lIn4//u08HpbbjOQwwYvMX0HUZL5Rg==" saltValue="EcPnT8FlAcPweWhhsbEWJg==" spinCount="100000" sheet="1" objects="1" scenarios="1" selectLockedCells="1"/>
  <mergeCells count="137">
    <mergeCell ref="R64:S64"/>
    <mergeCell ref="Q58:R58"/>
    <mergeCell ref="B62:E62"/>
    <mergeCell ref="H62:L62"/>
    <mergeCell ref="B50:C50"/>
    <mergeCell ref="D50:E50"/>
    <mergeCell ref="K50:L50"/>
    <mergeCell ref="K52:L52"/>
    <mergeCell ref="H54:J54"/>
    <mergeCell ref="A57:F57"/>
    <mergeCell ref="A55:F55"/>
    <mergeCell ref="Q57:T57"/>
    <mergeCell ref="Q59:V59"/>
    <mergeCell ref="B48:C48"/>
    <mergeCell ref="D48:E48"/>
    <mergeCell ref="K48:L48"/>
    <mergeCell ref="B49:C49"/>
    <mergeCell ref="D49:E49"/>
    <mergeCell ref="K49:L49"/>
    <mergeCell ref="B46:C46"/>
    <mergeCell ref="D46:E46"/>
    <mergeCell ref="K46:L46"/>
    <mergeCell ref="B47:C47"/>
    <mergeCell ref="D47:E47"/>
    <mergeCell ref="K47:L47"/>
    <mergeCell ref="B44:C44"/>
    <mergeCell ref="D44:E44"/>
    <mergeCell ref="K44:L44"/>
    <mergeCell ref="B45:C45"/>
    <mergeCell ref="D45:E45"/>
    <mergeCell ref="K45:L45"/>
    <mergeCell ref="B42:C42"/>
    <mergeCell ref="D42:E42"/>
    <mergeCell ref="K42:L42"/>
    <mergeCell ref="B43:C43"/>
    <mergeCell ref="D43:E43"/>
    <mergeCell ref="K43:L43"/>
    <mergeCell ref="B40:C40"/>
    <mergeCell ref="D40:E40"/>
    <mergeCell ref="K40:L40"/>
    <mergeCell ref="B41:C41"/>
    <mergeCell ref="D41:E41"/>
    <mergeCell ref="K41:L41"/>
    <mergeCell ref="B38:C38"/>
    <mergeCell ref="D38:E38"/>
    <mergeCell ref="K38:L38"/>
    <mergeCell ref="B39:C39"/>
    <mergeCell ref="D39:E39"/>
    <mergeCell ref="K39:L39"/>
    <mergeCell ref="B36:C36"/>
    <mergeCell ref="D36:E36"/>
    <mergeCell ref="K36:L36"/>
    <mergeCell ref="B37:C37"/>
    <mergeCell ref="D37:E37"/>
    <mergeCell ref="K37:L37"/>
    <mergeCell ref="B34:C34"/>
    <mergeCell ref="D34:E34"/>
    <mergeCell ref="K34:L34"/>
    <mergeCell ref="B35:C35"/>
    <mergeCell ref="D35:E35"/>
    <mergeCell ref="K35:L35"/>
    <mergeCell ref="B32:C32"/>
    <mergeCell ref="D32:E32"/>
    <mergeCell ref="K32:L32"/>
    <mergeCell ref="B33:C33"/>
    <mergeCell ref="D33:E33"/>
    <mergeCell ref="K33:L33"/>
    <mergeCell ref="B30:C30"/>
    <mergeCell ref="D30:E30"/>
    <mergeCell ref="K30:L30"/>
    <mergeCell ref="B31:C31"/>
    <mergeCell ref="D31:E31"/>
    <mergeCell ref="K31:L31"/>
    <mergeCell ref="B28:C28"/>
    <mergeCell ref="D28:E28"/>
    <mergeCell ref="K28:L28"/>
    <mergeCell ref="B29:C29"/>
    <mergeCell ref="D29:E29"/>
    <mergeCell ref="K29:L29"/>
    <mergeCell ref="B26:C26"/>
    <mergeCell ref="D26:E26"/>
    <mergeCell ref="K26:L26"/>
    <mergeCell ref="B27:C27"/>
    <mergeCell ref="D27:E27"/>
    <mergeCell ref="K27:L27"/>
    <mergeCell ref="B24:C24"/>
    <mergeCell ref="D24:E24"/>
    <mergeCell ref="K24:L24"/>
    <mergeCell ref="B25:C25"/>
    <mergeCell ref="D25:E25"/>
    <mergeCell ref="K25:L25"/>
    <mergeCell ref="B22:C22"/>
    <mergeCell ref="D22:E22"/>
    <mergeCell ref="K22:L22"/>
    <mergeCell ref="B23:C23"/>
    <mergeCell ref="D23:E23"/>
    <mergeCell ref="K23:L23"/>
    <mergeCell ref="R19:T19"/>
    <mergeCell ref="B20:C20"/>
    <mergeCell ref="D20:E20"/>
    <mergeCell ref="K20:L20"/>
    <mergeCell ref="B21:C21"/>
    <mergeCell ref="D21:E21"/>
    <mergeCell ref="K21:L21"/>
    <mergeCell ref="A16:F16"/>
    <mergeCell ref="G16:L16"/>
    <mergeCell ref="B17:K17"/>
    <mergeCell ref="B19:C19"/>
    <mergeCell ref="D19:E19"/>
    <mergeCell ref="K19:L19"/>
    <mergeCell ref="A13:B13"/>
    <mergeCell ref="A14:B14"/>
    <mergeCell ref="C14:D14"/>
    <mergeCell ref="H14:L14"/>
    <mergeCell ref="M14:N14"/>
    <mergeCell ref="C15:D15"/>
    <mergeCell ref="K15:L15"/>
    <mergeCell ref="A9:B9"/>
    <mergeCell ref="C9:D9"/>
    <mergeCell ref="K9:L9"/>
    <mergeCell ref="A11:B11"/>
    <mergeCell ref="C11:D11"/>
    <mergeCell ref="K11:L11"/>
    <mergeCell ref="M1:O1"/>
    <mergeCell ref="A3:B3"/>
    <mergeCell ref="C3:F3"/>
    <mergeCell ref="K3:L3"/>
    <mergeCell ref="A5:B5"/>
    <mergeCell ref="C5:F5"/>
    <mergeCell ref="K5:L5"/>
    <mergeCell ref="A7:B7"/>
    <mergeCell ref="C7:F7"/>
    <mergeCell ref="K7:L7"/>
    <mergeCell ref="A1:B1"/>
    <mergeCell ref="C1:F1"/>
    <mergeCell ref="H1:J1"/>
    <mergeCell ref="K1:L1"/>
  </mergeCells>
  <conditionalFormatting sqref="F14">
    <cfRule type="cellIs" dxfId="947" priority="367" operator="greaterThan">
      <formula>$C$14+30</formula>
    </cfRule>
    <cfRule type="expression" dxfId="946" priority="406">
      <formula>$F$14&gt;$F$9</formula>
    </cfRule>
    <cfRule type="expression" dxfId="945" priority="412">
      <formula>$F$14&lt;$C$14</formula>
    </cfRule>
  </conditionalFormatting>
  <conditionalFormatting sqref="F9">
    <cfRule type="expression" dxfId="944" priority="410">
      <formula>$F$14&lt;$C$14</formula>
    </cfRule>
  </conditionalFormatting>
  <conditionalFormatting sqref="C9">
    <cfRule type="expression" dxfId="943" priority="407">
      <formula>"$C$9&gt;$C$14"</formula>
    </cfRule>
    <cfRule type="expression" dxfId="942" priority="409">
      <formula>$F$14&lt;$C$14</formula>
    </cfRule>
  </conditionalFormatting>
  <conditionalFormatting sqref="I51">
    <cfRule type="expression" dxfId="941" priority="408">
      <formula>WEEKDAY($A51,2)&gt;5</formula>
    </cfRule>
  </conditionalFormatting>
  <conditionalFormatting sqref="I51">
    <cfRule type="cellIs" dxfId="940" priority="405" operator="lessThan">
      <formula>0</formula>
    </cfRule>
  </conditionalFormatting>
  <conditionalFormatting sqref="C14:D14">
    <cfRule type="expression" dxfId="939" priority="372">
      <formula>"F14&gt;F9"</formula>
    </cfRule>
    <cfRule type="expression" dxfId="938" priority="373">
      <formula>$C$14&lt;$C$9</formula>
    </cfRule>
    <cfRule type="expression" dxfId="937" priority="403">
      <formula>$C$14&gt;$F$9</formula>
    </cfRule>
    <cfRule type="expression" dxfId="936" priority="404">
      <formula>$F$14&lt;$C$9</formula>
    </cfRule>
  </conditionalFormatting>
  <conditionalFormatting sqref="G53">
    <cfRule type="expression" dxfId="935" priority="402">
      <formula>ABS(SUM(#REF!))&gt;$A$61</formula>
    </cfRule>
  </conditionalFormatting>
  <conditionalFormatting sqref="I51 F20:J50">
    <cfRule type="expression" dxfId="934" priority="413">
      <formula>AND(WEEKDAY($A20,2)=3,$I$6=FALSE)</formula>
    </cfRule>
    <cfRule type="expression" dxfId="933" priority="414">
      <formula>AND(WEEKDAY($A20,2)=4,$I$8=TRUE)</formula>
    </cfRule>
    <cfRule type="expression" dxfId="932" priority="415">
      <formula>AND(WEEKDAY($A20,2)=4,$I$8=FALSE)</formula>
    </cfRule>
    <cfRule type="expression" dxfId="931" priority="416">
      <formula>AND(WEEKDAY($A20,2)=5,$I$10=TRUE)</formula>
    </cfRule>
    <cfRule type="expression" dxfId="930" priority="417">
      <formula>AND(WEEKDAY($A20,2)=5,$G$14=FALSE)</formula>
    </cfRule>
  </conditionalFormatting>
  <conditionalFormatting sqref="I51 F20:J50">
    <cfRule type="expression" dxfId="929" priority="418">
      <formula>AND(WEEKDAY($A20,2)=1,$I$2=TRUE)</formula>
    </cfRule>
    <cfRule type="expression" dxfId="928" priority="419">
      <formula>AND(WEEKDAY($A20,2)=1,$I$2=FALSE)</formula>
    </cfRule>
    <cfRule type="expression" dxfId="927" priority="420">
      <formula>AND(WEEKDAY($A20,2)=2,$I$4=TRUE)</formula>
    </cfRule>
    <cfRule type="expression" dxfId="926" priority="421">
      <formula>AND(WEEKDAY($A20,2)=2,$I$4=FALSE)</formula>
    </cfRule>
    <cfRule type="expression" dxfId="925" priority="422">
      <formula>AND(WEEKDAY($A20,2)=3,$I$6=TRUE)</formula>
    </cfRule>
  </conditionalFormatting>
  <conditionalFormatting sqref="K3:L3">
    <cfRule type="expression" dxfId="924" priority="387">
      <formula>AND(I2=TRUE,$C$11&lt;&gt;($K$3+$K$5+$K$7+$K$9+$K$11))</formula>
    </cfRule>
    <cfRule type="expression" dxfId="923" priority="388">
      <formula>(I2=TRUE)</formula>
    </cfRule>
    <cfRule type="expression" dxfId="922" priority="389">
      <formula>AND(I2=FALSE,$K$3&gt;0)</formula>
    </cfRule>
  </conditionalFormatting>
  <conditionalFormatting sqref="K7:L7">
    <cfRule type="expression" dxfId="921" priority="390">
      <formula>AND(I6=TRUE,$C$11&lt;&gt;($K$3+$K$5+$K$7+$K$9+$K$11))</formula>
    </cfRule>
    <cfRule type="expression" dxfId="920" priority="391">
      <formula>(I6=TRUE)</formula>
    </cfRule>
    <cfRule type="expression" dxfId="919" priority="392">
      <formula>AND(I6=FALSE,$K$7&gt;0)</formula>
    </cfRule>
  </conditionalFormatting>
  <conditionalFormatting sqref="K11:L11">
    <cfRule type="expression" dxfId="918" priority="393">
      <formula>AND(I10=TRUE,$C$11&lt;&gt;($K$3+$K$5+$K$7+$K$9+$K$11))</formula>
    </cfRule>
    <cfRule type="expression" dxfId="917" priority="394">
      <formula>(I10=TRUE)</formula>
    </cfRule>
    <cfRule type="expression" dxfId="916" priority="395">
      <formula>AND(I10=FALSE,K11&gt;0)</formula>
    </cfRule>
  </conditionalFormatting>
  <conditionalFormatting sqref="K9:L9">
    <cfRule type="expression" dxfId="915" priority="396">
      <formula>AND(I8=TRUE,$C$11&lt;&gt;($K$3+$K$5+$K$7+$K$9+$K$11))</formula>
    </cfRule>
    <cfRule type="expression" dxfId="914" priority="397">
      <formula>(I8=TRUE)</formula>
    </cfRule>
    <cfRule type="expression" dxfId="913" priority="398">
      <formula>AND(I8=FALSE,K9&gt;0)</formula>
    </cfRule>
  </conditionalFormatting>
  <conditionalFormatting sqref="K5:L5">
    <cfRule type="expression" dxfId="912" priority="385">
      <formula>AND(I4=FALSE,K5&gt;0)</formula>
    </cfRule>
    <cfRule type="expression" dxfId="911" priority="386">
      <formula>AND(I4=TRUE,$C$11&lt;&gt;($K$3+$K$5+$K$7+$K$9+$K$11))</formula>
    </cfRule>
    <cfRule type="expression" dxfId="910" priority="399">
      <formula>($I$4=TRUE)</formula>
    </cfRule>
  </conditionalFormatting>
  <conditionalFormatting sqref="K51">
    <cfRule type="expression" dxfId="909" priority="423">
      <formula>ABS(SUM(#REF!))&gt;$A$53</formula>
    </cfRule>
  </conditionalFormatting>
  <conditionalFormatting sqref="J52">
    <cfRule type="cellIs" dxfId="908" priority="384" operator="lessThan">
      <formula>0</formula>
    </cfRule>
  </conditionalFormatting>
  <conditionalFormatting sqref="F20:F50">
    <cfRule type="expression" dxfId="907" priority="383">
      <formula>WEEKDAY($A20,2)&gt;5</formula>
    </cfRule>
  </conditionalFormatting>
  <conditionalFormatting sqref="H20:I50">
    <cfRule type="expression" dxfId="906" priority="382">
      <formula>WEEKDAY($A20,2)&gt;5</formula>
    </cfRule>
  </conditionalFormatting>
  <conditionalFormatting sqref="I20:I50">
    <cfRule type="cellIs" dxfId="905" priority="381" operator="lessThan">
      <formula>0</formula>
    </cfRule>
  </conditionalFormatting>
  <conditionalFormatting sqref="J20:J50">
    <cfRule type="expression" dxfId="904" priority="375">
      <formula>WEEKDAY($A20,2)&gt;5</formula>
    </cfRule>
  </conditionalFormatting>
  <conditionalFormatting sqref="J20:J50">
    <cfRule type="cellIs" dxfId="903" priority="374" operator="lessThan">
      <formula>0</formula>
    </cfRule>
  </conditionalFormatting>
  <conditionalFormatting sqref="C14">
    <cfRule type="expression" dxfId="902" priority="411">
      <formula>$C$14&lt;$C$9</formula>
    </cfRule>
  </conditionalFormatting>
  <conditionalFormatting sqref="G20:G50">
    <cfRule type="expression" dxfId="901" priority="370">
      <formula>WEEKDAY($A20,2)&gt;5</formula>
    </cfRule>
  </conditionalFormatting>
  <conditionalFormatting sqref="G20:G50">
    <cfRule type="containsText" dxfId="900" priority="369" operator="containsText" text="0,00">
      <formula>NOT(ISERROR(SEARCH("0,00",G20)))</formula>
    </cfRule>
  </conditionalFormatting>
  <conditionalFormatting sqref="H52">
    <cfRule type="cellIs" dxfId="899" priority="347" operator="lessThan">
      <formula>0</formula>
    </cfRule>
  </conditionalFormatting>
  <conditionalFormatting sqref="Q93:Q94">
    <cfRule type="expression" dxfId="898" priority="268">
      <formula>AND(WEEKDAY($A93,2)=3,$I$6=FALSE)</formula>
    </cfRule>
    <cfRule type="expression" dxfId="897" priority="269">
      <formula>AND(WEEKDAY($A93,2)=4,$I$8=TRUE)</formula>
    </cfRule>
    <cfRule type="expression" dxfId="896" priority="270">
      <formula>AND(WEEKDAY($A93,2)=4,$I$8=FALSE)</formula>
    </cfRule>
    <cfRule type="expression" dxfId="895" priority="271">
      <formula>AND(WEEKDAY($A93,2)=5,$I$10=TRUE)</formula>
    </cfRule>
    <cfRule type="expression" dxfId="894" priority="272">
      <formula>AND(WEEKDAY($A93,2)=5,$G$14=FALSE)</formula>
    </cfRule>
  </conditionalFormatting>
  <conditionalFormatting sqref="Q93:Q94">
    <cfRule type="expression" dxfId="893" priority="273">
      <formula>AND(WEEKDAY($A93,2)=1,$I$2=TRUE)</formula>
    </cfRule>
    <cfRule type="expression" dxfId="892" priority="274">
      <formula>AND(WEEKDAY($A93,2)=1,$I$2=FALSE)</formula>
    </cfRule>
    <cfRule type="expression" dxfId="891" priority="275">
      <formula>AND(WEEKDAY($A93,2)=2,$I$4=TRUE)</formula>
    </cfRule>
    <cfRule type="expression" dxfId="890" priority="276">
      <formula>AND(WEEKDAY($A93,2)=2,$I$4=FALSE)</formula>
    </cfRule>
    <cfRule type="expression" dxfId="889" priority="277">
      <formula>AND(WEEKDAY($A93,2)=3,$I$6=TRUE)</formula>
    </cfRule>
  </conditionalFormatting>
  <conditionalFormatting sqref="Q93:Q94">
    <cfRule type="expression" dxfId="888" priority="267">
      <formula>WEEKDAY($A93,2)&gt;5</formula>
    </cfRule>
  </conditionalFormatting>
  <conditionalFormatting sqref="U20:U50 Q81:Q92 P80 Q77:Q79">
    <cfRule type="expression" dxfId="887" priority="245">
      <formula>AND(WEEKDAY($A20,2)=3,$I$6=FALSE)</formula>
    </cfRule>
    <cfRule type="expression" dxfId="886" priority="246">
      <formula>AND(WEEKDAY($A20,2)=4,$I$8=TRUE)</formula>
    </cfRule>
    <cfRule type="expression" dxfId="885" priority="247">
      <formula>AND(WEEKDAY($A20,2)=4,$I$8=FALSE)</formula>
    </cfRule>
    <cfRule type="expression" dxfId="884" priority="248">
      <formula>AND(WEEKDAY($A20,2)=5,$I$10=TRUE)</formula>
    </cfRule>
    <cfRule type="expression" dxfId="883" priority="249">
      <formula>AND(WEEKDAY($A20,2)=5,$G$14=FALSE)</formula>
    </cfRule>
  </conditionalFormatting>
  <conditionalFormatting sqref="U20:U50 Q81:Q92 P80 Q77:Q79">
    <cfRule type="expression" dxfId="882" priority="250">
      <formula>AND(WEEKDAY($A20,2)=1,$I$2=TRUE)</formula>
    </cfRule>
    <cfRule type="expression" dxfId="881" priority="251">
      <formula>AND(WEEKDAY($A20,2)=1,$I$2=FALSE)</formula>
    </cfRule>
    <cfRule type="expression" dxfId="880" priority="252">
      <formula>AND(WEEKDAY($A20,2)=2,$I$4=TRUE)</formula>
    </cfRule>
    <cfRule type="expression" dxfId="879" priority="253">
      <formula>AND(WEEKDAY($A20,2)=2,$I$4=FALSE)</formula>
    </cfRule>
    <cfRule type="expression" dxfId="878" priority="254">
      <formula>AND(WEEKDAY($A20,2)=3,$I$6=TRUE)</formula>
    </cfRule>
  </conditionalFormatting>
  <conditionalFormatting sqref="U20:U50">
    <cfRule type="expression" dxfId="877" priority="244">
      <formula>WEEKDAY($A20,2)&gt;5</formula>
    </cfRule>
  </conditionalFormatting>
  <conditionalFormatting sqref="U20:U50">
    <cfRule type="expression" dxfId="876" priority="255">
      <formula>#REF!&lt;&gt;""</formula>
    </cfRule>
  </conditionalFormatting>
  <conditionalFormatting sqref="Q81:Q92 P80 Q77:Q79">
    <cfRule type="expression" dxfId="875" priority="243">
      <formula>WEEKDAY($A77,2)&gt;5</formula>
    </cfRule>
  </conditionalFormatting>
  <conditionalFormatting sqref="Q80">
    <cfRule type="expression" dxfId="874" priority="233">
      <formula>AND(WEEKDAY($A80,2)=3,$I$6=FALSE)</formula>
    </cfRule>
    <cfRule type="expression" dxfId="873" priority="234">
      <formula>AND(WEEKDAY($A80,2)=4,$I$8=TRUE)</formula>
    </cfRule>
    <cfRule type="expression" dxfId="872" priority="235">
      <formula>AND(WEEKDAY($A80,2)=4,$I$8=FALSE)</formula>
    </cfRule>
    <cfRule type="expression" dxfId="871" priority="236">
      <formula>AND(WEEKDAY($A80,2)=5,$I$10=TRUE)</formula>
    </cfRule>
    <cfRule type="expression" dxfId="870" priority="237">
      <formula>AND(WEEKDAY($A80,2)=5,$G$14=FALSE)</formula>
    </cfRule>
  </conditionalFormatting>
  <conditionalFormatting sqref="Q80">
    <cfRule type="expression" dxfId="869" priority="238">
      <formula>AND(WEEKDAY($A80,2)=1,$I$2=TRUE)</formula>
    </cfRule>
    <cfRule type="expression" dxfId="868" priority="239">
      <formula>AND(WEEKDAY($A80,2)=1,$I$2=FALSE)</formula>
    </cfRule>
    <cfRule type="expression" dxfId="867" priority="240">
      <formula>AND(WEEKDAY($A80,2)=2,$I$4=TRUE)</formula>
    </cfRule>
    <cfRule type="expression" dxfId="866" priority="241">
      <formula>AND(WEEKDAY($A80,2)=2,$I$4=FALSE)</formula>
    </cfRule>
    <cfRule type="expression" dxfId="865" priority="242">
      <formula>AND(WEEKDAY($A80,2)=3,$I$6=TRUE)</formula>
    </cfRule>
  </conditionalFormatting>
  <conditionalFormatting sqref="Q80">
    <cfRule type="expression" dxfId="864" priority="232">
      <formula>WEEKDAY($A80,2)&gt;5</formula>
    </cfRule>
  </conditionalFormatting>
  <conditionalFormatting sqref="C1">
    <cfRule type="expression" dxfId="863" priority="90">
      <formula>ISBLANK($C$1)</formula>
    </cfRule>
  </conditionalFormatting>
  <conditionalFormatting sqref="C3">
    <cfRule type="expression" dxfId="862" priority="89">
      <formula>ISBLANK($C$3)</formula>
    </cfRule>
  </conditionalFormatting>
  <conditionalFormatting sqref="C5">
    <cfRule type="expression" dxfId="861" priority="88">
      <formula>ISBLANK($C$5)</formula>
    </cfRule>
  </conditionalFormatting>
  <conditionalFormatting sqref="C7">
    <cfRule type="expression" dxfId="860" priority="87">
      <formula>ISBLANK($C$7)</formula>
    </cfRule>
  </conditionalFormatting>
  <conditionalFormatting sqref="C11:D11">
    <cfRule type="expression" dxfId="859" priority="85">
      <formula>ISBLANK($C$11)</formula>
    </cfRule>
    <cfRule type="expression" dxfId="858" priority="86">
      <formula>($C$11/24)&lt;&gt;$M$3</formula>
    </cfRule>
  </conditionalFormatting>
  <conditionalFormatting sqref="B45:E45 B47:E47 B46:D46 B48:D50 A20:A50 B20:D44">
    <cfRule type="expression" dxfId="857" priority="57">
      <formula>AND(WEEKDAY($A20,2)=3,$I$6=FALSE)</formula>
    </cfRule>
    <cfRule type="expression" dxfId="856" priority="58">
      <formula>AND(WEEKDAY($A20,2)=4,$I$8=TRUE)</formula>
    </cfRule>
    <cfRule type="expression" dxfId="855" priority="59">
      <formula>AND(WEEKDAY($A20,2)=4,$I$8=FALSE)</formula>
    </cfRule>
    <cfRule type="expression" dxfId="854" priority="60">
      <formula>AND(WEEKDAY($A20,2)=5,$I$10=TRUE)</formula>
    </cfRule>
    <cfRule type="expression" dxfId="853" priority="61">
      <formula>AND(WEEKDAY($A20,2)=5,$G$14=FALSE)</formula>
    </cfRule>
  </conditionalFormatting>
  <conditionalFormatting sqref="A20:E50">
    <cfRule type="expression" dxfId="852" priority="62">
      <formula>AND(WEEKDAY($A20,2)=1,$I$2=TRUE)</formula>
    </cfRule>
    <cfRule type="expression" dxfId="851" priority="63">
      <formula>AND(WEEKDAY($A20,2)=1,$I$2=FALSE)</formula>
    </cfRule>
    <cfRule type="expression" dxfId="850" priority="64">
      <formula>AND(WEEKDAY($A20,2)=2,$I$4=TRUE)</formula>
    </cfRule>
    <cfRule type="expression" dxfId="849" priority="65">
      <formula>AND(WEEKDAY($A20,2)=2,$I$4=FALSE)</formula>
    </cfRule>
    <cfRule type="expression" dxfId="848" priority="66">
      <formula>AND(WEEKDAY($A20,2)=3,$I$6=TRUE)</formula>
    </cfRule>
  </conditionalFormatting>
  <conditionalFormatting sqref="A20:E50">
    <cfRule type="expression" dxfId="847" priority="56">
      <formula>WEEKDAY($A20,2)&gt;5</formula>
    </cfRule>
  </conditionalFormatting>
  <conditionalFormatting sqref="D21:E21">
    <cfRule type="expression" dxfId="846" priority="55">
      <formula>WEEKDAY($A21,2)&gt;5</formula>
    </cfRule>
  </conditionalFormatting>
  <conditionalFormatting sqref="D27:E27">
    <cfRule type="expression" dxfId="845" priority="54">
      <formula>WEEKDAY($A27,2)&gt;5</formula>
    </cfRule>
  </conditionalFormatting>
  <conditionalFormatting sqref="D34:E34">
    <cfRule type="expression" dxfId="844" priority="53">
      <formula>WEEKDAY($A34,2)&gt;5</formula>
    </cfRule>
  </conditionalFormatting>
  <conditionalFormatting sqref="D22:E22">
    <cfRule type="expression" dxfId="843" priority="52">
      <formula>WEEKDAY($A22,2)&gt;5</formula>
    </cfRule>
  </conditionalFormatting>
  <conditionalFormatting sqref="D28:E28">
    <cfRule type="expression" dxfId="842" priority="51">
      <formula>WEEKDAY($A28,2)&gt;5</formula>
    </cfRule>
  </conditionalFormatting>
  <conditionalFormatting sqref="D36:E36">
    <cfRule type="expression" dxfId="841" priority="50">
      <formula>WEEKDAY($A36,2)&gt;5</formula>
    </cfRule>
  </conditionalFormatting>
  <conditionalFormatting sqref="D42:E42">
    <cfRule type="expression" dxfId="840" priority="49">
      <formula>WEEKDAY($A42,2)&gt;5</formula>
    </cfRule>
  </conditionalFormatting>
  <conditionalFormatting sqref="D41:E41">
    <cfRule type="expression" dxfId="839" priority="48">
      <formula>WEEKDAY($A41,2)&gt;5</formula>
    </cfRule>
  </conditionalFormatting>
  <conditionalFormatting sqref="D48:E48">
    <cfRule type="expression" dxfId="838" priority="47">
      <formula>WEEKDAY($A48,2)&gt;5</formula>
    </cfRule>
  </conditionalFormatting>
  <conditionalFormatting sqref="D35:E35">
    <cfRule type="expression" dxfId="837" priority="46">
      <formula>WEEKDAY($A35,2)&gt;5</formula>
    </cfRule>
  </conditionalFormatting>
  <conditionalFormatting sqref="D29:E29">
    <cfRule type="expression" dxfId="836" priority="45">
      <formula>WEEKDAY($A29,2)&gt;5</formula>
    </cfRule>
  </conditionalFormatting>
  <conditionalFormatting sqref="D41:E41">
    <cfRule type="expression" dxfId="835" priority="44">
      <formula>WEEKDAY($A41,2)&gt;5</formula>
    </cfRule>
  </conditionalFormatting>
  <conditionalFormatting sqref="D42:E42">
    <cfRule type="expression" dxfId="834" priority="43">
      <formula>WEEKDAY($A42,2)&gt;5</formula>
    </cfRule>
  </conditionalFormatting>
  <conditionalFormatting sqref="D43:E43">
    <cfRule type="expression" dxfId="833" priority="42">
      <formula>WEEKDAY($A43,2)&gt;5</formula>
    </cfRule>
  </conditionalFormatting>
  <conditionalFormatting sqref="D41:E41">
    <cfRule type="expression" dxfId="832" priority="41">
      <formula>WEEKDAY($A41,2)&gt;5</formula>
    </cfRule>
  </conditionalFormatting>
  <conditionalFormatting sqref="D42:E42">
    <cfRule type="expression" dxfId="831" priority="40">
      <formula>WEEKDAY($A42,2)&gt;5</formula>
    </cfRule>
  </conditionalFormatting>
  <conditionalFormatting sqref="D35:E35">
    <cfRule type="expression" dxfId="830" priority="39">
      <formula>WEEKDAY($A35,2)&gt;5</formula>
    </cfRule>
  </conditionalFormatting>
  <conditionalFormatting sqref="D36:E36">
    <cfRule type="expression" dxfId="829" priority="38">
      <formula>WEEKDAY($A36,2)&gt;5</formula>
    </cfRule>
  </conditionalFormatting>
  <conditionalFormatting sqref="D35:E35">
    <cfRule type="expression" dxfId="828" priority="37">
      <formula>WEEKDAY($A35,2)&gt;5</formula>
    </cfRule>
  </conditionalFormatting>
  <conditionalFormatting sqref="D36:E36">
    <cfRule type="expression" dxfId="827" priority="36">
      <formula>WEEKDAY($A36,2)&gt;5</formula>
    </cfRule>
  </conditionalFormatting>
  <conditionalFormatting sqref="D23:E23">
    <cfRule type="expression" dxfId="826" priority="35">
      <formula>WEEKDAY($A23,2)&gt;5</formula>
    </cfRule>
  </conditionalFormatting>
  <conditionalFormatting sqref="D49:E49">
    <cfRule type="expression" dxfId="825" priority="34">
      <formula>WEEKDAY($A49,2)&gt;5</formula>
    </cfRule>
  </conditionalFormatting>
  <conditionalFormatting sqref="D41:E41">
    <cfRule type="expression" dxfId="824" priority="33">
      <formula>WEEKDAY($A41,2)&gt;5</formula>
    </cfRule>
  </conditionalFormatting>
  <conditionalFormatting sqref="D41:E41">
    <cfRule type="expression" dxfId="823" priority="32">
      <formula>WEEKDAY($A41,2)&gt;5</formula>
    </cfRule>
  </conditionalFormatting>
  <conditionalFormatting sqref="D41:E41">
    <cfRule type="expression" dxfId="822" priority="31">
      <formula>WEEKDAY($A41,2)&gt;5</formula>
    </cfRule>
  </conditionalFormatting>
  <conditionalFormatting sqref="A20:A50">
    <cfRule type="expression" dxfId="821" priority="29">
      <formula>V20&lt;&gt;""</formula>
    </cfRule>
    <cfRule type="expression" dxfId="820" priority="30">
      <formula>T20&lt;&gt;""</formula>
    </cfRule>
    <cfRule type="expression" dxfId="819" priority="67">
      <formula>T20&lt;&gt;""</formula>
    </cfRule>
  </conditionalFormatting>
  <conditionalFormatting sqref="B20:B50">
    <cfRule type="expression" dxfId="818" priority="68">
      <formula>#REF!&lt;&gt;""</formula>
    </cfRule>
  </conditionalFormatting>
  <conditionalFormatting sqref="D29:E29">
    <cfRule type="expression" dxfId="817" priority="28">
      <formula>WEEKDAY($A29,2)&gt;5</formula>
    </cfRule>
  </conditionalFormatting>
  <conditionalFormatting sqref="D30:E30">
    <cfRule type="expression" dxfId="816" priority="27">
      <formula>WEEKDAY($A30,2)&gt;5</formula>
    </cfRule>
  </conditionalFormatting>
  <conditionalFormatting sqref="D31:E31">
    <cfRule type="expression" dxfId="815" priority="26">
      <formula>WEEKDAY($A31,2)&gt;5</formula>
    </cfRule>
  </conditionalFormatting>
  <conditionalFormatting sqref="D36:E36">
    <cfRule type="expression" dxfId="814" priority="25">
      <formula>WEEKDAY($A36,2)&gt;5</formula>
    </cfRule>
  </conditionalFormatting>
  <conditionalFormatting sqref="D37:E37">
    <cfRule type="expression" dxfId="813" priority="24">
      <formula>WEEKDAY($A37,2)&gt;5</formula>
    </cfRule>
  </conditionalFormatting>
  <conditionalFormatting sqref="D38:E38">
    <cfRule type="expression" dxfId="812" priority="23">
      <formula>WEEKDAY($A38,2)&gt;5</formula>
    </cfRule>
  </conditionalFormatting>
  <conditionalFormatting sqref="D42:E42">
    <cfRule type="expression" dxfId="811" priority="22">
      <formula>WEEKDAY($A42,2)&gt;5</formula>
    </cfRule>
  </conditionalFormatting>
  <conditionalFormatting sqref="D43:E43">
    <cfRule type="expression" dxfId="810" priority="21">
      <formula>WEEKDAY($A43,2)&gt;5</formula>
    </cfRule>
  </conditionalFormatting>
  <conditionalFormatting sqref="D44:E44">
    <cfRule type="expression" dxfId="809" priority="20">
      <formula>WEEKDAY($A44,2)&gt;5</formula>
    </cfRule>
  </conditionalFormatting>
  <conditionalFormatting sqref="D33:E33">
    <cfRule type="expression" dxfId="808" priority="19">
      <formula>WEEKDAY($A33,2)&gt;5</formula>
    </cfRule>
  </conditionalFormatting>
  <conditionalFormatting sqref="D40:E40">
    <cfRule type="expression" dxfId="807" priority="18">
      <formula>WEEKDAY($A40,2)&gt;5</formula>
    </cfRule>
  </conditionalFormatting>
  <conditionalFormatting sqref="K20:K50">
    <cfRule type="expression" dxfId="806" priority="8">
      <formula>AND(WEEKDAY($A20,2)=3,$I$6=FALSE)</formula>
    </cfRule>
    <cfRule type="expression" dxfId="805" priority="9">
      <formula>AND(WEEKDAY($A20,2)=4,$I$8=TRUE)</formula>
    </cfRule>
    <cfRule type="expression" dxfId="804" priority="10">
      <formula>AND(WEEKDAY($A20,2)=4,$I$8=FALSE)</formula>
    </cfRule>
    <cfRule type="expression" dxfId="803" priority="11">
      <formula>AND(WEEKDAY($A20,2)=5,$I$10=TRUE)</formula>
    </cfRule>
    <cfRule type="expression" dxfId="802" priority="12">
      <formula>AND(WEEKDAY($A20,2)=5,$G$14=FALSE)</formula>
    </cfRule>
  </conditionalFormatting>
  <conditionalFormatting sqref="K20:L50">
    <cfRule type="expression" dxfId="801" priority="13">
      <formula>AND(WEEKDAY($A20,2)=1,$I$2=TRUE)</formula>
    </cfRule>
    <cfRule type="expression" dxfId="800" priority="14">
      <formula>AND(WEEKDAY($A20,2)=1,$I$2=FALSE)</formula>
    </cfRule>
    <cfRule type="expression" dxfId="799" priority="15">
      <formula>AND(WEEKDAY($A20,2)=2,$I$4=TRUE)</formula>
    </cfRule>
    <cfRule type="expression" dxfId="798" priority="16">
      <formula>AND(WEEKDAY($A20,2)=2,$I$4=FALSE)</formula>
    </cfRule>
    <cfRule type="expression" dxfId="797" priority="17">
      <formula>AND(WEEKDAY($A20,2)=3,$I$6=TRUE)</formula>
    </cfRule>
  </conditionalFormatting>
  <conditionalFormatting sqref="K20:L50">
    <cfRule type="containsText" dxfId="796" priority="3" operator="containsText" text="Angaben überprüfen">
      <formula>NOT(ISERROR(SEARCH("Angaben überprüfen",K20)))</formula>
    </cfRule>
    <cfRule type="cellIs" dxfId="795" priority="4" operator="equal">
      <formula>"30 min. Pause erforderlich"</formula>
    </cfRule>
    <cfRule type="expression" dxfId="794" priority="7">
      <formula>WEEKDAY($A20,2)&gt;5</formula>
    </cfRule>
  </conditionalFormatting>
  <conditionalFormatting sqref="K20:L50">
    <cfRule type="expression" dxfId="793" priority="6">
      <formula>WEEKDAY($A20,2)&gt;5</formula>
    </cfRule>
  </conditionalFormatting>
  <conditionalFormatting sqref="K20:L50">
    <cfRule type="expression" dxfId="792" priority="5">
      <formula>WEEKDAY($A20,2)&gt;5</formula>
    </cfRule>
  </conditionalFormatting>
  <conditionalFormatting sqref="B17:K17">
    <cfRule type="expression" dxfId="791" priority="1">
      <formula>ISBLANK($C$14)</formula>
    </cfRule>
  </conditionalFormatting>
  <dataValidations count="5">
    <dataValidation type="date" allowBlank="1" showInputMessage="1" showErrorMessage="1" error="Kein gültiges Datum" prompt="TT.MM.JJJJ" sqref="C9:D9 F9 C14:D14 F14">
      <formula1>40178</formula1>
      <formula2>71588</formula2>
    </dataValidation>
    <dataValidation type="decimal" allowBlank="1" showInputMessage="1" showErrorMessage="1" errorTitle="Achtung" error="Kein Dezimalwert" sqref="K3:L11">
      <formula1>0.25</formula1>
      <formula2>24</formula2>
    </dataValidation>
    <dataValidation type="decimal" allowBlank="1" showInputMessage="1" showErrorMessage="1" errorTitle="Falsches Zahlenformat" error="Bitte nur ganze Zahlen oder Dezimal eingeben." promptTitle="                 INFO" prompt="_x000a_Beim Ausfüllen unbedingt den Leitfaden zum Arbeitszeitkonto beachten_x000a_ -Siehe Hilfebutton" sqref="C11:D11">
      <formula1>1</formula1>
      <formula2>40</formula2>
    </dataValidation>
    <dataValidation type="textLength" operator="greaterThan" allowBlank="1" showInputMessage="1" showErrorMessage="1" errorTitle="Arbeitszeitkonto beendet" error="Ihr Arbeitszeitkonto überschreitet 12 Monate und ist damit beendet. Bitte erstellen Sie ein neues Konto." sqref="G16:L16">
      <formula1>40</formula1>
    </dataValidation>
    <dataValidation type="time" errorStyle="warning" allowBlank="1" showInputMessage="1" showErrorMessage="1" error="Außerhalb des Arbeitszeitrahmens" sqref="B20:E50">
      <formula1>0.25</formula1>
      <formula2>0.958333333333333</formula2>
    </dataValidation>
  </dataValidations>
  <pageMargins left="0.7" right="0.53156250000000005" top="1.6752083333333334" bottom="0.28125" header="0.47125" footer="0.3"/>
  <pageSetup paperSize="9" scale="87" orientation="portrait" r:id="rId1"/>
  <headerFooter>
    <oddHeader>&amp;L&amp;"BO Regular Bold,Fett"&amp;12Stundennachweis&amp;"-,Standard"&amp;10
&amp;"BO Regular Normal,Standard"nach §17 MiLoG
für SHK, WHK, studentische Aushilfskräfte TV-L 
und geringfügig Beschäftigte&amp;R&amp;G</oddHeader>
  </headerFooter>
  <ignoredErrors>
    <ignoredError sqref="C1:F7 K20:L50" unlockedFormula="1"/>
  </ignoredError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1265" r:id="rId5" name="Check Box 1">
              <controlPr locked="0" defaultSize="0" autoFill="0" autoLine="0" autoPict="0">
                <anchor moveWithCells="1">
                  <from>
                    <xdr:col>7</xdr:col>
                    <xdr:colOff>323850</xdr:colOff>
                    <xdr:row>1</xdr:row>
                    <xdr:rowOff>47625</xdr:rowOff>
                  </from>
                  <to>
                    <xdr:col>9</xdr:col>
                    <xdr:colOff>504825</xdr:colOff>
                    <xdr:row>3</xdr:row>
                    <xdr:rowOff>57150</xdr:rowOff>
                  </to>
                </anchor>
              </controlPr>
            </control>
          </mc:Choice>
        </mc:AlternateContent>
        <mc:AlternateContent xmlns:mc="http://schemas.openxmlformats.org/markup-compatibility/2006">
          <mc:Choice Requires="x14">
            <control shapeId="11266" r:id="rId6" name="Check Box 2">
              <controlPr locked="0" defaultSize="0" autoFill="0" autoLine="0" autoPict="0">
                <anchor moveWithCells="1">
                  <from>
                    <xdr:col>7</xdr:col>
                    <xdr:colOff>323850</xdr:colOff>
                    <xdr:row>3</xdr:row>
                    <xdr:rowOff>57150</xdr:rowOff>
                  </from>
                  <to>
                    <xdr:col>9</xdr:col>
                    <xdr:colOff>752475</xdr:colOff>
                    <xdr:row>5</xdr:row>
                    <xdr:rowOff>47625</xdr:rowOff>
                  </to>
                </anchor>
              </controlPr>
            </control>
          </mc:Choice>
        </mc:AlternateContent>
        <mc:AlternateContent xmlns:mc="http://schemas.openxmlformats.org/markup-compatibility/2006">
          <mc:Choice Requires="x14">
            <control shapeId="11267" r:id="rId7" name="Check Box 3">
              <controlPr locked="0" defaultSize="0" autoFill="0" autoLine="0" autoPict="0">
                <anchor moveWithCells="1">
                  <from>
                    <xdr:col>7</xdr:col>
                    <xdr:colOff>323850</xdr:colOff>
                    <xdr:row>5</xdr:row>
                    <xdr:rowOff>57150</xdr:rowOff>
                  </from>
                  <to>
                    <xdr:col>9</xdr:col>
                    <xdr:colOff>790575</xdr:colOff>
                    <xdr:row>7</xdr:row>
                    <xdr:rowOff>38100</xdr:rowOff>
                  </to>
                </anchor>
              </controlPr>
            </control>
          </mc:Choice>
        </mc:AlternateContent>
        <mc:AlternateContent xmlns:mc="http://schemas.openxmlformats.org/markup-compatibility/2006">
          <mc:Choice Requires="x14">
            <control shapeId="11268" r:id="rId8" name="Check Box 4">
              <controlPr locked="0" defaultSize="0" autoFill="0" autoLine="0" autoPict="0">
                <anchor moveWithCells="1">
                  <from>
                    <xdr:col>7</xdr:col>
                    <xdr:colOff>323850</xdr:colOff>
                    <xdr:row>7</xdr:row>
                    <xdr:rowOff>57150</xdr:rowOff>
                  </from>
                  <to>
                    <xdr:col>9</xdr:col>
                    <xdr:colOff>676275</xdr:colOff>
                    <xdr:row>9</xdr:row>
                    <xdr:rowOff>47625</xdr:rowOff>
                  </to>
                </anchor>
              </controlPr>
            </control>
          </mc:Choice>
        </mc:AlternateContent>
        <mc:AlternateContent xmlns:mc="http://schemas.openxmlformats.org/markup-compatibility/2006">
          <mc:Choice Requires="x14">
            <control shapeId="11269" r:id="rId9" name="Check Box 5">
              <controlPr locked="0" defaultSize="0" autoFill="0" autoLine="0" autoPict="0">
                <anchor moveWithCells="1">
                  <from>
                    <xdr:col>7</xdr:col>
                    <xdr:colOff>323850</xdr:colOff>
                    <xdr:row>9</xdr:row>
                    <xdr:rowOff>57150</xdr:rowOff>
                  </from>
                  <to>
                    <xdr:col>10</xdr:col>
                    <xdr:colOff>28575</xdr:colOff>
                    <xdr:row>11</xdr:row>
                    <xdr:rowOff>47625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2" operator="containsText" id="{104096AE-F486-474C-BA11-69CF4F12E11A}">
            <xm:f>NOT(ISERROR(SEARCH("45 min. Pause erforderlich",K20)))</xm:f>
            <xm:f>"45 min. Pause erforderlich"</xm:f>
            <x14:dxf>
              <font>
                <b/>
                <i val="0"/>
                <color rgb="FFA50021"/>
              </font>
            </x14:dxf>
          </x14:cfRule>
          <xm:sqref>K20:L50</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9"/>
  <dimension ref="A1:V95"/>
  <sheetViews>
    <sheetView showGridLines="0" showRowColHeaders="0" view="pageLayout" workbookViewId="0">
      <selection activeCell="C11" sqref="C11:D11"/>
    </sheetView>
  </sheetViews>
  <sheetFormatPr baseColWidth="10" defaultColWidth="12.42578125" defaultRowHeight="15"/>
  <cols>
    <col min="1" max="1" width="11.28515625" customWidth="1"/>
    <col min="2" max="2" width="8.7109375" customWidth="1"/>
    <col min="3" max="3" width="5" customWidth="1"/>
    <col min="4" max="4" width="6" customWidth="1"/>
    <col min="5" max="5" width="10.7109375" customWidth="1"/>
    <col min="6" max="6" width="12.140625" customWidth="1"/>
    <col min="7" max="7" width="7.7109375" customWidth="1"/>
    <col min="8" max="8" width="9.85546875" customWidth="1"/>
    <col min="9" max="9" width="6.5703125" hidden="1" customWidth="1"/>
    <col min="10" max="10" width="11.85546875" customWidth="1"/>
    <col min="11" max="11" width="11.140625" customWidth="1"/>
    <col min="12" max="12" width="7" customWidth="1"/>
    <col min="13" max="13" width="5.28515625" style="37" hidden="1" customWidth="1"/>
    <col min="14" max="14" width="5.42578125" style="33" hidden="1" customWidth="1"/>
    <col min="15" max="15" width="14.5703125" hidden="1" customWidth="1"/>
    <col min="16" max="16" width="9.28515625" hidden="1" customWidth="1"/>
    <col min="17" max="17" width="8.42578125" hidden="1" customWidth="1"/>
    <col min="18" max="18" width="7.140625" hidden="1" customWidth="1"/>
    <col min="19" max="21" width="12.42578125" hidden="1" customWidth="1"/>
    <col min="22" max="22" width="1.140625" hidden="1" customWidth="1"/>
    <col min="23" max="16353" width="12.42578125" customWidth="1"/>
    <col min="16354" max="16354" width="3.7109375" customWidth="1"/>
    <col min="16355" max="16384" width="4.42578125" customWidth="1"/>
  </cols>
  <sheetData>
    <row r="1" spans="1:20" s="2" customFormat="1" ht="18" customHeight="1">
      <c r="A1" s="254" t="s">
        <v>0</v>
      </c>
      <c r="B1" s="254"/>
      <c r="C1" s="255" t="str">
        <f>+'Blatt 7'!C1:F1</f>
        <v/>
      </c>
      <c r="D1" s="255"/>
      <c r="E1" s="255"/>
      <c r="F1" s="255"/>
      <c r="G1" s="1"/>
      <c r="H1" s="260" t="s">
        <v>1</v>
      </c>
      <c r="I1" s="260"/>
      <c r="J1" s="260"/>
      <c r="K1" s="259" t="s">
        <v>2</v>
      </c>
      <c r="L1" s="259"/>
      <c r="M1" s="253" t="s">
        <v>3</v>
      </c>
      <c r="N1" s="253"/>
      <c r="O1" s="253"/>
    </row>
    <row r="2" spans="1:20" ht="7.5" customHeight="1">
      <c r="A2" s="80"/>
      <c r="B2" s="80"/>
      <c r="C2" s="61"/>
      <c r="D2" s="61"/>
      <c r="E2" s="61"/>
      <c r="F2" s="61"/>
      <c r="G2" s="3"/>
      <c r="H2" s="3"/>
      <c r="I2" s="6" t="b">
        <v>0</v>
      </c>
      <c r="J2" s="3"/>
      <c r="K2" s="3"/>
      <c r="M2" s="143"/>
      <c r="N2" s="212"/>
    </row>
    <row r="3" spans="1:20" s="2" customFormat="1" ht="15.75">
      <c r="A3" s="254" t="s">
        <v>4</v>
      </c>
      <c r="B3" s="254"/>
      <c r="C3" s="255" t="str">
        <f>+'Blatt 7'!C3:F3</f>
        <v/>
      </c>
      <c r="D3" s="255"/>
      <c r="E3" s="255"/>
      <c r="F3" s="255"/>
      <c r="H3" s="47"/>
      <c r="I3" s="55"/>
      <c r="J3" s="8"/>
      <c r="K3" s="323"/>
      <c r="L3" s="323"/>
      <c r="M3" s="9">
        <f>($K$3+$K$5+$K$7+$K$9+$K$11)/24</f>
        <v>0</v>
      </c>
      <c r="N3" s="10"/>
    </row>
    <row r="4" spans="1:20" ht="7.5" customHeight="1">
      <c r="A4" s="80"/>
      <c r="B4" s="80"/>
      <c r="C4" s="62"/>
      <c r="D4" s="62"/>
      <c r="E4" s="62"/>
      <c r="F4" s="62"/>
      <c r="H4" s="3"/>
      <c r="I4" s="6" t="b">
        <v>0</v>
      </c>
      <c r="J4" s="3"/>
      <c r="K4" s="73"/>
      <c r="L4" s="74"/>
      <c r="M4" s="143"/>
      <c r="N4" s="212"/>
    </row>
    <row r="5" spans="1:20" s="2" customFormat="1" ht="15.75">
      <c r="A5" s="254" t="s">
        <v>5</v>
      </c>
      <c r="B5" s="254"/>
      <c r="C5" s="256" t="str">
        <f>+'Blatt 7'!C5:F5</f>
        <v/>
      </c>
      <c r="D5" s="255"/>
      <c r="E5" s="255"/>
      <c r="F5" s="255"/>
      <c r="H5" s="47"/>
      <c r="I5" s="55"/>
      <c r="J5" s="8"/>
      <c r="K5" s="300"/>
      <c r="L5" s="300"/>
      <c r="M5" s="143"/>
      <c r="N5" s="212"/>
    </row>
    <row r="6" spans="1:20" ht="7.5" customHeight="1">
      <c r="A6" s="80"/>
      <c r="B6" s="80"/>
      <c r="C6" s="62"/>
      <c r="D6" s="62"/>
      <c r="E6" s="62"/>
      <c r="F6" s="62"/>
      <c r="H6" s="3"/>
      <c r="I6" s="6" t="b">
        <v>0</v>
      </c>
      <c r="J6" s="3"/>
      <c r="K6" s="73"/>
      <c r="L6" s="74"/>
      <c r="M6" s="143"/>
      <c r="N6" s="212"/>
    </row>
    <row r="7" spans="1:20" s="2" customFormat="1" ht="15.75">
      <c r="A7" s="254" t="s">
        <v>6</v>
      </c>
      <c r="B7" s="254"/>
      <c r="C7" s="258" t="str">
        <f>+'Blatt 7'!C7:F7</f>
        <v/>
      </c>
      <c r="D7" s="258"/>
      <c r="E7" s="258"/>
      <c r="F7" s="258"/>
      <c r="H7" s="11"/>
      <c r="I7" s="55"/>
      <c r="J7" s="11"/>
      <c r="K7" s="300"/>
      <c r="L7" s="300"/>
      <c r="M7" s="143"/>
      <c r="N7" s="212"/>
    </row>
    <row r="8" spans="1:20" ht="7.5" customHeight="1">
      <c r="A8" s="80"/>
      <c r="B8" s="80"/>
      <c r="C8" s="62"/>
      <c r="D8" s="62"/>
      <c r="E8" s="62"/>
      <c r="F8" s="62"/>
      <c r="H8" s="3"/>
      <c r="I8" s="6" t="b">
        <v>0</v>
      </c>
      <c r="J8" s="3"/>
      <c r="K8" s="73"/>
      <c r="L8" s="74"/>
      <c r="M8" s="143"/>
      <c r="N8" s="212"/>
    </row>
    <row r="9" spans="1:20" ht="15.75">
      <c r="A9" s="254" t="s">
        <v>146</v>
      </c>
      <c r="B9" s="254"/>
      <c r="C9" s="265"/>
      <c r="D9" s="265"/>
      <c r="E9" s="82" t="s">
        <v>7</v>
      </c>
      <c r="F9" s="105"/>
      <c r="H9" s="3"/>
      <c r="I9" s="55"/>
      <c r="J9" s="3"/>
      <c r="K9" s="300"/>
      <c r="L9" s="300"/>
      <c r="M9" s="143"/>
      <c r="N9" s="212"/>
    </row>
    <row r="10" spans="1:20" ht="7.5" customHeight="1">
      <c r="A10" s="80"/>
      <c r="B10" s="80"/>
      <c r="C10" s="62"/>
      <c r="D10" s="62"/>
      <c r="E10" s="80"/>
      <c r="F10" s="62"/>
      <c r="H10" s="3"/>
      <c r="I10" s="12" t="b">
        <v>0</v>
      </c>
      <c r="J10" s="3"/>
      <c r="K10" s="73"/>
      <c r="L10" s="74"/>
      <c r="M10" s="143"/>
      <c r="N10" s="212"/>
    </row>
    <row r="11" spans="1:20" ht="15.75">
      <c r="A11" s="254" t="s">
        <v>8</v>
      </c>
      <c r="B11" s="254"/>
      <c r="C11" s="267"/>
      <c r="D11" s="267"/>
      <c r="E11" s="83" t="s">
        <v>9</v>
      </c>
      <c r="F11" s="64"/>
      <c r="H11" s="3"/>
      <c r="I11" s="12"/>
      <c r="J11" s="3"/>
      <c r="K11" s="300"/>
      <c r="L11" s="300"/>
      <c r="M11" s="143"/>
      <c r="N11" s="212"/>
      <c r="S11" s="146"/>
      <c r="T11" s="146"/>
    </row>
    <row r="12" spans="1:20" ht="7.5" customHeight="1">
      <c r="A12" s="211"/>
      <c r="B12" s="211"/>
      <c r="C12" s="65"/>
      <c r="D12" s="65"/>
      <c r="E12" s="84"/>
      <c r="F12" s="51"/>
      <c r="H12" s="50"/>
      <c r="I12" s="55"/>
      <c r="J12" s="3"/>
      <c r="K12" s="50"/>
      <c r="L12" s="50"/>
      <c r="M12" s="143"/>
      <c r="N12" s="212"/>
      <c r="S12" s="146"/>
    </row>
    <row r="13" spans="1:20" ht="4.5" customHeight="1">
      <c r="A13" s="254"/>
      <c r="B13" s="254"/>
      <c r="C13" s="65"/>
      <c r="D13" s="65"/>
      <c r="E13" s="80"/>
      <c r="F13" s="62"/>
      <c r="H13" s="3"/>
      <c r="I13" s="55"/>
      <c r="J13" s="3"/>
      <c r="M13" s="143"/>
      <c r="N13" s="212"/>
    </row>
    <row r="14" spans="1:20" ht="16.5" customHeight="1">
      <c r="A14" s="305" t="s">
        <v>141</v>
      </c>
      <c r="B14" s="305"/>
      <c r="C14" s="306"/>
      <c r="D14" s="306"/>
      <c r="E14" s="196" t="s">
        <v>7</v>
      </c>
      <c r="F14" s="213"/>
      <c r="G14" s="52" t="b">
        <v>0</v>
      </c>
      <c r="H14" s="320" t="str">
        <f>IF($C$14="","",IF(AND($O$16&lt;&gt;$C$14,$O$16&lt;$F$9),"Achtung! Stundennachweis unterbrochen",""))</f>
        <v/>
      </c>
      <c r="I14" s="320"/>
      <c r="J14" s="320"/>
      <c r="K14" s="320"/>
      <c r="L14" s="320"/>
      <c r="M14" s="304" t="s">
        <v>21</v>
      </c>
      <c r="N14" s="304"/>
      <c r="O14" s="147"/>
    </row>
    <row r="15" spans="1:20" hidden="1">
      <c r="A15" s="43"/>
      <c r="B15" s="47"/>
      <c r="C15" s="262"/>
      <c r="D15" s="262"/>
      <c r="E15" s="14"/>
      <c r="F15" s="39"/>
      <c r="G15" s="52"/>
      <c r="H15" s="3"/>
      <c r="I15" s="3"/>
      <c r="J15" s="3"/>
      <c r="K15" s="263"/>
      <c r="L15" s="263"/>
      <c r="M15" s="216"/>
      <c r="N15" s="149"/>
      <c r="O15" s="147"/>
    </row>
    <row r="16" spans="1:20" ht="41.25" customHeight="1">
      <c r="A16" s="321" t="str">
        <f ca="1">IF(($C$14+30)&lt;$F$14,"                                       Bitte nur einen Monat angeben! ",IF(COUNTIF(R20:R50,1)&gt;0,"Hinweis: Es erfolgt keine Berechnung der Zukunftswerte",""))</f>
        <v/>
      </c>
      <c r="B16" s="321"/>
      <c r="C16" s="321"/>
      <c r="D16" s="321"/>
      <c r="E16" s="321"/>
      <c r="F16" s="321"/>
      <c r="G16" s="303" t="str">
        <f>IF(AND(Q58&lt;365,Q58&gt;300),"Ihnen verbleiben noch "&amp;(364-Q58)&amp;" Tage um Ihr Arbeitszeitkonto auszugleichen",IF(Q58&gt;365,"Sie haben Ihr Arbeitszeitkonto überschritten, bitte erstellen Sie ein neues Konto",""))</f>
        <v/>
      </c>
      <c r="H16" s="303"/>
      <c r="I16" s="303"/>
      <c r="J16" s="303"/>
      <c r="K16" s="303"/>
      <c r="L16" s="303"/>
      <c r="M16" s="153">
        <f ca="1">IF(AND($H$14="Achtung! Stundennachweis unterbrochen",'Blatt 7'!J52&gt;0),0,'Blatt 7'!J52)</f>
        <v>0</v>
      </c>
      <c r="N16" s="154">
        <f ca="1">+$M$16+$N$55</f>
        <v>0</v>
      </c>
      <c r="O16" s="155" t="str">
        <f>IF($F$9=$F$14,"",'Blatt 7'!$F$14+1)</f>
        <v/>
      </c>
    </row>
    <row r="17" spans="1:22" ht="18.75">
      <c r="A17" s="40"/>
      <c r="B17" s="264">
        <f ca="1">IF(ISBLANK($C$14),EOMONTH('Blatt 7'!$B$17,0)+1,DATE(YEAR($C$14),MONTH($C$14),1))</f>
        <v>42369</v>
      </c>
      <c r="C17" s="264"/>
      <c r="D17" s="264"/>
      <c r="E17" s="264"/>
      <c r="F17" s="264"/>
      <c r="G17" s="264"/>
      <c r="H17" s="264"/>
      <c r="I17" s="264"/>
      <c r="J17" s="264"/>
      <c r="K17" s="264"/>
      <c r="L17" s="41"/>
      <c r="M17" s="15"/>
      <c r="N17" s="212"/>
    </row>
    <row r="18" spans="1:22" ht="8.4499999999999993" customHeight="1" thickBot="1">
      <c r="A18" s="3"/>
      <c r="B18" s="3"/>
      <c r="C18" s="3"/>
      <c r="D18" s="3"/>
      <c r="E18" s="3"/>
      <c r="F18" s="3"/>
      <c r="G18" s="3"/>
      <c r="H18" s="3"/>
      <c r="I18" s="3"/>
      <c r="J18" s="3"/>
      <c r="K18" s="3"/>
      <c r="L18" s="3"/>
      <c r="M18" s="143"/>
      <c r="N18" s="212"/>
    </row>
    <row r="19" spans="1:22" s="17" customFormat="1" ht="42.75" customHeight="1" thickBot="1">
      <c r="A19" s="187" t="s">
        <v>10</v>
      </c>
      <c r="B19" s="277" t="s">
        <v>11</v>
      </c>
      <c r="C19" s="277"/>
      <c r="D19" s="278" t="s">
        <v>12</v>
      </c>
      <c r="E19" s="279"/>
      <c r="F19" s="86" t="s">
        <v>27</v>
      </c>
      <c r="G19" s="210" t="s">
        <v>13</v>
      </c>
      <c r="H19" s="86" t="s">
        <v>14</v>
      </c>
      <c r="I19" s="88"/>
      <c r="J19" s="89" t="s">
        <v>15</v>
      </c>
      <c r="K19" s="278" t="s">
        <v>16</v>
      </c>
      <c r="L19" s="280"/>
      <c r="M19" s="16" t="s">
        <v>17</v>
      </c>
      <c r="N19" s="16"/>
      <c r="O19" s="58" t="s">
        <v>24</v>
      </c>
      <c r="P19" s="126" t="s">
        <v>28</v>
      </c>
      <c r="Q19" s="126" t="s">
        <v>31</v>
      </c>
      <c r="R19" s="289" t="s">
        <v>49</v>
      </c>
      <c r="S19" s="289"/>
      <c r="T19" s="289"/>
    </row>
    <row r="20" spans="1:22" s="2" customFormat="1" ht="12.6" customHeight="1">
      <c r="A20" s="188">
        <f ca="1">($B$17+ROW(A1)-1)*(MONTH(B17+1)=MONTH($B$17))</f>
        <v>42369</v>
      </c>
      <c r="B20" s="271"/>
      <c r="C20" s="272"/>
      <c r="D20" s="273"/>
      <c r="E20" s="274"/>
      <c r="F20" s="209"/>
      <c r="G20" s="110" t="str">
        <f ca="1">IF(OR(A20&lt;$C$14,A20&gt;$F$14,$G$16="Sie haben Ihr Arbeitszeitkonto überschritten, bitte erstellen Sie ein neues Konto",A20&gt;TODAY()),"0,00",IF(ISBLANK($C$14),"0,00",(D20-B20-F20)))</f>
        <v>0,00</v>
      </c>
      <c r="H20" s="111" t="str">
        <f ca="1">IF(WEEKDAY(A20,2)=7,SUMIF($M$19:$M$50,M20,$G$19:$G$50),"")</f>
        <v/>
      </c>
      <c r="I20" s="112">
        <f ca="1">IF(A20&lt;TODAY(),ROUND(SUM(G20-N20),7),0)</f>
        <v>0</v>
      </c>
      <c r="J20" s="156" t="str">
        <f t="shared" ref="J20:J24" ca="1" si="0">IF($G$16="Sie haben Ihr Arbeitszeitkonto überschritten, bitte erstellen Sie ein neues Konto","",IF(AND(A20&lt;TODAY(),WEEKDAY(A20,2)=7),I20+$N$16,""))</f>
        <v/>
      </c>
      <c r="K20" s="275" t="str">
        <f t="shared" ref="K20:K26" ca="1" si="1">IF(T20&lt;&gt;"",T20,IF(P20="1","Angaben überprüfen",IF(OR(A20&lt;$C$14,A20&gt;$F$14,G20="0,00"),"--------",IF(AND(G20&gt;(6/24),G20&lt;(9/24),F20&lt;0.5/24),"30 min. Pause erforderlich",IF(AND(G20&gt;=(9/24),F20&lt;0.75/24),"45 min. Pause erforderlich ","")))))</f>
        <v>Neujahr</v>
      </c>
      <c r="L20" s="276"/>
      <c r="M20" s="93">
        <f ca="1">WEEKNUM(A20,2)</f>
        <v>1</v>
      </c>
      <c r="N20" s="94">
        <f ca="1">IF(AND(A20&gt;=$C$14,A20&lt;=$F$14),IF(AND(WEEKDAY(A20,2)=1,$K$3&gt;0),$K$3,IF(AND(WEEKDAY(A20,2)=2,$K$5&gt;0),$K$5,IF(AND(WEEKDAY(A20,2)=3,$K$7&gt;0),$K$7,IF(AND(WEEKDAY(A20,2)=4,$K$9&gt;0),$K$9,IF(AND(WEEKDAY(A20,2)=5,$K$11&gt;0),$K$11,IF(WEEKDAY(A20,2)&gt;5,0,0))))))/24,0)</f>
        <v>0</v>
      </c>
      <c r="O20" s="95">
        <f ca="1">IF(I20&lt;&gt;0,I20,0)</f>
        <v>0</v>
      </c>
      <c r="P20" s="120" t="str">
        <f ca="1">IF(AND(Q20="1",B20&gt;0),"1","")</f>
        <v/>
      </c>
      <c r="Q20" s="120" t="str">
        <f t="shared" ref="Q20:Q50" ca="1" si="2">IF(OR(A20&lt;$C$14,A20&gt;$F$14,A20&lt;$C$9,A20&gt;$F$9),"1","")</f>
        <v>1</v>
      </c>
      <c r="R20" s="184" t="str">
        <f t="shared" ref="R20:R50" ca="1" si="3">IF(AND(A20&gt;TODAY(),B20&gt;0),"1","")</f>
        <v/>
      </c>
      <c r="S20" s="185" t="str">
        <f t="shared" ref="S20:S50" ca="1" si="4">VLOOKUP(A20,$Q$77:$S$92,2,FALSE)</f>
        <v>Neujahr</v>
      </c>
      <c r="T20" s="186" t="str">
        <f t="shared" ref="T20:T49" ca="1" si="5">IF(ISNA(S20),"",S20)</f>
        <v>Neujahr</v>
      </c>
      <c r="U20" s="193" t="str">
        <f t="shared" ref="U20:U50" ca="1" si="6">IF(AND(WEEKDAY(A20,2)=1,$I$2=TRUE),"X",IF(AND(WEEKDAY(A20,2)=4,$I$8=TRUE),"X",IF(AND(WEEKDAY(A20,2)=5,$I$10=TRUE),"X",IF(AND(WEEKDAY(A20,2)=2,$I$4=TRUE),"X",IF(AND(WEEKDAY(A20,2)=3,$I$6=TRUE),"X","")
))))</f>
        <v/>
      </c>
      <c r="V20" s="197" t="str">
        <f ca="1">IF(AND(U20&lt;&gt;"",T20&lt;&gt;""),"!","")</f>
        <v/>
      </c>
    </row>
    <row r="21" spans="1:22" s="2" customFormat="1" ht="12.6" customHeight="1">
      <c r="A21" s="189">
        <f t="shared" ref="A21:A29" ca="1" si="7">($B$17+ROW(A2)-1)*(MONTH(A20+1)=MONTH($B$17))</f>
        <v>42370</v>
      </c>
      <c r="B21" s="271"/>
      <c r="C21" s="272"/>
      <c r="D21" s="273"/>
      <c r="E21" s="274"/>
      <c r="F21" s="205"/>
      <c r="G21" s="110" t="str">
        <f t="shared" ref="G21:G49" ca="1" si="8">IF(OR(A21&lt;$C$14,A21&gt;$F$14,$G$16="Sie haben Ihr Arbeitszeitkonto überschritten, bitte erstellen Sie ein neues Konto",A21&gt;TODAY()),"0,00",IF(ISBLANK($C$14),"0,00",(D21-B21-F21)))</f>
        <v>0,00</v>
      </c>
      <c r="H21" s="111" t="str">
        <f t="shared" ref="H21:H50" ca="1" si="9">IF(WEEKDAY(A21,2)=7,SUMIF($M$19:$M$50,M21,$G$19:$G$50),"")</f>
        <v/>
      </c>
      <c r="I21" s="112">
        <f t="shared" ref="I21:I50" ca="1" si="10">IF(A21&lt;TODAY(),ROUND(SUM(G21+I20-N21),7),0)</f>
        <v>0</v>
      </c>
      <c r="J21" s="157" t="str">
        <f t="shared" ca="1" si="0"/>
        <v/>
      </c>
      <c r="K21" s="275" t="str">
        <f t="shared" ca="1" si="1"/>
        <v>--------</v>
      </c>
      <c r="L21" s="276"/>
      <c r="M21" s="93">
        <f t="shared" ref="M21:M49" ca="1" si="11">WEEKNUM(A21,2)</f>
        <v>1</v>
      </c>
      <c r="N21" s="94">
        <f t="shared" ref="N21:N50" ca="1" si="12">IF(AND(A21&gt;=$C$14,A21&lt;=$F$14),IF(AND(WEEKDAY(A21,2)=1,$K$3&gt;0),$K$3,IF(AND(WEEKDAY(A21,2)=2,$K$5&gt;0),$K$5,IF(AND(WEEKDAY(A21,2)=3,$K$7&gt;0),$K$7,IF(AND(WEEKDAY(A21,2)=4,$K$9&gt;0),$K$9,IF(AND(WEEKDAY(A21,2)=5,$K$11&gt;0),$K$11,IF(WEEKDAY(A21,2)&gt;5,0,0))))))/24,0)</f>
        <v>0</v>
      </c>
      <c r="O21" s="95">
        <f t="shared" ref="O21:O50" ca="1" si="13">IF(I21&lt;&gt;0,I21,0)</f>
        <v>0</v>
      </c>
      <c r="P21" s="120" t="str">
        <f t="shared" ref="P21:P50" ca="1" si="14">IF(AND(Q21="1",B21&gt;0),"1","")</f>
        <v/>
      </c>
      <c r="Q21" s="120" t="str">
        <f t="shared" ca="1" si="2"/>
        <v>1</v>
      </c>
      <c r="R21" s="184" t="str">
        <f t="shared" ca="1" si="3"/>
        <v/>
      </c>
      <c r="S21" s="185" t="e">
        <f t="shared" ca="1" si="4"/>
        <v>#N/A</v>
      </c>
      <c r="T21" s="186" t="str">
        <f t="shared" ca="1" si="5"/>
        <v/>
      </c>
      <c r="U21" s="194" t="str">
        <f t="shared" ca="1" si="6"/>
        <v/>
      </c>
      <c r="V21" s="197" t="str">
        <f t="shared" ref="V21:V50" ca="1" si="15">IF(AND(U21&lt;&gt;"",T21&lt;&gt;""),"!","")</f>
        <v/>
      </c>
    </row>
    <row r="22" spans="1:22" s="2" customFormat="1" ht="12.6" customHeight="1">
      <c r="A22" s="189">
        <f t="shared" ca="1" si="7"/>
        <v>42371</v>
      </c>
      <c r="B22" s="285"/>
      <c r="C22" s="286"/>
      <c r="D22" s="273"/>
      <c r="E22" s="274"/>
      <c r="F22" s="205"/>
      <c r="G22" s="110" t="str">
        <f t="shared" ca="1" si="8"/>
        <v>0,00</v>
      </c>
      <c r="H22" s="111" t="str">
        <f t="shared" ca="1" si="9"/>
        <v/>
      </c>
      <c r="I22" s="112">
        <f t="shared" ca="1" si="10"/>
        <v>0</v>
      </c>
      <c r="J22" s="157" t="str">
        <f t="shared" ca="1" si="0"/>
        <v/>
      </c>
      <c r="K22" s="275" t="str">
        <f t="shared" ca="1" si="1"/>
        <v>--------</v>
      </c>
      <c r="L22" s="276"/>
      <c r="M22" s="93">
        <f t="shared" ca="1" si="11"/>
        <v>1</v>
      </c>
      <c r="N22" s="94">
        <f t="shared" ca="1" si="12"/>
        <v>0</v>
      </c>
      <c r="O22" s="95">
        <f t="shared" ca="1" si="13"/>
        <v>0</v>
      </c>
      <c r="P22" s="120" t="str">
        <f t="shared" ca="1" si="14"/>
        <v/>
      </c>
      <c r="Q22" s="120" t="str">
        <f t="shared" ca="1" si="2"/>
        <v>1</v>
      </c>
      <c r="R22" s="184" t="str">
        <f t="shared" ca="1" si="3"/>
        <v/>
      </c>
      <c r="S22" s="185" t="e">
        <f t="shared" ca="1" si="4"/>
        <v>#N/A</v>
      </c>
      <c r="T22" s="186" t="str">
        <f t="shared" ca="1" si="5"/>
        <v/>
      </c>
      <c r="U22" s="194" t="str">
        <f t="shared" ca="1" si="6"/>
        <v/>
      </c>
      <c r="V22" s="197" t="str">
        <f t="shared" ca="1" si="15"/>
        <v/>
      </c>
    </row>
    <row r="23" spans="1:22" s="2" customFormat="1" ht="12.6" customHeight="1">
      <c r="A23" s="189">
        <f t="shared" ca="1" si="7"/>
        <v>42372</v>
      </c>
      <c r="B23" s="285"/>
      <c r="C23" s="286"/>
      <c r="D23" s="273"/>
      <c r="E23" s="274"/>
      <c r="F23" s="205"/>
      <c r="G23" s="110" t="str">
        <f t="shared" ca="1" si="8"/>
        <v>0,00</v>
      </c>
      <c r="H23" s="111" t="str">
        <f t="shared" ca="1" si="9"/>
        <v/>
      </c>
      <c r="I23" s="112">
        <f t="shared" ca="1" si="10"/>
        <v>0</v>
      </c>
      <c r="J23" s="157" t="str">
        <f t="shared" ca="1" si="0"/>
        <v/>
      </c>
      <c r="K23" s="275" t="str">
        <f t="shared" ca="1" si="1"/>
        <v>--------</v>
      </c>
      <c r="L23" s="276"/>
      <c r="M23" s="93">
        <f t="shared" ca="1" si="11"/>
        <v>1</v>
      </c>
      <c r="N23" s="94">
        <f t="shared" ca="1" si="12"/>
        <v>0</v>
      </c>
      <c r="O23" s="95">
        <f t="shared" ca="1" si="13"/>
        <v>0</v>
      </c>
      <c r="P23" s="120" t="str">
        <f t="shared" ca="1" si="14"/>
        <v/>
      </c>
      <c r="Q23" s="120" t="str">
        <f t="shared" ca="1" si="2"/>
        <v>1</v>
      </c>
      <c r="R23" s="184" t="str">
        <f t="shared" ca="1" si="3"/>
        <v/>
      </c>
      <c r="S23" s="185" t="e">
        <f t="shared" ca="1" si="4"/>
        <v>#N/A</v>
      </c>
      <c r="T23" s="186" t="str">
        <f t="shared" ca="1" si="5"/>
        <v/>
      </c>
      <c r="U23" s="194" t="str">
        <f t="shared" ca="1" si="6"/>
        <v/>
      </c>
      <c r="V23" s="197" t="str">
        <f t="shared" ca="1" si="15"/>
        <v/>
      </c>
    </row>
    <row r="24" spans="1:22" s="2" customFormat="1" ht="12.6" customHeight="1">
      <c r="A24" s="190">
        <f t="shared" ca="1" si="7"/>
        <v>42373</v>
      </c>
      <c r="B24" s="281"/>
      <c r="C24" s="282"/>
      <c r="D24" s="283"/>
      <c r="E24" s="284"/>
      <c r="F24" s="208"/>
      <c r="G24" s="110" t="str">
        <f t="shared" ca="1" si="8"/>
        <v>0,00</v>
      </c>
      <c r="H24" s="111">
        <f t="shared" ca="1" si="9"/>
        <v>0</v>
      </c>
      <c r="I24" s="112">
        <f t="shared" ca="1" si="10"/>
        <v>0</v>
      </c>
      <c r="J24" s="157" t="str">
        <f t="shared" ca="1" si="0"/>
        <v/>
      </c>
      <c r="K24" s="275" t="str">
        <f t="shared" ca="1" si="1"/>
        <v>--------</v>
      </c>
      <c r="L24" s="276"/>
      <c r="M24" s="93">
        <f t="shared" ca="1" si="11"/>
        <v>1</v>
      </c>
      <c r="N24" s="94">
        <f t="shared" ca="1" si="12"/>
        <v>0</v>
      </c>
      <c r="O24" s="95">
        <f t="shared" ca="1" si="13"/>
        <v>0</v>
      </c>
      <c r="P24" s="120" t="str">
        <f ca="1">IF(AND(Q24="1",B24&gt;0),"1","")</f>
        <v/>
      </c>
      <c r="Q24" s="120" t="str">
        <f t="shared" ca="1" si="2"/>
        <v>1</v>
      </c>
      <c r="R24" s="184" t="str">
        <f t="shared" ca="1" si="3"/>
        <v/>
      </c>
      <c r="S24" s="185" t="e">
        <f t="shared" ca="1" si="4"/>
        <v>#N/A</v>
      </c>
      <c r="T24" s="186" t="str">
        <f t="shared" ca="1" si="5"/>
        <v/>
      </c>
      <c r="U24" s="194" t="str">
        <f t="shared" ca="1" si="6"/>
        <v/>
      </c>
      <c r="V24" s="197" t="str">
        <f t="shared" ca="1" si="15"/>
        <v/>
      </c>
    </row>
    <row r="25" spans="1:22" s="18" customFormat="1" ht="12.6" customHeight="1">
      <c r="A25" s="190">
        <f t="shared" ca="1" si="7"/>
        <v>42374</v>
      </c>
      <c r="B25" s="281"/>
      <c r="C25" s="282"/>
      <c r="D25" s="283"/>
      <c r="E25" s="284"/>
      <c r="F25" s="207"/>
      <c r="G25" s="110" t="str">
        <f t="shared" ca="1" si="8"/>
        <v>0,00</v>
      </c>
      <c r="H25" s="111" t="str">
        <f t="shared" ca="1" si="9"/>
        <v/>
      </c>
      <c r="I25" s="112">
        <f t="shared" ca="1" si="10"/>
        <v>0</v>
      </c>
      <c r="J25" s="157" t="str">
        <f ca="1">IF($G$16="Sie haben Ihr Arbeitszeitkonto überschritten, bitte erstellen Sie ein neues Konto","",IF(AND(A25&lt;TODAY(),WEEKDAY(A25,2)=7),I25+$N$16,""))</f>
        <v/>
      </c>
      <c r="K25" s="275" t="str">
        <f t="shared" ca="1" si="1"/>
        <v>--------</v>
      </c>
      <c r="L25" s="276"/>
      <c r="M25" s="93">
        <f t="shared" ca="1" si="11"/>
        <v>2</v>
      </c>
      <c r="N25" s="94">
        <f t="shared" ca="1" si="12"/>
        <v>0</v>
      </c>
      <c r="O25" s="95">
        <f t="shared" ca="1" si="13"/>
        <v>0</v>
      </c>
      <c r="P25" s="120" t="str">
        <f t="shared" ca="1" si="14"/>
        <v/>
      </c>
      <c r="Q25" s="120" t="str">
        <f t="shared" ca="1" si="2"/>
        <v>1</v>
      </c>
      <c r="R25" s="184" t="str">
        <f t="shared" ca="1" si="3"/>
        <v/>
      </c>
      <c r="S25" s="185" t="e">
        <f t="shared" ca="1" si="4"/>
        <v>#N/A</v>
      </c>
      <c r="T25" s="186" t="str">
        <f t="shared" ca="1" si="5"/>
        <v/>
      </c>
      <c r="U25" s="194" t="str">
        <f t="shared" ca="1" si="6"/>
        <v/>
      </c>
      <c r="V25" s="197" t="str">
        <f t="shared" ca="1" si="15"/>
        <v/>
      </c>
    </row>
    <row r="26" spans="1:22" s="18" customFormat="1" ht="12.6" customHeight="1">
      <c r="A26" s="190">
        <f t="shared" ca="1" si="7"/>
        <v>42375</v>
      </c>
      <c r="B26" s="285"/>
      <c r="C26" s="286"/>
      <c r="D26" s="301"/>
      <c r="E26" s="276"/>
      <c r="F26" s="117"/>
      <c r="G26" s="110" t="str">
        <f t="shared" ca="1" si="8"/>
        <v>0,00</v>
      </c>
      <c r="H26" s="111" t="str">
        <f t="shared" ca="1" si="9"/>
        <v/>
      </c>
      <c r="I26" s="112">
        <f t="shared" ca="1" si="10"/>
        <v>0</v>
      </c>
      <c r="J26" s="157" t="str">
        <f t="shared" ref="J26:J50" ca="1" si="16">IF($G$16="Sie haben Ihr Arbeitszeitkonto überschritten, bitte erstellen Sie ein neues Konto","",IF(AND(A26&lt;TODAY(),WEEKDAY(A26,2)=7),I26+$N$16,""))</f>
        <v/>
      </c>
      <c r="K26" s="275" t="str">
        <f t="shared" ca="1" si="1"/>
        <v>--------</v>
      </c>
      <c r="L26" s="276"/>
      <c r="M26" s="93">
        <f t="shared" ca="1" si="11"/>
        <v>2</v>
      </c>
      <c r="N26" s="94">
        <f t="shared" ca="1" si="12"/>
        <v>0</v>
      </c>
      <c r="O26" s="95">
        <f t="shared" ca="1" si="13"/>
        <v>0</v>
      </c>
      <c r="P26" s="120" t="str">
        <f t="shared" ca="1" si="14"/>
        <v/>
      </c>
      <c r="Q26" s="120" t="str">
        <f t="shared" ca="1" si="2"/>
        <v>1</v>
      </c>
      <c r="R26" s="184" t="str">
        <f t="shared" ca="1" si="3"/>
        <v/>
      </c>
      <c r="S26" s="185" t="e">
        <f t="shared" ca="1" si="4"/>
        <v>#N/A</v>
      </c>
      <c r="T26" s="186" t="str">
        <f t="shared" ca="1" si="5"/>
        <v/>
      </c>
      <c r="U26" s="194" t="str">
        <f t="shared" ca="1" si="6"/>
        <v/>
      </c>
      <c r="V26" s="197" t="str">
        <f t="shared" ca="1" si="15"/>
        <v/>
      </c>
    </row>
    <row r="27" spans="1:22" ht="12.6" customHeight="1">
      <c r="A27" s="190">
        <f t="shared" ca="1" si="7"/>
        <v>42376</v>
      </c>
      <c r="B27" s="285"/>
      <c r="C27" s="286"/>
      <c r="D27" s="273"/>
      <c r="E27" s="274"/>
      <c r="F27" s="217"/>
      <c r="G27" s="110" t="str">
        <f t="shared" ca="1" si="8"/>
        <v>0,00</v>
      </c>
      <c r="H27" s="111" t="str">
        <f t="shared" ca="1" si="9"/>
        <v/>
      </c>
      <c r="I27" s="112">
        <f t="shared" ca="1" si="10"/>
        <v>0</v>
      </c>
      <c r="J27" s="157" t="str">
        <f t="shared" ca="1" si="16"/>
        <v/>
      </c>
      <c r="K27" s="275" t="str">
        <f ca="1">IF(T27&lt;&gt;"",T27,IF(P27="1","Angaben überprüfen",IF(OR(A27&lt;$C$14,A27&gt;$F$14,G27="0,00"),"--------",IF(AND(G27&gt;(6/24),G27&lt;(9/24),F27&lt;0.5/24),"30 min. Pause erforderlich",IF(AND(G27&gt;=(9/24),F27&lt;0.75/24),"45 min. Pause erforderlich ","")))))</f>
        <v>--------</v>
      </c>
      <c r="L27" s="276"/>
      <c r="M27" s="93">
        <f t="shared" ca="1" si="11"/>
        <v>2</v>
      </c>
      <c r="N27" s="94">
        <f t="shared" ca="1" si="12"/>
        <v>0</v>
      </c>
      <c r="O27" s="95">
        <f t="shared" ca="1" si="13"/>
        <v>0</v>
      </c>
      <c r="P27" s="120" t="str">
        <f t="shared" ca="1" si="14"/>
        <v/>
      </c>
      <c r="Q27" s="120" t="str">
        <f t="shared" ca="1" si="2"/>
        <v>1</v>
      </c>
      <c r="R27" s="184" t="str">
        <f t="shared" ca="1" si="3"/>
        <v/>
      </c>
      <c r="S27" s="185" t="e">
        <f t="shared" ca="1" si="4"/>
        <v>#N/A</v>
      </c>
      <c r="T27" s="186" t="str">
        <f t="shared" ca="1" si="5"/>
        <v/>
      </c>
      <c r="U27" s="194" t="str">
        <f t="shared" ca="1" si="6"/>
        <v/>
      </c>
      <c r="V27" s="197" t="str">
        <f t="shared" ca="1" si="15"/>
        <v/>
      </c>
    </row>
    <row r="28" spans="1:22" ht="12.6" customHeight="1">
      <c r="A28" s="190">
        <f t="shared" ca="1" si="7"/>
        <v>42377</v>
      </c>
      <c r="B28" s="285"/>
      <c r="C28" s="286"/>
      <c r="D28" s="273"/>
      <c r="E28" s="274"/>
      <c r="F28" s="217"/>
      <c r="G28" s="110" t="str">
        <f t="shared" ca="1" si="8"/>
        <v>0,00</v>
      </c>
      <c r="H28" s="111" t="str">
        <f t="shared" ca="1" si="9"/>
        <v/>
      </c>
      <c r="I28" s="112">
        <f t="shared" ca="1" si="10"/>
        <v>0</v>
      </c>
      <c r="J28" s="157" t="str">
        <f t="shared" ca="1" si="16"/>
        <v/>
      </c>
      <c r="K28" s="275" t="str">
        <f t="shared" ref="K28:K50" ca="1" si="17">IF(T28&lt;&gt;"",T28,IF(P28="1","Angaben überprüfen",IF(OR(A28&lt;$C$14,A28&gt;$F$14,G28="0,00"),"--------",IF(AND(G28&gt;(6/24),G28&lt;(9/24),F28&lt;0.5/24),"30 min. Pause erforderlich",IF(AND(G28&gt;=(9/24),F28&lt;0.75/24),"45 min. Pause erforderlich ","")))))</f>
        <v>--------</v>
      </c>
      <c r="L28" s="276"/>
      <c r="M28" s="93">
        <f t="shared" ca="1" si="11"/>
        <v>2</v>
      </c>
      <c r="N28" s="94">
        <f t="shared" ca="1" si="12"/>
        <v>0</v>
      </c>
      <c r="O28" s="95">
        <f t="shared" ca="1" si="13"/>
        <v>0</v>
      </c>
      <c r="P28" s="120" t="str">
        <f t="shared" ca="1" si="14"/>
        <v/>
      </c>
      <c r="Q28" s="120" t="str">
        <f t="shared" ca="1" si="2"/>
        <v>1</v>
      </c>
      <c r="R28" s="184" t="str">
        <f t="shared" ca="1" si="3"/>
        <v/>
      </c>
      <c r="S28" s="185" t="e">
        <f t="shared" ca="1" si="4"/>
        <v>#N/A</v>
      </c>
      <c r="T28" s="186" t="str">
        <f t="shared" ca="1" si="5"/>
        <v/>
      </c>
      <c r="U28" s="194" t="str">
        <f t="shared" ca="1" si="6"/>
        <v/>
      </c>
      <c r="V28" s="197" t="str">
        <f t="shared" ca="1" si="15"/>
        <v/>
      </c>
    </row>
    <row r="29" spans="1:22" ht="12.6" customHeight="1">
      <c r="A29" s="190">
        <f t="shared" ca="1" si="7"/>
        <v>42378</v>
      </c>
      <c r="B29" s="285"/>
      <c r="C29" s="286"/>
      <c r="D29" s="273"/>
      <c r="E29" s="274"/>
      <c r="F29" s="206"/>
      <c r="G29" s="110" t="str">
        <f t="shared" ca="1" si="8"/>
        <v>0,00</v>
      </c>
      <c r="H29" s="111" t="str">
        <f t="shared" ca="1" si="9"/>
        <v/>
      </c>
      <c r="I29" s="112">
        <f t="shared" ca="1" si="10"/>
        <v>0</v>
      </c>
      <c r="J29" s="157" t="str">
        <f t="shared" ca="1" si="16"/>
        <v/>
      </c>
      <c r="K29" s="275" t="str">
        <f t="shared" ca="1" si="17"/>
        <v>--------</v>
      </c>
      <c r="L29" s="276"/>
      <c r="M29" s="93">
        <f t="shared" ca="1" si="11"/>
        <v>2</v>
      </c>
      <c r="N29" s="94">
        <f t="shared" ca="1" si="12"/>
        <v>0</v>
      </c>
      <c r="O29" s="95">
        <f t="shared" ca="1" si="13"/>
        <v>0</v>
      </c>
      <c r="P29" s="120" t="str">
        <f t="shared" ca="1" si="14"/>
        <v/>
      </c>
      <c r="Q29" s="120" t="str">
        <f t="shared" ca="1" si="2"/>
        <v>1</v>
      </c>
      <c r="R29" s="184" t="str">
        <f t="shared" ca="1" si="3"/>
        <v/>
      </c>
      <c r="S29" s="185" t="e">
        <f t="shared" ca="1" si="4"/>
        <v>#N/A</v>
      </c>
      <c r="T29" s="186" t="str">
        <f t="shared" ca="1" si="5"/>
        <v/>
      </c>
      <c r="U29" s="194" t="str">
        <f t="shared" ca="1" si="6"/>
        <v/>
      </c>
      <c r="V29" s="197" t="str">
        <f t="shared" ca="1" si="15"/>
        <v/>
      </c>
    </row>
    <row r="30" spans="1:22" ht="12.6" customHeight="1">
      <c r="A30" s="189">
        <f ca="1">($B$17+ROW(A11)-1)*(MONTH(A27+1)=MONTH($B$17))</f>
        <v>42379</v>
      </c>
      <c r="B30" s="285"/>
      <c r="C30" s="286"/>
      <c r="D30" s="273"/>
      <c r="E30" s="274"/>
      <c r="F30" s="206"/>
      <c r="G30" s="110" t="str">
        <f t="shared" ca="1" si="8"/>
        <v>0,00</v>
      </c>
      <c r="H30" s="111" t="str">
        <f t="shared" ca="1" si="9"/>
        <v/>
      </c>
      <c r="I30" s="112">
        <f t="shared" ca="1" si="10"/>
        <v>0</v>
      </c>
      <c r="J30" s="157" t="str">
        <f t="shared" ca="1" si="16"/>
        <v/>
      </c>
      <c r="K30" s="275" t="str">
        <f t="shared" ca="1" si="17"/>
        <v>--------</v>
      </c>
      <c r="L30" s="276"/>
      <c r="M30" s="93">
        <f t="shared" ca="1" si="11"/>
        <v>2</v>
      </c>
      <c r="N30" s="94">
        <f t="shared" ca="1" si="12"/>
        <v>0</v>
      </c>
      <c r="O30" s="95">
        <f t="shared" ca="1" si="13"/>
        <v>0</v>
      </c>
      <c r="P30" s="120" t="str">
        <f t="shared" ca="1" si="14"/>
        <v/>
      </c>
      <c r="Q30" s="120" t="str">
        <f t="shared" ca="1" si="2"/>
        <v>1</v>
      </c>
      <c r="R30" s="184" t="str">
        <f t="shared" ca="1" si="3"/>
        <v/>
      </c>
      <c r="S30" s="185" t="e">
        <f t="shared" ca="1" si="4"/>
        <v>#N/A</v>
      </c>
      <c r="T30" s="186" t="str">
        <f t="shared" ca="1" si="5"/>
        <v/>
      </c>
      <c r="U30" s="194" t="str">
        <f t="shared" ca="1" si="6"/>
        <v/>
      </c>
      <c r="V30" s="197" t="str">
        <f t="shared" ca="1" si="15"/>
        <v/>
      </c>
    </row>
    <row r="31" spans="1:22" ht="12.6" customHeight="1">
      <c r="A31" s="189">
        <f ca="1">($B$17+ROW(A12)-1)*(MONTH(A28+1)=MONTH($B$17))</f>
        <v>42380</v>
      </c>
      <c r="B31" s="281"/>
      <c r="C31" s="282"/>
      <c r="D31" s="283"/>
      <c r="E31" s="284"/>
      <c r="F31" s="206"/>
      <c r="G31" s="110" t="str">
        <f t="shared" ca="1" si="8"/>
        <v>0,00</v>
      </c>
      <c r="H31" s="111">
        <f t="shared" ca="1" si="9"/>
        <v>0</v>
      </c>
      <c r="I31" s="112">
        <f t="shared" ca="1" si="10"/>
        <v>0</v>
      </c>
      <c r="J31" s="157" t="str">
        <f t="shared" ca="1" si="16"/>
        <v/>
      </c>
      <c r="K31" s="275" t="str">
        <f t="shared" ca="1" si="17"/>
        <v>--------</v>
      </c>
      <c r="L31" s="276"/>
      <c r="M31" s="93">
        <f t="shared" ca="1" si="11"/>
        <v>2</v>
      </c>
      <c r="N31" s="94">
        <f t="shared" ca="1" si="12"/>
        <v>0</v>
      </c>
      <c r="O31" s="95">
        <f t="shared" ca="1" si="13"/>
        <v>0</v>
      </c>
      <c r="P31" s="120" t="str">
        <f t="shared" ca="1" si="14"/>
        <v/>
      </c>
      <c r="Q31" s="120" t="str">
        <f t="shared" ca="1" si="2"/>
        <v>1</v>
      </c>
      <c r="R31" s="184" t="str">
        <f t="shared" ca="1" si="3"/>
        <v/>
      </c>
      <c r="S31" s="185" t="e">
        <f t="shared" ca="1" si="4"/>
        <v>#N/A</v>
      </c>
      <c r="T31" s="186" t="str">
        <f t="shared" ca="1" si="5"/>
        <v/>
      </c>
      <c r="U31" s="194" t="str">
        <f t="shared" ca="1" si="6"/>
        <v/>
      </c>
      <c r="V31" s="197" t="str">
        <f t="shared" ca="1" si="15"/>
        <v/>
      </c>
    </row>
    <row r="32" spans="1:22" ht="12.6" customHeight="1">
      <c r="A32" s="189">
        <f ca="1">($B$17+ROW(A13)-1)*(MONTH(A30+1)=MONTH($B$17))</f>
        <v>42381</v>
      </c>
      <c r="B32" s="285"/>
      <c r="C32" s="286"/>
      <c r="D32" s="301"/>
      <c r="E32" s="276"/>
      <c r="F32" s="206"/>
      <c r="G32" s="110" t="str">
        <f t="shared" ca="1" si="8"/>
        <v>0,00</v>
      </c>
      <c r="H32" s="111" t="str">
        <f t="shared" ca="1" si="9"/>
        <v/>
      </c>
      <c r="I32" s="112">
        <f t="shared" ca="1" si="10"/>
        <v>0</v>
      </c>
      <c r="J32" s="157" t="str">
        <f t="shared" ca="1" si="16"/>
        <v/>
      </c>
      <c r="K32" s="275" t="str">
        <f t="shared" ca="1" si="17"/>
        <v>--------</v>
      </c>
      <c r="L32" s="276"/>
      <c r="M32" s="93">
        <f t="shared" ca="1" si="11"/>
        <v>3</v>
      </c>
      <c r="N32" s="94">
        <f t="shared" ca="1" si="12"/>
        <v>0</v>
      </c>
      <c r="O32" s="95">
        <f t="shared" ca="1" si="13"/>
        <v>0</v>
      </c>
      <c r="P32" s="120" t="str">
        <f t="shared" ca="1" si="14"/>
        <v/>
      </c>
      <c r="Q32" s="120" t="str">
        <f t="shared" ca="1" si="2"/>
        <v>1</v>
      </c>
      <c r="R32" s="184" t="str">
        <f t="shared" ca="1" si="3"/>
        <v/>
      </c>
      <c r="S32" s="185" t="e">
        <f t="shared" ca="1" si="4"/>
        <v>#N/A</v>
      </c>
      <c r="T32" s="186" t="str">
        <f t="shared" ca="1" si="5"/>
        <v/>
      </c>
      <c r="U32" s="194" t="str">
        <f t="shared" ca="1" si="6"/>
        <v/>
      </c>
      <c r="V32" s="197" t="str">
        <f t="shared" ca="1" si="15"/>
        <v/>
      </c>
    </row>
    <row r="33" spans="1:22" ht="12.6" customHeight="1">
      <c r="A33" s="189">
        <f t="shared" ref="A33:A50" ca="1" si="18">($B$17+ROW(A14)-1)*(MONTH(A32+1)=MONTH($B$17))</f>
        <v>42382</v>
      </c>
      <c r="B33" s="285"/>
      <c r="C33" s="286"/>
      <c r="D33" s="273"/>
      <c r="E33" s="274"/>
      <c r="F33" s="206"/>
      <c r="G33" s="110" t="str">
        <f t="shared" ca="1" si="8"/>
        <v>0,00</v>
      </c>
      <c r="H33" s="111" t="str">
        <f t="shared" ca="1" si="9"/>
        <v/>
      </c>
      <c r="I33" s="112">
        <f t="shared" ca="1" si="10"/>
        <v>0</v>
      </c>
      <c r="J33" s="157" t="str">
        <f t="shared" ca="1" si="16"/>
        <v/>
      </c>
      <c r="K33" s="275" t="str">
        <f t="shared" ca="1" si="17"/>
        <v>--------</v>
      </c>
      <c r="L33" s="276"/>
      <c r="M33" s="93">
        <f t="shared" ca="1" si="11"/>
        <v>3</v>
      </c>
      <c r="N33" s="94">
        <f t="shared" ca="1" si="12"/>
        <v>0</v>
      </c>
      <c r="O33" s="95">
        <f t="shared" ca="1" si="13"/>
        <v>0</v>
      </c>
      <c r="P33" s="120" t="str">
        <f t="shared" ca="1" si="14"/>
        <v/>
      </c>
      <c r="Q33" s="120" t="str">
        <f t="shared" ca="1" si="2"/>
        <v>1</v>
      </c>
      <c r="R33" s="184" t="str">
        <f t="shared" ca="1" si="3"/>
        <v/>
      </c>
      <c r="S33" s="185" t="e">
        <f t="shared" ca="1" si="4"/>
        <v>#N/A</v>
      </c>
      <c r="T33" s="186" t="str">
        <f t="shared" ca="1" si="5"/>
        <v/>
      </c>
      <c r="U33" s="194" t="str">
        <f t="shared" ca="1" si="6"/>
        <v/>
      </c>
      <c r="V33" s="197" t="str">
        <f t="shared" ca="1" si="15"/>
        <v/>
      </c>
    </row>
    <row r="34" spans="1:22" ht="12.6" customHeight="1">
      <c r="A34" s="189">
        <f t="shared" ca="1" si="18"/>
        <v>42383</v>
      </c>
      <c r="B34" s="285"/>
      <c r="C34" s="286"/>
      <c r="D34" s="273"/>
      <c r="E34" s="274"/>
      <c r="F34" s="206"/>
      <c r="G34" s="110" t="str">
        <f t="shared" ca="1" si="8"/>
        <v>0,00</v>
      </c>
      <c r="H34" s="111" t="str">
        <f t="shared" ca="1" si="9"/>
        <v/>
      </c>
      <c r="I34" s="112">
        <f t="shared" ca="1" si="10"/>
        <v>0</v>
      </c>
      <c r="J34" s="157" t="str">
        <f t="shared" ca="1" si="16"/>
        <v/>
      </c>
      <c r="K34" s="275" t="str">
        <f t="shared" ca="1" si="17"/>
        <v>--------</v>
      </c>
      <c r="L34" s="276"/>
      <c r="M34" s="93">
        <f t="shared" ca="1" si="11"/>
        <v>3</v>
      </c>
      <c r="N34" s="94">
        <f t="shared" ca="1" si="12"/>
        <v>0</v>
      </c>
      <c r="O34" s="95">
        <f t="shared" ca="1" si="13"/>
        <v>0</v>
      </c>
      <c r="P34" s="120" t="str">
        <f t="shared" ca="1" si="14"/>
        <v/>
      </c>
      <c r="Q34" s="120" t="str">
        <f t="shared" ca="1" si="2"/>
        <v>1</v>
      </c>
      <c r="R34" s="184" t="str">
        <f t="shared" ca="1" si="3"/>
        <v/>
      </c>
      <c r="S34" s="185" t="e">
        <f t="shared" ca="1" si="4"/>
        <v>#N/A</v>
      </c>
      <c r="T34" s="186" t="str">
        <f t="shared" ca="1" si="5"/>
        <v/>
      </c>
      <c r="U34" s="194" t="str">
        <f t="shared" ca="1" si="6"/>
        <v/>
      </c>
      <c r="V34" s="197" t="str">
        <f t="shared" ca="1" si="15"/>
        <v/>
      </c>
    </row>
    <row r="35" spans="1:22" ht="12.6" customHeight="1">
      <c r="A35" s="189">
        <f t="shared" ca="1" si="18"/>
        <v>42384</v>
      </c>
      <c r="B35" s="285"/>
      <c r="C35" s="286"/>
      <c r="D35" s="273"/>
      <c r="E35" s="274"/>
      <c r="F35" s="206"/>
      <c r="G35" s="110" t="str">
        <f t="shared" ca="1" si="8"/>
        <v>0,00</v>
      </c>
      <c r="H35" s="111" t="str">
        <f t="shared" ca="1" si="9"/>
        <v/>
      </c>
      <c r="I35" s="112">
        <f t="shared" ca="1" si="10"/>
        <v>0</v>
      </c>
      <c r="J35" s="157" t="str">
        <f t="shared" ca="1" si="16"/>
        <v/>
      </c>
      <c r="K35" s="275" t="str">
        <f t="shared" ca="1" si="17"/>
        <v>--------</v>
      </c>
      <c r="L35" s="276"/>
      <c r="M35" s="93">
        <f t="shared" ca="1" si="11"/>
        <v>3</v>
      </c>
      <c r="N35" s="94">
        <f t="shared" ca="1" si="12"/>
        <v>0</v>
      </c>
      <c r="O35" s="95">
        <f t="shared" ca="1" si="13"/>
        <v>0</v>
      </c>
      <c r="P35" s="120" t="str">
        <f t="shared" ca="1" si="14"/>
        <v/>
      </c>
      <c r="Q35" s="120" t="str">
        <f t="shared" ca="1" si="2"/>
        <v>1</v>
      </c>
      <c r="R35" s="184" t="str">
        <f t="shared" ca="1" si="3"/>
        <v/>
      </c>
      <c r="S35" s="185" t="e">
        <f t="shared" ca="1" si="4"/>
        <v>#N/A</v>
      </c>
      <c r="T35" s="186" t="str">
        <f t="shared" ca="1" si="5"/>
        <v/>
      </c>
      <c r="U35" s="194" t="str">
        <f t="shared" ca="1" si="6"/>
        <v/>
      </c>
      <c r="V35" s="197" t="str">
        <f t="shared" ca="1" si="15"/>
        <v/>
      </c>
    </row>
    <row r="36" spans="1:22" ht="12.6" customHeight="1">
      <c r="A36" s="189">
        <f t="shared" ca="1" si="18"/>
        <v>42385</v>
      </c>
      <c r="B36" s="285"/>
      <c r="C36" s="286"/>
      <c r="D36" s="273"/>
      <c r="E36" s="274"/>
      <c r="F36" s="205"/>
      <c r="G36" s="110" t="str">
        <f t="shared" ca="1" si="8"/>
        <v>0,00</v>
      </c>
      <c r="H36" s="111" t="str">
        <f t="shared" ca="1" si="9"/>
        <v/>
      </c>
      <c r="I36" s="112">
        <f t="shared" ca="1" si="10"/>
        <v>0</v>
      </c>
      <c r="J36" s="157" t="str">
        <f t="shared" ca="1" si="16"/>
        <v/>
      </c>
      <c r="K36" s="275" t="str">
        <f t="shared" ca="1" si="17"/>
        <v>--------</v>
      </c>
      <c r="L36" s="276"/>
      <c r="M36" s="93">
        <f t="shared" ca="1" si="11"/>
        <v>3</v>
      </c>
      <c r="N36" s="94">
        <f t="shared" ca="1" si="12"/>
        <v>0</v>
      </c>
      <c r="O36" s="95">
        <f t="shared" ca="1" si="13"/>
        <v>0</v>
      </c>
      <c r="P36" s="120" t="str">
        <f t="shared" ca="1" si="14"/>
        <v/>
      </c>
      <c r="Q36" s="120" t="str">
        <f t="shared" ca="1" si="2"/>
        <v>1</v>
      </c>
      <c r="R36" s="184" t="str">
        <f t="shared" ca="1" si="3"/>
        <v/>
      </c>
      <c r="S36" s="185" t="e">
        <f t="shared" ca="1" si="4"/>
        <v>#N/A</v>
      </c>
      <c r="T36" s="186" t="str">
        <f t="shared" ca="1" si="5"/>
        <v/>
      </c>
      <c r="U36" s="194" t="str">
        <f t="shared" ca="1" si="6"/>
        <v/>
      </c>
      <c r="V36" s="197" t="str">
        <f t="shared" ca="1" si="15"/>
        <v/>
      </c>
    </row>
    <row r="37" spans="1:22" ht="12.6" customHeight="1">
      <c r="A37" s="189">
        <f t="shared" ca="1" si="18"/>
        <v>42386</v>
      </c>
      <c r="B37" s="285"/>
      <c r="C37" s="286"/>
      <c r="D37" s="273"/>
      <c r="E37" s="274"/>
      <c r="F37" s="205"/>
      <c r="G37" s="110" t="str">
        <f t="shared" ca="1" si="8"/>
        <v>0,00</v>
      </c>
      <c r="H37" s="111" t="str">
        <f t="shared" ca="1" si="9"/>
        <v/>
      </c>
      <c r="I37" s="112">
        <f t="shared" ca="1" si="10"/>
        <v>0</v>
      </c>
      <c r="J37" s="157" t="str">
        <f t="shared" ca="1" si="16"/>
        <v/>
      </c>
      <c r="K37" s="275" t="str">
        <f t="shared" ca="1" si="17"/>
        <v>--------</v>
      </c>
      <c r="L37" s="276"/>
      <c r="M37" s="93">
        <f t="shared" ca="1" si="11"/>
        <v>3</v>
      </c>
      <c r="N37" s="94">
        <f t="shared" ca="1" si="12"/>
        <v>0</v>
      </c>
      <c r="O37" s="95">
        <f t="shared" ca="1" si="13"/>
        <v>0</v>
      </c>
      <c r="P37" s="120" t="str">
        <f t="shared" ca="1" si="14"/>
        <v/>
      </c>
      <c r="Q37" s="120" t="str">
        <f t="shared" ca="1" si="2"/>
        <v>1</v>
      </c>
      <c r="R37" s="184" t="str">
        <f t="shared" ca="1" si="3"/>
        <v/>
      </c>
      <c r="S37" s="185" t="e">
        <f t="shared" ca="1" si="4"/>
        <v>#N/A</v>
      </c>
      <c r="T37" s="186" t="str">
        <f t="shared" ca="1" si="5"/>
        <v/>
      </c>
      <c r="U37" s="194" t="str">
        <f t="shared" ca="1" si="6"/>
        <v/>
      </c>
      <c r="V37" s="197" t="str">
        <f t="shared" ca="1" si="15"/>
        <v/>
      </c>
    </row>
    <row r="38" spans="1:22" ht="12.6" customHeight="1">
      <c r="A38" s="189">
        <f t="shared" ca="1" si="18"/>
        <v>42387</v>
      </c>
      <c r="B38" s="281"/>
      <c r="C38" s="282"/>
      <c r="D38" s="283"/>
      <c r="E38" s="284"/>
      <c r="F38" s="206"/>
      <c r="G38" s="110" t="str">
        <f t="shared" ca="1" si="8"/>
        <v>0,00</v>
      </c>
      <c r="H38" s="111">
        <f t="shared" ca="1" si="9"/>
        <v>0</v>
      </c>
      <c r="I38" s="112">
        <f t="shared" ca="1" si="10"/>
        <v>0</v>
      </c>
      <c r="J38" s="157" t="str">
        <f t="shared" ca="1" si="16"/>
        <v/>
      </c>
      <c r="K38" s="275" t="str">
        <f t="shared" ca="1" si="17"/>
        <v>--------</v>
      </c>
      <c r="L38" s="276"/>
      <c r="M38" s="93">
        <f t="shared" ca="1" si="11"/>
        <v>3</v>
      </c>
      <c r="N38" s="94">
        <f t="shared" ca="1" si="12"/>
        <v>0</v>
      </c>
      <c r="O38" s="95">
        <f t="shared" ca="1" si="13"/>
        <v>0</v>
      </c>
      <c r="P38" s="120" t="str">
        <f t="shared" ca="1" si="14"/>
        <v/>
      </c>
      <c r="Q38" s="120" t="str">
        <f t="shared" ca="1" si="2"/>
        <v>1</v>
      </c>
      <c r="R38" s="184" t="str">
        <f t="shared" ca="1" si="3"/>
        <v/>
      </c>
      <c r="S38" s="185" t="e">
        <f t="shared" ca="1" si="4"/>
        <v>#N/A</v>
      </c>
      <c r="T38" s="186" t="str">
        <f t="shared" ca="1" si="5"/>
        <v/>
      </c>
      <c r="U38" s="194" t="str">
        <f t="shared" ca="1" si="6"/>
        <v/>
      </c>
      <c r="V38" s="197" t="str">
        <f t="shared" ca="1" si="15"/>
        <v/>
      </c>
    </row>
    <row r="39" spans="1:22" ht="12.6" customHeight="1">
      <c r="A39" s="189">
        <f t="shared" ca="1" si="18"/>
        <v>42388</v>
      </c>
      <c r="B39" s="285"/>
      <c r="C39" s="286"/>
      <c r="D39" s="301"/>
      <c r="E39" s="276"/>
      <c r="F39" s="206"/>
      <c r="G39" s="110" t="str">
        <f t="shared" ca="1" si="8"/>
        <v>0,00</v>
      </c>
      <c r="H39" s="111" t="str">
        <f t="shared" ca="1" si="9"/>
        <v/>
      </c>
      <c r="I39" s="112">
        <f t="shared" ca="1" si="10"/>
        <v>0</v>
      </c>
      <c r="J39" s="157" t="str">
        <f t="shared" ca="1" si="16"/>
        <v/>
      </c>
      <c r="K39" s="275" t="str">
        <f t="shared" ca="1" si="17"/>
        <v>--------</v>
      </c>
      <c r="L39" s="276"/>
      <c r="M39" s="93">
        <f t="shared" ca="1" si="11"/>
        <v>4</v>
      </c>
      <c r="N39" s="94">
        <f t="shared" ca="1" si="12"/>
        <v>0</v>
      </c>
      <c r="O39" s="95">
        <f t="shared" ca="1" si="13"/>
        <v>0</v>
      </c>
      <c r="P39" s="120" t="str">
        <f t="shared" ca="1" si="14"/>
        <v/>
      </c>
      <c r="Q39" s="120" t="str">
        <f t="shared" ca="1" si="2"/>
        <v>1</v>
      </c>
      <c r="R39" s="184" t="str">
        <f t="shared" ca="1" si="3"/>
        <v/>
      </c>
      <c r="S39" s="185" t="e">
        <f t="shared" ca="1" si="4"/>
        <v>#N/A</v>
      </c>
      <c r="T39" s="186" t="str">
        <f t="shared" ca="1" si="5"/>
        <v/>
      </c>
      <c r="U39" s="194" t="str">
        <f t="shared" ca="1" si="6"/>
        <v/>
      </c>
      <c r="V39" s="197" t="str">
        <f t="shared" ca="1" si="15"/>
        <v/>
      </c>
    </row>
    <row r="40" spans="1:22" ht="12.6" customHeight="1">
      <c r="A40" s="189">
        <f t="shared" ca="1" si="18"/>
        <v>42389</v>
      </c>
      <c r="B40" s="285"/>
      <c r="C40" s="286"/>
      <c r="D40" s="273"/>
      <c r="E40" s="274"/>
      <c r="F40" s="206"/>
      <c r="G40" s="110" t="str">
        <f t="shared" ca="1" si="8"/>
        <v>0,00</v>
      </c>
      <c r="H40" s="111" t="str">
        <f t="shared" ca="1" si="9"/>
        <v/>
      </c>
      <c r="I40" s="112">
        <f t="shared" ca="1" si="10"/>
        <v>0</v>
      </c>
      <c r="J40" s="157" t="str">
        <f t="shared" ca="1" si="16"/>
        <v/>
      </c>
      <c r="K40" s="275" t="str">
        <f t="shared" ca="1" si="17"/>
        <v>--------</v>
      </c>
      <c r="L40" s="276"/>
      <c r="M40" s="93">
        <f t="shared" ca="1" si="11"/>
        <v>4</v>
      </c>
      <c r="N40" s="94">
        <f t="shared" ca="1" si="12"/>
        <v>0</v>
      </c>
      <c r="O40" s="95">
        <f t="shared" ca="1" si="13"/>
        <v>0</v>
      </c>
      <c r="P40" s="120" t="str">
        <f t="shared" ca="1" si="14"/>
        <v/>
      </c>
      <c r="Q40" s="120" t="str">
        <f t="shared" ca="1" si="2"/>
        <v>1</v>
      </c>
      <c r="R40" s="184" t="str">
        <f t="shared" ca="1" si="3"/>
        <v/>
      </c>
      <c r="S40" s="185" t="e">
        <f t="shared" ca="1" si="4"/>
        <v>#N/A</v>
      </c>
      <c r="T40" s="186" t="str">
        <f t="shared" ca="1" si="5"/>
        <v/>
      </c>
      <c r="U40" s="194" t="str">
        <f t="shared" ca="1" si="6"/>
        <v/>
      </c>
      <c r="V40" s="197" t="str">
        <f t="shared" ca="1" si="15"/>
        <v/>
      </c>
    </row>
    <row r="41" spans="1:22" ht="12.6" customHeight="1">
      <c r="A41" s="189">
        <f t="shared" ca="1" si="18"/>
        <v>42390</v>
      </c>
      <c r="B41" s="285"/>
      <c r="C41" s="286"/>
      <c r="D41" s="273"/>
      <c r="E41" s="274"/>
      <c r="F41" s="206"/>
      <c r="G41" s="110" t="str">
        <f t="shared" ca="1" si="8"/>
        <v>0,00</v>
      </c>
      <c r="H41" s="111" t="str">
        <f t="shared" ca="1" si="9"/>
        <v/>
      </c>
      <c r="I41" s="112">
        <f t="shared" ca="1" si="10"/>
        <v>0</v>
      </c>
      <c r="J41" s="157" t="str">
        <f t="shared" ca="1" si="16"/>
        <v/>
      </c>
      <c r="K41" s="275" t="str">
        <f t="shared" ca="1" si="17"/>
        <v>--------</v>
      </c>
      <c r="L41" s="276"/>
      <c r="M41" s="93">
        <f t="shared" ca="1" si="11"/>
        <v>4</v>
      </c>
      <c r="N41" s="94">
        <f t="shared" ca="1" si="12"/>
        <v>0</v>
      </c>
      <c r="O41" s="95">
        <f t="shared" ca="1" si="13"/>
        <v>0</v>
      </c>
      <c r="P41" s="120" t="str">
        <f t="shared" ca="1" si="14"/>
        <v/>
      </c>
      <c r="Q41" s="120" t="str">
        <f t="shared" ca="1" si="2"/>
        <v>1</v>
      </c>
      <c r="R41" s="184" t="str">
        <f t="shared" ca="1" si="3"/>
        <v/>
      </c>
      <c r="S41" s="185" t="e">
        <f t="shared" ca="1" si="4"/>
        <v>#N/A</v>
      </c>
      <c r="T41" s="186" t="str">
        <f t="shared" ca="1" si="5"/>
        <v/>
      </c>
      <c r="U41" s="194" t="str">
        <f t="shared" ca="1" si="6"/>
        <v/>
      </c>
      <c r="V41" s="197" t="str">
        <f t="shared" ca="1" si="15"/>
        <v/>
      </c>
    </row>
    <row r="42" spans="1:22" ht="12.6" customHeight="1">
      <c r="A42" s="189">
        <f t="shared" ca="1" si="18"/>
        <v>42391</v>
      </c>
      <c r="B42" s="285"/>
      <c r="C42" s="286"/>
      <c r="D42" s="273"/>
      <c r="E42" s="274"/>
      <c r="F42" s="206"/>
      <c r="G42" s="110" t="str">
        <f t="shared" ca="1" si="8"/>
        <v>0,00</v>
      </c>
      <c r="H42" s="111" t="str">
        <f t="shared" ca="1" si="9"/>
        <v/>
      </c>
      <c r="I42" s="112">
        <f t="shared" ca="1" si="10"/>
        <v>0</v>
      </c>
      <c r="J42" s="157" t="str">
        <f t="shared" ca="1" si="16"/>
        <v/>
      </c>
      <c r="K42" s="275" t="str">
        <f t="shared" ca="1" si="17"/>
        <v>--------</v>
      </c>
      <c r="L42" s="276"/>
      <c r="M42" s="93">
        <f t="shared" ca="1" si="11"/>
        <v>4</v>
      </c>
      <c r="N42" s="94">
        <f t="shared" ca="1" si="12"/>
        <v>0</v>
      </c>
      <c r="O42" s="95">
        <f t="shared" ca="1" si="13"/>
        <v>0</v>
      </c>
      <c r="P42" s="120" t="str">
        <f t="shared" ca="1" si="14"/>
        <v/>
      </c>
      <c r="Q42" s="120" t="str">
        <f t="shared" ca="1" si="2"/>
        <v>1</v>
      </c>
      <c r="R42" s="184" t="str">
        <f t="shared" ca="1" si="3"/>
        <v/>
      </c>
      <c r="S42" s="185" t="e">
        <f t="shared" ca="1" si="4"/>
        <v>#N/A</v>
      </c>
      <c r="T42" s="186" t="str">
        <f t="shared" ca="1" si="5"/>
        <v/>
      </c>
      <c r="U42" s="194" t="str">
        <f t="shared" ca="1" si="6"/>
        <v/>
      </c>
      <c r="V42" s="197" t="str">
        <f t="shared" ca="1" si="15"/>
        <v/>
      </c>
    </row>
    <row r="43" spans="1:22" ht="12.6" customHeight="1">
      <c r="A43" s="189">
        <f t="shared" ca="1" si="18"/>
        <v>42392</v>
      </c>
      <c r="B43" s="285"/>
      <c r="C43" s="286"/>
      <c r="D43" s="273"/>
      <c r="E43" s="274"/>
      <c r="F43" s="205"/>
      <c r="G43" s="110" t="str">
        <f t="shared" ca="1" si="8"/>
        <v>0,00</v>
      </c>
      <c r="H43" s="111" t="str">
        <f t="shared" ca="1" si="9"/>
        <v/>
      </c>
      <c r="I43" s="112">
        <f t="shared" ca="1" si="10"/>
        <v>0</v>
      </c>
      <c r="J43" s="157" t="str">
        <f t="shared" ca="1" si="16"/>
        <v/>
      </c>
      <c r="K43" s="275" t="str">
        <f t="shared" ca="1" si="17"/>
        <v>--------</v>
      </c>
      <c r="L43" s="276"/>
      <c r="M43" s="93">
        <f t="shared" ca="1" si="11"/>
        <v>4</v>
      </c>
      <c r="N43" s="94">
        <f t="shared" ca="1" si="12"/>
        <v>0</v>
      </c>
      <c r="O43" s="95">
        <f t="shared" ca="1" si="13"/>
        <v>0</v>
      </c>
      <c r="P43" s="120" t="str">
        <f t="shared" ca="1" si="14"/>
        <v/>
      </c>
      <c r="Q43" s="120" t="str">
        <f t="shared" ca="1" si="2"/>
        <v>1</v>
      </c>
      <c r="R43" s="184" t="str">
        <f t="shared" ca="1" si="3"/>
        <v/>
      </c>
      <c r="S43" s="185" t="e">
        <f ca="1">VLOOKUP(A43,$Q$77:$S$92,2,FALSE)</f>
        <v>#N/A</v>
      </c>
      <c r="T43" s="186" t="str">
        <f t="shared" ca="1" si="5"/>
        <v/>
      </c>
      <c r="U43" s="194" t="str">
        <f t="shared" ca="1" si="6"/>
        <v/>
      </c>
      <c r="V43" s="197" t="str">
        <f t="shared" ca="1" si="15"/>
        <v/>
      </c>
    </row>
    <row r="44" spans="1:22" ht="12.6" customHeight="1">
      <c r="A44" s="189">
        <f t="shared" ca="1" si="18"/>
        <v>42393</v>
      </c>
      <c r="B44" s="285"/>
      <c r="C44" s="286"/>
      <c r="D44" s="273"/>
      <c r="E44" s="274"/>
      <c r="F44" s="205"/>
      <c r="G44" s="110" t="str">
        <f t="shared" ca="1" si="8"/>
        <v>0,00</v>
      </c>
      <c r="H44" s="111" t="str">
        <f t="shared" ca="1" si="9"/>
        <v/>
      </c>
      <c r="I44" s="112">
        <f t="shared" ca="1" si="10"/>
        <v>0</v>
      </c>
      <c r="J44" s="157" t="str">
        <f t="shared" ca="1" si="16"/>
        <v/>
      </c>
      <c r="K44" s="275" t="str">
        <f t="shared" ca="1" si="17"/>
        <v>--------</v>
      </c>
      <c r="L44" s="276"/>
      <c r="M44" s="93">
        <f t="shared" ca="1" si="11"/>
        <v>4</v>
      </c>
      <c r="N44" s="94">
        <f t="shared" ca="1" si="12"/>
        <v>0</v>
      </c>
      <c r="O44" s="95">
        <f t="shared" ca="1" si="13"/>
        <v>0</v>
      </c>
      <c r="P44" s="120" t="str">
        <f t="shared" ca="1" si="14"/>
        <v/>
      </c>
      <c r="Q44" s="120" t="str">
        <f t="shared" ca="1" si="2"/>
        <v>1</v>
      </c>
      <c r="R44" s="184" t="str">
        <f t="shared" ca="1" si="3"/>
        <v/>
      </c>
      <c r="S44" s="185" t="e">
        <f t="shared" ca="1" si="4"/>
        <v>#N/A</v>
      </c>
      <c r="T44" s="186" t="str">
        <f t="shared" ca="1" si="5"/>
        <v/>
      </c>
      <c r="U44" s="194" t="str">
        <f t="shared" ca="1" si="6"/>
        <v/>
      </c>
      <c r="V44" s="197" t="str">
        <f t="shared" ca="1" si="15"/>
        <v/>
      </c>
    </row>
    <row r="45" spans="1:22" ht="12.6" customHeight="1">
      <c r="A45" s="189">
        <f t="shared" ca="1" si="18"/>
        <v>42394</v>
      </c>
      <c r="B45" s="308"/>
      <c r="C45" s="309"/>
      <c r="D45" s="308"/>
      <c r="E45" s="309"/>
      <c r="F45" s="206"/>
      <c r="G45" s="110" t="str">
        <f t="shared" ca="1" si="8"/>
        <v>0,00</v>
      </c>
      <c r="H45" s="111">
        <f t="shared" ca="1" si="9"/>
        <v>0</v>
      </c>
      <c r="I45" s="112">
        <f t="shared" ca="1" si="10"/>
        <v>0</v>
      </c>
      <c r="J45" s="157" t="str">
        <f t="shared" ca="1" si="16"/>
        <v/>
      </c>
      <c r="K45" s="275" t="str">
        <f t="shared" ca="1" si="17"/>
        <v>--------</v>
      </c>
      <c r="L45" s="276"/>
      <c r="M45" s="93">
        <f t="shared" ca="1" si="11"/>
        <v>4</v>
      </c>
      <c r="N45" s="94">
        <f t="shared" ca="1" si="12"/>
        <v>0</v>
      </c>
      <c r="O45" s="95">
        <f t="shared" ca="1" si="13"/>
        <v>0</v>
      </c>
      <c r="P45" s="120" t="str">
        <f t="shared" ca="1" si="14"/>
        <v/>
      </c>
      <c r="Q45" s="120" t="str">
        <f t="shared" ca="1" si="2"/>
        <v>1</v>
      </c>
      <c r="R45" s="184" t="str">
        <f t="shared" ca="1" si="3"/>
        <v/>
      </c>
      <c r="S45" s="185" t="e">
        <f t="shared" ca="1" si="4"/>
        <v>#N/A</v>
      </c>
      <c r="T45" s="186" t="str">
        <f t="shared" ca="1" si="5"/>
        <v/>
      </c>
      <c r="U45" s="194" t="str">
        <f t="shared" ca="1" si="6"/>
        <v/>
      </c>
      <c r="V45" s="197" t="str">
        <f t="shared" ca="1" si="15"/>
        <v/>
      </c>
    </row>
    <row r="46" spans="1:22" ht="12.6" customHeight="1">
      <c r="A46" s="189">
        <f t="shared" ca="1" si="18"/>
        <v>42395</v>
      </c>
      <c r="B46" s="308"/>
      <c r="C46" s="309"/>
      <c r="D46" s="313"/>
      <c r="E46" s="314"/>
      <c r="F46" s="206"/>
      <c r="G46" s="110" t="str">
        <f t="shared" ca="1" si="8"/>
        <v>0,00</v>
      </c>
      <c r="H46" s="111" t="str">
        <f t="shared" ca="1" si="9"/>
        <v/>
      </c>
      <c r="I46" s="112">
        <f t="shared" ca="1" si="10"/>
        <v>0</v>
      </c>
      <c r="J46" s="157" t="str">
        <f t="shared" ca="1" si="16"/>
        <v/>
      </c>
      <c r="K46" s="275" t="str">
        <f t="shared" ca="1" si="17"/>
        <v>--------</v>
      </c>
      <c r="L46" s="276"/>
      <c r="M46" s="93">
        <f t="shared" ca="1" si="11"/>
        <v>5</v>
      </c>
      <c r="N46" s="94">
        <f t="shared" ca="1" si="12"/>
        <v>0</v>
      </c>
      <c r="O46" s="95">
        <f t="shared" ca="1" si="13"/>
        <v>0</v>
      </c>
      <c r="P46" s="120" t="str">
        <f t="shared" ca="1" si="14"/>
        <v/>
      </c>
      <c r="Q46" s="120" t="str">
        <f t="shared" ca="1" si="2"/>
        <v>1</v>
      </c>
      <c r="R46" s="184" t="str">
        <f t="shared" ca="1" si="3"/>
        <v/>
      </c>
      <c r="S46" s="185" t="e">
        <f t="shared" ca="1" si="4"/>
        <v>#N/A</v>
      </c>
      <c r="T46" s="186" t="str">
        <f t="shared" ca="1" si="5"/>
        <v/>
      </c>
      <c r="U46" s="194" t="str">
        <f t="shared" ca="1" si="6"/>
        <v/>
      </c>
      <c r="V46" s="197" t="str">
        <f t="shared" ca="1" si="15"/>
        <v/>
      </c>
    </row>
    <row r="47" spans="1:22" ht="12.6" customHeight="1">
      <c r="A47" s="189">
        <f t="shared" ca="1" si="18"/>
        <v>42396</v>
      </c>
      <c r="B47" s="308"/>
      <c r="C47" s="309"/>
      <c r="D47" s="309"/>
      <c r="E47" s="309"/>
      <c r="F47" s="206"/>
      <c r="G47" s="110" t="str">
        <f t="shared" ca="1" si="8"/>
        <v>0,00</v>
      </c>
      <c r="H47" s="111" t="str">
        <f t="shared" ca="1" si="9"/>
        <v/>
      </c>
      <c r="I47" s="112">
        <f t="shared" ca="1" si="10"/>
        <v>0</v>
      </c>
      <c r="J47" s="157" t="str">
        <f t="shared" ca="1" si="16"/>
        <v/>
      </c>
      <c r="K47" s="275" t="str">
        <f t="shared" ca="1" si="17"/>
        <v>--------</v>
      </c>
      <c r="L47" s="276"/>
      <c r="M47" s="93">
        <f t="shared" ca="1" si="11"/>
        <v>5</v>
      </c>
      <c r="N47" s="94">
        <f t="shared" ca="1" si="12"/>
        <v>0</v>
      </c>
      <c r="O47" s="95">
        <f t="shared" ca="1" si="13"/>
        <v>0</v>
      </c>
      <c r="P47" s="120" t="str">
        <f t="shared" ca="1" si="14"/>
        <v/>
      </c>
      <c r="Q47" s="120" t="str">
        <f t="shared" ca="1" si="2"/>
        <v>1</v>
      </c>
      <c r="R47" s="184" t="str">
        <f t="shared" ca="1" si="3"/>
        <v/>
      </c>
      <c r="S47" s="185" t="e">
        <f t="shared" ca="1" si="4"/>
        <v>#N/A</v>
      </c>
      <c r="T47" s="186" t="str">
        <f t="shared" ca="1" si="5"/>
        <v/>
      </c>
      <c r="U47" s="194" t="str">
        <f t="shared" ca="1" si="6"/>
        <v/>
      </c>
      <c r="V47" s="197" t="str">
        <f t="shared" ca="1" si="15"/>
        <v/>
      </c>
    </row>
    <row r="48" spans="1:22" ht="12.6" customHeight="1">
      <c r="A48" s="189">
        <f t="shared" ca="1" si="18"/>
        <v>42397</v>
      </c>
      <c r="B48" s="285"/>
      <c r="C48" s="286"/>
      <c r="D48" s="273"/>
      <c r="E48" s="274"/>
      <c r="F48" s="206"/>
      <c r="G48" s="110" t="str">
        <f t="shared" ca="1" si="8"/>
        <v>0,00</v>
      </c>
      <c r="H48" s="111" t="str">
        <f t="shared" ca="1" si="9"/>
        <v/>
      </c>
      <c r="I48" s="112">
        <f t="shared" ca="1" si="10"/>
        <v>0</v>
      </c>
      <c r="J48" s="157" t="str">
        <f t="shared" ca="1" si="16"/>
        <v/>
      </c>
      <c r="K48" s="275" t="str">
        <f t="shared" ca="1" si="17"/>
        <v>--------</v>
      </c>
      <c r="L48" s="276"/>
      <c r="M48" s="93">
        <f t="shared" ca="1" si="11"/>
        <v>5</v>
      </c>
      <c r="N48" s="94">
        <f t="shared" ca="1" si="12"/>
        <v>0</v>
      </c>
      <c r="O48" s="95">
        <f t="shared" ca="1" si="13"/>
        <v>0</v>
      </c>
      <c r="P48" s="120" t="str">
        <f t="shared" ca="1" si="14"/>
        <v/>
      </c>
      <c r="Q48" s="120" t="str">
        <f t="shared" ca="1" si="2"/>
        <v>1</v>
      </c>
      <c r="R48" s="184" t="str">
        <f t="shared" ca="1" si="3"/>
        <v/>
      </c>
      <c r="S48" s="185" t="e">
        <f t="shared" ca="1" si="4"/>
        <v>#N/A</v>
      </c>
      <c r="T48" s="186" t="str">
        <f t="shared" ca="1" si="5"/>
        <v/>
      </c>
      <c r="U48" s="194" t="str">
        <f t="shared" ca="1" si="6"/>
        <v/>
      </c>
      <c r="V48" s="197" t="str">
        <f t="shared" ca="1" si="15"/>
        <v/>
      </c>
    </row>
    <row r="49" spans="1:22" ht="12.6" customHeight="1">
      <c r="A49" s="189">
        <f t="shared" ca="1" si="18"/>
        <v>42398</v>
      </c>
      <c r="B49" s="285"/>
      <c r="C49" s="286"/>
      <c r="D49" s="273"/>
      <c r="E49" s="274"/>
      <c r="F49" s="206"/>
      <c r="G49" s="110" t="str">
        <f t="shared" ca="1" si="8"/>
        <v>0,00</v>
      </c>
      <c r="H49" s="111" t="str">
        <f t="shared" ca="1" si="9"/>
        <v/>
      </c>
      <c r="I49" s="112">
        <f t="shared" ca="1" si="10"/>
        <v>0</v>
      </c>
      <c r="J49" s="157" t="str">
        <f t="shared" ca="1" si="16"/>
        <v/>
      </c>
      <c r="K49" s="275" t="str">
        <f t="shared" ca="1" si="17"/>
        <v>--------</v>
      </c>
      <c r="L49" s="276"/>
      <c r="M49" s="93">
        <f t="shared" ca="1" si="11"/>
        <v>5</v>
      </c>
      <c r="N49" s="94">
        <f t="shared" ca="1" si="12"/>
        <v>0</v>
      </c>
      <c r="O49" s="95">
        <f t="shared" ca="1" si="13"/>
        <v>0</v>
      </c>
      <c r="P49" s="120" t="str">
        <f t="shared" ca="1" si="14"/>
        <v/>
      </c>
      <c r="Q49" s="120" t="str">
        <f t="shared" ca="1" si="2"/>
        <v>1</v>
      </c>
      <c r="R49" s="184" t="str">
        <f t="shared" ca="1" si="3"/>
        <v/>
      </c>
      <c r="S49" s="185" t="e">
        <f t="shared" ca="1" si="4"/>
        <v>#N/A</v>
      </c>
      <c r="T49" s="186" t="str">
        <f t="shared" ca="1" si="5"/>
        <v/>
      </c>
      <c r="U49" s="194" t="str">
        <f t="shared" ca="1" si="6"/>
        <v/>
      </c>
      <c r="V49" s="197" t="str">
        <f t="shared" ca="1" si="15"/>
        <v/>
      </c>
    </row>
    <row r="50" spans="1:22" ht="12.6" customHeight="1" thickBot="1">
      <c r="A50" s="191">
        <f t="shared" ca="1" si="18"/>
        <v>42399</v>
      </c>
      <c r="B50" s="293"/>
      <c r="C50" s="294"/>
      <c r="D50" s="295"/>
      <c r="E50" s="296"/>
      <c r="F50" s="204"/>
      <c r="G50" s="135" t="str">
        <f ca="1">IF(OR(A50&lt;$C$14,A50&gt;$F$14,A50&gt;TODAY()),"0,00",IF(ISBLANK($C$14),"0,00",(D50-B50-F50)))</f>
        <v>0,00</v>
      </c>
      <c r="H50" s="136" t="str">
        <f t="shared" ca="1" si="9"/>
        <v/>
      </c>
      <c r="I50" s="137">
        <f t="shared" ca="1" si="10"/>
        <v>0</v>
      </c>
      <c r="J50" s="158" t="str">
        <f t="shared" ca="1" si="16"/>
        <v/>
      </c>
      <c r="K50" s="318" t="str">
        <f t="shared" ca="1" si="17"/>
        <v>--------</v>
      </c>
      <c r="L50" s="296"/>
      <c r="M50" s="93">
        <f ca="1">IF(A50&gt;DATE(1904,1,1),WEEKNUM(A50,2),"")</f>
        <v>5</v>
      </c>
      <c r="N50" s="94">
        <f t="shared" ca="1" si="12"/>
        <v>0</v>
      </c>
      <c r="O50" s="95">
        <f t="shared" ca="1" si="13"/>
        <v>0</v>
      </c>
      <c r="P50" s="120" t="str">
        <f t="shared" ca="1" si="14"/>
        <v/>
      </c>
      <c r="Q50" s="120" t="str">
        <f t="shared" ca="1" si="2"/>
        <v>1</v>
      </c>
      <c r="R50" s="184" t="str">
        <f t="shared" ca="1" si="3"/>
        <v/>
      </c>
      <c r="S50" s="185" t="e">
        <f t="shared" ca="1" si="4"/>
        <v>#N/A</v>
      </c>
      <c r="T50" s="186" t="str">
        <f ca="1">IF(ISNA(S50),"",S50)</f>
        <v/>
      </c>
      <c r="U50" s="195" t="str">
        <f t="shared" ca="1" si="6"/>
        <v/>
      </c>
      <c r="V50" s="197" t="str">
        <f t="shared" ca="1" si="15"/>
        <v/>
      </c>
    </row>
    <row r="51" spans="1:22" ht="11.25" customHeight="1">
      <c r="A51" s="19"/>
      <c r="B51" s="43"/>
      <c r="C51" s="43"/>
      <c r="D51" s="43"/>
      <c r="E51" s="20"/>
      <c r="I51" s="42"/>
      <c r="K51" s="21"/>
      <c r="L51" s="11"/>
      <c r="M51" s="143"/>
      <c r="N51" s="230"/>
      <c r="O51" s="59"/>
      <c r="S51" s="183"/>
      <c r="V51" s="198">
        <f ca="1">COUNTIF(V20:V50,"!")</f>
        <v>0</v>
      </c>
    </row>
    <row r="52" spans="1:22" ht="14.1" customHeight="1">
      <c r="D52" s="104"/>
      <c r="E52" s="22"/>
      <c r="F52" s="140" t="s">
        <v>29</v>
      </c>
      <c r="G52" s="141">
        <f ca="1">IF($G$16="Sie haben Ihr Arbeitszeitkonto überschritten, bitte erstellen Sie ein neues Konto","",SUM($G$20:$G$50))</f>
        <v>0</v>
      </c>
      <c r="H52" s="130" t="s">
        <v>30</v>
      </c>
      <c r="J52" s="142">
        <f ca="1">IF($G$16="Sie haben Ihr Arbeitszeitkonto überschritten, bitte erstellen Sie ein neues Konto","",IF(ISNA($H$56),0,IF($H$56&gt;$D$53,($D$53+$D$54),($H$56+$D$54))))</f>
        <v>0</v>
      </c>
      <c r="K52" s="290" t="str">
        <f ca="1">IF(ISNA($E$56),"",IF($E$56&gt;$D$53,"Kappung erfolgt",""))</f>
        <v/>
      </c>
      <c r="L52" s="290"/>
      <c r="M52" s="143"/>
      <c r="N52" s="230">
        <f ca="1">SUM(N20:N50)</f>
        <v>0</v>
      </c>
      <c r="O52" s="59"/>
    </row>
    <row r="53" spans="1:22">
      <c r="A53" s="100" t="s">
        <v>26</v>
      </c>
      <c r="B53" s="100"/>
      <c r="C53" s="100"/>
      <c r="D53" s="101">
        <f ca="1">$N$52*0.5</f>
        <v>0</v>
      </c>
      <c r="E53" s="23"/>
      <c r="F53" s="23"/>
      <c r="G53" s="24"/>
      <c r="H53" s="2"/>
      <c r="I53" s="2"/>
      <c r="K53" s="127"/>
      <c r="L53" s="127"/>
      <c r="M53" s="143"/>
      <c r="N53" s="38">
        <f ca="1">SUM(N20:N50)</f>
        <v>0</v>
      </c>
      <c r="O53" s="60"/>
    </row>
    <row r="54" spans="1:22">
      <c r="A54" s="215" t="s">
        <v>25</v>
      </c>
      <c r="B54" s="215"/>
      <c r="C54" s="215"/>
      <c r="D54" s="102">
        <f ca="1">$M$16</f>
        <v>0</v>
      </c>
      <c r="F54" s="106"/>
      <c r="G54" s="106"/>
      <c r="H54" s="299" t="str">
        <f ca="1">IF($K$52="Kappung erfolgt","INFO: (Gekappte Std.: "&amp;$J$56,"")</f>
        <v/>
      </c>
      <c r="I54" s="299"/>
      <c r="J54" s="299"/>
      <c r="K54" s="127" t="str">
        <f ca="1">IF($K$52="Kappung erfolgt","von insg. "&amp;$L$56&amp;" Mehrstunden)","")</f>
        <v/>
      </c>
      <c r="L54" s="131"/>
      <c r="M54" s="143"/>
      <c r="N54" s="28">
        <f>IF($A$55="Wg.Unterbrechung  keine Stundenübernahme möglich! Bitte Angaben prüfen","1",0)</f>
        <v>0</v>
      </c>
      <c r="P54" s="164"/>
      <c r="Q54" s="164"/>
      <c r="R54" s="164"/>
      <c r="S54" s="164"/>
      <c r="T54" s="164"/>
      <c r="U54" s="164"/>
      <c r="V54" s="164"/>
    </row>
    <row r="55" spans="1:22">
      <c r="A55" s="319" t="str">
        <f>IF($H$14="Achtung! Stundennachweis unterbrochen","Wg.Unterbrechung  keine Stundenübernahme möglich! Bitte Angaben prüfen","")</f>
        <v/>
      </c>
      <c r="B55" s="319"/>
      <c r="C55" s="319"/>
      <c r="D55" s="319"/>
      <c r="E55" s="319"/>
      <c r="F55" s="319"/>
      <c r="G55" s="2"/>
      <c r="M55" s="143"/>
      <c r="N55" s="123" t="str">
        <f>IF($N$54&gt;0,($D$54*-1),"0:00")</f>
        <v>0:00</v>
      </c>
      <c r="O55" s="239" t="str">
        <f ca="1">IF(O50="",0,"")</f>
        <v/>
      </c>
    </row>
    <row r="56" spans="1:22" hidden="1">
      <c r="E56" s="232">
        <f>+H56-F56</f>
        <v>-6.9444444444444447E-4</v>
      </c>
      <c r="F56" s="60">
        <v>6.9444444444444447E-4</v>
      </c>
      <c r="G56" s="124">
        <f ca="1">+$H$56+$D$54</f>
        <v>0</v>
      </c>
      <c r="H56" s="38">
        <f>IF($C$14&gt;DATE(1904,1,1),LOOKUP(10000000,O19:O99),0)</f>
        <v>0</v>
      </c>
      <c r="I56" s="60">
        <f ca="1">+($H$56+$N$16)-J52</f>
        <v>0</v>
      </c>
      <c r="J56" s="233">
        <f ca="1">ROUND(I56*24,2)</f>
        <v>0</v>
      </c>
      <c r="K56">
        <f ca="1">($H$56+$N$16)*24</f>
        <v>0</v>
      </c>
      <c r="L56">
        <f ca="1">ROUND(K56,1)</f>
        <v>0</v>
      </c>
      <c r="M56" s="143"/>
      <c r="N56" s="28"/>
    </row>
    <row r="57" spans="1:22">
      <c r="A57" s="322" t="str">
        <f ca="1">IF(V51&gt;0,"Achtung! Bitte bei den blau markierten Feldern die Regelstunden eintragen.","")</f>
        <v/>
      </c>
      <c r="B57" s="322"/>
      <c r="C57" s="322"/>
      <c r="D57" s="322"/>
      <c r="E57" s="322"/>
      <c r="F57" s="322"/>
      <c r="G57" s="199"/>
      <c r="H57">
        <f>IF($C$14&gt;DATE(1904,1,1),LOOKUP(10000000,O19:O52),0)</f>
        <v>0</v>
      </c>
      <c r="M57" s="143"/>
      <c r="N57" s="28"/>
      <c r="Q57" s="251" t="s">
        <v>32</v>
      </c>
      <c r="R57" s="251"/>
      <c r="S57" s="251"/>
      <c r="T57" s="251"/>
    </row>
    <row r="58" spans="1:22">
      <c r="A58" s="25"/>
      <c r="B58" s="25"/>
      <c r="C58" s="38"/>
      <c r="D58" s="26"/>
      <c r="E58" s="27"/>
      <c r="F58" s="144"/>
      <c r="G58" s="2"/>
      <c r="H58" s="38"/>
      <c r="J58" s="132"/>
      <c r="M58" s="219"/>
      <c r="N58" s="219"/>
      <c r="O58" s="219"/>
      <c r="Q58" s="250">
        <f>+F14-C14</f>
        <v>0</v>
      </c>
      <c r="R58" s="250"/>
    </row>
    <row r="59" spans="1:22">
      <c r="A59" s="25"/>
      <c r="B59" s="25"/>
      <c r="C59" s="38"/>
      <c r="D59" s="26"/>
      <c r="E59" s="27"/>
      <c r="F59" s="144"/>
      <c r="G59" s="2"/>
      <c r="H59" s="145"/>
      <c r="M59" s="143"/>
      <c r="N59" s="28"/>
      <c r="Q59" s="252" t="s">
        <v>33</v>
      </c>
      <c r="R59" s="252"/>
      <c r="S59" s="252"/>
      <c r="T59" s="252"/>
      <c r="U59" s="252"/>
      <c r="V59" s="252"/>
    </row>
    <row r="60" spans="1:22" ht="12.75" customHeight="1">
      <c r="A60" s="29"/>
      <c r="B60" s="11"/>
      <c r="C60" s="11"/>
      <c r="D60" s="11"/>
      <c r="E60" s="11"/>
      <c r="F60" s="11"/>
      <c r="G60" s="11"/>
      <c r="H60" s="30"/>
      <c r="I60" s="30"/>
      <c r="J60" s="31"/>
      <c r="K60" s="31"/>
      <c r="L60" s="31"/>
      <c r="M60" s="143"/>
      <c r="N60" s="28"/>
    </row>
    <row r="61" spans="1:22" ht="12.75" customHeight="1">
      <c r="A61" s="226"/>
      <c r="B61" s="34"/>
      <c r="C61" s="34"/>
      <c r="D61" s="34"/>
      <c r="E61" s="34"/>
      <c r="F61" s="11"/>
      <c r="G61" s="11"/>
      <c r="H61" s="34"/>
      <c r="I61" s="34"/>
      <c r="J61" s="35"/>
      <c r="K61" s="35"/>
      <c r="L61" s="35"/>
    </row>
    <row r="62" spans="1:22" ht="18.75" customHeight="1" thickBot="1">
      <c r="A62" s="203" t="s">
        <v>18</v>
      </c>
      <c r="B62" s="292" t="s">
        <v>19</v>
      </c>
      <c r="C62" s="292"/>
      <c r="D62" s="292"/>
      <c r="E62" s="292"/>
      <c r="F62" s="3"/>
      <c r="G62" s="36" t="s">
        <v>18</v>
      </c>
      <c r="H62" s="292" t="s">
        <v>20</v>
      </c>
      <c r="I62" s="292"/>
      <c r="J62" s="292"/>
      <c r="K62" s="292"/>
      <c r="L62" s="292"/>
    </row>
    <row r="63" spans="1:22" ht="17.25" thickTop="1" thickBot="1">
      <c r="P63" s="160">
        <f ca="1">YEAR($B$17)</f>
        <v>2020</v>
      </c>
      <c r="Q63" s="3"/>
    </row>
    <row r="64" spans="1:22" ht="15.75" thickTop="1">
      <c r="O64" s="218"/>
      <c r="Q64" s="3">
        <f ca="1">MOD(P63,19)</f>
        <v>6</v>
      </c>
      <c r="R64" s="287" t="s">
        <v>34</v>
      </c>
      <c r="S64" s="287"/>
      <c r="T64" s="231"/>
    </row>
    <row r="65" spans="16:20">
      <c r="P65" s="3"/>
      <c r="Q65" s="3">
        <f ca="1">MOD(P63,4)</f>
        <v>0</v>
      </c>
    </row>
    <row r="66" spans="16:20">
      <c r="P66" s="3"/>
      <c r="Q66" s="3">
        <f ca="1">MOD(P63,7)</f>
        <v>4</v>
      </c>
    </row>
    <row r="67" spans="16:20">
      <c r="P67" s="3"/>
      <c r="Q67" s="3">
        <f ca="1">TRUNC((8*(TRUNC(P63/100))+13)/25)-2</f>
        <v>4</v>
      </c>
    </row>
    <row r="68" spans="16:20">
      <c r="P68" s="3"/>
      <c r="Q68" s="3">
        <f ca="1">TRUNC(P63/100)-TRUNC(P63/400)-2</f>
        <v>13</v>
      </c>
    </row>
    <row r="69" spans="16:20">
      <c r="P69" s="3"/>
      <c r="Q69" s="3">
        <f ca="1">MOD(15+Q68-Q67,30)</f>
        <v>24</v>
      </c>
    </row>
    <row r="70" spans="16:20">
      <c r="P70" s="161"/>
      <c r="Q70" s="3">
        <f ca="1">MOD(6+Q68,7)</f>
        <v>5</v>
      </c>
    </row>
    <row r="71" spans="16:20">
      <c r="P71" s="3"/>
      <c r="Q71" s="3">
        <f ca="1">MOD(Q69+19*Q64,30)</f>
        <v>18</v>
      </c>
    </row>
    <row r="72" spans="16:20">
      <c r="P72" s="3"/>
      <c r="Q72" s="3">
        <f ca="1">IF(Q71=29,28,IF(AND(Q71=28,Q64&gt;=11),27,IF(AND(Q71&lt;28,Q71&gt;29),,Q71)))</f>
        <v>18</v>
      </c>
    </row>
    <row r="73" spans="16:20">
      <c r="P73" s="3"/>
      <c r="Q73" s="3">
        <f ca="1">MOD(2*Q65+4*Q66+6*Q72+Q70,7)</f>
        <v>3</v>
      </c>
    </row>
    <row r="74" spans="16:20">
      <c r="P74" s="3"/>
      <c r="Q74" s="3">
        <f ca="1">Q72+Q73+1</f>
        <v>22</v>
      </c>
    </row>
    <row r="75" spans="16:20">
      <c r="P75" s="3"/>
      <c r="Q75" s="3">
        <f>DATEVALUE("21.märz")</f>
        <v>40988</v>
      </c>
    </row>
    <row r="77" spans="16:20">
      <c r="P77" s="183"/>
      <c r="Q77" s="228">
        <f ca="1">+T77</f>
        <v>42369</v>
      </c>
      <c r="R77" s="30" t="s">
        <v>35</v>
      </c>
      <c r="T77" s="229">
        <f ca="1">DATE($P$63,1,1)</f>
        <v>42369</v>
      </c>
    </row>
    <row r="78" spans="16:20">
      <c r="P78" s="2"/>
      <c r="Q78" s="220">
        <f ca="1">+$Q$80-2</f>
        <v>42469</v>
      </c>
      <c r="R78" s="30" t="s">
        <v>36</v>
      </c>
      <c r="S78" s="221"/>
      <c r="T78" s="2"/>
    </row>
    <row r="79" spans="16:20">
      <c r="P79" s="2"/>
      <c r="Q79" s="220">
        <f ca="1">+Q80-1</f>
        <v>42470</v>
      </c>
      <c r="R79" s="30" t="s">
        <v>37</v>
      </c>
      <c r="S79" s="221"/>
      <c r="T79" s="2"/>
    </row>
    <row r="80" spans="16:20">
      <c r="P80" s="222">
        <f ca="1">IF(R80="Ostersonntag",Q74+Q75,"")</f>
        <v>41010</v>
      </c>
      <c r="Q80" s="220">
        <f ca="1">T80</f>
        <v>42471</v>
      </c>
      <c r="R80" s="181" t="str">
        <f ca="1">IF(P63&lt;1583,"Der gregorianische Kalender gilt erst seit dem 15.10.1582  !!!",IF(P63&gt;8202,"Die gauß´sche Osterformel gilt nur bis zum Jahre    8202  !!!","Ostersonntag"))</f>
        <v>Ostersonntag</v>
      </c>
      <c r="S80">
        <f ca="1">DAY(T81)</f>
        <v>12</v>
      </c>
      <c r="T80" s="146">
        <f ca="1">DATE($P$63,S81,S80)</f>
        <v>42471</v>
      </c>
    </row>
    <row r="81" spans="15:20">
      <c r="P81" s="2"/>
      <c r="Q81" s="220">
        <f ca="1">+Q80+1</f>
        <v>42472</v>
      </c>
      <c r="R81" s="223" t="s">
        <v>38</v>
      </c>
      <c r="S81" s="182">
        <f ca="1">MONTH(P80)</f>
        <v>4</v>
      </c>
      <c r="T81" s="183" t="str">
        <f ca="1">DAY(P80)&amp;"."&amp;MONTH(P80)&amp;"."&amp;YEAR($B$17)</f>
        <v>12.4.2020</v>
      </c>
    </row>
    <row r="82" spans="15:20">
      <c r="O82" s="183"/>
      <c r="P82" s="2"/>
      <c r="Q82" s="220">
        <v>40846</v>
      </c>
      <c r="R82" s="224" t="s">
        <v>50</v>
      </c>
      <c r="S82" s="221"/>
      <c r="T82" s="2"/>
    </row>
    <row r="83" spans="15:20">
      <c r="P83" s="2"/>
      <c r="Q83" s="220">
        <f ca="1">+T83</f>
        <v>42490</v>
      </c>
      <c r="R83" s="224" t="s">
        <v>39</v>
      </c>
      <c r="S83" s="221"/>
      <c r="T83" s="144">
        <f ca="1">DATE($P$63,5,1)</f>
        <v>42490</v>
      </c>
    </row>
    <row r="84" spans="15:20">
      <c r="P84" s="2"/>
      <c r="Q84" s="220">
        <f ca="1">+Q80+39</f>
        <v>42510</v>
      </c>
      <c r="R84" s="224" t="s">
        <v>40</v>
      </c>
      <c r="S84" s="221"/>
      <c r="T84" s="2"/>
    </row>
    <row r="85" spans="15:20">
      <c r="P85" s="2"/>
      <c r="Q85" s="220">
        <f ca="1">+Q80+49</f>
        <v>42520</v>
      </c>
      <c r="R85" s="224" t="s">
        <v>41</v>
      </c>
      <c r="S85" s="221"/>
      <c r="T85" s="2"/>
    </row>
    <row r="86" spans="15:20">
      <c r="P86" s="2"/>
      <c r="Q86" s="220">
        <f ca="1">+Q85+1</f>
        <v>42521</v>
      </c>
      <c r="R86" s="224" t="s">
        <v>42</v>
      </c>
      <c r="S86" s="221"/>
      <c r="T86" s="2"/>
    </row>
    <row r="87" spans="15:20">
      <c r="P87" s="2"/>
      <c r="Q87" s="220">
        <f ca="1">+Q80+60</f>
        <v>42531</v>
      </c>
      <c r="R87" s="224" t="s">
        <v>43</v>
      </c>
      <c r="S87" s="221"/>
      <c r="T87" s="2"/>
    </row>
    <row r="88" spans="15:20">
      <c r="P88" s="2"/>
      <c r="Q88" s="220">
        <f ca="1">+T88</f>
        <v>42645</v>
      </c>
      <c r="R88" s="224" t="s">
        <v>44</v>
      </c>
      <c r="S88" s="221"/>
      <c r="T88" s="144">
        <f ca="1">DATE($P$63,10,3)</f>
        <v>42645</v>
      </c>
    </row>
    <row r="89" spans="15:20">
      <c r="P89" s="2"/>
      <c r="Q89" s="220">
        <f ca="1">+T89</f>
        <v>42727</v>
      </c>
      <c r="R89" s="224" t="s">
        <v>45</v>
      </c>
      <c r="S89" s="221"/>
      <c r="T89" s="144">
        <f ca="1">DATE($P$63,12,24)</f>
        <v>42727</v>
      </c>
    </row>
    <row r="90" spans="15:20">
      <c r="P90" s="2"/>
      <c r="Q90" s="220">
        <f ca="1">+Q89+1</f>
        <v>42728</v>
      </c>
      <c r="R90" s="221" t="s">
        <v>46</v>
      </c>
      <c r="S90" s="221"/>
      <c r="T90" s="2"/>
    </row>
    <row r="91" spans="15:20">
      <c r="P91" s="2"/>
      <c r="Q91" s="220">
        <f ca="1">Q90+1</f>
        <v>42729</v>
      </c>
      <c r="R91" s="224" t="s">
        <v>47</v>
      </c>
      <c r="S91" s="221"/>
      <c r="T91" s="2"/>
    </row>
    <row r="92" spans="15:20">
      <c r="P92" s="2"/>
      <c r="Q92" s="220">
        <f ca="1">+Q91+5</f>
        <v>42734</v>
      </c>
      <c r="R92" s="224" t="s">
        <v>48</v>
      </c>
      <c r="S92" s="221"/>
      <c r="T92" s="2"/>
    </row>
    <row r="93" spans="15:20">
      <c r="P93" s="2"/>
      <c r="Q93" s="220"/>
      <c r="R93" s="224"/>
      <c r="S93" s="221"/>
      <c r="T93" s="2"/>
    </row>
    <row r="94" spans="15:20">
      <c r="P94" s="2"/>
      <c r="Q94" s="220"/>
      <c r="R94" s="224"/>
      <c r="S94" s="221"/>
      <c r="T94" s="2"/>
    </row>
    <row r="95" spans="15:20">
      <c r="P95" s="180"/>
      <c r="Q95" s="180"/>
    </row>
  </sheetData>
  <sheetProtection algorithmName="SHA-512" hashValue="Aq4aWQv88xchaXlxOIzH4KZCQmIiz7v1Y0yrdwc/yMQAdMV3btNKsAlSleNQmG7VZUw+c7fFUXfIk3E2mDNt5A==" saltValue="C4GLs1lq3UR3+6WfmdgzQQ==" spinCount="100000" sheet="1" objects="1" scenarios="1" selectLockedCells="1"/>
  <mergeCells count="137">
    <mergeCell ref="R64:S64"/>
    <mergeCell ref="Q58:R58"/>
    <mergeCell ref="B62:E62"/>
    <mergeCell ref="H62:L62"/>
    <mergeCell ref="B50:C50"/>
    <mergeCell ref="D50:E50"/>
    <mergeCell ref="K50:L50"/>
    <mergeCell ref="K52:L52"/>
    <mergeCell ref="H54:J54"/>
    <mergeCell ref="A57:F57"/>
    <mergeCell ref="A55:F55"/>
    <mergeCell ref="Q57:T57"/>
    <mergeCell ref="Q59:V59"/>
    <mergeCell ref="B48:C48"/>
    <mergeCell ref="D48:E48"/>
    <mergeCell ref="K48:L48"/>
    <mergeCell ref="B49:C49"/>
    <mergeCell ref="D49:E49"/>
    <mergeCell ref="K49:L49"/>
    <mergeCell ref="B46:C46"/>
    <mergeCell ref="D46:E46"/>
    <mergeCell ref="K46:L46"/>
    <mergeCell ref="B47:C47"/>
    <mergeCell ref="D47:E47"/>
    <mergeCell ref="K47:L47"/>
    <mergeCell ref="B44:C44"/>
    <mergeCell ref="D44:E44"/>
    <mergeCell ref="K44:L44"/>
    <mergeCell ref="B45:C45"/>
    <mergeCell ref="D45:E45"/>
    <mergeCell ref="K45:L45"/>
    <mergeCell ref="B42:C42"/>
    <mergeCell ref="D42:E42"/>
    <mergeCell ref="K42:L42"/>
    <mergeCell ref="B43:C43"/>
    <mergeCell ref="D43:E43"/>
    <mergeCell ref="K43:L43"/>
    <mergeCell ref="B40:C40"/>
    <mergeCell ref="D40:E40"/>
    <mergeCell ref="K40:L40"/>
    <mergeCell ref="B41:C41"/>
    <mergeCell ref="D41:E41"/>
    <mergeCell ref="K41:L41"/>
    <mergeCell ref="B38:C38"/>
    <mergeCell ref="D38:E38"/>
    <mergeCell ref="K38:L38"/>
    <mergeCell ref="B39:C39"/>
    <mergeCell ref="D39:E39"/>
    <mergeCell ref="K39:L39"/>
    <mergeCell ref="B36:C36"/>
    <mergeCell ref="D36:E36"/>
    <mergeCell ref="K36:L36"/>
    <mergeCell ref="B37:C37"/>
    <mergeCell ref="D37:E37"/>
    <mergeCell ref="K37:L37"/>
    <mergeCell ref="B34:C34"/>
    <mergeCell ref="D34:E34"/>
    <mergeCell ref="K34:L34"/>
    <mergeCell ref="B35:C35"/>
    <mergeCell ref="D35:E35"/>
    <mergeCell ref="K35:L35"/>
    <mergeCell ref="B32:C32"/>
    <mergeCell ref="D32:E32"/>
    <mergeCell ref="K32:L32"/>
    <mergeCell ref="B33:C33"/>
    <mergeCell ref="D33:E33"/>
    <mergeCell ref="K33:L33"/>
    <mergeCell ref="B30:C30"/>
    <mergeCell ref="D30:E30"/>
    <mergeCell ref="K30:L30"/>
    <mergeCell ref="B31:C31"/>
    <mergeCell ref="D31:E31"/>
    <mergeCell ref="K31:L31"/>
    <mergeCell ref="B28:C28"/>
    <mergeCell ref="D28:E28"/>
    <mergeCell ref="K28:L28"/>
    <mergeCell ref="B29:C29"/>
    <mergeCell ref="D29:E29"/>
    <mergeCell ref="K29:L29"/>
    <mergeCell ref="B26:C26"/>
    <mergeCell ref="D26:E26"/>
    <mergeCell ref="K26:L26"/>
    <mergeCell ref="B27:C27"/>
    <mergeCell ref="D27:E27"/>
    <mergeCell ref="K27:L27"/>
    <mergeCell ref="B24:C24"/>
    <mergeCell ref="D24:E24"/>
    <mergeCell ref="K24:L24"/>
    <mergeCell ref="B25:C25"/>
    <mergeCell ref="D25:E25"/>
    <mergeCell ref="K25:L25"/>
    <mergeCell ref="B22:C22"/>
    <mergeCell ref="D22:E22"/>
    <mergeCell ref="K22:L22"/>
    <mergeCell ref="B23:C23"/>
    <mergeCell ref="D23:E23"/>
    <mergeCell ref="K23:L23"/>
    <mergeCell ref="R19:T19"/>
    <mergeCell ref="B20:C20"/>
    <mergeCell ref="D20:E20"/>
    <mergeCell ref="K20:L20"/>
    <mergeCell ref="B21:C21"/>
    <mergeCell ref="D21:E21"/>
    <mergeCell ref="K21:L21"/>
    <mergeCell ref="A16:F16"/>
    <mergeCell ref="G16:L16"/>
    <mergeCell ref="B17:K17"/>
    <mergeCell ref="B19:C19"/>
    <mergeCell ref="D19:E19"/>
    <mergeCell ref="K19:L19"/>
    <mergeCell ref="A13:B13"/>
    <mergeCell ref="A14:B14"/>
    <mergeCell ref="C14:D14"/>
    <mergeCell ref="H14:L14"/>
    <mergeCell ref="M14:N14"/>
    <mergeCell ref="C15:D15"/>
    <mergeCell ref="K15:L15"/>
    <mergeCell ref="A9:B9"/>
    <mergeCell ref="C9:D9"/>
    <mergeCell ref="K9:L9"/>
    <mergeCell ref="A11:B11"/>
    <mergeCell ref="C11:D11"/>
    <mergeCell ref="K11:L11"/>
    <mergeCell ref="M1:O1"/>
    <mergeCell ref="A3:B3"/>
    <mergeCell ref="C3:F3"/>
    <mergeCell ref="K3:L3"/>
    <mergeCell ref="A5:B5"/>
    <mergeCell ref="C5:F5"/>
    <mergeCell ref="K5:L5"/>
    <mergeCell ref="A7:B7"/>
    <mergeCell ref="C7:F7"/>
    <mergeCell ref="K7:L7"/>
    <mergeCell ref="A1:B1"/>
    <mergeCell ref="C1:F1"/>
    <mergeCell ref="H1:J1"/>
    <mergeCell ref="K1:L1"/>
  </mergeCells>
  <conditionalFormatting sqref="F14">
    <cfRule type="cellIs" dxfId="789" priority="355" operator="greaterThan">
      <formula>$C$14+30</formula>
    </cfRule>
    <cfRule type="expression" dxfId="788" priority="394">
      <formula>$F$14&gt;$F$9</formula>
    </cfRule>
    <cfRule type="expression" dxfId="787" priority="400">
      <formula>$F$14&lt;$C$14</formula>
    </cfRule>
  </conditionalFormatting>
  <conditionalFormatting sqref="F9">
    <cfRule type="expression" dxfId="786" priority="398">
      <formula>$F$14&lt;$C$14</formula>
    </cfRule>
  </conditionalFormatting>
  <conditionalFormatting sqref="C9">
    <cfRule type="expression" dxfId="785" priority="395">
      <formula>"$C$9&gt;$C$14"</formula>
    </cfRule>
    <cfRule type="expression" dxfId="784" priority="397">
      <formula>$F$14&lt;$C$14</formula>
    </cfRule>
  </conditionalFormatting>
  <conditionalFormatting sqref="I51">
    <cfRule type="expression" dxfId="783" priority="396">
      <formula>WEEKDAY($A51,2)&gt;5</formula>
    </cfRule>
  </conditionalFormatting>
  <conditionalFormatting sqref="I51">
    <cfRule type="cellIs" dxfId="782" priority="393" operator="lessThan">
      <formula>0</formula>
    </cfRule>
  </conditionalFormatting>
  <conditionalFormatting sqref="C14:D14">
    <cfRule type="expression" dxfId="781" priority="360">
      <formula>"F14&gt;F9"</formula>
    </cfRule>
    <cfRule type="expression" dxfId="780" priority="361">
      <formula>$C$14&lt;$C$9</formula>
    </cfRule>
    <cfRule type="expression" dxfId="779" priority="391">
      <formula>$C$14&gt;$F$9</formula>
    </cfRule>
    <cfRule type="expression" dxfId="778" priority="392">
      <formula>$F$14&lt;$C$9</formula>
    </cfRule>
  </conditionalFormatting>
  <conditionalFormatting sqref="G53">
    <cfRule type="expression" dxfId="777" priority="390">
      <formula>ABS(SUM(#REF!))&gt;$A$61</formula>
    </cfRule>
  </conditionalFormatting>
  <conditionalFormatting sqref="I51 F20:J50">
    <cfRule type="expression" dxfId="776" priority="401">
      <formula>AND(WEEKDAY($A20,2)=3,$I$6=FALSE)</formula>
    </cfRule>
    <cfRule type="expression" dxfId="775" priority="402">
      <formula>AND(WEEKDAY($A20,2)=4,$I$8=TRUE)</formula>
    </cfRule>
    <cfRule type="expression" dxfId="774" priority="403">
      <formula>AND(WEEKDAY($A20,2)=4,$I$8=FALSE)</formula>
    </cfRule>
    <cfRule type="expression" dxfId="773" priority="404">
      <formula>AND(WEEKDAY($A20,2)=5,$I$10=TRUE)</formula>
    </cfRule>
    <cfRule type="expression" dxfId="772" priority="405">
      <formula>AND(WEEKDAY($A20,2)=5,$G$14=FALSE)</formula>
    </cfRule>
  </conditionalFormatting>
  <conditionalFormatting sqref="I51 F20:J50">
    <cfRule type="expression" dxfId="771" priority="406">
      <formula>AND(WEEKDAY($A20,2)=1,$I$2=TRUE)</formula>
    </cfRule>
    <cfRule type="expression" dxfId="770" priority="407">
      <formula>AND(WEEKDAY($A20,2)=1,$I$2=FALSE)</formula>
    </cfRule>
    <cfRule type="expression" dxfId="769" priority="408">
      <formula>AND(WEEKDAY($A20,2)=2,$I$4=TRUE)</formula>
    </cfRule>
    <cfRule type="expression" dxfId="768" priority="409">
      <formula>AND(WEEKDAY($A20,2)=2,$I$4=FALSE)</formula>
    </cfRule>
    <cfRule type="expression" dxfId="767" priority="410">
      <formula>AND(WEEKDAY($A20,2)=3,$I$6=TRUE)</formula>
    </cfRule>
  </conditionalFormatting>
  <conditionalFormatting sqref="K3:L3">
    <cfRule type="expression" dxfId="766" priority="375">
      <formula>AND(I2=TRUE,$C$11&lt;&gt;($K$3+$K$5+$K$7+$K$9+$K$11))</formula>
    </cfRule>
    <cfRule type="expression" dxfId="765" priority="376">
      <formula>(I2=TRUE)</formula>
    </cfRule>
    <cfRule type="expression" dxfId="764" priority="377">
      <formula>AND(I2=FALSE,$K$3&gt;0)</formula>
    </cfRule>
  </conditionalFormatting>
  <conditionalFormatting sqref="K7:L7">
    <cfRule type="expression" dxfId="763" priority="378">
      <formula>AND(I6=TRUE,$C$11&lt;&gt;($K$3+$K$5+$K$7+$K$9+$K$11))</formula>
    </cfRule>
    <cfRule type="expression" dxfId="762" priority="379">
      <formula>(I6=TRUE)</formula>
    </cfRule>
    <cfRule type="expression" dxfId="761" priority="380">
      <formula>AND(I6=FALSE,$K$7&gt;0)</formula>
    </cfRule>
  </conditionalFormatting>
  <conditionalFormatting sqref="K11:L11">
    <cfRule type="expression" dxfId="760" priority="381">
      <formula>AND(I10=TRUE,$C$11&lt;&gt;($K$3+$K$5+$K$7+$K$9+$K$11))</formula>
    </cfRule>
    <cfRule type="expression" dxfId="759" priority="382">
      <formula>(I10=TRUE)</formula>
    </cfRule>
    <cfRule type="expression" dxfId="758" priority="383">
      <formula>AND(I10=FALSE,K11&gt;0)</formula>
    </cfRule>
  </conditionalFormatting>
  <conditionalFormatting sqref="K9:L9">
    <cfRule type="expression" dxfId="757" priority="384">
      <formula>AND(I8=TRUE,$C$11&lt;&gt;($K$3+$K$5+$K$7+$K$9+$K$11))</formula>
    </cfRule>
    <cfRule type="expression" dxfId="756" priority="385">
      <formula>(I8=TRUE)</formula>
    </cfRule>
    <cfRule type="expression" dxfId="755" priority="386">
      <formula>AND(I8=FALSE,K9&gt;0)</formula>
    </cfRule>
  </conditionalFormatting>
  <conditionalFormatting sqref="K5:L5">
    <cfRule type="expression" dxfId="754" priority="373">
      <formula>AND(I4=FALSE,K5&gt;0)</formula>
    </cfRule>
    <cfRule type="expression" dxfId="753" priority="374">
      <formula>AND(I4=TRUE,$C$11&lt;&gt;($K$3+$K$5+$K$7+$K$9+$K$11))</formula>
    </cfRule>
    <cfRule type="expression" dxfId="752" priority="387">
      <formula>($I$4=TRUE)</formula>
    </cfRule>
  </conditionalFormatting>
  <conditionalFormatting sqref="K51">
    <cfRule type="expression" dxfId="751" priority="411">
      <formula>ABS(SUM(#REF!))&gt;$A$53</formula>
    </cfRule>
  </conditionalFormatting>
  <conditionalFormatting sqref="J52">
    <cfRule type="cellIs" dxfId="750" priority="372" operator="lessThan">
      <formula>0</formula>
    </cfRule>
  </conditionalFormatting>
  <conditionalFormatting sqref="F20:F50">
    <cfRule type="expression" dxfId="749" priority="371">
      <formula>WEEKDAY($A20,2)&gt;5</formula>
    </cfRule>
  </conditionalFormatting>
  <conditionalFormatting sqref="H20:I50">
    <cfRule type="expression" dxfId="748" priority="370">
      <formula>WEEKDAY($A20,2)&gt;5</formula>
    </cfRule>
  </conditionalFormatting>
  <conditionalFormatting sqref="I20:I50">
    <cfRule type="cellIs" dxfId="747" priority="369" operator="lessThan">
      <formula>0</formula>
    </cfRule>
  </conditionalFormatting>
  <conditionalFormatting sqref="J20:J50">
    <cfRule type="expression" dxfId="746" priority="363">
      <formula>WEEKDAY($A20,2)&gt;5</formula>
    </cfRule>
  </conditionalFormatting>
  <conditionalFormatting sqref="J20:J50">
    <cfRule type="cellIs" dxfId="745" priority="362" operator="lessThan">
      <formula>0</formula>
    </cfRule>
  </conditionalFormatting>
  <conditionalFormatting sqref="C14">
    <cfRule type="expression" dxfId="744" priority="399">
      <formula>$C$14&lt;$C$9</formula>
    </cfRule>
  </conditionalFormatting>
  <conditionalFormatting sqref="G20:G50">
    <cfRule type="expression" dxfId="743" priority="358">
      <formula>WEEKDAY($A20,2)&gt;5</formula>
    </cfRule>
  </conditionalFormatting>
  <conditionalFormatting sqref="G20:G50">
    <cfRule type="containsText" dxfId="742" priority="357" operator="containsText" text="0,00">
      <formula>NOT(ISERROR(SEARCH("0,00",G20)))</formula>
    </cfRule>
  </conditionalFormatting>
  <conditionalFormatting sqref="H52">
    <cfRule type="cellIs" dxfId="741" priority="335" operator="lessThan">
      <formula>0</formula>
    </cfRule>
  </conditionalFormatting>
  <conditionalFormatting sqref="Q93:Q94">
    <cfRule type="expression" dxfId="740" priority="256">
      <formula>AND(WEEKDAY($A93,2)=3,$I$6=FALSE)</formula>
    </cfRule>
    <cfRule type="expression" dxfId="739" priority="257">
      <formula>AND(WEEKDAY($A93,2)=4,$I$8=TRUE)</formula>
    </cfRule>
    <cfRule type="expression" dxfId="738" priority="258">
      <formula>AND(WEEKDAY($A93,2)=4,$I$8=FALSE)</formula>
    </cfRule>
    <cfRule type="expression" dxfId="737" priority="259">
      <formula>AND(WEEKDAY($A93,2)=5,$I$10=TRUE)</formula>
    </cfRule>
    <cfRule type="expression" dxfId="736" priority="260">
      <formula>AND(WEEKDAY($A93,2)=5,$G$14=FALSE)</formula>
    </cfRule>
  </conditionalFormatting>
  <conditionalFormatting sqref="Q93:Q94">
    <cfRule type="expression" dxfId="735" priority="261">
      <formula>AND(WEEKDAY($A93,2)=1,$I$2=TRUE)</formula>
    </cfRule>
    <cfRule type="expression" dxfId="734" priority="262">
      <formula>AND(WEEKDAY($A93,2)=1,$I$2=FALSE)</formula>
    </cfRule>
    <cfRule type="expression" dxfId="733" priority="263">
      <formula>AND(WEEKDAY($A93,2)=2,$I$4=TRUE)</formula>
    </cfRule>
    <cfRule type="expression" dxfId="732" priority="264">
      <formula>AND(WEEKDAY($A93,2)=2,$I$4=FALSE)</formula>
    </cfRule>
    <cfRule type="expression" dxfId="731" priority="265">
      <formula>AND(WEEKDAY($A93,2)=3,$I$6=TRUE)</formula>
    </cfRule>
  </conditionalFormatting>
  <conditionalFormatting sqref="Q93:Q94">
    <cfRule type="expression" dxfId="730" priority="255">
      <formula>WEEKDAY($A93,2)&gt;5</formula>
    </cfRule>
  </conditionalFormatting>
  <conditionalFormatting sqref="U20:U50 Q81:Q92 P80 Q77:Q79">
    <cfRule type="expression" dxfId="729" priority="233">
      <formula>AND(WEEKDAY($A20,2)=3,$I$6=FALSE)</formula>
    </cfRule>
    <cfRule type="expression" dxfId="728" priority="234">
      <formula>AND(WEEKDAY($A20,2)=4,$I$8=TRUE)</formula>
    </cfRule>
    <cfRule type="expression" dxfId="727" priority="235">
      <formula>AND(WEEKDAY($A20,2)=4,$I$8=FALSE)</formula>
    </cfRule>
    <cfRule type="expression" dxfId="726" priority="236">
      <formula>AND(WEEKDAY($A20,2)=5,$I$10=TRUE)</formula>
    </cfRule>
    <cfRule type="expression" dxfId="725" priority="237">
      <formula>AND(WEEKDAY($A20,2)=5,$G$14=FALSE)</formula>
    </cfRule>
  </conditionalFormatting>
  <conditionalFormatting sqref="U20:U50 Q81:Q92 P80 Q77:Q79">
    <cfRule type="expression" dxfId="724" priority="238">
      <formula>AND(WEEKDAY($A20,2)=1,$I$2=TRUE)</formula>
    </cfRule>
    <cfRule type="expression" dxfId="723" priority="239">
      <formula>AND(WEEKDAY($A20,2)=1,$I$2=FALSE)</formula>
    </cfRule>
    <cfRule type="expression" dxfId="722" priority="240">
      <formula>AND(WEEKDAY($A20,2)=2,$I$4=TRUE)</formula>
    </cfRule>
    <cfRule type="expression" dxfId="721" priority="241">
      <formula>AND(WEEKDAY($A20,2)=2,$I$4=FALSE)</formula>
    </cfRule>
    <cfRule type="expression" dxfId="720" priority="242">
      <formula>AND(WEEKDAY($A20,2)=3,$I$6=TRUE)</formula>
    </cfRule>
  </conditionalFormatting>
  <conditionalFormatting sqref="U20:U50">
    <cfRule type="expression" dxfId="719" priority="232">
      <formula>WEEKDAY($A20,2)&gt;5</formula>
    </cfRule>
  </conditionalFormatting>
  <conditionalFormatting sqref="U20:U50">
    <cfRule type="expression" dxfId="718" priority="243">
      <formula>#REF!&lt;&gt;""</formula>
    </cfRule>
  </conditionalFormatting>
  <conditionalFormatting sqref="Q81:Q92 P80 Q77:Q79">
    <cfRule type="expression" dxfId="717" priority="231">
      <formula>WEEKDAY($A77,2)&gt;5</formula>
    </cfRule>
  </conditionalFormatting>
  <conditionalFormatting sqref="Q80">
    <cfRule type="expression" dxfId="716" priority="221">
      <formula>AND(WEEKDAY($A80,2)=3,$I$6=FALSE)</formula>
    </cfRule>
    <cfRule type="expression" dxfId="715" priority="222">
      <formula>AND(WEEKDAY($A80,2)=4,$I$8=TRUE)</formula>
    </cfRule>
    <cfRule type="expression" dxfId="714" priority="223">
      <formula>AND(WEEKDAY($A80,2)=4,$I$8=FALSE)</formula>
    </cfRule>
    <cfRule type="expression" dxfId="713" priority="224">
      <formula>AND(WEEKDAY($A80,2)=5,$I$10=TRUE)</formula>
    </cfRule>
    <cfRule type="expression" dxfId="712" priority="225">
      <formula>AND(WEEKDAY($A80,2)=5,$G$14=FALSE)</formula>
    </cfRule>
  </conditionalFormatting>
  <conditionalFormatting sqref="Q80">
    <cfRule type="expression" dxfId="711" priority="226">
      <formula>AND(WEEKDAY($A80,2)=1,$I$2=TRUE)</formula>
    </cfRule>
    <cfRule type="expression" dxfId="710" priority="227">
      <formula>AND(WEEKDAY($A80,2)=1,$I$2=FALSE)</formula>
    </cfRule>
    <cfRule type="expression" dxfId="709" priority="228">
      <formula>AND(WEEKDAY($A80,2)=2,$I$4=TRUE)</formula>
    </cfRule>
    <cfRule type="expression" dxfId="708" priority="229">
      <formula>AND(WEEKDAY($A80,2)=2,$I$4=FALSE)</formula>
    </cfRule>
    <cfRule type="expression" dxfId="707" priority="230">
      <formula>AND(WEEKDAY($A80,2)=3,$I$6=TRUE)</formula>
    </cfRule>
  </conditionalFormatting>
  <conditionalFormatting sqref="Q80">
    <cfRule type="expression" dxfId="706" priority="220">
      <formula>WEEKDAY($A80,2)&gt;5</formula>
    </cfRule>
  </conditionalFormatting>
  <conditionalFormatting sqref="C1">
    <cfRule type="expression" dxfId="705" priority="90">
      <formula>ISBLANK($C$1)</formula>
    </cfRule>
  </conditionalFormatting>
  <conditionalFormatting sqref="C3">
    <cfRule type="expression" dxfId="704" priority="89">
      <formula>ISBLANK($C$3)</formula>
    </cfRule>
  </conditionalFormatting>
  <conditionalFormatting sqref="C5">
    <cfRule type="expression" dxfId="703" priority="88">
      <formula>ISBLANK($C$5)</formula>
    </cfRule>
  </conditionalFormatting>
  <conditionalFormatting sqref="C7">
    <cfRule type="expression" dxfId="702" priority="87">
      <formula>ISBLANK($C$7)</formula>
    </cfRule>
  </conditionalFormatting>
  <conditionalFormatting sqref="C11:D11">
    <cfRule type="expression" dxfId="701" priority="85">
      <formula>ISBLANK($C$11)</formula>
    </cfRule>
    <cfRule type="expression" dxfId="700" priority="86">
      <formula>($C$11/24)&lt;&gt;$M$3</formula>
    </cfRule>
  </conditionalFormatting>
  <conditionalFormatting sqref="B45:E45 B47:E47 B46:D46 B48:D50 A20:A50 B20:D44">
    <cfRule type="expression" dxfId="699" priority="57">
      <formula>AND(WEEKDAY($A20,2)=3,$I$6=FALSE)</formula>
    </cfRule>
    <cfRule type="expression" dxfId="698" priority="58">
      <formula>AND(WEEKDAY($A20,2)=4,$I$8=TRUE)</formula>
    </cfRule>
    <cfRule type="expression" dxfId="697" priority="59">
      <formula>AND(WEEKDAY($A20,2)=4,$I$8=FALSE)</formula>
    </cfRule>
    <cfRule type="expression" dxfId="696" priority="60">
      <formula>AND(WEEKDAY($A20,2)=5,$I$10=TRUE)</formula>
    </cfRule>
    <cfRule type="expression" dxfId="695" priority="61">
      <formula>AND(WEEKDAY($A20,2)=5,$G$14=FALSE)</formula>
    </cfRule>
  </conditionalFormatting>
  <conditionalFormatting sqref="A20:E50">
    <cfRule type="expression" dxfId="694" priority="62">
      <formula>AND(WEEKDAY($A20,2)=1,$I$2=TRUE)</formula>
    </cfRule>
    <cfRule type="expression" dxfId="693" priority="63">
      <formula>AND(WEEKDAY($A20,2)=1,$I$2=FALSE)</formula>
    </cfRule>
    <cfRule type="expression" dxfId="692" priority="64">
      <formula>AND(WEEKDAY($A20,2)=2,$I$4=TRUE)</formula>
    </cfRule>
    <cfRule type="expression" dxfId="691" priority="65">
      <formula>AND(WEEKDAY($A20,2)=2,$I$4=FALSE)</formula>
    </cfRule>
    <cfRule type="expression" dxfId="690" priority="66">
      <formula>AND(WEEKDAY($A20,2)=3,$I$6=TRUE)</formula>
    </cfRule>
  </conditionalFormatting>
  <conditionalFormatting sqref="A20:E50">
    <cfRule type="expression" dxfId="689" priority="56">
      <formula>WEEKDAY($A20,2)&gt;5</formula>
    </cfRule>
  </conditionalFormatting>
  <conditionalFormatting sqref="D21:E21">
    <cfRule type="expression" dxfId="688" priority="55">
      <formula>WEEKDAY($A21,2)&gt;5</formula>
    </cfRule>
  </conditionalFormatting>
  <conditionalFormatting sqref="D27:E27">
    <cfRule type="expression" dxfId="687" priority="54">
      <formula>WEEKDAY($A27,2)&gt;5</formula>
    </cfRule>
  </conditionalFormatting>
  <conditionalFormatting sqref="D34:E34">
    <cfRule type="expression" dxfId="686" priority="53">
      <formula>WEEKDAY($A34,2)&gt;5</formula>
    </cfRule>
  </conditionalFormatting>
  <conditionalFormatting sqref="D22:E22">
    <cfRule type="expression" dxfId="685" priority="52">
      <formula>WEEKDAY($A22,2)&gt;5</formula>
    </cfRule>
  </conditionalFormatting>
  <conditionalFormatting sqref="D28:E28">
    <cfRule type="expression" dxfId="684" priority="51">
      <formula>WEEKDAY($A28,2)&gt;5</formula>
    </cfRule>
  </conditionalFormatting>
  <conditionalFormatting sqref="D36:E36">
    <cfRule type="expression" dxfId="683" priority="50">
      <formula>WEEKDAY($A36,2)&gt;5</formula>
    </cfRule>
  </conditionalFormatting>
  <conditionalFormatting sqref="D42:E42">
    <cfRule type="expression" dxfId="682" priority="49">
      <formula>WEEKDAY($A42,2)&gt;5</formula>
    </cfRule>
  </conditionalFormatting>
  <conditionalFormatting sqref="D41:E41">
    <cfRule type="expression" dxfId="681" priority="48">
      <formula>WEEKDAY($A41,2)&gt;5</formula>
    </cfRule>
  </conditionalFormatting>
  <conditionalFormatting sqref="D48:E48">
    <cfRule type="expression" dxfId="680" priority="47">
      <formula>WEEKDAY($A48,2)&gt;5</formula>
    </cfRule>
  </conditionalFormatting>
  <conditionalFormatting sqref="D35:E35">
    <cfRule type="expression" dxfId="679" priority="46">
      <formula>WEEKDAY($A35,2)&gt;5</formula>
    </cfRule>
  </conditionalFormatting>
  <conditionalFormatting sqref="D29:E29">
    <cfRule type="expression" dxfId="678" priority="45">
      <formula>WEEKDAY($A29,2)&gt;5</formula>
    </cfRule>
  </conditionalFormatting>
  <conditionalFormatting sqref="D41:E41">
    <cfRule type="expression" dxfId="677" priority="44">
      <formula>WEEKDAY($A41,2)&gt;5</formula>
    </cfRule>
  </conditionalFormatting>
  <conditionalFormatting sqref="D42:E42">
    <cfRule type="expression" dxfId="676" priority="43">
      <formula>WEEKDAY($A42,2)&gt;5</formula>
    </cfRule>
  </conditionalFormatting>
  <conditionalFormatting sqref="D43:E43">
    <cfRule type="expression" dxfId="675" priority="42">
      <formula>WEEKDAY($A43,2)&gt;5</formula>
    </cfRule>
  </conditionalFormatting>
  <conditionalFormatting sqref="D41:E41">
    <cfRule type="expression" dxfId="674" priority="41">
      <formula>WEEKDAY($A41,2)&gt;5</formula>
    </cfRule>
  </conditionalFormatting>
  <conditionalFormatting sqref="D42:E42">
    <cfRule type="expression" dxfId="673" priority="40">
      <formula>WEEKDAY($A42,2)&gt;5</formula>
    </cfRule>
  </conditionalFormatting>
  <conditionalFormatting sqref="D35:E35">
    <cfRule type="expression" dxfId="672" priority="39">
      <formula>WEEKDAY($A35,2)&gt;5</formula>
    </cfRule>
  </conditionalFormatting>
  <conditionalFormatting sqref="D36:E36">
    <cfRule type="expression" dxfId="671" priority="38">
      <formula>WEEKDAY($A36,2)&gt;5</formula>
    </cfRule>
  </conditionalFormatting>
  <conditionalFormatting sqref="D35:E35">
    <cfRule type="expression" dxfId="670" priority="37">
      <formula>WEEKDAY($A35,2)&gt;5</formula>
    </cfRule>
  </conditionalFormatting>
  <conditionalFormatting sqref="D36:E36">
    <cfRule type="expression" dxfId="669" priority="36">
      <formula>WEEKDAY($A36,2)&gt;5</formula>
    </cfRule>
  </conditionalFormatting>
  <conditionalFormatting sqref="D23:E23">
    <cfRule type="expression" dxfId="668" priority="35">
      <formula>WEEKDAY($A23,2)&gt;5</formula>
    </cfRule>
  </conditionalFormatting>
  <conditionalFormatting sqref="D49:E49">
    <cfRule type="expression" dxfId="667" priority="34">
      <formula>WEEKDAY($A49,2)&gt;5</formula>
    </cfRule>
  </conditionalFormatting>
  <conditionalFormatting sqref="D41:E41">
    <cfRule type="expression" dxfId="666" priority="33">
      <formula>WEEKDAY($A41,2)&gt;5</formula>
    </cfRule>
  </conditionalFormatting>
  <conditionalFormatting sqref="D41:E41">
    <cfRule type="expression" dxfId="665" priority="32">
      <formula>WEEKDAY($A41,2)&gt;5</formula>
    </cfRule>
  </conditionalFormatting>
  <conditionalFormatting sqref="D41:E41">
    <cfRule type="expression" dxfId="664" priority="31">
      <formula>WEEKDAY($A41,2)&gt;5</formula>
    </cfRule>
  </conditionalFormatting>
  <conditionalFormatting sqref="A20:A50">
    <cfRule type="expression" dxfId="663" priority="29">
      <formula>V20&lt;&gt;""</formula>
    </cfRule>
    <cfRule type="expression" dxfId="662" priority="30">
      <formula>T20&lt;&gt;""</formula>
    </cfRule>
    <cfRule type="expression" dxfId="661" priority="67">
      <formula>T20&lt;&gt;""</formula>
    </cfRule>
  </conditionalFormatting>
  <conditionalFormatting sqref="B20:B50">
    <cfRule type="expression" dxfId="660" priority="68">
      <formula>#REF!&lt;&gt;""</formula>
    </cfRule>
  </conditionalFormatting>
  <conditionalFormatting sqref="D29:E29">
    <cfRule type="expression" dxfId="659" priority="28">
      <formula>WEEKDAY($A29,2)&gt;5</formula>
    </cfRule>
  </conditionalFormatting>
  <conditionalFormatting sqref="D30:E30">
    <cfRule type="expression" dxfId="658" priority="27">
      <formula>WEEKDAY($A30,2)&gt;5</formula>
    </cfRule>
  </conditionalFormatting>
  <conditionalFormatting sqref="D31:E31">
    <cfRule type="expression" dxfId="657" priority="26">
      <formula>WEEKDAY($A31,2)&gt;5</formula>
    </cfRule>
  </conditionalFormatting>
  <conditionalFormatting sqref="D36:E36">
    <cfRule type="expression" dxfId="656" priority="25">
      <formula>WEEKDAY($A36,2)&gt;5</formula>
    </cfRule>
  </conditionalFormatting>
  <conditionalFormatting sqref="D37:E37">
    <cfRule type="expression" dxfId="655" priority="24">
      <formula>WEEKDAY($A37,2)&gt;5</formula>
    </cfRule>
  </conditionalFormatting>
  <conditionalFormatting sqref="D38:E38">
    <cfRule type="expression" dxfId="654" priority="23">
      <formula>WEEKDAY($A38,2)&gt;5</formula>
    </cfRule>
  </conditionalFormatting>
  <conditionalFormatting sqref="D42:E42">
    <cfRule type="expression" dxfId="653" priority="22">
      <formula>WEEKDAY($A42,2)&gt;5</formula>
    </cfRule>
  </conditionalFormatting>
  <conditionalFormatting sqref="D43:E43">
    <cfRule type="expression" dxfId="652" priority="21">
      <formula>WEEKDAY($A43,2)&gt;5</formula>
    </cfRule>
  </conditionalFormatting>
  <conditionalFormatting sqref="D44:E44">
    <cfRule type="expression" dxfId="651" priority="20">
      <formula>WEEKDAY($A44,2)&gt;5</formula>
    </cfRule>
  </conditionalFormatting>
  <conditionalFormatting sqref="D33:E33">
    <cfRule type="expression" dxfId="650" priority="19">
      <formula>WEEKDAY($A33,2)&gt;5</formula>
    </cfRule>
  </conditionalFormatting>
  <conditionalFormatting sqref="D40:E40">
    <cfRule type="expression" dxfId="649" priority="18">
      <formula>WEEKDAY($A40,2)&gt;5</formula>
    </cfRule>
  </conditionalFormatting>
  <conditionalFormatting sqref="K20:K50">
    <cfRule type="expression" dxfId="648" priority="8">
      <formula>AND(WEEKDAY($A20,2)=3,$I$6=FALSE)</formula>
    </cfRule>
    <cfRule type="expression" dxfId="647" priority="9">
      <formula>AND(WEEKDAY($A20,2)=4,$I$8=TRUE)</formula>
    </cfRule>
    <cfRule type="expression" dxfId="646" priority="10">
      <formula>AND(WEEKDAY($A20,2)=4,$I$8=FALSE)</formula>
    </cfRule>
    <cfRule type="expression" dxfId="645" priority="11">
      <formula>AND(WEEKDAY($A20,2)=5,$I$10=TRUE)</formula>
    </cfRule>
    <cfRule type="expression" dxfId="644" priority="12">
      <formula>AND(WEEKDAY($A20,2)=5,$G$14=FALSE)</formula>
    </cfRule>
  </conditionalFormatting>
  <conditionalFormatting sqref="K20:L50">
    <cfRule type="expression" dxfId="643" priority="13">
      <formula>AND(WEEKDAY($A20,2)=1,$I$2=TRUE)</formula>
    </cfRule>
    <cfRule type="expression" dxfId="642" priority="14">
      <formula>AND(WEEKDAY($A20,2)=1,$I$2=FALSE)</formula>
    </cfRule>
    <cfRule type="expression" dxfId="641" priority="15">
      <formula>AND(WEEKDAY($A20,2)=2,$I$4=TRUE)</formula>
    </cfRule>
    <cfRule type="expression" dxfId="640" priority="16">
      <formula>AND(WEEKDAY($A20,2)=2,$I$4=FALSE)</formula>
    </cfRule>
    <cfRule type="expression" dxfId="639" priority="17">
      <formula>AND(WEEKDAY($A20,2)=3,$I$6=TRUE)</formula>
    </cfRule>
  </conditionalFormatting>
  <conditionalFormatting sqref="K20:L50">
    <cfRule type="containsText" dxfId="638" priority="3" operator="containsText" text="Angaben überprüfen">
      <formula>NOT(ISERROR(SEARCH("Angaben überprüfen",K20)))</formula>
    </cfRule>
    <cfRule type="cellIs" dxfId="637" priority="4" operator="equal">
      <formula>"30 min. Pause erforderlich"</formula>
    </cfRule>
    <cfRule type="expression" dxfId="636" priority="7">
      <formula>WEEKDAY($A20,2)&gt;5</formula>
    </cfRule>
  </conditionalFormatting>
  <conditionalFormatting sqref="K20:L50">
    <cfRule type="expression" dxfId="635" priority="6">
      <formula>WEEKDAY($A20,2)&gt;5</formula>
    </cfRule>
  </conditionalFormatting>
  <conditionalFormatting sqref="K20:L50">
    <cfRule type="expression" dxfId="634" priority="5">
      <formula>WEEKDAY($A20,2)&gt;5</formula>
    </cfRule>
  </conditionalFormatting>
  <conditionalFormatting sqref="B17:K17">
    <cfRule type="expression" dxfId="633" priority="1">
      <formula>ISBLANK($C$14)</formula>
    </cfRule>
  </conditionalFormatting>
  <dataValidations count="5">
    <dataValidation type="time" errorStyle="warning" allowBlank="1" showInputMessage="1" showErrorMessage="1" error="Außerhalb des Arbeitszeitrahmens" sqref="B20:E50">
      <formula1>0.25</formula1>
      <formula2>0.958333333333333</formula2>
    </dataValidation>
    <dataValidation type="textLength" operator="greaterThan" allowBlank="1" showInputMessage="1" showErrorMessage="1" errorTitle="Arbeitszeitkonto beendet" error="Ihr Arbeitszeitkonto überschreitet 12 Monate und ist damit beendet. Bitte erstellen Sie ein neues Konto." sqref="G16:L16">
      <formula1>40</formula1>
    </dataValidation>
    <dataValidation type="decimal" allowBlank="1" showInputMessage="1" showErrorMessage="1" errorTitle="Falsches Zahlenformat " error="Bitte Dezimal oder ganze Zahlen eingeben" promptTitle="                 INFO" prompt="_x000a_Beim Ausfüllen unbedingt den Leitfaden zum Arbeitszeitkonto beachten_x000a_ -Siehe Hilfebutton" sqref="C11:D11">
      <formula1>1</formula1>
      <formula2>40</formula2>
    </dataValidation>
    <dataValidation type="decimal" allowBlank="1" showInputMessage="1" showErrorMessage="1" errorTitle="Achtung" error="Kein Dezimalwert" sqref="K3:L11">
      <formula1>0.25</formula1>
      <formula2>24</formula2>
    </dataValidation>
    <dataValidation type="date" allowBlank="1" showInputMessage="1" showErrorMessage="1" error="Kein gültiges Datum" prompt="TT.MM.JJJJ" sqref="C9:D9 F9 C14:D14 F14">
      <formula1>40178</formula1>
      <formula2>71588</formula2>
    </dataValidation>
  </dataValidations>
  <pageMargins left="0.7" right="0.53156250000000005" top="1.6752083333333334" bottom="0.28125" header="0.47125" footer="0.3"/>
  <pageSetup paperSize="9" scale="87" orientation="portrait" r:id="rId1"/>
  <headerFooter>
    <oddHeader>&amp;L&amp;"BO Regular Bold,Fett"&amp;12Stundennachweis&amp;"-,Standard"&amp;10
&amp;"BO Regular Normal,Standard"nach §17 MiLoG
für SHK, WHK, studentische Aushilfskräfte TV-L 
und geringfügig Beschäftigte&amp;R&amp;G</oddHeader>
  </headerFooter>
  <ignoredErrors>
    <ignoredError sqref="C2:F2 K20:L50 C1 C6:F6 C4:F4 C3:F3 C5:F5 C7:F8" unlockedFormula="1"/>
  </ignoredError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2289" r:id="rId5" name="Check Box 1">
              <controlPr locked="0" defaultSize="0" autoFill="0" autoLine="0" autoPict="0">
                <anchor moveWithCells="1">
                  <from>
                    <xdr:col>7</xdr:col>
                    <xdr:colOff>314325</xdr:colOff>
                    <xdr:row>1</xdr:row>
                    <xdr:rowOff>19050</xdr:rowOff>
                  </from>
                  <to>
                    <xdr:col>10</xdr:col>
                    <xdr:colOff>66675</xdr:colOff>
                    <xdr:row>3</xdr:row>
                    <xdr:rowOff>76200</xdr:rowOff>
                  </to>
                </anchor>
              </controlPr>
            </control>
          </mc:Choice>
        </mc:AlternateContent>
        <mc:AlternateContent xmlns:mc="http://schemas.openxmlformats.org/markup-compatibility/2006">
          <mc:Choice Requires="x14">
            <control shapeId="12290" r:id="rId6" name="Check Box 2">
              <controlPr locked="0" defaultSize="0" autoFill="0" autoLine="0" autoPict="0">
                <anchor moveWithCells="1">
                  <from>
                    <xdr:col>7</xdr:col>
                    <xdr:colOff>314325</xdr:colOff>
                    <xdr:row>3</xdr:row>
                    <xdr:rowOff>28575</xdr:rowOff>
                  </from>
                  <to>
                    <xdr:col>9</xdr:col>
                    <xdr:colOff>600075</xdr:colOff>
                    <xdr:row>5</xdr:row>
                    <xdr:rowOff>66675</xdr:rowOff>
                  </to>
                </anchor>
              </controlPr>
            </control>
          </mc:Choice>
        </mc:AlternateContent>
        <mc:AlternateContent xmlns:mc="http://schemas.openxmlformats.org/markup-compatibility/2006">
          <mc:Choice Requires="x14">
            <control shapeId="12291" r:id="rId7" name="Check Box 3">
              <controlPr locked="0" defaultSize="0" autoFill="0" autoLine="0" autoPict="0">
                <anchor moveWithCells="1">
                  <from>
                    <xdr:col>7</xdr:col>
                    <xdr:colOff>314325</xdr:colOff>
                    <xdr:row>5</xdr:row>
                    <xdr:rowOff>28575</xdr:rowOff>
                  </from>
                  <to>
                    <xdr:col>9</xdr:col>
                    <xdr:colOff>428625</xdr:colOff>
                    <xdr:row>7</xdr:row>
                    <xdr:rowOff>57150</xdr:rowOff>
                  </to>
                </anchor>
              </controlPr>
            </control>
          </mc:Choice>
        </mc:AlternateContent>
        <mc:AlternateContent xmlns:mc="http://schemas.openxmlformats.org/markup-compatibility/2006">
          <mc:Choice Requires="x14">
            <control shapeId="12292" r:id="rId8" name="Check Box 4">
              <controlPr locked="0" defaultSize="0" autoFill="0" autoLine="0" autoPict="0">
                <anchor moveWithCells="1">
                  <from>
                    <xdr:col>7</xdr:col>
                    <xdr:colOff>314325</xdr:colOff>
                    <xdr:row>7</xdr:row>
                    <xdr:rowOff>28575</xdr:rowOff>
                  </from>
                  <to>
                    <xdr:col>9</xdr:col>
                    <xdr:colOff>704850</xdr:colOff>
                    <xdr:row>9</xdr:row>
                    <xdr:rowOff>66675</xdr:rowOff>
                  </to>
                </anchor>
              </controlPr>
            </control>
          </mc:Choice>
        </mc:AlternateContent>
        <mc:AlternateContent xmlns:mc="http://schemas.openxmlformats.org/markup-compatibility/2006">
          <mc:Choice Requires="x14">
            <control shapeId="12293" r:id="rId9" name="Check Box 5">
              <controlPr locked="0" defaultSize="0" autoFill="0" autoLine="0" autoPict="0">
                <anchor moveWithCells="1">
                  <from>
                    <xdr:col>7</xdr:col>
                    <xdr:colOff>314325</xdr:colOff>
                    <xdr:row>9</xdr:row>
                    <xdr:rowOff>28575</xdr:rowOff>
                  </from>
                  <to>
                    <xdr:col>9</xdr:col>
                    <xdr:colOff>800100</xdr:colOff>
                    <xdr:row>11</xdr:row>
                    <xdr:rowOff>66675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2" operator="containsText" id="{49C1ACE4-40D5-42F9-9A90-82AC93C6677F}">
            <xm:f>NOT(ISERROR(SEARCH("45 min. Pause erforderlich",K20)))</xm:f>
            <xm:f>"45 min. Pause erforderlich"</xm:f>
            <x14:dxf>
              <font>
                <b/>
                <i val="0"/>
                <color rgb="FFA50021"/>
              </font>
            </x14:dxf>
          </x14:cfRule>
          <xm:sqref>K20:L50</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0"/>
  <dimension ref="A1:V95"/>
  <sheetViews>
    <sheetView showGridLines="0" showRowColHeaders="0" view="pageLayout" workbookViewId="0">
      <selection activeCell="C11" sqref="C11:D11"/>
    </sheetView>
  </sheetViews>
  <sheetFormatPr baseColWidth="10" defaultColWidth="12.42578125" defaultRowHeight="15"/>
  <cols>
    <col min="1" max="1" width="11.28515625" customWidth="1"/>
    <col min="2" max="2" width="8.5703125" customWidth="1"/>
    <col min="3" max="3" width="5" customWidth="1"/>
    <col min="4" max="4" width="6" customWidth="1"/>
    <col min="5" max="5" width="10.7109375" customWidth="1"/>
    <col min="6" max="6" width="12.140625" customWidth="1"/>
    <col min="7" max="7" width="7.7109375" customWidth="1"/>
    <col min="8" max="8" width="9.85546875" customWidth="1"/>
    <col min="9" max="9" width="6.5703125" hidden="1" customWidth="1"/>
    <col min="10" max="10" width="11.85546875" customWidth="1"/>
    <col min="11" max="11" width="11.140625" customWidth="1"/>
    <col min="12" max="12" width="7.140625" customWidth="1"/>
    <col min="13" max="13" width="5.28515625" style="37" hidden="1" customWidth="1"/>
    <col min="14" max="14" width="5.42578125" style="33" hidden="1" customWidth="1"/>
    <col min="15" max="15" width="14.5703125" hidden="1" customWidth="1"/>
    <col min="16" max="16" width="9.28515625" hidden="1" customWidth="1"/>
    <col min="17" max="17" width="8.42578125" hidden="1" customWidth="1"/>
    <col min="18" max="18" width="7.140625" hidden="1" customWidth="1"/>
    <col min="19" max="21" width="12.42578125" hidden="1" customWidth="1"/>
    <col min="22" max="22" width="1.140625" hidden="1" customWidth="1"/>
    <col min="23" max="16353" width="12.42578125" customWidth="1"/>
    <col min="16354" max="16354" width="3.7109375" customWidth="1"/>
    <col min="16355" max="16384" width="4.42578125" customWidth="1"/>
  </cols>
  <sheetData>
    <row r="1" spans="1:20" s="2" customFormat="1" ht="18" customHeight="1">
      <c r="A1" s="254" t="s">
        <v>0</v>
      </c>
      <c r="B1" s="254"/>
      <c r="C1" s="255" t="str">
        <f>IF('Blatt 1'!C1:F1="","",'Blatt 1'!C1:F1)</f>
        <v/>
      </c>
      <c r="D1" s="255"/>
      <c r="E1" s="255"/>
      <c r="F1" s="255"/>
      <c r="G1" s="1"/>
      <c r="H1" s="260" t="s">
        <v>1</v>
      </c>
      <c r="I1" s="260"/>
      <c r="J1" s="260"/>
      <c r="K1" s="259" t="s">
        <v>2</v>
      </c>
      <c r="L1" s="259"/>
      <c r="M1" s="253" t="s">
        <v>3</v>
      </c>
      <c r="N1" s="253"/>
      <c r="O1" s="253"/>
    </row>
    <row r="2" spans="1:20" ht="7.5" customHeight="1">
      <c r="A2" s="80"/>
      <c r="B2" s="80"/>
      <c r="C2" s="61"/>
      <c r="D2" s="61"/>
      <c r="E2" s="61"/>
      <c r="F2" s="61"/>
      <c r="G2" s="3"/>
      <c r="H2" s="3"/>
      <c r="I2" s="6" t="b">
        <v>0</v>
      </c>
      <c r="J2" s="3"/>
      <c r="K2" s="3"/>
      <c r="M2" s="143"/>
      <c r="N2" s="212"/>
    </row>
    <row r="3" spans="1:20" s="2" customFormat="1" ht="15.75">
      <c r="A3" s="254" t="s">
        <v>4</v>
      </c>
      <c r="B3" s="254"/>
      <c r="C3" s="255" t="str">
        <f>IF('Blatt 1'!C3:F3="","",'Blatt 1'!C3:F3)</f>
        <v/>
      </c>
      <c r="D3" s="255"/>
      <c r="E3" s="255"/>
      <c r="F3" s="255"/>
      <c r="H3" s="47"/>
      <c r="I3" s="55"/>
      <c r="J3" s="8"/>
      <c r="K3" s="323"/>
      <c r="L3" s="323"/>
      <c r="M3" s="9">
        <f>($K$3+$K$5+$K$7+$K$9+$K$11)/24</f>
        <v>0</v>
      </c>
      <c r="N3" s="10"/>
    </row>
    <row r="4" spans="1:20" ht="7.5" customHeight="1">
      <c r="A4" s="80"/>
      <c r="B4" s="80"/>
      <c r="C4" s="62"/>
      <c r="D4" s="62"/>
      <c r="E4" s="62"/>
      <c r="F4" s="62"/>
      <c r="H4" s="3"/>
      <c r="I4" s="6" t="b">
        <v>0</v>
      </c>
      <c r="J4" s="3"/>
      <c r="K4" s="73"/>
      <c r="L4" s="74"/>
      <c r="M4" s="143"/>
      <c r="N4" s="212"/>
    </row>
    <row r="5" spans="1:20" s="2" customFormat="1" ht="15.75">
      <c r="A5" s="254" t="s">
        <v>5</v>
      </c>
      <c r="B5" s="254"/>
      <c r="C5" s="256" t="str">
        <f>IF('Blatt 1'!C5:F5="","",'Blatt 1'!C5:F5)</f>
        <v/>
      </c>
      <c r="D5" s="255"/>
      <c r="E5" s="255"/>
      <c r="F5" s="255"/>
      <c r="H5" s="47"/>
      <c r="I5" s="55"/>
      <c r="J5" s="8"/>
      <c r="K5" s="300"/>
      <c r="L5" s="300"/>
      <c r="M5" s="143"/>
      <c r="N5" s="212"/>
    </row>
    <row r="6" spans="1:20" ht="7.5" customHeight="1">
      <c r="A6" s="80"/>
      <c r="B6" s="80"/>
      <c r="C6" s="62"/>
      <c r="D6" s="62"/>
      <c r="E6" s="62"/>
      <c r="F6" s="62"/>
      <c r="H6" s="3"/>
      <c r="I6" s="6" t="b">
        <v>0</v>
      </c>
      <c r="J6" s="3"/>
      <c r="K6" s="73"/>
      <c r="L6" s="74"/>
      <c r="M6" s="143"/>
      <c r="N6" s="212"/>
    </row>
    <row r="7" spans="1:20" s="2" customFormat="1" ht="15.75">
      <c r="A7" s="254" t="s">
        <v>6</v>
      </c>
      <c r="B7" s="254"/>
      <c r="C7" s="258" t="str">
        <f>IF('Blatt 1'!C7:F7="","",'Blatt 1'!C7:F7)</f>
        <v/>
      </c>
      <c r="D7" s="258"/>
      <c r="E7" s="258"/>
      <c r="F7" s="258"/>
      <c r="H7" s="11"/>
      <c r="I7" s="55"/>
      <c r="J7" s="11"/>
      <c r="K7" s="300"/>
      <c r="L7" s="300"/>
      <c r="M7" s="143"/>
      <c r="N7" s="212"/>
    </row>
    <row r="8" spans="1:20" ht="7.5" customHeight="1">
      <c r="A8" s="80"/>
      <c r="B8" s="80"/>
      <c r="C8" s="62"/>
      <c r="D8" s="62"/>
      <c r="E8" s="62"/>
      <c r="F8" s="62"/>
      <c r="H8" s="3"/>
      <c r="I8" s="6" t="b">
        <v>0</v>
      </c>
      <c r="J8" s="3"/>
      <c r="K8" s="73"/>
      <c r="L8" s="74"/>
      <c r="M8" s="143"/>
      <c r="N8" s="212"/>
    </row>
    <row r="9" spans="1:20" ht="15.75">
      <c r="A9" s="254" t="s">
        <v>146</v>
      </c>
      <c r="B9" s="254"/>
      <c r="C9" s="265"/>
      <c r="D9" s="265"/>
      <c r="E9" s="82" t="s">
        <v>7</v>
      </c>
      <c r="F9" s="105"/>
      <c r="H9" s="3"/>
      <c r="I9" s="55"/>
      <c r="J9" s="3"/>
      <c r="K9" s="300"/>
      <c r="L9" s="300"/>
      <c r="M9" s="143"/>
      <c r="N9" s="212"/>
    </row>
    <row r="10" spans="1:20" ht="7.5" customHeight="1">
      <c r="A10" s="80"/>
      <c r="B10" s="80"/>
      <c r="C10" s="62"/>
      <c r="D10" s="62"/>
      <c r="E10" s="80"/>
      <c r="F10" s="62"/>
      <c r="H10" s="3"/>
      <c r="I10" s="12" t="b">
        <v>0</v>
      </c>
      <c r="J10" s="3"/>
      <c r="K10" s="73"/>
      <c r="L10" s="74"/>
      <c r="M10" s="143"/>
      <c r="N10" s="212"/>
    </row>
    <row r="11" spans="1:20" ht="15.75">
      <c r="A11" s="254" t="s">
        <v>8</v>
      </c>
      <c r="B11" s="254"/>
      <c r="C11" s="326"/>
      <c r="D11" s="326"/>
      <c r="E11" s="83" t="s">
        <v>9</v>
      </c>
      <c r="F11" s="64"/>
      <c r="H11" s="3"/>
      <c r="I11" s="12"/>
      <c r="J11" s="3"/>
      <c r="K11" s="300"/>
      <c r="L11" s="300"/>
      <c r="M11" s="143"/>
      <c r="N11" s="212"/>
      <c r="S11" s="146"/>
      <c r="T11" s="146"/>
    </row>
    <row r="12" spans="1:20" ht="7.5" customHeight="1">
      <c r="A12" s="211"/>
      <c r="B12" s="211"/>
      <c r="C12" s="65"/>
      <c r="D12" s="65"/>
      <c r="E12" s="84"/>
      <c r="F12" s="51"/>
      <c r="H12" s="50"/>
      <c r="I12" s="55"/>
      <c r="J12" s="3"/>
      <c r="K12" s="50"/>
      <c r="L12" s="50"/>
      <c r="M12" s="143"/>
      <c r="N12" s="212"/>
      <c r="S12" s="146"/>
    </row>
    <row r="13" spans="1:20" ht="4.5" customHeight="1">
      <c r="A13" s="254"/>
      <c r="B13" s="254"/>
      <c r="C13" s="65"/>
      <c r="D13" s="65"/>
      <c r="E13" s="80"/>
      <c r="F13" s="62"/>
      <c r="H13" s="3"/>
      <c r="I13" s="55"/>
      <c r="J13" s="3"/>
      <c r="M13" s="143"/>
      <c r="N13" s="212"/>
    </row>
    <row r="14" spans="1:20" ht="16.5" customHeight="1">
      <c r="A14" s="305" t="s">
        <v>141</v>
      </c>
      <c r="B14" s="305"/>
      <c r="C14" s="306"/>
      <c r="D14" s="306"/>
      <c r="E14" s="196" t="s">
        <v>7</v>
      </c>
      <c r="F14" s="213"/>
      <c r="G14" s="52" t="b">
        <v>0</v>
      </c>
      <c r="H14" s="320" t="str">
        <f>IF($C$14="","",IF(AND($O$16&lt;&gt;$C$14,$O$16&lt;$F$9),"Achtung! Stundennachweis unterbrochen",""))</f>
        <v/>
      </c>
      <c r="I14" s="320"/>
      <c r="J14" s="320"/>
      <c r="K14" s="320"/>
      <c r="L14" s="320"/>
      <c r="M14" s="304" t="s">
        <v>21</v>
      </c>
      <c r="N14" s="304"/>
      <c r="O14" s="147"/>
    </row>
    <row r="15" spans="1:20" hidden="1">
      <c r="A15" s="43"/>
      <c r="B15" s="47"/>
      <c r="C15" s="262"/>
      <c r="D15" s="262"/>
      <c r="E15" s="14"/>
      <c r="F15" s="39"/>
      <c r="G15" s="52"/>
      <c r="H15" s="3"/>
      <c r="I15" s="3"/>
      <c r="J15" s="3"/>
      <c r="K15" s="263"/>
      <c r="L15" s="263"/>
      <c r="M15" s="216"/>
      <c r="N15" s="149"/>
      <c r="O15" s="147"/>
    </row>
    <row r="16" spans="1:20" ht="41.25" customHeight="1">
      <c r="A16" s="321" t="str">
        <f ca="1">IF(($C$14+30)&lt;$F$14,"                                       Bitte nur einen Monat angeben! ",IF(COUNTIF(R20:R50,1)&gt;0,"Hinweis: Es erfolgt keine Berechnung der Zukunftswerte",""))</f>
        <v/>
      </c>
      <c r="B16" s="321"/>
      <c r="C16" s="321"/>
      <c r="D16" s="321"/>
      <c r="E16" s="321"/>
      <c r="F16" s="321"/>
      <c r="G16" s="303" t="str">
        <f>IF(AND(Q58&lt;365,Q58&gt;300),"Ihnen verbleiben noch "&amp;(364-Q58)&amp;" Tage um Ihr Arbeitszeitkonto auszugleichen",IF(Q58&gt;365,"Sie haben Ihr Arbeitszeitkonto überschritten, bitte erstellen Sie ein neues Konto",""))</f>
        <v/>
      </c>
      <c r="H16" s="303"/>
      <c r="I16" s="303"/>
      <c r="J16" s="303"/>
      <c r="K16" s="303"/>
      <c r="L16" s="303"/>
      <c r="M16" s="153">
        <f ca="1">IF(AND($H$14="Achtung! Stundennachweis unterbrochen",'Blatt 8'!J52&gt;0),0,'Blatt 8'!J52)</f>
        <v>0</v>
      </c>
      <c r="N16" s="154">
        <f ca="1">+$M$16+$N$55</f>
        <v>0</v>
      </c>
      <c r="O16" s="155" t="str">
        <f>IF($F$9=$F$14,"",'Blatt 8'!$F$14+1)</f>
        <v/>
      </c>
    </row>
    <row r="17" spans="1:22" ht="18.75">
      <c r="A17" s="40"/>
      <c r="B17" s="264">
        <f ca="1">IF(ISBLANK($C$14),EOMONTH('Blatt 8'!$B$17,0)+1,DATE(YEAR($C$14),MONTH($C$14),1))</f>
        <v>42400</v>
      </c>
      <c r="C17" s="264"/>
      <c r="D17" s="264"/>
      <c r="E17" s="264"/>
      <c r="F17" s="264"/>
      <c r="G17" s="264"/>
      <c r="H17" s="264"/>
      <c r="I17" s="264"/>
      <c r="J17" s="264"/>
      <c r="K17" s="264"/>
      <c r="L17" s="41"/>
      <c r="M17" s="15"/>
      <c r="N17" s="212"/>
    </row>
    <row r="18" spans="1:22" ht="8.4499999999999993" customHeight="1" thickBot="1">
      <c r="A18" s="3"/>
      <c r="B18" s="3"/>
      <c r="C18" s="3"/>
      <c r="D18" s="3"/>
      <c r="E18" s="3"/>
      <c r="F18" s="3"/>
      <c r="G18" s="3"/>
      <c r="H18" s="3"/>
      <c r="I18" s="3"/>
      <c r="J18" s="3"/>
      <c r="K18" s="3"/>
      <c r="L18" s="3"/>
      <c r="M18" s="143"/>
      <c r="N18" s="212"/>
    </row>
    <row r="19" spans="1:22" s="17" customFormat="1" ht="42.75" customHeight="1" thickBot="1">
      <c r="A19" s="187" t="s">
        <v>10</v>
      </c>
      <c r="B19" s="277" t="s">
        <v>11</v>
      </c>
      <c r="C19" s="277"/>
      <c r="D19" s="278" t="s">
        <v>12</v>
      </c>
      <c r="E19" s="279"/>
      <c r="F19" s="86" t="s">
        <v>27</v>
      </c>
      <c r="G19" s="210" t="s">
        <v>13</v>
      </c>
      <c r="H19" s="86" t="s">
        <v>14</v>
      </c>
      <c r="I19" s="88"/>
      <c r="J19" s="89" t="s">
        <v>15</v>
      </c>
      <c r="K19" s="278" t="s">
        <v>16</v>
      </c>
      <c r="L19" s="280"/>
      <c r="M19" s="16" t="s">
        <v>17</v>
      </c>
      <c r="N19" s="16"/>
      <c r="O19" s="58" t="s">
        <v>24</v>
      </c>
      <c r="P19" s="126" t="s">
        <v>28</v>
      </c>
      <c r="Q19" s="126" t="s">
        <v>31</v>
      </c>
      <c r="R19" s="289" t="s">
        <v>49</v>
      </c>
      <c r="S19" s="289"/>
      <c r="T19" s="289"/>
    </row>
    <row r="20" spans="1:22" s="2" customFormat="1" ht="12.6" customHeight="1">
      <c r="A20" s="188">
        <f ca="1">($B$17+ROW(A1)-1)*(MONTH(B17+1)=MONTH($B$17))</f>
        <v>42400</v>
      </c>
      <c r="B20" s="271"/>
      <c r="C20" s="272"/>
      <c r="D20" s="273"/>
      <c r="E20" s="274"/>
      <c r="F20" s="209"/>
      <c r="G20" s="110" t="str">
        <f ca="1">IF(OR(A20&lt;$C$14,A20&gt;$F$14,$G$16="Sie haben Ihr Arbeitszeitkonto überschritten, bitte erstellen Sie ein neues Konto",A20&gt;TODAY()),"0,00",IF(ISBLANK($C$14),"0,00",(D20-B20-F20)))</f>
        <v>0,00</v>
      </c>
      <c r="H20" s="111" t="str">
        <f ca="1">IF(WEEKDAY(A20,2)=7,SUMIF($M$19:$M$50,M20,$G$19:$G$50),"")</f>
        <v/>
      </c>
      <c r="I20" s="112">
        <f ca="1">IF(A20&lt;TODAY(),ROUND(SUM(G20-N20),7),0)</f>
        <v>0</v>
      </c>
      <c r="J20" s="156" t="str">
        <f t="shared" ref="J20:J24" ca="1" si="0">IF($G$16="Sie haben Ihr Arbeitszeitkonto überschritten, bitte erstellen Sie ein neues Konto","",IF(AND(A20&lt;TODAY(),WEEKDAY(A20,2)=7),I20+$N$16,""))</f>
        <v/>
      </c>
      <c r="K20" s="275" t="str">
        <f t="shared" ref="K20:K26" ca="1" si="1">IF(T20&lt;&gt;"",T20,IF(P20="1","Angaben überprüfen",IF(OR(A20&lt;$C$14,A20&gt;$F$14,G20="0,00"),"--------",IF(AND(G20&gt;(6/24),G20&lt;(9/24),F20&lt;0.5/24),"30 min. Pause erforderlich",IF(AND(G20&gt;=(9/24),F20&lt;0.75/24),"45 min. Pause erforderlich ","")))))</f>
        <v>--------</v>
      </c>
      <c r="L20" s="276"/>
      <c r="M20" s="93">
        <f ca="1">WEEKNUM(A20,2)</f>
        <v>5</v>
      </c>
      <c r="N20" s="94">
        <f ca="1">IF(AND(A20&gt;=$C$14,A20&lt;=$F$14),IF(AND(WEEKDAY(A20,2)=1,$K$3&gt;0),$K$3,IF(AND(WEEKDAY(A20,2)=2,$K$5&gt;0),$K$5,IF(AND(WEEKDAY(A20,2)=3,$K$7&gt;0),$K$7,IF(AND(WEEKDAY(A20,2)=4,$K$9&gt;0),$K$9,IF(AND(WEEKDAY(A20,2)=5,$K$11&gt;0),$K$11,IF(WEEKDAY(A20,2)&gt;5,0,0))))))/24,0)</f>
        <v>0</v>
      </c>
      <c r="O20" s="95">
        <f ca="1">IF(I20&lt;&gt;0,I20,0)</f>
        <v>0</v>
      </c>
      <c r="P20" s="120" t="str">
        <f ca="1">IF(AND(Q20="1",B20&gt;0),"1","")</f>
        <v/>
      </c>
      <c r="Q20" s="120" t="str">
        <f t="shared" ref="Q20:Q50" ca="1" si="2">IF(OR(A20&lt;$C$14,A20&gt;$F$14,A20&lt;$C$9,A20&gt;$F$9),"1","")</f>
        <v>1</v>
      </c>
      <c r="R20" s="184" t="str">
        <f t="shared" ref="R20:R50" ca="1" si="3">IF(AND(A20&gt;TODAY(),B20&gt;0),"1","")</f>
        <v/>
      </c>
      <c r="S20" s="185" t="e">
        <f t="shared" ref="S20:S50" ca="1" si="4">VLOOKUP(A20,$Q$77:$S$92,2,FALSE)</f>
        <v>#N/A</v>
      </c>
      <c r="T20" s="186" t="str">
        <f t="shared" ref="T20:T49" ca="1" si="5">IF(ISNA(S20),"",S20)</f>
        <v/>
      </c>
      <c r="U20" s="193" t="str">
        <f t="shared" ref="U20:U50" ca="1" si="6">IF(AND(WEEKDAY(A20,2)=1,$I$2=TRUE),"X",IF(AND(WEEKDAY(A20,2)=4,$I$8=TRUE),"X",IF(AND(WEEKDAY(A20,2)=5,$I$10=TRUE),"X",IF(AND(WEEKDAY(A20,2)=2,$I$4=TRUE),"X",IF(AND(WEEKDAY(A20,2)=3,$I$6=TRUE),"X","")
))))</f>
        <v/>
      </c>
      <c r="V20" s="197" t="str">
        <f ca="1">IF(AND(U20&lt;&gt;"",T20&lt;&gt;""),"!","")</f>
        <v/>
      </c>
    </row>
    <row r="21" spans="1:22" s="2" customFormat="1" ht="12.6" customHeight="1">
      <c r="A21" s="189">
        <f t="shared" ref="A21:A29" ca="1" si="7">($B$17+ROW(A2)-1)*(MONTH(A20+1)=MONTH($B$17))</f>
        <v>42401</v>
      </c>
      <c r="B21" s="271"/>
      <c r="C21" s="272"/>
      <c r="D21" s="273"/>
      <c r="E21" s="274"/>
      <c r="F21" s="205"/>
      <c r="G21" s="110" t="str">
        <f t="shared" ref="G21:G49" ca="1" si="8">IF(OR(A21&lt;$C$14,A21&gt;$F$14,$G$16="Sie haben Ihr Arbeitszeitkonto überschritten, bitte erstellen Sie ein neues Konto",A21&gt;TODAY()),"0,00",IF(ISBLANK($C$14),"0,00",(D21-B21-F21)))</f>
        <v>0,00</v>
      </c>
      <c r="H21" s="111">
        <f t="shared" ref="H21:H50" ca="1" si="9">IF(WEEKDAY(A21,2)=7,SUMIF($M$19:$M$50,M21,$G$19:$G$50),"")</f>
        <v>0</v>
      </c>
      <c r="I21" s="112">
        <f t="shared" ref="I21:I50" ca="1" si="10">IF(A21&lt;TODAY(),ROUND(SUM(G21+I20-N21),7),0)</f>
        <v>0</v>
      </c>
      <c r="J21" s="157" t="str">
        <f t="shared" ca="1" si="0"/>
        <v/>
      </c>
      <c r="K21" s="275" t="str">
        <f t="shared" ca="1" si="1"/>
        <v>--------</v>
      </c>
      <c r="L21" s="276"/>
      <c r="M21" s="93">
        <f t="shared" ref="M21:M49" ca="1" si="11">WEEKNUM(A21,2)</f>
        <v>5</v>
      </c>
      <c r="N21" s="94">
        <f t="shared" ref="N21:N50" ca="1" si="12">IF(AND(A21&gt;=$C$14,A21&lt;=$F$14),IF(AND(WEEKDAY(A21,2)=1,$K$3&gt;0),$K$3,IF(AND(WEEKDAY(A21,2)=2,$K$5&gt;0),$K$5,IF(AND(WEEKDAY(A21,2)=3,$K$7&gt;0),$K$7,IF(AND(WEEKDAY(A21,2)=4,$K$9&gt;0),$K$9,IF(AND(WEEKDAY(A21,2)=5,$K$11&gt;0),$K$11,IF(WEEKDAY(A21,2)&gt;5,0,0))))))/24,0)</f>
        <v>0</v>
      </c>
      <c r="O21" s="95">
        <f t="shared" ref="O21:O50" ca="1" si="13">IF(I21&lt;&gt;0,I21,0)</f>
        <v>0</v>
      </c>
      <c r="P21" s="120" t="str">
        <f t="shared" ref="P21:P50" ca="1" si="14">IF(AND(Q21="1",B21&gt;0),"1","")</f>
        <v/>
      </c>
      <c r="Q21" s="120" t="str">
        <f t="shared" ca="1" si="2"/>
        <v>1</v>
      </c>
      <c r="R21" s="184" t="str">
        <f t="shared" ca="1" si="3"/>
        <v/>
      </c>
      <c r="S21" s="185" t="e">
        <f t="shared" ca="1" si="4"/>
        <v>#N/A</v>
      </c>
      <c r="T21" s="186" t="str">
        <f t="shared" ca="1" si="5"/>
        <v/>
      </c>
      <c r="U21" s="194" t="str">
        <f t="shared" ca="1" si="6"/>
        <v/>
      </c>
      <c r="V21" s="197" t="str">
        <f t="shared" ref="V21:V50" ca="1" si="15">IF(AND(U21&lt;&gt;"",T21&lt;&gt;""),"!","")</f>
        <v/>
      </c>
    </row>
    <row r="22" spans="1:22" s="2" customFormat="1" ht="12.6" customHeight="1">
      <c r="A22" s="189">
        <f t="shared" ca="1" si="7"/>
        <v>42402</v>
      </c>
      <c r="B22" s="285"/>
      <c r="C22" s="286"/>
      <c r="D22" s="273"/>
      <c r="E22" s="274"/>
      <c r="F22" s="205"/>
      <c r="G22" s="110" t="str">
        <f t="shared" ca="1" si="8"/>
        <v>0,00</v>
      </c>
      <c r="H22" s="111" t="str">
        <f t="shared" ca="1" si="9"/>
        <v/>
      </c>
      <c r="I22" s="112">
        <f t="shared" ca="1" si="10"/>
        <v>0</v>
      </c>
      <c r="J22" s="157" t="str">
        <f t="shared" ca="1" si="0"/>
        <v/>
      </c>
      <c r="K22" s="275" t="str">
        <f t="shared" ca="1" si="1"/>
        <v>--------</v>
      </c>
      <c r="L22" s="276"/>
      <c r="M22" s="93">
        <f t="shared" ca="1" si="11"/>
        <v>6</v>
      </c>
      <c r="N22" s="94">
        <f t="shared" ca="1" si="12"/>
        <v>0</v>
      </c>
      <c r="O22" s="95">
        <f t="shared" ca="1" si="13"/>
        <v>0</v>
      </c>
      <c r="P22" s="120" t="str">
        <f t="shared" ca="1" si="14"/>
        <v/>
      </c>
      <c r="Q22" s="120" t="str">
        <f t="shared" ca="1" si="2"/>
        <v>1</v>
      </c>
      <c r="R22" s="184" t="str">
        <f t="shared" ca="1" si="3"/>
        <v/>
      </c>
      <c r="S22" s="185" t="e">
        <f t="shared" ca="1" si="4"/>
        <v>#N/A</v>
      </c>
      <c r="T22" s="186" t="str">
        <f t="shared" ca="1" si="5"/>
        <v/>
      </c>
      <c r="U22" s="194" t="str">
        <f t="shared" ca="1" si="6"/>
        <v/>
      </c>
      <c r="V22" s="197" t="str">
        <f t="shared" ca="1" si="15"/>
        <v/>
      </c>
    </row>
    <row r="23" spans="1:22" s="2" customFormat="1" ht="12.6" customHeight="1">
      <c r="A23" s="189">
        <f t="shared" ca="1" si="7"/>
        <v>42403</v>
      </c>
      <c r="B23" s="285"/>
      <c r="C23" s="286"/>
      <c r="D23" s="273"/>
      <c r="E23" s="274"/>
      <c r="F23" s="205"/>
      <c r="G23" s="110" t="str">
        <f t="shared" ca="1" si="8"/>
        <v>0,00</v>
      </c>
      <c r="H23" s="111" t="str">
        <f t="shared" ca="1" si="9"/>
        <v/>
      </c>
      <c r="I23" s="112">
        <f t="shared" ca="1" si="10"/>
        <v>0</v>
      </c>
      <c r="J23" s="157" t="str">
        <f t="shared" ca="1" si="0"/>
        <v/>
      </c>
      <c r="K23" s="275" t="str">
        <f t="shared" ca="1" si="1"/>
        <v>--------</v>
      </c>
      <c r="L23" s="276"/>
      <c r="M23" s="93">
        <f t="shared" ca="1" si="11"/>
        <v>6</v>
      </c>
      <c r="N23" s="94">
        <f t="shared" ca="1" si="12"/>
        <v>0</v>
      </c>
      <c r="O23" s="95">
        <f t="shared" ca="1" si="13"/>
        <v>0</v>
      </c>
      <c r="P23" s="120" t="str">
        <f t="shared" ca="1" si="14"/>
        <v/>
      </c>
      <c r="Q23" s="120" t="str">
        <f t="shared" ca="1" si="2"/>
        <v>1</v>
      </c>
      <c r="R23" s="184" t="str">
        <f t="shared" ca="1" si="3"/>
        <v/>
      </c>
      <c r="S23" s="185" t="e">
        <f t="shared" ca="1" si="4"/>
        <v>#N/A</v>
      </c>
      <c r="T23" s="186" t="str">
        <f t="shared" ca="1" si="5"/>
        <v/>
      </c>
      <c r="U23" s="194" t="str">
        <f t="shared" ca="1" si="6"/>
        <v/>
      </c>
      <c r="V23" s="197" t="str">
        <f t="shared" ca="1" si="15"/>
        <v/>
      </c>
    </row>
    <row r="24" spans="1:22" s="2" customFormat="1" ht="12.6" customHeight="1">
      <c r="A24" s="190">
        <f t="shared" ca="1" si="7"/>
        <v>42404</v>
      </c>
      <c r="B24" s="281"/>
      <c r="C24" s="282"/>
      <c r="D24" s="283"/>
      <c r="E24" s="284"/>
      <c r="F24" s="208"/>
      <c r="G24" s="110" t="str">
        <f t="shared" ca="1" si="8"/>
        <v>0,00</v>
      </c>
      <c r="H24" s="111" t="str">
        <f t="shared" ca="1" si="9"/>
        <v/>
      </c>
      <c r="I24" s="112">
        <f t="shared" ca="1" si="10"/>
        <v>0</v>
      </c>
      <c r="J24" s="157" t="str">
        <f t="shared" ca="1" si="0"/>
        <v/>
      </c>
      <c r="K24" s="275" t="str">
        <f t="shared" ca="1" si="1"/>
        <v>--------</v>
      </c>
      <c r="L24" s="276"/>
      <c r="M24" s="93">
        <f t="shared" ca="1" si="11"/>
        <v>6</v>
      </c>
      <c r="N24" s="94">
        <f t="shared" ca="1" si="12"/>
        <v>0</v>
      </c>
      <c r="O24" s="95">
        <f t="shared" ca="1" si="13"/>
        <v>0</v>
      </c>
      <c r="P24" s="120" t="str">
        <f ca="1">IF(AND(Q24="1",B24&gt;0),"1","")</f>
        <v/>
      </c>
      <c r="Q24" s="120" t="str">
        <f t="shared" ca="1" si="2"/>
        <v>1</v>
      </c>
      <c r="R24" s="184" t="str">
        <f t="shared" ca="1" si="3"/>
        <v/>
      </c>
      <c r="S24" s="185" t="e">
        <f t="shared" ca="1" si="4"/>
        <v>#N/A</v>
      </c>
      <c r="T24" s="186" t="str">
        <f t="shared" ca="1" si="5"/>
        <v/>
      </c>
      <c r="U24" s="194" t="str">
        <f t="shared" ca="1" si="6"/>
        <v/>
      </c>
      <c r="V24" s="197" t="str">
        <f t="shared" ca="1" si="15"/>
        <v/>
      </c>
    </row>
    <row r="25" spans="1:22" s="18" customFormat="1" ht="12.6" customHeight="1">
      <c r="A25" s="190">
        <f t="shared" ca="1" si="7"/>
        <v>42405</v>
      </c>
      <c r="B25" s="281"/>
      <c r="C25" s="282"/>
      <c r="D25" s="283"/>
      <c r="E25" s="284"/>
      <c r="F25" s="207"/>
      <c r="G25" s="110" t="str">
        <f t="shared" ca="1" si="8"/>
        <v>0,00</v>
      </c>
      <c r="H25" s="111" t="str">
        <f t="shared" ca="1" si="9"/>
        <v/>
      </c>
      <c r="I25" s="112">
        <f t="shared" ca="1" si="10"/>
        <v>0</v>
      </c>
      <c r="J25" s="157" t="str">
        <f ca="1">IF($G$16="Sie haben Ihr Arbeitszeitkonto überschritten, bitte erstellen Sie ein neues Konto","",IF(AND(A25&lt;TODAY(),WEEKDAY(A25,2)=7),I25+$N$16,""))</f>
        <v/>
      </c>
      <c r="K25" s="275" t="str">
        <f t="shared" ca="1" si="1"/>
        <v>--------</v>
      </c>
      <c r="L25" s="276"/>
      <c r="M25" s="93">
        <f t="shared" ca="1" si="11"/>
        <v>6</v>
      </c>
      <c r="N25" s="94">
        <f t="shared" ca="1" si="12"/>
        <v>0</v>
      </c>
      <c r="O25" s="95">
        <f t="shared" ca="1" si="13"/>
        <v>0</v>
      </c>
      <c r="P25" s="120" t="str">
        <f t="shared" ca="1" si="14"/>
        <v/>
      </c>
      <c r="Q25" s="120" t="str">
        <f t="shared" ca="1" si="2"/>
        <v>1</v>
      </c>
      <c r="R25" s="184" t="str">
        <f t="shared" ca="1" si="3"/>
        <v/>
      </c>
      <c r="S25" s="185" t="e">
        <f t="shared" ca="1" si="4"/>
        <v>#N/A</v>
      </c>
      <c r="T25" s="186" t="str">
        <f t="shared" ca="1" si="5"/>
        <v/>
      </c>
      <c r="U25" s="194" t="str">
        <f t="shared" ca="1" si="6"/>
        <v/>
      </c>
      <c r="V25" s="197" t="str">
        <f t="shared" ca="1" si="15"/>
        <v/>
      </c>
    </row>
    <row r="26" spans="1:22" s="18" customFormat="1" ht="12.6" customHeight="1">
      <c r="A26" s="190">
        <f t="shared" ca="1" si="7"/>
        <v>42406</v>
      </c>
      <c r="B26" s="285"/>
      <c r="C26" s="286"/>
      <c r="D26" s="301"/>
      <c r="E26" s="276"/>
      <c r="F26" s="117"/>
      <c r="G26" s="110" t="str">
        <f t="shared" ca="1" si="8"/>
        <v>0,00</v>
      </c>
      <c r="H26" s="111" t="str">
        <f t="shared" ca="1" si="9"/>
        <v/>
      </c>
      <c r="I26" s="112">
        <f t="shared" ca="1" si="10"/>
        <v>0</v>
      </c>
      <c r="J26" s="157" t="str">
        <f t="shared" ref="J26:J50" ca="1" si="16">IF($G$16="Sie haben Ihr Arbeitszeitkonto überschritten, bitte erstellen Sie ein neues Konto","",IF(AND(A26&lt;TODAY(),WEEKDAY(A26,2)=7),I26+$N$16,""))</f>
        <v/>
      </c>
      <c r="K26" s="275" t="str">
        <f t="shared" ca="1" si="1"/>
        <v>--------</v>
      </c>
      <c r="L26" s="276"/>
      <c r="M26" s="93">
        <f t="shared" ca="1" si="11"/>
        <v>6</v>
      </c>
      <c r="N26" s="94">
        <f t="shared" ca="1" si="12"/>
        <v>0</v>
      </c>
      <c r="O26" s="95">
        <f t="shared" ca="1" si="13"/>
        <v>0</v>
      </c>
      <c r="P26" s="120" t="str">
        <f t="shared" ca="1" si="14"/>
        <v/>
      </c>
      <c r="Q26" s="120" t="str">
        <f t="shared" ca="1" si="2"/>
        <v>1</v>
      </c>
      <c r="R26" s="184" t="str">
        <f t="shared" ca="1" si="3"/>
        <v/>
      </c>
      <c r="S26" s="185" t="e">
        <f t="shared" ca="1" si="4"/>
        <v>#N/A</v>
      </c>
      <c r="T26" s="186" t="str">
        <f t="shared" ca="1" si="5"/>
        <v/>
      </c>
      <c r="U26" s="194" t="str">
        <f t="shared" ca="1" si="6"/>
        <v/>
      </c>
      <c r="V26" s="197" t="str">
        <f t="shared" ca="1" si="15"/>
        <v/>
      </c>
    </row>
    <row r="27" spans="1:22" ht="12.6" customHeight="1">
      <c r="A27" s="190">
        <f t="shared" ca="1" si="7"/>
        <v>42407</v>
      </c>
      <c r="B27" s="285"/>
      <c r="C27" s="286"/>
      <c r="D27" s="273"/>
      <c r="E27" s="274"/>
      <c r="F27" s="217"/>
      <c r="G27" s="110" t="str">
        <f t="shared" ca="1" si="8"/>
        <v>0,00</v>
      </c>
      <c r="H27" s="111" t="str">
        <f t="shared" ca="1" si="9"/>
        <v/>
      </c>
      <c r="I27" s="112">
        <f t="shared" ca="1" si="10"/>
        <v>0</v>
      </c>
      <c r="J27" s="157" t="str">
        <f t="shared" ca="1" si="16"/>
        <v/>
      </c>
      <c r="K27" s="275" t="str">
        <f ca="1">IF(T27&lt;&gt;"",T27,IF(P27="1","Angaben überprüfen",IF(OR(A27&lt;$C$14,A27&gt;$F$14,G27="0,00"),"--------",IF(AND(G27&gt;(6/24),G27&lt;(9/24),F27&lt;0.5/24),"30 min. Pause erforderlich",IF(AND(G27&gt;=(9/24),F27&lt;0.75/24),"45 min. Pause erforderlich ","")))))</f>
        <v>--------</v>
      </c>
      <c r="L27" s="276"/>
      <c r="M27" s="93">
        <f t="shared" ca="1" si="11"/>
        <v>6</v>
      </c>
      <c r="N27" s="94">
        <f t="shared" ca="1" si="12"/>
        <v>0</v>
      </c>
      <c r="O27" s="95">
        <f t="shared" ca="1" si="13"/>
        <v>0</v>
      </c>
      <c r="P27" s="120" t="str">
        <f t="shared" ca="1" si="14"/>
        <v/>
      </c>
      <c r="Q27" s="120" t="str">
        <f t="shared" ca="1" si="2"/>
        <v>1</v>
      </c>
      <c r="R27" s="184" t="str">
        <f t="shared" ca="1" si="3"/>
        <v/>
      </c>
      <c r="S27" s="185" t="e">
        <f t="shared" ca="1" si="4"/>
        <v>#N/A</v>
      </c>
      <c r="T27" s="186" t="str">
        <f t="shared" ca="1" si="5"/>
        <v/>
      </c>
      <c r="U27" s="194" t="str">
        <f t="shared" ca="1" si="6"/>
        <v/>
      </c>
      <c r="V27" s="197" t="str">
        <f t="shared" ca="1" si="15"/>
        <v/>
      </c>
    </row>
    <row r="28" spans="1:22" ht="12.6" customHeight="1">
      <c r="A28" s="190">
        <f t="shared" ca="1" si="7"/>
        <v>42408</v>
      </c>
      <c r="B28" s="285"/>
      <c r="C28" s="286"/>
      <c r="D28" s="273"/>
      <c r="E28" s="274"/>
      <c r="F28" s="217"/>
      <c r="G28" s="110" t="str">
        <f t="shared" ca="1" si="8"/>
        <v>0,00</v>
      </c>
      <c r="H28" s="111">
        <f t="shared" ca="1" si="9"/>
        <v>0</v>
      </c>
      <c r="I28" s="112">
        <f t="shared" ca="1" si="10"/>
        <v>0</v>
      </c>
      <c r="J28" s="157" t="str">
        <f t="shared" ca="1" si="16"/>
        <v/>
      </c>
      <c r="K28" s="275" t="str">
        <f t="shared" ref="K28:K50" ca="1" si="17">IF(T28&lt;&gt;"",T28,IF(P28="1","Angaben überprüfen",IF(OR(A28&lt;$C$14,A28&gt;$F$14,G28="0,00"),"--------",IF(AND(G28&gt;(6/24),G28&lt;(9/24),F28&lt;0.5/24),"30 min. Pause erforderlich",IF(AND(G28&gt;=(9/24),F28&lt;0.75/24),"45 min. Pause erforderlich ","")))))</f>
        <v>--------</v>
      </c>
      <c r="L28" s="276"/>
      <c r="M28" s="93">
        <f t="shared" ca="1" si="11"/>
        <v>6</v>
      </c>
      <c r="N28" s="94">
        <f t="shared" ca="1" si="12"/>
        <v>0</v>
      </c>
      <c r="O28" s="95">
        <f t="shared" ca="1" si="13"/>
        <v>0</v>
      </c>
      <c r="P28" s="120" t="str">
        <f t="shared" ca="1" si="14"/>
        <v/>
      </c>
      <c r="Q28" s="120" t="str">
        <f t="shared" ca="1" si="2"/>
        <v>1</v>
      </c>
      <c r="R28" s="184" t="str">
        <f t="shared" ca="1" si="3"/>
        <v/>
      </c>
      <c r="S28" s="185" t="e">
        <f t="shared" ca="1" si="4"/>
        <v>#N/A</v>
      </c>
      <c r="T28" s="186" t="str">
        <f t="shared" ca="1" si="5"/>
        <v/>
      </c>
      <c r="U28" s="194" t="str">
        <f t="shared" ca="1" si="6"/>
        <v/>
      </c>
      <c r="V28" s="197" t="str">
        <f t="shared" ca="1" si="15"/>
        <v/>
      </c>
    </row>
    <row r="29" spans="1:22" ht="12.6" customHeight="1">
      <c r="A29" s="190">
        <f t="shared" ca="1" si="7"/>
        <v>42409</v>
      </c>
      <c r="B29" s="285"/>
      <c r="C29" s="286"/>
      <c r="D29" s="273"/>
      <c r="E29" s="274"/>
      <c r="F29" s="206"/>
      <c r="G29" s="110" t="str">
        <f t="shared" ca="1" si="8"/>
        <v>0,00</v>
      </c>
      <c r="H29" s="111" t="str">
        <f t="shared" ca="1" si="9"/>
        <v/>
      </c>
      <c r="I29" s="112">
        <f t="shared" ca="1" si="10"/>
        <v>0</v>
      </c>
      <c r="J29" s="157" t="str">
        <f t="shared" ca="1" si="16"/>
        <v/>
      </c>
      <c r="K29" s="275" t="str">
        <f t="shared" ca="1" si="17"/>
        <v>--------</v>
      </c>
      <c r="L29" s="276"/>
      <c r="M29" s="93">
        <f t="shared" ca="1" si="11"/>
        <v>7</v>
      </c>
      <c r="N29" s="94">
        <f t="shared" ca="1" si="12"/>
        <v>0</v>
      </c>
      <c r="O29" s="95">
        <f t="shared" ca="1" si="13"/>
        <v>0</v>
      </c>
      <c r="P29" s="120" t="str">
        <f t="shared" ca="1" si="14"/>
        <v/>
      </c>
      <c r="Q29" s="120" t="str">
        <f t="shared" ca="1" si="2"/>
        <v>1</v>
      </c>
      <c r="R29" s="184" t="str">
        <f t="shared" ca="1" si="3"/>
        <v/>
      </c>
      <c r="S29" s="185" t="e">
        <f t="shared" ca="1" si="4"/>
        <v>#N/A</v>
      </c>
      <c r="T29" s="186" t="str">
        <f t="shared" ca="1" si="5"/>
        <v/>
      </c>
      <c r="U29" s="194" t="str">
        <f t="shared" ca="1" si="6"/>
        <v/>
      </c>
      <c r="V29" s="197" t="str">
        <f t="shared" ca="1" si="15"/>
        <v/>
      </c>
    </row>
    <row r="30" spans="1:22" ht="12.6" customHeight="1">
      <c r="A30" s="189">
        <f ca="1">($B$17+ROW(A11)-1)*(MONTH(A27+1)=MONTH($B$17))</f>
        <v>42410</v>
      </c>
      <c r="B30" s="285"/>
      <c r="C30" s="286"/>
      <c r="D30" s="273"/>
      <c r="E30" s="274"/>
      <c r="F30" s="206"/>
      <c r="G30" s="110" t="str">
        <f t="shared" ca="1" si="8"/>
        <v>0,00</v>
      </c>
      <c r="H30" s="111" t="str">
        <f t="shared" ca="1" si="9"/>
        <v/>
      </c>
      <c r="I30" s="112">
        <f t="shared" ca="1" si="10"/>
        <v>0</v>
      </c>
      <c r="J30" s="157" t="str">
        <f t="shared" ca="1" si="16"/>
        <v/>
      </c>
      <c r="K30" s="275" t="str">
        <f t="shared" ca="1" si="17"/>
        <v>--------</v>
      </c>
      <c r="L30" s="276"/>
      <c r="M30" s="93">
        <f t="shared" ca="1" si="11"/>
        <v>7</v>
      </c>
      <c r="N30" s="94">
        <f t="shared" ca="1" si="12"/>
        <v>0</v>
      </c>
      <c r="O30" s="95">
        <f t="shared" ca="1" si="13"/>
        <v>0</v>
      </c>
      <c r="P30" s="120" t="str">
        <f t="shared" ca="1" si="14"/>
        <v/>
      </c>
      <c r="Q30" s="120" t="str">
        <f t="shared" ca="1" si="2"/>
        <v>1</v>
      </c>
      <c r="R30" s="184" t="str">
        <f t="shared" ca="1" si="3"/>
        <v/>
      </c>
      <c r="S30" s="185" t="e">
        <f t="shared" ca="1" si="4"/>
        <v>#N/A</v>
      </c>
      <c r="T30" s="186" t="str">
        <f t="shared" ca="1" si="5"/>
        <v/>
      </c>
      <c r="U30" s="194" t="str">
        <f t="shared" ca="1" si="6"/>
        <v/>
      </c>
      <c r="V30" s="197" t="str">
        <f t="shared" ca="1" si="15"/>
        <v/>
      </c>
    </row>
    <row r="31" spans="1:22" ht="12.6" customHeight="1">
      <c r="A31" s="189">
        <f ca="1">($B$17+ROW(A12)-1)*(MONTH(A28+1)=MONTH($B$17))</f>
        <v>42411</v>
      </c>
      <c r="B31" s="281"/>
      <c r="C31" s="282"/>
      <c r="D31" s="283"/>
      <c r="E31" s="284"/>
      <c r="F31" s="206"/>
      <c r="G31" s="110" t="str">
        <f t="shared" ca="1" si="8"/>
        <v>0,00</v>
      </c>
      <c r="H31" s="111" t="str">
        <f t="shared" ca="1" si="9"/>
        <v/>
      </c>
      <c r="I31" s="112">
        <f t="shared" ca="1" si="10"/>
        <v>0</v>
      </c>
      <c r="J31" s="157" t="str">
        <f t="shared" ca="1" si="16"/>
        <v/>
      </c>
      <c r="K31" s="275" t="str">
        <f t="shared" ca="1" si="17"/>
        <v>--------</v>
      </c>
      <c r="L31" s="276"/>
      <c r="M31" s="93">
        <f t="shared" ca="1" si="11"/>
        <v>7</v>
      </c>
      <c r="N31" s="94">
        <f t="shared" ca="1" si="12"/>
        <v>0</v>
      </c>
      <c r="O31" s="95">
        <f t="shared" ca="1" si="13"/>
        <v>0</v>
      </c>
      <c r="P31" s="120" t="str">
        <f t="shared" ca="1" si="14"/>
        <v/>
      </c>
      <c r="Q31" s="120" t="str">
        <f t="shared" ca="1" si="2"/>
        <v>1</v>
      </c>
      <c r="R31" s="184" t="str">
        <f t="shared" ca="1" si="3"/>
        <v/>
      </c>
      <c r="S31" s="185" t="e">
        <f t="shared" ca="1" si="4"/>
        <v>#N/A</v>
      </c>
      <c r="T31" s="186" t="str">
        <f t="shared" ca="1" si="5"/>
        <v/>
      </c>
      <c r="U31" s="194" t="str">
        <f t="shared" ca="1" si="6"/>
        <v/>
      </c>
      <c r="V31" s="197" t="str">
        <f t="shared" ca="1" si="15"/>
        <v/>
      </c>
    </row>
    <row r="32" spans="1:22" ht="12.6" customHeight="1">
      <c r="A32" s="189">
        <f ca="1">($B$17+ROW(A13)-1)*(MONTH(A30+1)=MONTH($B$17))</f>
        <v>42412</v>
      </c>
      <c r="B32" s="285"/>
      <c r="C32" s="286"/>
      <c r="D32" s="301"/>
      <c r="E32" s="276"/>
      <c r="F32" s="206"/>
      <c r="G32" s="110" t="str">
        <f t="shared" ca="1" si="8"/>
        <v>0,00</v>
      </c>
      <c r="H32" s="111" t="str">
        <f t="shared" ca="1" si="9"/>
        <v/>
      </c>
      <c r="I32" s="112">
        <f t="shared" ca="1" si="10"/>
        <v>0</v>
      </c>
      <c r="J32" s="157" t="str">
        <f t="shared" ca="1" si="16"/>
        <v/>
      </c>
      <c r="K32" s="275" t="str">
        <f t="shared" ca="1" si="17"/>
        <v>--------</v>
      </c>
      <c r="L32" s="276"/>
      <c r="M32" s="93">
        <f t="shared" ca="1" si="11"/>
        <v>7</v>
      </c>
      <c r="N32" s="94">
        <f t="shared" ca="1" si="12"/>
        <v>0</v>
      </c>
      <c r="O32" s="95">
        <f t="shared" ca="1" si="13"/>
        <v>0</v>
      </c>
      <c r="P32" s="120" t="str">
        <f t="shared" ca="1" si="14"/>
        <v/>
      </c>
      <c r="Q32" s="120" t="str">
        <f t="shared" ca="1" si="2"/>
        <v>1</v>
      </c>
      <c r="R32" s="184" t="str">
        <f t="shared" ca="1" si="3"/>
        <v/>
      </c>
      <c r="S32" s="185" t="e">
        <f t="shared" ca="1" si="4"/>
        <v>#N/A</v>
      </c>
      <c r="T32" s="186" t="str">
        <f t="shared" ca="1" si="5"/>
        <v/>
      </c>
      <c r="U32" s="194" t="str">
        <f t="shared" ca="1" si="6"/>
        <v/>
      </c>
      <c r="V32" s="197" t="str">
        <f t="shared" ca="1" si="15"/>
        <v/>
      </c>
    </row>
    <row r="33" spans="1:22" ht="12.6" customHeight="1">
      <c r="A33" s="189">
        <f t="shared" ref="A33:A50" ca="1" si="18">($B$17+ROW(A14)-1)*(MONTH(A32+1)=MONTH($B$17))</f>
        <v>42413</v>
      </c>
      <c r="B33" s="285"/>
      <c r="C33" s="286"/>
      <c r="D33" s="273"/>
      <c r="E33" s="274"/>
      <c r="F33" s="206"/>
      <c r="G33" s="110" t="str">
        <f t="shared" ca="1" si="8"/>
        <v>0,00</v>
      </c>
      <c r="H33" s="111" t="str">
        <f t="shared" ca="1" si="9"/>
        <v/>
      </c>
      <c r="I33" s="112">
        <f t="shared" ca="1" si="10"/>
        <v>0</v>
      </c>
      <c r="J33" s="157" t="str">
        <f t="shared" ca="1" si="16"/>
        <v/>
      </c>
      <c r="K33" s="275" t="str">
        <f t="shared" ca="1" si="17"/>
        <v>--------</v>
      </c>
      <c r="L33" s="276"/>
      <c r="M33" s="93">
        <f t="shared" ca="1" si="11"/>
        <v>7</v>
      </c>
      <c r="N33" s="94">
        <f t="shared" ca="1" si="12"/>
        <v>0</v>
      </c>
      <c r="O33" s="95">
        <f t="shared" ca="1" si="13"/>
        <v>0</v>
      </c>
      <c r="P33" s="120" t="str">
        <f t="shared" ca="1" si="14"/>
        <v/>
      </c>
      <c r="Q33" s="120" t="str">
        <f t="shared" ca="1" si="2"/>
        <v>1</v>
      </c>
      <c r="R33" s="184" t="str">
        <f t="shared" ca="1" si="3"/>
        <v/>
      </c>
      <c r="S33" s="185" t="e">
        <f t="shared" ca="1" si="4"/>
        <v>#N/A</v>
      </c>
      <c r="T33" s="186" t="str">
        <f t="shared" ca="1" si="5"/>
        <v/>
      </c>
      <c r="U33" s="194" t="str">
        <f t="shared" ca="1" si="6"/>
        <v/>
      </c>
      <c r="V33" s="197" t="str">
        <f t="shared" ca="1" si="15"/>
        <v/>
      </c>
    </row>
    <row r="34" spans="1:22" ht="12.6" customHeight="1">
      <c r="A34" s="189">
        <f t="shared" ca="1" si="18"/>
        <v>42414</v>
      </c>
      <c r="B34" s="285"/>
      <c r="C34" s="286"/>
      <c r="D34" s="273"/>
      <c r="E34" s="274"/>
      <c r="F34" s="206"/>
      <c r="G34" s="110" t="str">
        <f t="shared" ca="1" si="8"/>
        <v>0,00</v>
      </c>
      <c r="H34" s="111" t="str">
        <f t="shared" ca="1" si="9"/>
        <v/>
      </c>
      <c r="I34" s="112">
        <f t="shared" ca="1" si="10"/>
        <v>0</v>
      </c>
      <c r="J34" s="157" t="str">
        <f t="shared" ca="1" si="16"/>
        <v/>
      </c>
      <c r="K34" s="275" t="str">
        <f t="shared" ca="1" si="17"/>
        <v>--------</v>
      </c>
      <c r="L34" s="276"/>
      <c r="M34" s="93">
        <f t="shared" ca="1" si="11"/>
        <v>7</v>
      </c>
      <c r="N34" s="94">
        <f t="shared" ca="1" si="12"/>
        <v>0</v>
      </c>
      <c r="O34" s="95">
        <f t="shared" ca="1" si="13"/>
        <v>0</v>
      </c>
      <c r="P34" s="120" t="str">
        <f t="shared" ca="1" si="14"/>
        <v/>
      </c>
      <c r="Q34" s="120" t="str">
        <f t="shared" ca="1" si="2"/>
        <v>1</v>
      </c>
      <c r="R34" s="184" t="str">
        <f t="shared" ca="1" si="3"/>
        <v/>
      </c>
      <c r="S34" s="185" t="e">
        <f t="shared" ca="1" si="4"/>
        <v>#N/A</v>
      </c>
      <c r="T34" s="186" t="str">
        <f t="shared" ca="1" si="5"/>
        <v/>
      </c>
      <c r="U34" s="194" t="str">
        <f t="shared" ca="1" si="6"/>
        <v/>
      </c>
      <c r="V34" s="197" t="str">
        <f t="shared" ca="1" si="15"/>
        <v/>
      </c>
    </row>
    <row r="35" spans="1:22" ht="12.6" customHeight="1">
      <c r="A35" s="189">
        <f t="shared" ca="1" si="18"/>
        <v>42415</v>
      </c>
      <c r="B35" s="285"/>
      <c r="C35" s="286"/>
      <c r="D35" s="273"/>
      <c r="E35" s="274"/>
      <c r="F35" s="206"/>
      <c r="G35" s="110" t="str">
        <f t="shared" ca="1" si="8"/>
        <v>0,00</v>
      </c>
      <c r="H35" s="111">
        <f t="shared" ca="1" si="9"/>
        <v>0</v>
      </c>
      <c r="I35" s="112">
        <f t="shared" ca="1" si="10"/>
        <v>0</v>
      </c>
      <c r="J35" s="157" t="str">
        <f t="shared" ca="1" si="16"/>
        <v/>
      </c>
      <c r="K35" s="275" t="str">
        <f t="shared" ca="1" si="17"/>
        <v>--------</v>
      </c>
      <c r="L35" s="276"/>
      <c r="M35" s="93">
        <f t="shared" ca="1" si="11"/>
        <v>7</v>
      </c>
      <c r="N35" s="94">
        <f t="shared" ca="1" si="12"/>
        <v>0</v>
      </c>
      <c r="O35" s="95">
        <f t="shared" ca="1" si="13"/>
        <v>0</v>
      </c>
      <c r="P35" s="120" t="str">
        <f t="shared" ca="1" si="14"/>
        <v/>
      </c>
      <c r="Q35" s="120" t="str">
        <f t="shared" ca="1" si="2"/>
        <v>1</v>
      </c>
      <c r="R35" s="184" t="str">
        <f t="shared" ca="1" si="3"/>
        <v/>
      </c>
      <c r="S35" s="185" t="e">
        <f t="shared" ca="1" si="4"/>
        <v>#N/A</v>
      </c>
      <c r="T35" s="186" t="str">
        <f t="shared" ca="1" si="5"/>
        <v/>
      </c>
      <c r="U35" s="194" t="str">
        <f t="shared" ca="1" si="6"/>
        <v/>
      </c>
      <c r="V35" s="197" t="str">
        <f t="shared" ca="1" si="15"/>
        <v/>
      </c>
    </row>
    <row r="36" spans="1:22" ht="12.6" customHeight="1">
      <c r="A36" s="189">
        <f t="shared" ca="1" si="18"/>
        <v>42416</v>
      </c>
      <c r="B36" s="285"/>
      <c r="C36" s="286"/>
      <c r="D36" s="273"/>
      <c r="E36" s="274"/>
      <c r="F36" s="205"/>
      <c r="G36" s="110" t="str">
        <f t="shared" ca="1" si="8"/>
        <v>0,00</v>
      </c>
      <c r="H36" s="111" t="str">
        <f t="shared" ca="1" si="9"/>
        <v/>
      </c>
      <c r="I36" s="112">
        <f t="shared" ca="1" si="10"/>
        <v>0</v>
      </c>
      <c r="J36" s="157" t="str">
        <f t="shared" ca="1" si="16"/>
        <v/>
      </c>
      <c r="K36" s="275" t="str">
        <f t="shared" ca="1" si="17"/>
        <v>--------</v>
      </c>
      <c r="L36" s="276"/>
      <c r="M36" s="93">
        <f t="shared" ca="1" si="11"/>
        <v>8</v>
      </c>
      <c r="N36" s="94">
        <f t="shared" ca="1" si="12"/>
        <v>0</v>
      </c>
      <c r="O36" s="95">
        <f t="shared" ca="1" si="13"/>
        <v>0</v>
      </c>
      <c r="P36" s="120" t="str">
        <f t="shared" ca="1" si="14"/>
        <v/>
      </c>
      <c r="Q36" s="120" t="str">
        <f t="shared" ca="1" si="2"/>
        <v>1</v>
      </c>
      <c r="R36" s="184" t="str">
        <f t="shared" ca="1" si="3"/>
        <v/>
      </c>
      <c r="S36" s="185" t="e">
        <f t="shared" ca="1" si="4"/>
        <v>#N/A</v>
      </c>
      <c r="T36" s="186" t="str">
        <f t="shared" ca="1" si="5"/>
        <v/>
      </c>
      <c r="U36" s="194" t="str">
        <f t="shared" ca="1" si="6"/>
        <v/>
      </c>
      <c r="V36" s="197" t="str">
        <f t="shared" ca="1" si="15"/>
        <v/>
      </c>
    </row>
    <row r="37" spans="1:22" ht="12.6" customHeight="1">
      <c r="A37" s="189">
        <f t="shared" ca="1" si="18"/>
        <v>42417</v>
      </c>
      <c r="B37" s="285"/>
      <c r="C37" s="286"/>
      <c r="D37" s="273"/>
      <c r="E37" s="274"/>
      <c r="F37" s="205"/>
      <c r="G37" s="110" t="str">
        <f t="shared" ca="1" si="8"/>
        <v>0,00</v>
      </c>
      <c r="H37" s="111" t="str">
        <f t="shared" ca="1" si="9"/>
        <v/>
      </c>
      <c r="I37" s="112">
        <f t="shared" ca="1" si="10"/>
        <v>0</v>
      </c>
      <c r="J37" s="157" t="str">
        <f t="shared" ca="1" si="16"/>
        <v/>
      </c>
      <c r="K37" s="275" t="str">
        <f t="shared" ca="1" si="17"/>
        <v>--------</v>
      </c>
      <c r="L37" s="276"/>
      <c r="M37" s="93">
        <f t="shared" ca="1" si="11"/>
        <v>8</v>
      </c>
      <c r="N37" s="94">
        <f t="shared" ca="1" si="12"/>
        <v>0</v>
      </c>
      <c r="O37" s="95">
        <f t="shared" ca="1" si="13"/>
        <v>0</v>
      </c>
      <c r="P37" s="120" t="str">
        <f t="shared" ca="1" si="14"/>
        <v/>
      </c>
      <c r="Q37" s="120" t="str">
        <f t="shared" ca="1" si="2"/>
        <v>1</v>
      </c>
      <c r="R37" s="184" t="str">
        <f t="shared" ca="1" si="3"/>
        <v/>
      </c>
      <c r="S37" s="185" t="e">
        <f t="shared" ca="1" si="4"/>
        <v>#N/A</v>
      </c>
      <c r="T37" s="186" t="str">
        <f t="shared" ca="1" si="5"/>
        <v/>
      </c>
      <c r="U37" s="194" t="str">
        <f t="shared" ca="1" si="6"/>
        <v/>
      </c>
      <c r="V37" s="197" t="str">
        <f t="shared" ca="1" si="15"/>
        <v/>
      </c>
    </row>
    <row r="38" spans="1:22" ht="12.6" customHeight="1">
      <c r="A38" s="189">
        <f t="shared" ca="1" si="18"/>
        <v>42418</v>
      </c>
      <c r="B38" s="281"/>
      <c r="C38" s="282"/>
      <c r="D38" s="283"/>
      <c r="E38" s="284"/>
      <c r="F38" s="206"/>
      <c r="G38" s="110" t="str">
        <f t="shared" ca="1" si="8"/>
        <v>0,00</v>
      </c>
      <c r="H38" s="111" t="str">
        <f t="shared" ca="1" si="9"/>
        <v/>
      </c>
      <c r="I38" s="112">
        <f t="shared" ca="1" si="10"/>
        <v>0</v>
      </c>
      <c r="J38" s="157" t="str">
        <f t="shared" ca="1" si="16"/>
        <v/>
      </c>
      <c r="K38" s="275" t="str">
        <f t="shared" ca="1" si="17"/>
        <v>--------</v>
      </c>
      <c r="L38" s="276"/>
      <c r="M38" s="93">
        <f t="shared" ca="1" si="11"/>
        <v>8</v>
      </c>
      <c r="N38" s="94">
        <f t="shared" ca="1" si="12"/>
        <v>0</v>
      </c>
      <c r="O38" s="95">
        <f t="shared" ca="1" si="13"/>
        <v>0</v>
      </c>
      <c r="P38" s="120" t="str">
        <f t="shared" ca="1" si="14"/>
        <v/>
      </c>
      <c r="Q38" s="120" t="str">
        <f t="shared" ca="1" si="2"/>
        <v>1</v>
      </c>
      <c r="R38" s="184" t="str">
        <f t="shared" ca="1" si="3"/>
        <v/>
      </c>
      <c r="S38" s="185" t="e">
        <f t="shared" ca="1" si="4"/>
        <v>#N/A</v>
      </c>
      <c r="T38" s="186" t="str">
        <f t="shared" ca="1" si="5"/>
        <v/>
      </c>
      <c r="U38" s="194" t="str">
        <f t="shared" ca="1" si="6"/>
        <v/>
      </c>
      <c r="V38" s="197" t="str">
        <f t="shared" ca="1" si="15"/>
        <v/>
      </c>
    </row>
    <row r="39" spans="1:22" ht="12.6" customHeight="1">
      <c r="A39" s="189">
        <f t="shared" ca="1" si="18"/>
        <v>42419</v>
      </c>
      <c r="B39" s="285"/>
      <c r="C39" s="286"/>
      <c r="D39" s="301"/>
      <c r="E39" s="276"/>
      <c r="F39" s="206"/>
      <c r="G39" s="110" t="str">
        <f t="shared" ca="1" si="8"/>
        <v>0,00</v>
      </c>
      <c r="H39" s="111" t="str">
        <f t="shared" ca="1" si="9"/>
        <v/>
      </c>
      <c r="I39" s="112">
        <f t="shared" ca="1" si="10"/>
        <v>0</v>
      </c>
      <c r="J39" s="157" t="str">
        <f t="shared" ca="1" si="16"/>
        <v/>
      </c>
      <c r="K39" s="275" t="str">
        <f t="shared" ca="1" si="17"/>
        <v>--------</v>
      </c>
      <c r="L39" s="276"/>
      <c r="M39" s="93">
        <f t="shared" ca="1" si="11"/>
        <v>8</v>
      </c>
      <c r="N39" s="94">
        <f t="shared" ca="1" si="12"/>
        <v>0</v>
      </c>
      <c r="O39" s="95">
        <f t="shared" ca="1" si="13"/>
        <v>0</v>
      </c>
      <c r="P39" s="120" t="str">
        <f t="shared" ca="1" si="14"/>
        <v/>
      </c>
      <c r="Q39" s="120" t="str">
        <f t="shared" ca="1" si="2"/>
        <v>1</v>
      </c>
      <c r="R39" s="184" t="str">
        <f t="shared" ca="1" si="3"/>
        <v/>
      </c>
      <c r="S39" s="185" t="e">
        <f t="shared" ca="1" si="4"/>
        <v>#N/A</v>
      </c>
      <c r="T39" s="186" t="str">
        <f t="shared" ca="1" si="5"/>
        <v/>
      </c>
      <c r="U39" s="194" t="str">
        <f t="shared" ca="1" si="6"/>
        <v/>
      </c>
      <c r="V39" s="197" t="str">
        <f t="shared" ca="1" si="15"/>
        <v/>
      </c>
    </row>
    <row r="40" spans="1:22" ht="12.6" customHeight="1">
      <c r="A40" s="189">
        <f t="shared" ca="1" si="18"/>
        <v>42420</v>
      </c>
      <c r="B40" s="285"/>
      <c r="C40" s="286"/>
      <c r="D40" s="273"/>
      <c r="E40" s="274"/>
      <c r="F40" s="206"/>
      <c r="G40" s="110" t="str">
        <f t="shared" ca="1" si="8"/>
        <v>0,00</v>
      </c>
      <c r="H40" s="111" t="str">
        <f t="shared" ca="1" si="9"/>
        <v/>
      </c>
      <c r="I40" s="112">
        <f t="shared" ca="1" si="10"/>
        <v>0</v>
      </c>
      <c r="J40" s="157" t="str">
        <f t="shared" ca="1" si="16"/>
        <v/>
      </c>
      <c r="K40" s="275" t="str">
        <f t="shared" ca="1" si="17"/>
        <v>--------</v>
      </c>
      <c r="L40" s="276"/>
      <c r="M40" s="93">
        <f t="shared" ca="1" si="11"/>
        <v>8</v>
      </c>
      <c r="N40" s="94">
        <f t="shared" ca="1" si="12"/>
        <v>0</v>
      </c>
      <c r="O40" s="95">
        <f t="shared" ca="1" si="13"/>
        <v>0</v>
      </c>
      <c r="P40" s="120" t="str">
        <f t="shared" ca="1" si="14"/>
        <v/>
      </c>
      <c r="Q40" s="120" t="str">
        <f t="shared" ca="1" si="2"/>
        <v>1</v>
      </c>
      <c r="R40" s="184" t="str">
        <f t="shared" ca="1" si="3"/>
        <v/>
      </c>
      <c r="S40" s="185" t="e">
        <f t="shared" ca="1" si="4"/>
        <v>#N/A</v>
      </c>
      <c r="T40" s="186" t="str">
        <f t="shared" ca="1" si="5"/>
        <v/>
      </c>
      <c r="U40" s="194" t="str">
        <f t="shared" ca="1" si="6"/>
        <v/>
      </c>
      <c r="V40" s="197" t="str">
        <f t="shared" ca="1" si="15"/>
        <v/>
      </c>
    </row>
    <row r="41" spans="1:22" ht="12.6" customHeight="1">
      <c r="A41" s="189">
        <f t="shared" ca="1" si="18"/>
        <v>42421</v>
      </c>
      <c r="B41" s="285"/>
      <c r="C41" s="286"/>
      <c r="D41" s="273"/>
      <c r="E41" s="274"/>
      <c r="F41" s="206"/>
      <c r="G41" s="110" t="str">
        <f t="shared" ca="1" si="8"/>
        <v>0,00</v>
      </c>
      <c r="H41" s="111" t="str">
        <f t="shared" ca="1" si="9"/>
        <v/>
      </c>
      <c r="I41" s="112">
        <f t="shared" ca="1" si="10"/>
        <v>0</v>
      </c>
      <c r="J41" s="157" t="str">
        <f t="shared" ca="1" si="16"/>
        <v/>
      </c>
      <c r="K41" s="275" t="str">
        <f t="shared" ca="1" si="17"/>
        <v>--------</v>
      </c>
      <c r="L41" s="276"/>
      <c r="M41" s="93">
        <f t="shared" ca="1" si="11"/>
        <v>8</v>
      </c>
      <c r="N41" s="94">
        <f t="shared" ca="1" si="12"/>
        <v>0</v>
      </c>
      <c r="O41" s="95">
        <f t="shared" ca="1" si="13"/>
        <v>0</v>
      </c>
      <c r="P41" s="120" t="str">
        <f t="shared" ca="1" si="14"/>
        <v/>
      </c>
      <c r="Q41" s="120" t="str">
        <f t="shared" ca="1" si="2"/>
        <v>1</v>
      </c>
      <c r="R41" s="184" t="str">
        <f t="shared" ca="1" si="3"/>
        <v/>
      </c>
      <c r="S41" s="185" t="e">
        <f t="shared" ca="1" si="4"/>
        <v>#N/A</v>
      </c>
      <c r="T41" s="186" t="str">
        <f t="shared" ca="1" si="5"/>
        <v/>
      </c>
      <c r="U41" s="194" t="str">
        <f t="shared" ca="1" si="6"/>
        <v/>
      </c>
      <c r="V41" s="197" t="str">
        <f t="shared" ca="1" si="15"/>
        <v/>
      </c>
    </row>
    <row r="42" spans="1:22" ht="12.6" customHeight="1">
      <c r="A42" s="189">
        <f t="shared" ca="1" si="18"/>
        <v>42422</v>
      </c>
      <c r="B42" s="285"/>
      <c r="C42" s="286"/>
      <c r="D42" s="273"/>
      <c r="E42" s="274"/>
      <c r="F42" s="206"/>
      <c r="G42" s="110" t="str">
        <f t="shared" ca="1" si="8"/>
        <v>0,00</v>
      </c>
      <c r="H42" s="111">
        <f t="shared" ca="1" si="9"/>
        <v>0</v>
      </c>
      <c r="I42" s="112">
        <f t="shared" ca="1" si="10"/>
        <v>0</v>
      </c>
      <c r="J42" s="157" t="str">
        <f t="shared" ca="1" si="16"/>
        <v/>
      </c>
      <c r="K42" s="275" t="str">
        <f t="shared" ca="1" si="17"/>
        <v>--------</v>
      </c>
      <c r="L42" s="276"/>
      <c r="M42" s="93">
        <f t="shared" ca="1" si="11"/>
        <v>8</v>
      </c>
      <c r="N42" s="94">
        <f t="shared" ca="1" si="12"/>
        <v>0</v>
      </c>
      <c r="O42" s="95">
        <f t="shared" ca="1" si="13"/>
        <v>0</v>
      </c>
      <c r="P42" s="120" t="str">
        <f t="shared" ca="1" si="14"/>
        <v/>
      </c>
      <c r="Q42" s="120" t="str">
        <f t="shared" ca="1" si="2"/>
        <v>1</v>
      </c>
      <c r="R42" s="184" t="str">
        <f t="shared" ca="1" si="3"/>
        <v/>
      </c>
      <c r="S42" s="185" t="e">
        <f t="shared" ca="1" si="4"/>
        <v>#N/A</v>
      </c>
      <c r="T42" s="186" t="str">
        <f t="shared" ca="1" si="5"/>
        <v/>
      </c>
      <c r="U42" s="194" t="str">
        <f t="shared" ca="1" si="6"/>
        <v/>
      </c>
      <c r="V42" s="197" t="str">
        <f t="shared" ca="1" si="15"/>
        <v/>
      </c>
    </row>
    <row r="43" spans="1:22" ht="12.6" customHeight="1">
      <c r="A43" s="189">
        <f t="shared" ca="1" si="18"/>
        <v>42423</v>
      </c>
      <c r="B43" s="285"/>
      <c r="C43" s="286"/>
      <c r="D43" s="273"/>
      <c r="E43" s="274"/>
      <c r="F43" s="205"/>
      <c r="G43" s="110" t="str">
        <f t="shared" ca="1" si="8"/>
        <v>0,00</v>
      </c>
      <c r="H43" s="111" t="str">
        <f t="shared" ca="1" si="9"/>
        <v/>
      </c>
      <c r="I43" s="112">
        <f t="shared" ca="1" si="10"/>
        <v>0</v>
      </c>
      <c r="J43" s="157" t="str">
        <f t="shared" ca="1" si="16"/>
        <v/>
      </c>
      <c r="K43" s="275" t="str">
        <f t="shared" ca="1" si="17"/>
        <v>--------</v>
      </c>
      <c r="L43" s="276"/>
      <c r="M43" s="93">
        <f t="shared" ca="1" si="11"/>
        <v>9</v>
      </c>
      <c r="N43" s="94">
        <f t="shared" ca="1" si="12"/>
        <v>0</v>
      </c>
      <c r="O43" s="95">
        <f t="shared" ca="1" si="13"/>
        <v>0</v>
      </c>
      <c r="P43" s="120" t="str">
        <f t="shared" ca="1" si="14"/>
        <v/>
      </c>
      <c r="Q43" s="120" t="str">
        <f t="shared" ca="1" si="2"/>
        <v>1</v>
      </c>
      <c r="R43" s="184" t="str">
        <f t="shared" ca="1" si="3"/>
        <v/>
      </c>
      <c r="S43" s="185" t="e">
        <f ca="1">VLOOKUP(A43,$Q$77:$S$92,2,FALSE)</f>
        <v>#N/A</v>
      </c>
      <c r="T43" s="186" t="str">
        <f t="shared" ca="1" si="5"/>
        <v/>
      </c>
      <c r="U43" s="194" t="str">
        <f t="shared" ca="1" si="6"/>
        <v/>
      </c>
      <c r="V43" s="197" t="str">
        <f t="shared" ca="1" si="15"/>
        <v/>
      </c>
    </row>
    <row r="44" spans="1:22" ht="12.6" customHeight="1">
      <c r="A44" s="189">
        <f t="shared" ca="1" si="18"/>
        <v>42424</v>
      </c>
      <c r="B44" s="285"/>
      <c r="C44" s="286"/>
      <c r="D44" s="273"/>
      <c r="E44" s="274"/>
      <c r="F44" s="205"/>
      <c r="G44" s="110" t="str">
        <f t="shared" ca="1" si="8"/>
        <v>0,00</v>
      </c>
      <c r="H44" s="111" t="str">
        <f t="shared" ca="1" si="9"/>
        <v/>
      </c>
      <c r="I44" s="112">
        <f t="shared" ca="1" si="10"/>
        <v>0</v>
      </c>
      <c r="J44" s="157" t="str">
        <f t="shared" ca="1" si="16"/>
        <v/>
      </c>
      <c r="K44" s="275" t="str">
        <f t="shared" ca="1" si="17"/>
        <v>--------</v>
      </c>
      <c r="L44" s="276"/>
      <c r="M44" s="93">
        <f t="shared" ca="1" si="11"/>
        <v>9</v>
      </c>
      <c r="N44" s="94">
        <f t="shared" ca="1" si="12"/>
        <v>0</v>
      </c>
      <c r="O44" s="95">
        <f t="shared" ca="1" si="13"/>
        <v>0</v>
      </c>
      <c r="P44" s="120" t="str">
        <f t="shared" ca="1" si="14"/>
        <v/>
      </c>
      <c r="Q44" s="120" t="str">
        <f t="shared" ca="1" si="2"/>
        <v>1</v>
      </c>
      <c r="R44" s="184" t="str">
        <f t="shared" ca="1" si="3"/>
        <v/>
      </c>
      <c r="S44" s="185" t="e">
        <f t="shared" ca="1" si="4"/>
        <v>#N/A</v>
      </c>
      <c r="T44" s="186" t="str">
        <f t="shared" ca="1" si="5"/>
        <v/>
      </c>
      <c r="U44" s="194" t="str">
        <f t="shared" ca="1" si="6"/>
        <v/>
      </c>
      <c r="V44" s="197" t="str">
        <f t="shared" ca="1" si="15"/>
        <v/>
      </c>
    </row>
    <row r="45" spans="1:22" ht="12.6" customHeight="1">
      <c r="A45" s="189">
        <f t="shared" ca="1" si="18"/>
        <v>42425</v>
      </c>
      <c r="B45" s="308"/>
      <c r="C45" s="309"/>
      <c r="D45" s="308"/>
      <c r="E45" s="309"/>
      <c r="F45" s="206"/>
      <c r="G45" s="110" t="str">
        <f t="shared" ca="1" si="8"/>
        <v>0,00</v>
      </c>
      <c r="H45" s="111" t="str">
        <f t="shared" ca="1" si="9"/>
        <v/>
      </c>
      <c r="I45" s="112">
        <f t="shared" ca="1" si="10"/>
        <v>0</v>
      </c>
      <c r="J45" s="157" t="str">
        <f t="shared" ca="1" si="16"/>
        <v/>
      </c>
      <c r="K45" s="275" t="str">
        <f t="shared" ca="1" si="17"/>
        <v>--------</v>
      </c>
      <c r="L45" s="276"/>
      <c r="M45" s="93">
        <f t="shared" ca="1" si="11"/>
        <v>9</v>
      </c>
      <c r="N45" s="94">
        <f t="shared" ca="1" si="12"/>
        <v>0</v>
      </c>
      <c r="O45" s="95">
        <f t="shared" ca="1" si="13"/>
        <v>0</v>
      </c>
      <c r="P45" s="120" t="str">
        <f t="shared" ca="1" si="14"/>
        <v/>
      </c>
      <c r="Q45" s="120" t="str">
        <f t="shared" ca="1" si="2"/>
        <v>1</v>
      </c>
      <c r="R45" s="184" t="str">
        <f t="shared" ca="1" si="3"/>
        <v/>
      </c>
      <c r="S45" s="185" t="e">
        <f t="shared" ca="1" si="4"/>
        <v>#N/A</v>
      </c>
      <c r="T45" s="186" t="str">
        <f t="shared" ca="1" si="5"/>
        <v/>
      </c>
      <c r="U45" s="194" t="str">
        <f t="shared" ca="1" si="6"/>
        <v/>
      </c>
      <c r="V45" s="197" t="str">
        <f t="shared" ca="1" si="15"/>
        <v/>
      </c>
    </row>
    <row r="46" spans="1:22" ht="12.6" customHeight="1">
      <c r="A46" s="189">
        <f t="shared" ca="1" si="18"/>
        <v>42426</v>
      </c>
      <c r="B46" s="308"/>
      <c r="C46" s="309"/>
      <c r="D46" s="313"/>
      <c r="E46" s="314"/>
      <c r="F46" s="206"/>
      <c r="G46" s="110" t="str">
        <f t="shared" ca="1" si="8"/>
        <v>0,00</v>
      </c>
      <c r="H46" s="111" t="str">
        <f t="shared" ca="1" si="9"/>
        <v/>
      </c>
      <c r="I46" s="112">
        <f t="shared" ca="1" si="10"/>
        <v>0</v>
      </c>
      <c r="J46" s="157" t="str">
        <f t="shared" ca="1" si="16"/>
        <v/>
      </c>
      <c r="K46" s="275" t="str">
        <f t="shared" ca="1" si="17"/>
        <v>--------</v>
      </c>
      <c r="L46" s="276"/>
      <c r="M46" s="93">
        <f t="shared" ca="1" si="11"/>
        <v>9</v>
      </c>
      <c r="N46" s="94">
        <f t="shared" ca="1" si="12"/>
        <v>0</v>
      </c>
      <c r="O46" s="95">
        <f t="shared" ca="1" si="13"/>
        <v>0</v>
      </c>
      <c r="P46" s="120" t="str">
        <f t="shared" ca="1" si="14"/>
        <v/>
      </c>
      <c r="Q46" s="120" t="str">
        <f t="shared" ca="1" si="2"/>
        <v>1</v>
      </c>
      <c r="R46" s="184" t="str">
        <f t="shared" ca="1" si="3"/>
        <v/>
      </c>
      <c r="S46" s="185" t="e">
        <f t="shared" ca="1" si="4"/>
        <v>#N/A</v>
      </c>
      <c r="T46" s="186" t="str">
        <f t="shared" ca="1" si="5"/>
        <v/>
      </c>
      <c r="U46" s="194" t="str">
        <f t="shared" ca="1" si="6"/>
        <v/>
      </c>
      <c r="V46" s="197" t="str">
        <f t="shared" ca="1" si="15"/>
        <v/>
      </c>
    </row>
    <row r="47" spans="1:22" ht="12.6" customHeight="1">
      <c r="A47" s="189">
        <f t="shared" ca="1" si="18"/>
        <v>42427</v>
      </c>
      <c r="B47" s="308"/>
      <c r="C47" s="309"/>
      <c r="D47" s="309"/>
      <c r="E47" s="309"/>
      <c r="F47" s="206"/>
      <c r="G47" s="110" t="str">
        <f t="shared" ca="1" si="8"/>
        <v>0,00</v>
      </c>
      <c r="H47" s="111" t="str">
        <f t="shared" ca="1" si="9"/>
        <v/>
      </c>
      <c r="I47" s="112">
        <f t="shared" ca="1" si="10"/>
        <v>0</v>
      </c>
      <c r="J47" s="157" t="str">
        <f t="shared" ca="1" si="16"/>
        <v/>
      </c>
      <c r="K47" s="275" t="str">
        <f t="shared" ca="1" si="17"/>
        <v>--------</v>
      </c>
      <c r="L47" s="276"/>
      <c r="M47" s="93">
        <f t="shared" ca="1" si="11"/>
        <v>9</v>
      </c>
      <c r="N47" s="94">
        <f t="shared" ca="1" si="12"/>
        <v>0</v>
      </c>
      <c r="O47" s="95">
        <f t="shared" ca="1" si="13"/>
        <v>0</v>
      </c>
      <c r="P47" s="120" t="str">
        <f t="shared" ca="1" si="14"/>
        <v/>
      </c>
      <c r="Q47" s="120" t="str">
        <f t="shared" ca="1" si="2"/>
        <v>1</v>
      </c>
      <c r="R47" s="184" t="str">
        <f t="shared" ca="1" si="3"/>
        <v/>
      </c>
      <c r="S47" s="185" t="e">
        <f t="shared" ca="1" si="4"/>
        <v>#N/A</v>
      </c>
      <c r="T47" s="186" t="str">
        <f t="shared" ca="1" si="5"/>
        <v/>
      </c>
      <c r="U47" s="194" t="str">
        <f t="shared" ca="1" si="6"/>
        <v/>
      </c>
      <c r="V47" s="197" t="str">
        <f t="shared" ca="1" si="15"/>
        <v/>
      </c>
    </row>
    <row r="48" spans="1:22" ht="12.6" customHeight="1">
      <c r="A48" s="189">
        <f t="shared" ca="1" si="18"/>
        <v>42428</v>
      </c>
      <c r="B48" s="285"/>
      <c r="C48" s="286"/>
      <c r="D48" s="273"/>
      <c r="E48" s="274"/>
      <c r="F48" s="206"/>
      <c r="G48" s="110" t="str">
        <f t="shared" ca="1" si="8"/>
        <v>0,00</v>
      </c>
      <c r="H48" s="111" t="str">
        <f t="shared" ca="1" si="9"/>
        <v/>
      </c>
      <c r="I48" s="112">
        <f t="shared" ca="1" si="10"/>
        <v>0</v>
      </c>
      <c r="J48" s="157" t="str">
        <f t="shared" ca="1" si="16"/>
        <v/>
      </c>
      <c r="K48" s="275" t="str">
        <f t="shared" ca="1" si="17"/>
        <v>--------</v>
      </c>
      <c r="L48" s="276"/>
      <c r="M48" s="93">
        <f t="shared" ca="1" si="11"/>
        <v>9</v>
      </c>
      <c r="N48" s="94">
        <f t="shared" ca="1" si="12"/>
        <v>0</v>
      </c>
      <c r="O48" s="95">
        <f t="shared" ca="1" si="13"/>
        <v>0</v>
      </c>
      <c r="P48" s="120" t="str">
        <f t="shared" ca="1" si="14"/>
        <v/>
      </c>
      <c r="Q48" s="120" t="str">
        <f t="shared" ca="1" si="2"/>
        <v>1</v>
      </c>
      <c r="R48" s="184" t="str">
        <f t="shared" ca="1" si="3"/>
        <v/>
      </c>
      <c r="S48" s="185" t="e">
        <f t="shared" ca="1" si="4"/>
        <v>#N/A</v>
      </c>
      <c r="T48" s="186" t="str">
        <f t="shared" ca="1" si="5"/>
        <v/>
      </c>
      <c r="U48" s="194" t="str">
        <f t="shared" ca="1" si="6"/>
        <v/>
      </c>
      <c r="V48" s="197" t="str">
        <f t="shared" ca="1" si="15"/>
        <v/>
      </c>
    </row>
    <row r="49" spans="1:22" ht="12.6" customHeight="1">
      <c r="A49" s="189">
        <f t="shared" ca="1" si="18"/>
        <v>0</v>
      </c>
      <c r="B49" s="285"/>
      <c r="C49" s="286"/>
      <c r="D49" s="273"/>
      <c r="E49" s="274"/>
      <c r="F49" s="206"/>
      <c r="G49" s="110" t="str">
        <f t="shared" ca="1" si="8"/>
        <v>0,00</v>
      </c>
      <c r="H49" s="111" t="str">
        <f t="shared" ca="1" si="9"/>
        <v/>
      </c>
      <c r="I49" s="112">
        <f t="shared" ca="1" si="10"/>
        <v>0</v>
      </c>
      <c r="J49" s="157" t="str">
        <f t="shared" ca="1" si="16"/>
        <v/>
      </c>
      <c r="K49" s="275" t="str">
        <f t="shared" ca="1" si="17"/>
        <v>--------</v>
      </c>
      <c r="L49" s="276"/>
      <c r="M49" s="93">
        <f t="shared" ca="1" si="11"/>
        <v>1</v>
      </c>
      <c r="N49" s="94">
        <f t="shared" ca="1" si="12"/>
        <v>0</v>
      </c>
      <c r="O49" s="95">
        <f t="shared" ca="1" si="13"/>
        <v>0</v>
      </c>
      <c r="P49" s="120" t="str">
        <f t="shared" ca="1" si="14"/>
        <v/>
      </c>
      <c r="Q49" s="120" t="str">
        <f t="shared" ca="1" si="2"/>
        <v/>
      </c>
      <c r="R49" s="184" t="str">
        <f t="shared" ca="1" si="3"/>
        <v/>
      </c>
      <c r="S49" s="185" t="e">
        <f t="shared" ca="1" si="4"/>
        <v>#N/A</v>
      </c>
      <c r="T49" s="186" t="str">
        <f t="shared" ca="1" si="5"/>
        <v/>
      </c>
      <c r="U49" s="194" t="str">
        <f t="shared" ca="1" si="6"/>
        <v/>
      </c>
      <c r="V49" s="197" t="str">
        <f t="shared" ca="1" si="15"/>
        <v/>
      </c>
    </row>
    <row r="50" spans="1:22" ht="12.6" customHeight="1" thickBot="1">
      <c r="A50" s="191">
        <f t="shared" ca="1" si="18"/>
        <v>0</v>
      </c>
      <c r="B50" s="293"/>
      <c r="C50" s="294"/>
      <c r="D50" s="295"/>
      <c r="E50" s="296"/>
      <c r="F50" s="204"/>
      <c r="G50" s="135" t="str">
        <f ca="1">IF(OR(A50&lt;$C$14,A50&gt;$F$14,A50&gt;TODAY()),"0,00",IF(ISBLANK($C$14),"0,00",(D50-B50-F50)))</f>
        <v>0,00</v>
      </c>
      <c r="H50" s="136" t="str">
        <f t="shared" ca="1" si="9"/>
        <v/>
      </c>
      <c r="I50" s="137">
        <f t="shared" ca="1" si="10"/>
        <v>0</v>
      </c>
      <c r="J50" s="158" t="str">
        <f t="shared" ca="1" si="16"/>
        <v/>
      </c>
      <c r="K50" s="318" t="str">
        <f t="shared" ca="1" si="17"/>
        <v>--------</v>
      </c>
      <c r="L50" s="296"/>
      <c r="M50" s="93" t="str">
        <f ca="1">IF(A50&gt;DATE(1904,1,1),WEEKNUM(A50,2),"")</f>
        <v/>
      </c>
      <c r="N50" s="94">
        <f t="shared" ca="1" si="12"/>
        <v>0</v>
      </c>
      <c r="O50" s="95">
        <f t="shared" ca="1" si="13"/>
        <v>0</v>
      </c>
      <c r="P50" s="120" t="str">
        <f t="shared" ca="1" si="14"/>
        <v/>
      </c>
      <c r="Q50" s="120" t="str">
        <f t="shared" ca="1" si="2"/>
        <v/>
      </c>
      <c r="R50" s="184" t="str">
        <f t="shared" ca="1" si="3"/>
        <v/>
      </c>
      <c r="S50" s="185" t="e">
        <f t="shared" ca="1" si="4"/>
        <v>#N/A</v>
      </c>
      <c r="T50" s="186" t="str">
        <f ca="1">IF(ISNA(S50),"",S50)</f>
        <v/>
      </c>
      <c r="U50" s="195" t="str">
        <f t="shared" ca="1" si="6"/>
        <v/>
      </c>
      <c r="V50" s="197" t="str">
        <f t="shared" ca="1" si="15"/>
        <v/>
      </c>
    </row>
    <row r="51" spans="1:22" ht="11.25" customHeight="1">
      <c r="A51" s="19"/>
      <c r="B51" s="43"/>
      <c r="C51" s="43"/>
      <c r="D51" s="43"/>
      <c r="E51" s="20"/>
      <c r="I51" s="42"/>
      <c r="K51" s="21"/>
      <c r="L51" s="11"/>
      <c r="M51" s="143"/>
      <c r="N51" s="230"/>
      <c r="O51" s="59"/>
      <c r="S51" s="183"/>
      <c r="V51" s="198">
        <f ca="1">COUNTIF(V20:V50,"!")</f>
        <v>0</v>
      </c>
    </row>
    <row r="52" spans="1:22" ht="14.1" customHeight="1">
      <c r="D52" s="104"/>
      <c r="E52" s="22"/>
      <c r="F52" s="140" t="s">
        <v>29</v>
      </c>
      <c r="G52" s="141">
        <f ca="1">IF($G$16="Sie haben Ihr Arbeitszeitkonto überschritten, bitte erstellen Sie ein neues Konto","",SUM($G$20:$G$50))</f>
        <v>0</v>
      </c>
      <c r="H52" s="130" t="s">
        <v>30</v>
      </c>
      <c r="J52" s="142">
        <f ca="1">IF($G$16="Sie haben Ihr Arbeitszeitkonto überschritten, bitte erstellen Sie ein neues Konto","",IF(ISNA($H$56),0,IF($H$56&gt;$D$53,($D$53+$D$54),($H$56+$D$54))))</f>
        <v>0</v>
      </c>
      <c r="K52" s="290" t="str">
        <f ca="1">IF(ISNA($E$56),"",IF($E$56&gt;$D$53,"Kappung erfolgt",""))</f>
        <v/>
      </c>
      <c r="L52" s="290"/>
      <c r="M52" s="143"/>
      <c r="N52" s="230">
        <f ca="1">SUM(N20:N50)</f>
        <v>0</v>
      </c>
      <c r="O52" s="59"/>
    </row>
    <row r="53" spans="1:22">
      <c r="A53" s="100" t="s">
        <v>26</v>
      </c>
      <c r="B53" s="100"/>
      <c r="C53" s="100"/>
      <c r="D53" s="101">
        <f ca="1">$N$52*0.5</f>
        <v>0</v>
      </c>
      <c r="E53" s="23"/>
      <c r="F53" s="23"/>
      <c r="G53" s="24"/>
      <c r="H53" s="2"/>
      <c r="I53" s="2"/>
      <c r="K53" s="127"/>
      <c r="L53" s="127"/>
      <c r="M53" s="143"/>
      <c r="N53" s="38">
        <f ca="1">SUM(N20:N50)</f>
        <v>0</v>
      </c>
      <c r="O53" s="60"/>
    </row>
    <row r="54" spans="1:22">
      <c r="A54" s="215" t="s">
        <v>25</v>
      </c>
      <c r="B54" s="215"/>
      <c r="C54" s="215"/>
      <c r="D54" s="102">
        <f ca="1">$M$16</f>
        <v>0</v>
      </c>
      <c r="F54" s="106"/>
      <c r="G54" s="106"/>
      <c r="H54" s="299" t="str">
        <f ca="1">IF($K$52="Kappung erfolgt","INFO: (Gekappte Std.: "&amp;$J$56,"")</f>
        <v/>
      </c>
      <c r="I54" s="299"/>
      <c r="J54" s="299"/>
      <c r="K54" s="127" t="str">
        <f ca="1">IF($K$52="Kappung erfolgt","von insg. "&amp;$L$56&amp;" Mehrstunden)","")</f>
        <v/>
      </c>
      <c r="L54" s="131"/>
      <c r="M54" s="143"/>
      <c r="N54" s="28">
        <f>IF($A$55="Wg.Unterbrechung  keine Stundenübernahme möglich! Bitte Angaben prüfen","1",0)</f>
        <v>0</v>
      </c>
      <c r="P54" s="164"/>
      <c r="Q54" s="164"/>
      <c r="R54" s="164"/>
      <c r="S54" s="164"/>
      <c r="T54" s="164"/>
      <c r="U54" s="164"/>
      <c r="V54" s="164"/>
    </row>
    <row r="55" spans="1:22">
      <c r="A55" s="319" t="str">
        <f>IF($H$14="Achtung! Stundennachweis unterbrochen","Wg.Unterbrechung  keine Stundenübernahme möglich! Bitte Angaben prüfen","")</f>
        <v/>
      </c>
      <c r="B55" s="319"/>
      <c r="C55" s="319"/>
      <c r="D55" s="319"/>
      <c r="E55" s="319"/>
      <c r="F55" s="319"/>
      <c r="G55" s="2"/>
      <c r="M55" s="143"/>
      <c r="N55" s="123" t="str">
        <f>IF($N$54&gt;0,($D$54*-1),"0:00")</f>
        <v>0:00</v>
      </c>
      <c r="O55" s="239" t="str">
        <f ca="1">IF(O50="",0,"")</f>
        <v/>
      </c>
    </row>
    <row r="56" spans="1:22" hidden="1">
      <c r="E56" s="232">
        <f>+H56-F56</f>
        <v>-6.9444444444444447E-4</v>
      </c>
      <c r="F56" s="60">
        <v>6.9444444444444447E-4</v>
      </c>
      <c r="G56" s="124">
        <f ca="1">+$H$56+$D$54</f>
        <v>0</v>
      </c>
      <c r="H56" s="38">
        <f>IF($C$14&gt;DATE(1904,1,1),LOOKUP(10000000,O19:O99),0)</f>
        <v>0</v>
      </c>
      <c r="I56" s="60">
        <f ca="1">+($H$56+$N$16)-J52</f>
        <v>0</v>
      </c>
      <c r="J56" s="233">
        <f ca="1">ROUND(I56*24,2)</f>
        <v>0</v>
      </c>
      <c r="K56">
        <f ca="1">($H$56+$N$16)*24</f>
        <v>0</v>
      </c>
      <c r="L56">
        <f ca="1">ROUND(K56,1)</f>
        <v>0</v>
      </c>
      <c r="M56" s="143"/>
      <c r="N56" s="28"/>
    </row>
    <row r="57" spans="1:22">
      <c r="A57" s="322" t="str">
        <f ca="1">IF(V51&gt;0,"Achtung! Bitte bei den blau markierten Feldern die Regelstunden eintragen.","")</f>
        <v/>
      </c>
      <c r="B57" s="322"/>
      <c r="C57" s="322"/>
      <c r="D57" s="322"/>
      <c r="E57" s="322"/>
      <c r="F57" s="322"/>
      <c r="G57" s="199"/>
      <c r="H57">
        <f>IF($C$14&gt;DATE(1904,1,1),LOOKUP(10000000,O19:O52),0)</f>
        <v>0</v>
      </c>
      <c r="M57" s="143"/>
      <c r="N57" s="28"/>
      <c r="Q57" s="251" t="s">
        <v>32</v>
      </c>
      <c r="R57" s="251"/>
      <c r="S57" s="251"/>
      <c r="T57" s="251"/>
    </row>
    <row r="58" spans="1:22">
      <c r="A58" s="25"/>
      <c r="B58" s="25"/>
      <c r="C58" s="38"/>
      <c r="D58" s="26"/>
      <c r="E58" s="27"/>
      <c r="F58" s="144"/>
      <c r="G58" s="2"/>
      <c r="H58" s="38"/>
      <c r="J58" s="132"/>
      <c r="M58" s="219"/>
      <c r="N58" s="219"/>
      <c r="O58" s="219"/>
      <c r="Q58" s="250">
        <f>+F14-C14</f>
        <v>0</v>
      </c>
      <c r="R58" s="250"/>
    </row>
    <row r="59" spans="1:22">
      <c r="A59" s="25"/>
      <c r="B59" s="25"/>
      <c r="C59" s="38"/>
      <c r="D59" s="26"/>
      <c r="E59" s="27"/>
      <c r="F59" s="144"/>
      <c r="G59" s="2"/>
      <c r="H59" s="145"/>
      <c r="M59" s="143"/>
      <c r="N59" s="28"/>
      <c r="Q59" s="252" t="s">
        <v>33</v>
      </c>
      <c r="R59" s="252"/>
      <c r="S59" s="252"/>
      <c r="T59" s="252"/>
      <c r="U59" s="252"/>
      <c r="V59" s="252"/>
    </row>
    <row r="60" spans="1:22" ht="12.75" customHeight="1">
      <c r="A60" s="29"/>
      <c r="B60" s="11"/>
      <c r="C60" s="11"/>
      <c r="D60" s="11"/>
      <c r="E60" s="11"/>
      <c r="F60" s="11"/>
      <c r="G60" s="11"/>
      <c r="H60" s="30"/>
      <c r="I60" s="30"/>
      <c r="J60" s="31"/>
      <c r="K60" s="31"/>
      <c r="L60" s="31"/>
      <c r="M60" s="143"/>
      <c r="N60" s="28"/>
    </row>
    <row r="61" spans="1:22" ht="12.75" customHeight="1">
      <c r="A61" s="226"/>
      <c r="B61" s="34"/>
      <c r="C61" s="34"/>
      <c r="D61" s="34"/>
      <c r="E61" s="34"/>
      <c r="F61" s="11"/>
      <c r="G61" s="11"/>
      <c r="H61" s="34"/>
      <c r="I61" s="34"/>
      <c r="J61" s="35"/>
      <c r="K61" s="35"/>
      <c r="L61" s="35"/>
    </row>
    <row r="62" spans="1:22" ht="18.75" customHeight="1" thickBot="1">
      <c r="A62" s="203" t="s">
        <v>18</v>
      </c>
      <c r="B62" s="292" t="s">
        <v>19</v>
      </c>
      <c r="C62" s="292"/>
      <c r="D62" s="292"/>
      <c r="E62" s="292"/>
      <c r="F62" s="3"/>
      <c r="G62" s="36" t="s">
        <v>18</v>
      </c>
      <c r="H62" s="292" t="s">
        <v>20</v>
      </c>
      <c r="I62" s="292"/>
      <c r="J62" s="292"/>
      <c r="K62" s="292"/>
      <c r="L62" s="292"/>
    </row>
    <row r="63" spans="1:22" ht="17.25" thickTop="1" thickBot="1">
      <c r="P63" s="160">
        <f ca="1">YEAR($B$17)</f>
        <v>2020</v>
      </c>
      <c r="Q63" s="3"/>
    </row>
    <row r="64" spans="1:22" ht="15.75" thickTop="1">
      <c r="O64" s="218"/>
      <c r="Q64" s="3">
        <f ca="1">MOD(P63,19)</f>
        <v>6</v>
      </c>
      <c r="R64" s="287" t="s">
        <v>34</v>
      </c>
      <c r="S64" s="287"/>
      <c r="T64" s="231"/>
    </row>
    <row r="65" spans="16:20">
      <c r="P65" s="3"/>
      <c r="Q65" s="3">
        <f ca="1">MOD(P63,4)</f>
        <v>0</v>
      </c>
    </row>
    <row r="66" spans="16:20">
      <c r="P66" s="3"/>
      <c r="Q66" s="3">
        <f ca="1">MOD(P63,7)</f>
        <v>4</v>
      </c>
    </row>
    <row r="67" spans="16:20">
      <c r="P67" s="3"/>
      <c r="Q67" s="3">
        <f ca="1">TRUNC((8*(TRUNC(P63/100))+13)/25)-2</f>
        <v>4</v>
      </c>
    </row>
    <row r="68" spans="16:20">
      <c r="P68" s="3"/>
      <c r="Q68" s="3">
        <f ca="1">TRUNC(P63/100)-TRUNC(P63/400)-2</f>
        <v>13</v>
      </c>
    </row>
    <row r="69" spans="16:20">
      <c r="P69" s="3"/>
      <c r="Q69" s="3">
        <f ca="1">MOD(15+Q68-Q67,30)</f>
        <v>24</v>
      </c>
    </row>
    <row r="70" spans="16:20">
      <c r="P70" s="161"/>
      <c r="Q70" s="3">
        <f ca="1">MOD(6+Q68,7)</f>
        <v>5</v>
      </c>
    </row>
    <row r="71" spans="16:20">
      <c r="P71" s="3"/>
      <c r="Q71" s="3">
        <f ca="1">MOD(Q69+19*Q64,30)</f>
        <v>18</v>
      </c>
    </row>
    <row r="72" spans="16:20">
      <c r="P72" s="3"/>
      <c r="Q72" s="3">
        <f ca="1">IF(Q71=29,28,IF(AND(Q71=28,Q64&gt;=11),27,IF(AND(Q71&lt;28,Q71&gt;29),,Q71)))</f>
        <v>18</v>
      </c>
    </row>
    <row r="73" spans="16:20">
      <c r="P73" s="3"/>
      <c r="Q73" s="3">
        <f ca="1">MOD(2*Q65+4*Q66+6*Q72+Q70,7)</f>
        <v>3</v>
      </c>
    </row>
    <row r="74" spans="16:20">
      <c r="P74" s="3"/>
      <c r="Q74" s="3">
        <f ca="1">Q72+Q73+1</f>
        <v>22</v>
      </c>
    </row>
    <row r="75" spans="16:20">
      <c r="P75" s="3"/>
      <c r="Q75" s="3">
        <f>DATEVALUE("21.märz")</f>
        <v>40988</v>
      </c>
    </row>
    <row r="77" spans="16:20">
      <c r="P77" s="183"/>
      <c r="Q77" s="228">
        <f ca="1">+T77</f>
        <v>42369</v>
      </c>
      <c r="R77" s="30" t="s">
        <v>35</v>
      </c>
      <c r="T77" s="229">
        <f ca="1">DATE($P$63,1,1)</f>
        <v>42369</v>
      </c>
    </row>
    <row r="78" spans="16:20">
      <c r="P78" s="2"/>
      <c r="Q78" s="220">
        <f ca="1">+$Q$80-2</f>
        <v>42469</v>
      </c>
      <c r="R78" s="30" t="s">
        <v>36</v>
      </c>
      <c r="S78" s="221"/>
      <c r="T78" s="2"/>
    </row>
    <row r="79" spans="16:20">
      <c r="P79" s="2"/>
      <c r="Q79" s="220">
        <f ca="1">+Q80-1</f>
        <v>42470</v>
      </c>
      <c r="R79" s="30" t="s">
        <v>37</v>
      </c>
      <c r="S79" s="221"/>
      <c r="T79" s="2"/>
    </row>
    <row r="80" spans="16:20">
      <c r="P80" s="222">
        <f ca="1">IF(R80="Ostersonntag",Q74+Q75,"")</f>
        <v>41010</v>
      </c>
      <c r="Q80" s="220">
        <f ca="1">T80</f>
        <v>42471</v>
      </c>
      <c r="R80" s="181" t="str">
        <f ca="1">IF(P63&lt;1583,"Der gregorianische Kalender gilt erst seit dem 15.10.1582  !!!",IF(P63&gt;8202,"Die gauß´sche Osterformel gilt nur bis zum Jahre    8202  !!!","Ostersonntag"))</f>
        <v>Ostersonntag</v>
      </c>
      <c r="S80">
        <f ca="1">DAY(T81)</f>
        <v>12</v>
      </c>
      <c r="T80" s="146">
        <f ca="1">DATE($P$63,S81,S80)</f>
        <v>42471</v>
      </c>
    </row>
    <row r="81" spans="15:20">
      <c r="P81" s="2"/>
      <c r="Q81" s="220">
        <f ca="1">+Q80+1</f>
        <v>42472</v>
      </c>
      <c r="R81" s="223" t="s">
        <v>38</v>
      </c>
      <c r="S81" s="182">
        <f ca="1">MONTH(P80)</f>
        <v>4</v>
      </c>
      <c r="T81" s="183" t="str">
        <f ca="1">DAY(P80)&amp;"."&amp;MONTH(P80)&amp;"."&amp;YEAR($B$17)</f>
        <v>12.4.2020</v>
      </c>
    </row>
    <row r="82" spans="15:20">
      <c r="O82" s="183"/>
      <c r="P82" s="2"/>
      <c r="Q82" s="220">
        <v>40846</v>
      </c>
      <c r="R82" s="224" t="s">
        <v>50</v>
      </c>
      <c r="S82" s="221"/>
      <c r="T82" s="2"/>
    </row>
    <row r="83" spans="15:20">
      <c r="P83" s="2"/>
      <c r="Q83" s="220">
        <f ca="1">+T83</f>
        <v>42490</v>
      </c>
      <c r="R83" s="224" t="s">
        <v>39</v>
      </c>
      <c r="S83" s="221"/>
      <c r="T83" s="144">
        <f ca="1">DATE($P$63,5,1)</f>
        <v>42490</v>
      </c>
    </row>
    <row r="84" spans="15:20">
      <c r="P84" s="2"/>
      <c r="Q84" s="220">
        <f ca="1">+Q80+39</f>
        <v>42510</v>
      </c>
      <c r="R84" s="224" t="s">
        <v>40</v>
      </c>
      <c r="S84" s="221"/>
      <c r="T84" s="2"/>
    </row>
    <row r="85" spans="15:20">
      <c r="P85" s="2"/>
      <c r="Q85" s="220">
        <f ca="1">+Q80+49</f>
        <v>42520</v>
      </c>
      <c r="R85" s="224" t="s">
        <v>41</v>
      </c>
      <c r="S85" s="221"/>
      <c r="T85" s="2"/>
    </row>
    <row r="86" spans="15:20">
      <c r="P86" s="2"/>
      <c r="Q86" s="220">
        <f ca="1">+Q85+1</f>
        <v>42521</v>
      </c>
      <c r="R86" s="224" t="s">
        <v>42</v>
      </c>
      <c r="S86" s="221"/>
      <c r="T86" s="2"/>
    </row>
    <row r="87" spans="15:20">
      <c r="P87" s="2"/>
      <c r="Q87" s="220">
        <f ca="1">+Q80+60</f>
        <v>42531</v>
      </c>
      <c r="R87" s="224" t="s">
        <v>43</v>
      </c>
      <c r="S87" s="221"/>
      <c r="T87" s="2"/>
    </row>
    <row r="88" spans="15:20">
      <c r="P88" s="2"/>
      <c r="Q88" s="220">
        <f ca="1">+T88</f>
        <v>42645</v>
      </c>
      <c r="R88" s="224" t="s">
        <v>44</v>
      </c>
      <c r="S88" s="221"/>
      <c r="T88" s="144">
        <f ca="1">DATE($P$63,10,3)</f>
        <v>42645</v>
      </c>
    </row>
    <row r="89" spans="15:20">
      <c r="P89" s="2"/>
      <c r="Q89" s="220">
        <f ca="1">+T89</f>
        <v>42727</v>
      </c>
      <c r="R89" s="224" t="s">
        <v>45</v>
      </c>
      <c r="S89" s="221"/>
      <c r="T89" s="144">
        <f ca="1">DATE($P$63,12,24)</f>
        <v>42727</v>
      </c>
    </row>
    <row r="90" spans="15:20">
      <c r="P90" s="2"/>
      <c r="Q90" s="220">
        <f ca="1">+Q89+1</f>
        <v>42728</v>
      </c>
      <c r="R90" s="221" t="s">
        <v>46</v>
      </c>
      <c r="S90" s="221"/>
      <c r="T90" s="2"/>
    </row>
    <row r="91" spans="15:20">
      <c r="P91" s="2"/>
      <c r="Q91" s="220">
        <f ca="1">Q90+1</f>
        <v>42729</v>
      </c>
      <c r="R91" s="224" t="s">
        <v>47</v>
      </c>
      <c r="S91" s="221"/>
      <c r="T91" s="2"/>
    </row>
    <row r="92" spans="15:20">
      <c r="P92" s="2"/>
      <c r="Q92" s="220">
        <f ca="1">+Q91+5</f>
        <v>42734</v>
      </c>
      <c r="R92" s="224" t="s">
        <v>48</v>
      </c>
      <c r="S92" s="221"/>
      <c r="T92" s="2"/>
    </row>
    <row r="93" spans="15:20">
      <c r="P93" s="2"/>
      <c r="Q93" s="220"/>
      <c r="R93" s="224"/>
      <c r="S93" s="221"/>
      <c r="T93" s="2"/>
    </row>
    <row r="94" spans="15:20">
      <c r="P94" s="2"/>
      <c r="Q94" s="220"/>
      <c r="R94" s="224"/>
      <c r="S94" s="221"/>
      <c r="T94" s="2"/>
    </row>
    <row r="95" spans="15:20">
      <c r="P95" s="180"/>
      <c r="Q95" s="180"/>
    </row>
  </sheetData>
  <sheetProtection algorithmName="SHA-512" hashValue="rm1q7rRBtCbYbwXSEvKE7oVlUVhBR8RN0ik7zVtnVNcqnipklqvDQR8pzXmSFeNDaIo60idTPXWBYo4qGhR+aQ==" saltValue="gFfhlkdu1vHM5Krors+SkA==" spinCount="100000" sheet="1" objects="1" scenarios="1" selectLockedCells="1"/>
  <mergeCells count="137">
    <mergeCell ref="R64:S64"/>
    <mergeCell ref="Q58:R58"/>
    <mergeCell ref="B62:E62"/>
    <mergeCell ref="H62:L62"/>
    <mergeCell ref="B50:C50"/>
    <mergeCell ref="D50:E50"/>
    <mergeCell ref="K50:L50"/>
    <mergeCell ref="K52:L52"/>
    <mergeCell ref="H54:J54"/>
    <mergeCell ref="A57:F57"/>
    <mergeCell ref="A55:F55"/>
    <mergeCell ref="Q57:T57"/>
    <mergeCell ref="Q59:V59"/>
    <mergeCell ref="B48:C48"/>
    <mergeCell ref="D48:E48"/>
    <mergeCell ref="K48:L48"/>
    <mergeCell ref="B49:C49"/>
    <mergeCell ref="D49:E49"/>
    <mergeCell ref="K49:L49"/>
    <mergeCell ref="B46:C46"/>
    <mergeCell ref="D46:E46"/>
    <mergeCell ref="K46:L46"/>
    <mergeCell ref="B47:C47"/>
    <mergeCell ref="D47:E47"/>
    <mergeCell ref="K47:L47"/>
    <mergeCell ref="B44:C44"/>
    <mergeCell ref="D44:E44"/>
    <mergeCell ref="K44:L44"/>
    <mergeCell ref="B45:C45"/>
    <mergeCell ref="D45:E45"/>
    <mergeCell ref="K45:L45"/>
    <mergeCell ref="B42:C42"/>
    <mergeCell ref="D42:E42"/>
    <mergeCell ref="K42:L42"/>
    <mergeCell ref="B43:C43"/>
    <mergeCell ref="D43:E43"/>
    <mergeCell ref="K43:L43"/>
    <mergeCell ref="B40:C40"/>
    <mergeCell ref="D40:E40"/>
    <mergeCell ref="K40:L40"/>
    <mergeCell ref="B41:C41"/>
    <mergeCell ref="D41:E41"/>
    <mergeCell ref="K41:L41"/>
    <mergeCell ref="B38:C38"/>
    <mergeCell ref="D38:E38"/>
    <mergeCell ref="K38:L38"/>
    <mergeCell ref="B39:C39"/>
    <mergeCell ref="D39:E39"/>
    <mergeCell ref="K39:L39"/>
    <mergeCell ref="B36:C36"/>
    <mergeCell ref="D36:E36"/>
    <mergeCell ref="K36:L36"/>
    <mergeCell ref="B37:C37"/>
    <mergeCell ref="D37:E37"/>
    <mergeCell ref="K37:L37"/>
    <mergeCell ref="B34:C34"/>
    <mergeCell ref="D34:E34"/>
    <mergeCell ref="K34:L34"/>
    <mergeCell ref="B35:C35"/>
    <mergeCell ref="D35:E35"/>
    <mergeCell ref="K35:L35"/>
    <mergeCell ref="B32:C32"/>
    <mergeCell ref="D32:E32"/>
    <mergeCell ref="K32:L32"/>
    <mergeCell ref="B33:C33"/>
    <mergeCell ref="D33:E33"/>
    <mergeCell ref="K33:L33"/>
    <mergeCell ref="B30:C30"/>
    <mergeCell ref="D30:E30"/>
    <mergeCell ref="K30:L30"/>
    <mergeCell ref="B31:C31"/>
    <mergeCell ref="D31:E31"/>
    <mergeCell ref="K31:L31"/>
    <mergeCell ref="B28:C28"/>
    <mergeCell ref="D28:E28"/>
    <mergeCell ref="K28:L28"/>
    <mergeCell ref="B29:C29"/>
    <mergeCell ref="D29:E29"/>
    <mergeCell ref="K29:L29"/>
    <mergeCell ref="B26:C26"/>
    <mergeCell ref="D26:E26"/>
    <mergeCell ref="K26:L26"/>
    <mergeCell ref="B27:C27"/>
    <mergeCell ref="D27:E27"/>
    <mergeCell ref="K27:L27"/>
    <mergeCell ref="B24:C24"/>
    <mergeCell ref="D24:E24"/>
    <mergeCell ref="K24:L24"/>
    <mergeCell ref="B25:C25"/>
    <mergeCell ref="D25:E25"/>
    <mergeCell ref="K25:L25"/>
    <mergeCell ref="B22:C22"/>
    <mergeCell ref="D22:E22"/>
    <mergeCell ref="K22:L22"/>
    <mergeCell ref="B23:C23"/>
    <mergeCell ref="D23:E23"/>
    <mergeCell ref="K23:L23"/>
    <mergeCell ref="R19:T19"/>
    <mergeCell ref="B20:C20"/>
    <mergeCell ref="D20:E20"/>
    <mergeCell ref="K20:L20"/>
    <mergeCell ref="B21:C21"/>
    <mergeCell ref="D21:E21"/>
    <mergeCell ref="K21:L21"/>
    <mergeCell ref="A16:F16"/>
    <mergeCell ref="G16:L16"/>
    <mergeCell ref="B17:K17"/>
    <mergeCell ref="B19:C19"/>
    <mergeCell ref="D19:E19"/>
    <mergeCell ref="K19:L19"/>
    <mergeCell ref="A13:B13"/>
    <mergeCell ref="A14:B14"/>
    <mergeCell ref="C14:D14"/>
    <mergeCell ref="H14:L14"/>
    <mergeCell ref="M14:N14"/>
    <mergeCell ref="C15:D15"/>
    <mergeCell ref="K15:L15"/>
    <mergeCell ref="A9:B9"/>
    <mergeCell ref="C9:D9"/>
    <mergeCell ref="K9:L9"/>
    <mergeCell ref="A11:B11"/>
    <mergeCell ref="C11:D11"/>
    <mergeCell ref="K11:L11"/>
    <mergeCell ref="M1:O1"/>
    <mergeCell ref="A3:B3"/>
    <mergeCell ref="C3:F3"/>
    <mergeCell ref="K3:L3"/>
    <mergeCell ref="A5:B5"/>
    <mergeCell ref="C5:F5"/>
    <mergeCell ref="K5:L5"/>
    <mergeCell ref="A7:B7"/>
    <mergeCell ref="C7:F7"/>
    <mergeCell ref="K7:L7"/>
    <mergeCell ref="A1:B1"/>
    <mergeCell ref="C1:F1"/>
    <mergeCell ref="H1:J1"/>
    <mergeCell ref="K1:L1"/>
  </mergeCells>
  <conditionalFormatting sqref="F14">
    <cfRule type="cellIs" dxfId="631" priority="332" operator="greaterThan">
      <formula>$C$14+30</formula>
    </cfRule>
    <cfRule type="expression" dxfId="630" priority="371">
      <formula>$F$14&gt;$F$9</formula>
    </cfRule>
    <cfRule type="expression" dxfId="629" priority="377">
      <formula>$F$14&lt;$C$14</formula>
    </cfRule>
  </conditionalFormatting>
  <conditionalFormatting sqref="F9">
    <cfRule type="expression" dxfId="628" priority="375">
      <formula>$F$14&lt;$C$14</formula>
    </cfRule>
  </conditionalFormatting>
  <conditionalFormatting sqref="C9">
    <cfRule type="expression" dxfId="627" priority="372">
      <formula>"$C$9&gt;$C$14"</formula>
    </cfRule>
    <cfRule type="expression" dxfId="626" priority="374">
      <formula>$F$14&lt;$C$14</formula>
    </cfRule>
  </conditionalFormatting>
  <conditionalFormatting sqref="I51">
    <cfRule type="expression" dxfId="625" priority="373">
      <formula>WEEKDAY($A51,2)&gt;5</formula>
    </cfRule>
  </conditionalFormatting>
  <conditionalFormatting sqref="I51">
    <cfRule type="cellIs" dxfId="624" priority="370" operator="lessThan">
      <formula>0</formula>
    </cfRule>
  </conditionalFormatting>
  <conditionalFormatting sqref="C14:D14">
    <cfRule type="expression" dxfId="623" priority="337">
      <formula>"F14&gt;F9"</formula>
    </cfRule>
    <cfRule type="expression" dxfId="622" priority="338">
      <formula>$C$14&lt;$C$9</formula>
    </cfRule>
    <cfRule type="expression" dxfId="621" priority="368">
      <formula>$C$14&gt;$F$9</formula>
    </cfRule>
    <cfRule type="expression" dxfId="620" priority="369">
      <formula>$F$14&lt;$C$9</formula>
    </cfRule>
  </conditionalFormatting>
  <conditionalFormatting sqref="G53">
    <cfRule type="expression" dxfId="619" priority="367">
      <formula>ABS(SUM(#REF!))&gt;$A$61</formula>
    </cfRule>
  </conditionalFormatting>
  <conditionalFormatting sqref="I51 F20:J50">
    <cfRule type="expression" dxfId="618" priority="378">
      <formula>AND(WEEKDAY($A20,2)=3,$I$6=FALSE)</formula>
    </cfRule>
    <cfRule type="expression" dxfId="617" priority="379">
      <formula>AND(WEEKDAY($A20,2)=4,$I$8=TRUE)</formula>
    </cfRule>
    <cfRule type="expression" dxfId="616" priority="380">
      <formula>AND(WEEKDAY($A20,2)=4,$I$8=FALSE)</formula>
    </cfRule>
    <cfRule type="expression" dxfId="615" priority="381">
      <formula>AND(WEEKDAY($A20,2)=5,$I$10=TRUE)</formula>
    </cfRule>
    <cfRule type="expression" dxfId="614" priority="382">
      <formula>AND(WEEKDAY($A20,2)=5,$G$14=FALSE)</formula>
    </cfRule>
  </conditionalFormatting>
  <conditionalFormatting sqref="I51 F20:J50">
    <cfRule type="expression" dxfId="613" priority="383">
      <formula>AND(WEEKDAY($A20,2)=1,$I$2=TRUE)</formula>
    </cfRule>
    <cfRule type="expression" dxfId="612" priority="384">
      <formula>AND(WEEKDAY($A20,2)=1,$I$2=FALSE)</formula>
    </cfRule>
    <cfRule type="expression" dxfId="611" priority="385">
      <formula>AND(WEEKDAY($A20,2)=2,$I$4=TRUE)</formula>
    </cfRule>
    <cfRule type="expression" dxfId="610" priority="386">
      <formula>AND(WEEKDAY($A20,2)=2,$I$4=FALSE)</formula>
    </cfRule>
    <cfRule type="expression" dxfId="609" priority="387">
      <formula>AND(WEEKDAY($A20,2)=3,$I$6=TRUE)</formula>
    </cfRule>
  </conditionalFormatting>
  <conditionalFormatting sqref="K3:L3">
    <cfRule type="expression" dxfId="608" priority="352">
      <formula>AND(I2=TRUE,$C$11&lt;&gt;($K$3+$K$5+$K$7+$K$9+$K$11))</formula>
    </cfRule>
    <cfRule type="expression" dxfId="607" priority="353">
      <formula>(I2=TRUE)</formula>
    </cfRule>
    <cfRule type="expression" dxfId="606" priority="354">
      <formula>AND(I2=FALSE,$K$3&gt;0)</formula>
    </cfRule>
  </conditionalFormatting>
  <conditionalFormatting sqref="K7:L7">
    <cfRule type="expression" dxfId="605" priority="355">
      <formula>AND(I6=TRUE,$C$11&lt;&gt;($K$3+$K$5+$K$7+$K$9+$K$11))</formula>
    </cfRule>
    <cfRule type="expression" dxfId="604" priority="356">
      <formula>(I6=TRUE)</formula>
    </cfRule>
    <cfRule type="expression" dxfId="603" priority="357">
      <formula>AND(I6=FALSE,$K$7&gt;0)</formula>
    </cfRule>
  </conditionalFormatting>
  <conditionalFormatting sqref="K11:L11">
    <cfRule type="expression" dxfId="602" priority="358">
      <formula>AND(I10=TRUE,$C$11&lt;&gt;($K$3+$K$5+$K$7+$K$9+$K$11))</formula>
    </cfRule>
    <cfRule type="expression" dxfId="601" priority="359">
      <formula>(I10=TRUE)</formula>
    </cfRule>
    <cfRule type="expression" dxfId="600" priority="360">
      <formula>AND(I10=FALSE,K11&gt;0)</formula>
    </cfRule>
  </conditionalFormatting>
  <conditionalFormatting sqref="K9:L9">
    <cfRule type="expression" dxfId="599" priority="361">
      <formula>AND(I8=TRUE,$C$11&lt;&gt;($K$3+$K$5+$K$7+$K$9+$K$11))</formula>
    </cfRule>
    <cfRule type="expression" dxfId="598" priority="362">
      <formula>(I8=TRUE)</formula>
    </cfRule>
    <cfRule type="expression" dxfId="597" priority="363">
      <formula>AND(I8=FALSE,K9&gt;0)</formula>
    </cfRule>
  </conditionalFormatting>
  <conditionalFormatting sqref="K5:L5">
    <cfRule type="expression" dxfId="596" priority="350">
      <formula>AND(I4=FALSE,K5&gt;0)</formula>
    </cfRule>
    <cfRule type="expression" dxfId="595" priority="351">
      <formula>AND(I4=TRUE,$C$11&lt;&gt;($K$3+$K$5+$K$7+$K$9+$K$11))</formula>
    </cfRule>
    <cfRule type="expression" dxfId="594" priority="364">
      <formula>($I$4=TRUE)</formula>
    </cfRule>
  </conditionalFormatting>
  <conditionalFormatting sqref="K51">
    <cfRule type="expression" dxfId="593" priority="388">
      <formula>ABS(SUM(#REF!))&gt;$A$53</formula>
    </cfRule>
  </conditionalFormatting>
  <conditionalFormatting sqref="J52">
    <cfRule type="cellIs" dxfId="592" priority="349" operator="lessThan">
      <formula>0</formula>
    </cfRule>
  </conditionalFormatting>
  <conditionalFormatting sqref="F20:F50">
    <cfRule type="expression" dxfId="591" priority="348">
      <formula>WEEKDAY($A20,2)&gt;5</formula>
    </cfRule>
  </conditionalFormatting>
  <conditionalFormatting sqref="H20:I50">
    <cfRule type="expression" dxfId="590" priority="347">
      <formula>WEEKDAY($A20,2)&gt;5</formula>
    </cfRule>
  </conditionalFormatting>
  <conditionalFormatting sqref="I20:I50">
    <cfRule type="cellIs" dxfId="589" priority="346" operator="lessThan">
      <formula>0</formula>
    </cfRule>
  </conditionalFormatting>
  <conditionalFormatting sqref="J20:J50">
    <cfRule type="expression" dxfId="588" priority="340">
      <formula>WEEKDAY($A20,2)&gt;5</formula>
    </cfRule>
  </conditionalFormatting>
  <conditionalFormatting sqref="J20:J50">
    <cfRule type="cellIs" dxfId="587" priority="339" operator="lessThan">
      <formula>0</formula>
    </cfRule>
  </conditionalFormatting>
  <conditionalFormatting sqref="C14">
    <cfRule type="expression" dxfId="586" priority="376">
      <formula>$C$14&lt;$C$9</formula>
    </cfRule>
  </conditionalFormatting>
  <conditionalFormatting sqref="G20:G50">
    <cfRule type="expression" dxfId="585" priority="335">
      <formula>WEEKDAY($A20,2)&gt;5</formula>
    </cfRule>
  </conditionalFormatting>
  <conditionalFormatting sqref="G20:G50">
    <cfRule type="containsText" dxfId="584" priority="334" operator="containsText" text="0,00">
      <formula>NOT(ISERROR(SEARCH("0,00",G20)))</formula>
    </cfRule>
  </conditionalFormatting>
  <conditionalFormatting sqref="H52">
    <cfRule type="cellIs" dxfId="583" priority="312" operator="lessThan">
      <formula>0</formula>
    </cfRule>
  </conditionalFormatting>
  <conditionalFormatting sqref="Q93:Q94">
    <cfRule type="expression" dxfId="582" priority="233">
      <formula>AND(WEEKDAY($A93,2)=3,$I$6=FALSE)</formula>
    </cfRule>
    <cfRule type="expression" dxfId="581" priority="234">
      <formula>AND(WEEKDAY($A93,2)=4,$I$8=TRUE)</formula>
    </cfRule>
    <cfRule type="expression" dxfId="580" priority="235">
      <formula>AND(WEEKDAY($A93,2)=4,$I$8=FALSE)</formula>
    </cfRule>
    <cfRule type="expression" dxfId="579" priority="236">
      <formula>AND(WEEKDAY($A93,2)=5,$I$10=TRUE)</formula>
    </cfRule>
    <cfRule type="expression" dxfId="578" priority="237">
      <formula>AND(WEEKDAY($A93,2)=5,$G$14=FALSE)</formula>
    </cfRule>
  </conditionalFormatting>
  <conditionalFormatting sqref="Q93:Q94">
    <cfRule type="expression" dxfId="577" priority="238">
      <formula>AND(WEEKDAY($A93,2)=1,$I$2=TRUE)</formula>
    </cfRule>
    <cfRule type="expression" dxfId="576" priority="239">
      <formula>AND(WEEKDAY($A93,2)=1,$I$2=FALSE)</formula>
    </cfRule>
    <cfRule type="expression" dxfId="575" priority="240">
      <formula>AND(WEEKDAY($A93,2)=2,$I$4=TRUE)</formula>
    </cfRule>
    <cfRule type="expression" dxfId="574" priority="241">
      <formula>AND(WEEKDAY($A93,2)=2,$I$4=FALSE)</formula>
    </cfRule>
    <cfRule type="expression" dxfId="573" priority="242">
      <formula>AND(WEEKDAY($A93,2)=3,$I$6=TRUE)</formula>
    </cfRule>
  </conditionalFormatting>
  <conditionalFormatting sqref="Q93:Q94">
    <cfRule type="expression" dxfId="572" priority="232">
      <formula>WEEKDAY($A93,2)&gt;5</formula>
    </cfRule>
  </conditionalFormatting>
  <conditionalFormatting sqref="U20:U50 Q81:Q92 P80 Q77:Q79">
    <cfRule type="expression" dxfId="571" priority="210">
      <formula>AND(WEEKDAY($A20,2)=3,$I$6=FALSE)</formula>
    </cfRule>
    <cfRule type="expression" dxfId="570" priority="211">
      <formula>AND(WEEKDAY($A20,2)=4,$I$8=TRUE)</formula>
    </cfRule>
    <cfRule type="expression" dxfId="569" priority="212">
      <formula>AND(WEEKDAY($A20,2)=4,$I$8=FALSE)</formula>
    </cfRule>
    <cfRule type="expression" dxfId="568" priority="213">
      <formula>AND(WEEKDAY($A20,2)=5,$I$10=TRUE)</formula>
    </cfRule>
    <cfRule type="expression" dxfId="567" priority="214">
      <formula>AND(WEEKDAY($A20,2)=5,$G$14=FALSE)</formula>
    </cfRule>
  </conditionalFormatting>
  <conditionalFormatting sqref="U20:U50 Q81:Q92 P80 Q77:Q79">
    <cfRule type="expression" dxfId="566" priority="215">
      <formula>AND(WEEKDAY($A20,2)=1,$I$2=TRUE)</formula>
    </cfRule>
    <cfRule type="expression" dxfId="565" priority="216">
      <formula>AND(WEEKDAY($A20,2)=1,$I$2=FALSE)</formula>
    </cfRule>
    <cfRule type="expression" dxfId="564" priority="217">
      <formula>AND(WEEKDAY($A20,2)=2,$I$4=TRUE)</formula>
    </cfRule>
    <cfRule type="expression" dxfId="563" priority="218">
      <formula>AND(WEEKDAY($A20,2)=2,$I$4=FALSE)</formula>
    </cfRule>
    <cfRule type="expression" dxfId="562" priority="219">
      <formula>AND(WEEKDAY($A20,2)=3,$I$6=TRUE)</formula>
    </cfRule>
  </conditionalFormatting>
  <conditionalFormatting sqref="U20:U50">
    <cfRule type="expression" dxfId="561" priority="209">
      <formula>WEEKDAY($A20,2)&gt;5</formula>
    </cfRule>
  </conditionalFormatting>
  <conditionalFormatting sqref="U20:U50">
    <cfRule type="expression" dxfId="560" priority="220">
      <formula>#REF!&lt;&gt;""</formula>
    </cfRule>
  </conditionalFormatting>
  <conditionalFormatting sqref="Q81:Q92 P80 Q77:Q79">
    <cfRule type="expression" dxfId="559" priority="208">
      <formula>WEEKDAY($A77,2)&gt;5</formula>
    </cfRule>
  </conditionalFormatting>
  <conditionalFormatting sqref="Q80">
    <cfRule type="expression" dxfId="558" priority="198">
      <formula>AND(WEEKDAY($A80,2)=3,$I$6=FALSE)</formula>
    </cfRule>
    <cfRule type="expression" dxfId="557" priority="199">
      <formula>AND(WEEKDAY($A80,2)=4,$I$8=TRUE)</formula>
    </cfRule>
    <cfRule type="expression" dxfId="556" priority="200">
      <formula>AND(WEEKDAY($A80,2)=4,$I$8=FALSE)</formula>
    </cfRule>
    <cfRule type="expression" dxfId="555" priority="201">
      <formula>AND(WEEKDAY($A80,2)=5,$I$10=TRUE)</formula>
    </cfRule>
    <cfRule type="expression" dxfId="554" priority="202">
      <formula>AND(WEEKDAY($A80,2)=5,$G$14=FALSE)</formula>
    </cfRule>
  </conditionalFormatting>
  <conditionalFormatting sqref="Q80">
    <cfRule type="expression" dxfId="553" priority="203">
      <formula>AND(WEEKDAY($A80,2)=1,$I$2=TRUE)</formula>
    </cfRule>
    <cfRule type="expression" dxfId="552" priority="204">
      <formula>AND(WEEKDAY($A80,2)=1,$I$2=FALSE)</formula>
    </cfRule>
    <cfRule type="expression" dxfId="551" priority="205">
      <formula>AND(WEEKDAY($A80,2)=2,$I$4=TRUE)</formula>
    </cfRule>
    <cfRule type="expression" dxfId="550" priority="206">
      <formula>AND(WEEKDAY($A80,2)=2,$I$4=FALSE)</formula>
    </cfRule>
    <cfRule type="expression" dxfId="549" priority="207">
      <formula>AND(WEEKDAY($A80,2)=3,$I$6=TRUE)</formula>
    </cfRule>
  </conditionalFormatting>
  <conditionalFormatting sqref="Q80">
    <cfRule type="expression" dxfId="548" priority="197">
      <formula>WEEKDAY($A80,2)&gt;5</formula>
    </cfRule>
  </conditionalFormatting>
  <conditionalFormatting sqref="C1">
    <cfRule type="expression" dxfId="547" priority="90">
      <formula>ISBLANK($C$1)</formula>
    </cfRule>
  </conditionalFormatting>
  <conditionalFormatting sqref="C3">
    <cfRule type="expression" dxfId="546" priority="89">
      <formula>ISBLANK($C$3)</formula>
    </cfRule>
  </conditionalFormatting>
  <conditionalFormatting sqref="C5">
    <cfRule type="expression" dxfId="545" priority="88">
      <formula>ISBLANK($C$5)</formula>
    </cfRule>
  </conditionalFormatting>
  <conditionalFormatting sqref="C7">
    <cfRule type="expression" dxfId="544" priority="87">
      <formula>ISBLANK($C$7)</formula>
    </cfRule>
  </conditionalFormatting>
  <conditionalFormatting sqref="C11:D11">
    <cfRule type="expression" dxfId="543" priority="85">
      <formula>ISBLANK($C$11)</formula>
    </cfRule>
    <cfRule type="expression" dxfId="542" priority="86">
      <formula>($C$11/24)&lt;&gt;$M$3</formula>
    </cfRule>
  </conditionalFormatting>
  <conditionalFormatting sqref="B45:E45 B47:E47 B46:D46 B48:D50 A20:A50 B20:D44">
    <cfRule type="expression" dxfId="541" priority="57">
      <formula>AND(WEEKDAY($A20,2)=3,$I$6=FALSE)</formula>
    </cfRule>
    <cfRule type="expression" dxfId="540" priority="58">
      <formula>AND(WEEKDAY($A20,2)=4,$I$8=TRUE)</formula>
    </cfRule>
    <cfRule type="expression" dxfId="539" priority="59">
      <formula>AND(WEEKDAY($A20,2)=4,$I$8=FALSE)</formula>
    </cfRule>
    <cfRule type="expression" dxfId="538" priority="60">
      <formula>AND(WEEKDAY($A20,2)=5,$I$10=TRUE)</formula>
    </cfRule>
    <cfRule type="expression" dxfId="537" priority="61">
      <formula>AND(WEEKDAY($A20,2)=5,$G$14=FALSE)</formula>
    </cfRule>
  </conditionalFormatting>
  <conditionalFormatting sqref="A20:E50">
    <cfRule type="expression" dxfId="536" priority="62">
      <formula>AND(WEEKDAY($A20,2)=1,$I$2=TRUE)</formula>
    </cfRule>
    <cfRule type="expression" dxfId="535" priority="63">
      <formula>AND(WEEKDAY($A20,2)=1,$I$2=FALSE)</formula>
    </cfRule>
    <cfRule type="expression" dxfId="534" priority="64">
      <formula>AND(WEEKDAY($A20,2)=2,$I$4=TRUE)</formula>
    </cfRule>
    <cfRule type="expression" dxfId="533" priority="65">
      <formula>AND(WEEKDAY($A20,2)=2,$I$4=FALSE)</formula>
    </cfRule>
    <cfRule type="expression" dxfId="532" priority="66">
      <formula>AND(WEEKDAY($A20,2)=3,$I$6=TRUE)</formula>
    </cfRule>
  </conditionalFormatting>
  <conditionalFormatting sqref="A20:E50">
    <cfRule type="expression" dxfId="531" priority="56">
      <formula>WEEKDAY($A20,2)&gt;5</formula>
    </cfRule>
  </conditionalFormatting>
  <conditionalFormatting sqref="D21:E21">
    <cfRule type="expression" dxfId="530" priority="55">
      <formula>WEEKDAY($A21,2)&gt;5</formula>
    </cfRule>
  </conditionalFormatting>
  <conditionalFormatting sqref="D27:E27">
    <cfRule type="expression" dxfId="529" priority="54">
      <formula>WEEKDAY($A27,2)&gt;5</formula>
    </cfRule>
  </conditionalFormatting>
  <conditionalFormatting sqref="D34:E34">
    <cfRule type="expression" dxfId="528" priority="53">
      <formula>WEEKDAY($A34,2)&gt;5</formula>
    </cfRule>
  </conditionalFormatting>
  <conditionalFormatting sqref="D22:E22">
    <cfRule type="expression" dxfId="527" priority="52">
      <formula>WEEKDAY($A22,2)&gt;5</formula>
    </cfRule>
  </conditionalFormatting>
  <conditionalFormatting sqref="D28:E28">
    <cfRule type="expression" dxfId="526" priority="51">
      <formula>WEEKDAY($A28,2)&gt;5</formula>
    </cfRule>
  </conditionalFormatting>
  <conditionalFormatting sqref="D36:E36">
    <cfRule type="expression" dxfId="525" priority="50">
      <formula>WEEKDAY($A36,2)&gt;5</formula>
    </cfRule>
  </conditionalFormatting>
  <conditionalFormatting sqref="D42:E42">
    <cfRule type="expression" dxfId="524" priority="49">
      <formula>WEEKDAY($A42,2)&gt;5</formula>
    </cfRule>
  </conditionalFormatting>
  <conditionalFormatting sqref="D41:E41">
    <cfRule type="expression" dxfId="523" priority="48">
      <formula>WEEKDAY($A41,2)&gt;5</formula>
    </cfRule>
  </conditionalFormatting>
  <conditionalFormatting sqref="D48:E48">
    <cfRule type="expression" dxfId="522" priority="47">
      <formula>WEEKDAY($A48,2)&gt;5</formula>
    </cfRule>
  </conditionalFormatting>
  <conditionalFormatting sqref="D35:E35">
    <cfRule type="expression" dxfId="521" priority="46">
      <formula>WEEKDAY($A35,2)&gt;5</formula>
    </cfRule>
  </conditionalFormatting>
  <conditionalFormatting sqref="D29:E29">
    <cfRule type="expression" dxfId="520" priority="45">
      <formula>WEEKDAY($A29,2)&gt;5</formula>
    </cfRule>
  </conditionalFormatting>
  <conditionalFormatting sqref="D41:E41">
    <cfRule type="expression" dxfId="519" priority="44">
      <formula>WEEKDAY($A41,2)&gt;5</formula>
    </cfRule>
  </conditionalFormatting>
  <conditionalFormatting sqref="D42:E42">
    <cfRule type="expression" dxfId="518" priority="43">
      <formula>WEEKDAY($A42,2)&gt;5</formula>
    </cfRule>
  </conditionalFormatting>
  <conditionalFormatting sqref="D43:E43">
    <cfRule type="expression" dxfId="517" priority="42">
      <formula>WEEKDAY($A43,2)&gt;5</formula>
    </cfRule>
  </conditionalFormatting>
  <conditionalFormatting sqref="D41:E41">
    <cfRule type="expression" dxfId="516" priority="41">
      <formula>WEEKDAY($A41,2)&gt;5</formula>
    </cfRule>
  </conditionalFormatting>
  <conditionalFormatting sqref="D42:E42">
    <cfRule type="expression" dxfId="515" priority="40">
      <formula>WEEKDAY($A42,2)&gt;5</formula>
    </cfRule>
  </conditionalFormatting>
  <conditionalFormatting sqref="D35:E35">
    <cfRule type="expression" dxfId="514" priority="39">
      <formula>WEEKDAY($A35,2)&gt;5</formula>
    </cfRule>
  </conditionalFormatting>
  <conditionalFormatting sqref="D36:E36">
    <cfRule type="expression" dxfId="513" priority="38">
      <formula>WEEKDAY($A36,2)&gt;5</formula>
    </cfRule>
  </conditionalFormatting>
  <conditionalFormatting sqref="D35:E35">
    <cfRule type="expression" dxfId="512" priority="37">
      <formula>WEEKDAY($A35,2)&gt;5</formula>
    </cfRule>
  </conditionalFormatting>
  <conditionalFormatting sqref="D36:E36">
    <cfRule type="expression" dxfId="511" priority="36">
      <formula>WEEKDAY($A36,2)&gt;5</formula>
    </cfRule>
  </conditionalFormatting>
  <conditionalFormatting sqref="D23:E23">
    <cfRule type="expression" dxfId="510" priority="35">
      <formula>WEEKDAY($A23,2)&gt;5</formula>
    </cfRule>
  </conditionalFormatting>
  <conditionalFormatting sqref="D49:E49">
    <cfRule type="expression" dxfId="509" priority="34">
      <formula>WEEKDAY($A49,2)&gt;5</formula>
    </cfRule>
  </conditionalFormatting>
  <conditionalFormatting sqref="D41:E41">
    <cfRule type="expression" dxfId="508" priority="33">
      <formula>WEEKDAY($A41,2)&gt;5</formula>
    </cfRule>
  </conditionalFormatting>
  <conditionalFormatting sqref="D41:E41">
    <cfRule type="expression" dxfId="507" priority="32">
      <formula>WEEKDAY($A41,2)&gt;5</formula>
    </cfRule>
  </conditionalFormatting>
  <conditionalFormatting sqref="D41:E41">
    <cfRule type="expression" dxfId="506" priority="31">
      <formula>WEEKDAY($A41,2)&gt;5</formula>
    </cfRule>
  </conditionalFormatting>
  <conditionalFormatting sqref="A20:A50">
    <cfRule type="expression" dxfId="505" priority="29">
      <formula>V20&lt;&gt;""</formula>
    </cfRule>
    <cfRule type="expression" dxfId="504" priority="30">
      <formula>T20&lt;&gt;""</formula>
    </cfRule>
    <cfRule type="expression" dxfId="503" priority="67">
      <formula>T20&lt;&gt;""</formula>
    </cfRule>
  </conditionalFormatting>
  <conditionalFormatting sqref="B20:B50">
    <cfRule type="expression" dxfId="502" priority="68">
      <formula>#REF!&lt;&gt;""</formula>
    </cfRule>
  </conditionalFormatting>
  <conditionalFormatting sqref="D29:E29">
    <cfRule type="expression" dxfId="501" priority="28">
      <formula>WEEKDAY($A29,2)&gt;5</formula>
    </cfRule>
  </conditionalFormatting>
  <conditionalFormatting sqref="D30:E30">
    <cfRule type="expression" dxfId="500" priority="27">
      <formula>WEEKDAY($A30,2)&gt;5</formula>
    </cfRule>
  </conditionalFormatting>
  <conditionalFormatting sqref="D31:E31">
    <cfRule type="expression" dxfId="499" priority="26">
      <formula>WEEKDAY($A31,2)&gt;5</formula>
    </cfRule>
  </conditionalFormatting>
  <conditionalFormatting sqref="D36:E36">
    <cfRule type="expression" dxfId="498" priority="25">
      <formula>WEEKDAY($A36,2)&gt;5</formula>
    </cfRule>
  </conditionalFormatting>
  <conditionalFormatting sqref="D37:E37">
    <cfRule type="expression" dxfId="497" priority="24">
      <formula>WEEKDAY($A37,2)&gt;5</formula>
    </cfRule>
  </conditionalFormatting>
  <conditionalFormatting sqref="D38:E38">
    <cfRule type="expression" dxfId="496" priority="23">
      <formula>WEEKDAY($A38,2)&gt;5</formula>
    </cfRule>
  </conditionalFormatting>
  <conditionalFormatting sqref="D42:E42">
    <cfRule type="expression" dxfId="495" priority="22">
      <formula>WEEKDAY($A42,2)&gt;5</formula>
    </cfRule>
  </conditionalFormatting>
  <conditionalFormatting sqref="D43:E43">
    <cfRule type="expression" dxfId="494" priority="21">
      <formula>WEEKDAY($A43,2)&gt;5</formula>
    </cfRule>
  </conditionalFormatting>
  <conditionalFormatting sqref="D44:E44">
    <cfRule type="expression" dxfId="493" priority="20">
      <formula>WEEKDAY($A44,2)&gt;5</formula>
    </cfRule>
  </conditionalFormatting>
  <conditionalFormatting sqref="D33:E33">
    <cfRule type="expression" dxfId="492" priority="19">
      <formula>WEEKDAY($A33,2)&gt;5</formula>
    </cfRule>
  </conditionalFormatting>
  <conditionalFormatting sqref="D40:E40">
    <cfRule type="expression" dxfId="491" priority="18">
      <formula>WEEKDAY($A40,2)&gt;5</formula>
    </cfRule>
  </conditionalFormatting>
  <conditionalFormatting sqref="K20:K50">
    <cfRule type="expression" dxfId="490" priority="8">
      <formula>AND(WEEKDAY($A20,2)=3,$I$6=FALSE)</formula>
    </cfRule>
    <cfRule type="expression" dxfId="489" priority="9">
      <formula>AND(WEEKDAY($A20,2)=4,$I$8=TRUE)</formula>
    </cfRule>
    <cfRule type="expression" dxfId="488" priority="10">
      <formula>AND(WEEKDAY($A20,2)=4,$I$8=FALSE)</formula>
    </cfRule>
    <cfRule type="expression" dxfId="487" priority="11">
      <formula>AND(WEEKDAY($A20,2)=5,$I$10=TRUE)</formula>
    </cfRule>
    <cfRule type="expression" dxfId="486" priority="12">
      <formula>AND(WEEKDAY($A20,2)=5,$G$14=FALSE)</formula>
    </cfRule>
  </conditionalFormatting>
  <conditionalFormatting sqref="K20:L50">
    <cfRule type="expression" dxfId="485" priority="13">
      <formula>AND(WEEKDAY($A20,2)=1,$I$2=TRUE)</formula>
    </cfRule>
    <cfRule type="expression" dxfId="484" priority="14">
      <formula>AND(WEEKDAY($A20,2)=1,$I$2=FALSE)</formula>
    </cfRule>
    <cfRule type="expression" dxfId="483" priority="15">
      <formula>AND(WEEKDAY($A20,2)=2,$I$4=TRUE)</formula>
    </cfRule>
    <cfRule type="expression" dxfId="482" priority="16">
      <formula>AND(WEEKDAY($A20,2)=2,$I$4=FALSE)</formula>
    </cfRule>
    <cfRule type="expression" dxfId="481" priority="17">
      <formula>AND(WEEKDAY($A20,2)=3,$I$6=TRUE)</formula>
    </cfRule>
  </conditionalFormatting>
  <conditionalFormatting sqref="K20:L50">
    <cfRule type="containsText" dxfId="480" priority="3" operator="containsText" text="Angaben überprüfen">
      <formula>NOT(ISERROR(SEARCH("Angaben überprüfen",K20)))</formula>
    </cfRule>
    <cfRule type="cellIs" dxfId="479" priority="4" operator="equal">
      <formula>"30 min. Pause erforderlich"</formula>
    </cfRule>
    <cfRule type="expression" dxfId="478" priority="7">
      <formula>WEEKDAY($A20,2)&gt;5</formula>
    </cfRule>
  </conditionalFormatting>
  <conditionalFormatting sqref="K20:L50">
    <cfRule type="expression" dxfId="477" priority="6">
      <formula>WEEKDAY($A20,2)&gt;5</formula>
    </cfRule>
  </conditionalFormatting>
  <conditionalFormatting sqref="K20:L50">
    <cfRule type="expression" dxfId="476" priority="5">
      <formula>WEEKDAY($A20,2)&gt;5</formula>
    </cfRule>
  </conditionalFormatting>
  <conditionalFormatting sqref="B17:K17">
    <cfRule type="expression" dxfId="475" priority="1">
      <formula>ISBLANK($C$14)</formula>
    </cfRule>
  </conditionalFormatting>
  <dataValidations count="5">
    <dataValidation type="date" allowBlank="1" showInputMessage="1" showErrorMessage="1" error="Kein gültiges Datum" prompt="TT.MM.JJJJ" sqref="C9:D9 F9 C14:D14 F14">
      <formula1>40178</formula1>
      <formula2>71588</formula2>
    </dataValidation>
    <dataValidation type="decimal" allowBlank="1" showInputMessage="1" showErrorMessage="1" errorTitle="Achtung" error="Kein Dezimalwert" sqref="K3:L11">
      <formula1>0.25</formula1>
      <formula2>24</formula2>
    </dataValidation>
    <dataValidation type="decimal" allowBlank="1" showInputMessage="1" showErrorMessage="1" errorTitle="Falsches Zahlenformat" error="Bitte Dezimal oder ganze Zahlen eingeben." promptTitle="                 INFO" prompt="_x000a_Beim Ausfüllen unbedingt den Leitfaden zum Arbeitszeitkonto beachten_x000a_ -Siehe Hilfebutton" sqref="C11:D11">
      <formula1>1</formula1>
      <formula2>40</formula2>
    </dataValidation>
    <dataValidation type="textLength" operator="greaterThan" allowBlank="1" showInputMessage="1" showErrorMessage="1" errorTitle="Arbeitszeitkonto beendet" error="Ihr Arbeitszeitkonto überschreitet 12 Monate und ist damit beendet. Bitte erstellen Sie ein neues Konto." sqref="G16:L16">
      <formula1>40</formula1>
    </dataValidation>
    <dataValidation type="time" errorStyle="warning" allowBlank="1" showInputMessage="1" showErrorMessage="1" error="Außerhalb des Arbeitszeitrahmens" sqref="B20:E50">
      <formula1>0.25</formula1>
      <formula2>0.958333333333333</formula2>
    </dataValidation>
  </dataValidations>
  <pageMargins left="0.7" right="0.53156250000000005" top="1.6752083333333334" bottom="0.28125" header="0.47125" footer="0.3"/>
  <pageSetup paperSize="9" scale="87" orientation="portrait" r:id="rId1"/>
  <headerFooter>
    <oddHeader>&amp;L&amp;"BO Regular Bold,Fett"&amp;12Stundennachweis&amp;"-,Standard"&amp;10
&amp;"BO Regular Normal,Standard"nach §17 MiLoG
für SHK, WHK, studentische Aushilfskräfte TV-L 
und geringfügig Beschäftigte&amp;R&amp;G</oddHeader>
  </headerFooter>
  <ignoredErrors>
    <ignoredError sqref="K51:L51 C1:F7 K20:L50" unlockedFormula="1"/>
  </ignoredErrors>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13313" r:id="rId5" name="Check Box 1">
              <controlPr locked="0" defaultSize="0" autoFill="0" autoLine="0" autoPict="0">
                <anchor moveWithCells="1">
                  <from>
                    <xdr:col>7</xdr:col>
                    <xdr:colOff>314325</xdr:colOff>
                    <xdr:row>1</xdr:row>
                    <xdr:rowOff>57150</xdr:rowOff>
                  </from>
                  <to>
                    <xdr:col>10</xdr:col>
                    <xdr:colOff>200025</xdr:colOff>
                    <xdr:row>3</xdr:row>
                    <xdr:rowOff>47625</xdr:rowOff>
                  </to>
                </anchor>
              </controlPr>
            </control>
          </mc:Choice>
        </mc:AlternateContent>
        <mc:AlternateContent xmlns:mc="http://schemas.openxmlformats.org/markup-compatibility/2006">
          <mc:Choice Requires="x14">
            <control shapeId="13314" r:id="rId6" name="Check Box 2">
              <controlPr locked="0" defaultSize="0" autoFill="0" autoLine="0" autoPict="0">
                <anchor moveWithCells="1">
                  <from>
                    <xdr:col>7</xdr:col>
                    <xdr:colOff>314325</xdr:colOff>
                    <xdr:row>3</xdr:row>
                    <xdr:rowOff>66675</xdr:rowOff>
                  </from>
                  <to>
                    <xdr:col>9</xdr:col>
                    <xdr:colOff>685800</xdr:colOff>
                    <xdr:row>5</xdr:row>
                    <xdr:rowOff>38100</xdr:rowOff>
                  </to>
                </anchor>
              </controlPr>
            </control>
          </mc:Choice>
        </mc:AlternateContent>
        <mc:AlternateContent xmlns:mc="http://schemas.openxmlformats.org/markup-compatibility/2006">
          <mc:Choice Requires="x14">
            <control shapeId="13315" r:id="rId7" name="Check Box 3">
              <controlPr locked="0" defaultSize="0" autoFill="0" autoLine="0" autoPict="0">
                <anchor moveWithCells="1">
                  <from>
                    <xdr:col>7</xdr:col>
                    <xdr:colOff>314325</xdr:colOff>
                    <xdr:row>5</xdr:row>
                    <xdr:rowOff>66675</xdr:rowOff>
                  </from>
                  <to>
                    <xdr:col>9</xdr:col>
                    <xdr:colOff>742950</xdr:colOff>
                    <xdr:row>7</xdr:row>
                    <xdr:rowOff>28575</xdr:rowOff>
                  </to>
                </anchor>
              </controlPr>
            </control>
          </mc:Choice>
        </mc:AlternateContent>
        <mc:AlternateContent xmlns:mc="http://schemas.openxmlformats.org/markup-compatibility/2006">
          <mc:Choice Requires="x14">
            <control shapeId="13316" r:id="rId8" name="Check Box 4">
              <controlPr locked="0" defaultSize="0" autoFill="0" autoLine="0" autoPict="0">
                <anchor moveWithCells="1">
                  <from>
                    <xdr:col>7</xdr:col>
                    <xdr:colOff>314325</xdr:colOff>
                    <xdr:row>7</xdr:row>
                    <xdr:rowOff>66675</xdr:rowOff>
                  </from>
                  <to>
                    <xdr:col>9</xdr:col>
                    <xdr:colOff>657225</xdr:colOff>
                    <xdr:row>9</xdr:row>
                    <xdr:rowOff>38100</xdr:rowOff>
                  </to>
                </anchor>
              </controlPr>
            </control>
          </mc:Choice>
        </mc:AlternateContent>
        <mc:AlternateContent xmlns:mc="http://schemas.openxmlformats.org/markup-compatibility/2006">
          <mc:Choice Requires="x14">
            <control shapeId="13317" r:id="rId9" name="Check Box 5">
              <controlPr locked="0" defaultSize="0" autoFill="0" autoLine="0" autoPict="0">
                <anchor moveWithCells="1">
                  <from>
                    <xdr:col>7</xdr:col>
                    <xdr:colOff>314325</xdr:colOff>
                    <xdr:row>9</xdr:row>
                    <xdr:rowOff>66675</xdr:rowOff>
                  </from>
                  <to>
                    <xdr:col>9</xdr:col>
                    <xdr:colOff>657225</xdr:colOff>
                    <xdr:row>11</xdr:row>
                    <xdr:rowOff>38100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2" operator="containsText" id="{9F8316B6-DFFE-4D72-9133-5071DAD96FE7}">
            <xm:f>NOT(ISERROR(SEARCH("45 min. Pause erforderlich",K20)))</xm:f>
            <xm:f>"45 min. Pause erforderlich"</xm:f>
            <x14:dxf>
              <font>
                <b/>
                <i val="0"/>
                <color rgb="FFA50021"/>
              </font>
            </x14:dxf>
          </x14:cfRule>
          <xm:sqref>K20:L50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vt:i4>
      </vt:variant>
    </vt:vector>
  </HeadingPairs>
  <TitlesOfParts>
    <vt:vector size="14" baseType="lpstr">
      <vt:lpstr>Blatt 1</vt:lpstr>
      <vt:lpstr>Blatt 2</vt:lpstr>
      <vt:lpstr>Blatt 3</vt:lpstr>
      <vt:lpstr>Blatt 4</vt:lpstr>
      <vt:lpstr>Blatt 5</vt:lpstr>
      <vt:lpstr>Blatt 6</vt:lpstr>
      <vt:lpstr>Blatt 7</vt:lpstr>
      <vt:lpstr>Blatt 8</vt:lpstr>
      <vt:lpstr>Blatt 9</vt:lpstr>
      <vt:lpstr>Blatt 10</vt:lpstr>
      <vt:lpstr>Blatt 11</vt:lpstr>
      <vt:lpstr>Blatt 12</vt:lpstr>
      <vt:lpstr>Leitfaden</vt:lpstr>
      <vt:lpstr>Gültig_vom</vt:lpstr>
    </vt:vector>
  </TitlesOfParts>
  <Company>Hochschule Bochum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Witowski, Sarah</dc:creator>
  <cp:lastModifiedBy>Mosdzen, Melanie</cp:lastModifiedBy>
  <cp:lastPrinted>2016-07-27T09:29:35Z</cp:lastPrinted>
  <dcterms:created xsi:type="dcterms:W3CDTF">2015-08-13T07:59:19Z</dcterms:created>
  <dcterms:modified xsi:type="dcterms:W3CDTF">2019-06-04T10:02:25Z</dcterms:modified>
</cp:coreProperties>
</file>