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ACAD82A-8E34-4F66-B281-61DC371B2AB8}" xr6:coauthVersionLast="47" xr6:coauthVersionMax="47" xr10:uidLastSave="{00000000-0000-0000-0000-000000000000}"/>
  <bookViews>
    <workbookView xWindow="780" yWindow="780" windowWidth="15375" windowHeight="7875" firstSheet="21" activeTab="23" xr2:uid="{AB1379DA-6ABD-4F9D-875D-18473FFDA5D7}"/>
  </bookViews>
  <sheets>
    <sheet name="LAB" sheetId="1" r:id="rId1"/>
    <sheet name="C-8" sheetId="2" r:id="rId2"/>
    <sheet name="P-2+STORE" sheetId="3" r:id="rId3"/>
    <sheet name="P-1" sheetId="4" r:id="rId4"/>
    <sheet name="ROUTINE CHECK UP ROOM" sheetId="5" r:id="rId5"/>
    <sheet name="HELP DESK" sheetId="6" r:id="rId6"/>
    <sheet name="STORE-2" sheetId="7" r:id="rId7"/>
    <sheet name="FEMALE TOILET" sheetId="8" r:id="rId8"/>
    <sheet name="MALE TOILET" sheetId="9" r:id="rId9"/>
    <sheet name="MEDICAL STORE-1" sheetId="10" r:id="rId10"/>
    <sheet name="STAFF ROOM" sheetId="11" r:id="rId11"/>
    <sheet name="FIRST AID ROOM" sheetId="12" r:id="rId12"/>
    <sheet name="CLERK ROOM" sheetId="13" r:id="rId13"/>
    <sheet name="C-1" sheetId="14" r:id="rId14"/>
    <sheet name="C-2" sheetId="15" r:id="rId15"/>
    <sheet name="C-3" sheetId="16" r:id="rId16"/>
    <sheet name="C-4" sheetId="17" r:id="rId17"/>
    <sheet name="C-6" sheetId="18" r:id="rId18"/>
    <sheet name="C-7" sheetId="20" r:id="rId19"/>
    <sheet name="E-2" sheetId="21" r:id="rId20"/>
    <sheet name="E-3" sheetId="22" r:id="rId21"/>
    <sheet name="E-4" sheetId="23" r:id="rId22"/>
    <sheet name="E-5" sheetId="24" r:id="rId23"/>
    <sheet name="STORAGE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4" l="1"/>
  <c r="D30" i="4"/>
  <c r="E30" i="4"/>
  <c r="D30" i="8" l="1"/>
  <c r="D29" i="9"/>
  <c r="E29" i="25"/>
  <c r="E28" i="25"/>
  <c r="D29" i="25"/>
  <c r="D28" i="25"/>
  <c r="C29" i="25"/>
  <c r="C28" i="25"/>
  <c r="L21" i="25"/>
  <c r="J21" i="25"/>
  <c r="H21" i="25"/>
  <c r="U11" i="25"/>
  <c r="Q11" i="25"/>
  <c r="M11" i="25"/>
  <c r="E33" i="24"/>
  <c r="E32" i="24"/>
  <c r="D33" i="24"/>
  <c r="D32" i="24"/>
  <c r="C33" i="24"/>
  <c r="C32" i="24"/>
  <c r="L24" i="24"/>
  <c r="J24" i="24"/>
  <c r="H24" i="24"/>
  <c r="E33" i="23"/>
  <c r="E32" i="23"/>
  <c r="D33" i="23"/>
  <c r="D32" i="23"/>
  <c r="C33" i="23"/>
  <c r="C32" i="23"/>
  <c r="L24" i="23"/>
  <c r="J24" i="23"/>
  <c r="H24" i="23"/>
  <c r="U11" i="23"/>
  <c r="Q11" i="23"/>
  <c r="M11" i="23"/>
  <c r="E34" i="22"/>
  <c r="E33" i="22"/>
  <c r="D34" i="22"/>
  <c r="D33" i="22"/>
  <c r="C34" i="22"/>
  <c r="C33" i="22"/>
  <c r="L26" i="22"/>
  <c r="J26" i="22"/>
  <c r="H26" i="22"/>
  <c r="U11" i="22"/>
  <c r="Q11" i="22"/>
  <c r="M11" i="22"/>
  <c r="E33" i="21"/>
  <c r="E32" i="21"/>
  <c r="D33" i="21"/>
  <c r="D32" i="21"/>
  <c r="C33" i="21"/>
  <c r="C32" i="21"/>
  <c r="L25" i="21"/>
  <c r="J25" i="21"/>
  <c r="H25" i="21"/>
  <c r="U11" i="21"/>
  <c r="Q11" i="21"/>
  <c r="M11" i="21"/>
  <c r="E33" i="20"/>
  <c r="E32" i="20"/>
  <c r="D33" i="20"/>
  <c r="D32" i="20"/>
  <c r="C33" i="20"/>
  <c r="C32" i="20"/>
  <c r="L24" i="20"/>
  <c r="J24" i="20"/>
  <c r="H24" i="20"/>
  <c r="U11" i="20"/>
  <c r="Q11" i="20"/>
  <c r="M11" i="20"/>
  <c r="E32" i="18"/>
  <c r="E31" i="18"/>
  <c r="D32" i="18"/>
  <c r="D31" i="18"/>
  <c r="C32" i="18"/>
  <c r="C31" i="18"/>
  <c r="L24" i="18"/>
  <c r="J24" i="18"/>
  <c r="H24" i="18"/>
  <c r="U11" i="18"/>
  <c r="Q11" i="18"/>
  <c r="M11" i="18"/>
  <c r="E33" i="17"/>
  <c r="E32" i="17"/>
  <c r="D33" i="17"/>
  <c r="D32" i="17"/>
  <c r="C33" i="17"/>
  <c r="C32" i="17"/>
  <c r="L24" i="17"/>
  <c r="J24" i="17"/>
  <c r="H24" i="17"/>
  <c r="E32" i="16"/>
  <c r="U11" i="16"/>
  <c r="E31" i="16"/>
  <c r="D32" i="16"/>
  <c r="D31" i="16"/>
  <c r="C32" i="16"/>
  <c r="C31" i="16"/>
  <c r="L24" i="16"/>
  <c r="J24" i="16"/>
  <c r="H24" i="16"/>
  <c r="Q11" i="16"/>
  <c r="M11" i="16"/>
  <c r="E34" i="15"/>
  <c r="E33" i="15"/>
  <c r="D34" i="15"/>
  <c r="D33" i="15"/>
  <c r="C34" i="15"/>
  <c r="C33" i="15"/>
  <c r="L24" i="15"/>
  <c r="J24" i="15"/>
  <c r="H24" i="15"/>
  <c r="E32" i="14"/>
  <c r="E31" i="14"/>
  <c r="D32" i="14"/>
  <c r="D31" i="14"/>
  <c r="C32" i="14"/>
  <c r="C31" i="14"/>
  <c r="L24" i="14"/>
  <c r="J24" i="14"/>
  <c r="H24" i="14"/>
  <c r="U11" i="14"/>
  <c r="Q11" i="14"/>
  <c r="M11" i="14"/>
  <c r="E31" i="13"/>
  <c r="E30" i="13"/>
  <c r="D31" i="13"/>
  <c r="D30" i="13"/>
  <c r="C31" i="13"/>
  <c r="C30" i="13"/>
  <c r="L21" i="13"/>
  <c r="J21" i="13"/>
  <c r="H21" i="13"/>
  <c r="E35" i="12"/>
  <c r="E34" i="12"/>
  <c r="D35" i="12"/>
  <c r="D34" i="12"/>
  <c r="C34" i="12"/>
  <c r="C35" i="12"/>
  <c r="L25" i="12"/>
  <c r="J25" i="12"/>
  <c r="H25" i="12"/>
  <c r="E36" i="11"/>
  <c r="E35" i="11"/>
  <c r="D36" i="11"/>
  <c r="D35" i="11"/>
  <c r="C36" i="11"/>
  <c r="C35" i="11"/>
  <c r="L23" i="11"/>
  <c r="J23" i="11"/>
  <c r="H23" i="11"/>
  <c r="U11" i="11"/>
  <c r="Q11" i="11"/>
  <c r="M11" i="11"/>
  <c r="E31" i="10"/>
  <c r="E30" i="10"/>
  <c r="D31" i="10"/>
  <c r="D30" i="10"/>
  <c r="C31" i="10"/>
  <c r="C30" i="10"/>
  <c r="L22" i="10"/>
  <c r="J22" i="10"/>
  <c r="H22" i="10"/>
  <c r="U11" i="10"/>
  <c r="Q11" i="10"/>
  <c r="M11" i="10"/>
  <c r="E29" i="9"/>
  <c r="E28" i="9"/>
  <c r="D28" i="9"/>
  <c r="C28" i="9"/>
  <c r="C29" i="9"/>
  <c r="L19" i="9"/>
  <c r="J19" i="9"/>
  <c r="H19" i="9"/>
  <c r="E30" i="8"/>
  <c r="E29" i="8"/>
  <c r="D29" i="8"/>
  <c r="C30" i="8"/>
  <c r="I26" i="8"/>
  <c r="I25" i="8"/>
  <c r="C29" i="8"/>
  <c r="L21" i="8"/>
  <c r="H21" i="8"/>
  <c r="J21" i="8" s="1"/>
  <c r="E32" i="7"/>
  <c r="E31" i="7"/>
  <c r="D32" i="7"/>
  <c r="D31" i="7"/>
  <c r="C32" i="7"/>
  <c r="C31" i="7"/>
  <c r="L21" i="7"/>
  <c r="J21" i="7"/>
  <c r="J17" i="7"/>
  <c r="H21" i="7"/>
  <c r="U11" i="7"/>
  <c r="Q11" i="7"/>
  <c r="M11" i="7"/>
  <c r="E33" i="6"/>
  <c r="E32" i="6"/>
  <c r="D33" i="6"/>
  <c r="D32" i="6"/>
  <c r="C33" i="6"/>
  <c r="C32" i="6"/>
  <c r="L22" i="6"/>
  <c r="J22" i="6"/>
  <c r="H22" i="6"/>
  <c r="U11" i="6"/>
  <c r="Q11" i="6"/>
  <c r="M11" i="6"/>
  <c r="E33" i="5"/>
  <c r="E32" i="5"/>
  <c r="D33" i="5"/>
  <c r="D32" i="5"/>
  <c r="C33" i="5"/>
  <c r="C32" i="5"/>
  <c r="L22" i="5"/>
  <c r="J22" i="5"/>
  <c r="H22" i="5"/>
  <c r="U10" i="5"/>
  <c r="Q10" i="5"/>
  <c r="M10" i="5"/>
  <c r="E31" i="4"/>
  <c r="D31" i="4"/>
  <c r="C31" i="4"/>
  <c r="I25" i="4"/>
  <c r="L20" i="4"/>
  <c r="J20" i="4"/>
  <c r="H20" i="4"/>
  <c r="U10" i="4"/>
  <c r="Q10" i="4"/>
  <c r="M10" i="4"/>
  <c r="E32" i="3"/>
  <c r="E31" i="3"/>
  <c r="D32" i="3"/>
  <c r="D31" i="3"/>
  <c r="C32" i="3"/>
  <c r="C31" i="3"/>
  <c r="L21" i="3"/>
  <c r="J21" i="3"/>
  <c r="H21" i="3"/>
  <c r="D12" i="3"/>
  <c r="E29" i="2"/>
  <c r="E28" i="2"/>
  <c r="D29" i="2"/>
  <c r="D28" i="2"/>
  <c r="C29" i="2"/>
  <c r="C28" i="2"/>
  <c r="E36" i="1"/>
  <c r="E35" i="1"/>
  <c r="D36" i="1"/>
  <c r="D35" i="1"/>
  <c r="C36" i="1"/>
  <c r="C35" i="1"/>
  <c r="L20" i="2"/>
  <c r="J20" i="2"/>
  <c r="U10" i="2"/>
  <c r="Q10" i="2"/>
  <c r="M10" i="2"/>
  <c r="H25" i="25"/>
  <c r="E25" i="25"/>
  <c r="F25" i="25" s="1"/>
  <c r="I25" i="25" s="1"/>
  <c r="G24" i="25"/>
  <c r="E24" i="25"/>
  <c r="F24" i="25" s="1"/>
  <c r="I24" i="25" s="1"/>
  <c r="H29" i="24"/>
  <c r="E29" i="24"/>
  <c r="F29" i="24" s="1"/>
  <c r="G28" i="24"/>
  <c r="E28" i="24"/>
  <c r="F28" i="24" s="1"/>
  <c r="I28" i="24" s="1"/>
  <c r="H28" i="23"/>
  <c r="E28" i="23"/>
  <c r="F28" i="23" s="1"/>
  <c r="I28" i="23" s="1"/>
  <c r="G27" i="23"/>
  <c r="E27" i="23"/>
  <c r="F27" i="23" s="1"/>
  <c r="I27" i="23" s="1"/>
  <c r="H30" i="22"/>
  <c r="E30" i="22"/>
  <c r="F30" i="22" s="1"/>
  <c r="I30" i="22" s="1"/>
  <c r="G29" i="22"/>
  <c r="E29" i="22"/>
  <c r="F29" i="22" s="1"/>
  <c r="I29" i="22" s="1"/>
  <c r="H29" i="21"/>
  <c r="E29" i="21"/>
  <c r="F29" i="21" s="1"/>
  <c r="I29" i="21" s="1"/>
  <c r="G28" i="21"/>
  <c r="E28" i="21"/>
  <c r="F28" i="21" s="1"/>
  <c r="I28" i="21" s="1"/>
  <c r="H28" i="20"/>
  <c r="E28" i="20"/>
  <c r="F28" i="20" s="1"/>
  <c r="I28" i="20" s="1"/>
  <c r="G27" i="20"/>
  <c r="E27" i="20"/>
  <c r="F27" i="20" s="1"/>
  <c r="I27" i="20" s="1"/>
  <c r="H28" i="18"/>
  <c r="E28" i="18"/>
  <c r="F28" i="18" s="1"/>
  <c r="I28" i="18" s="1"/>
  <c r="G27" i="18"/>
  <c r="E27" i="18"/>
  <c r="F27" i="18" s="1"/>
  <c r="I27" i="18" s="1"/>
  <c r="H29" i="17"/>
  <c r="E29" i="17"/>
  <c r="F29" i="17" s="1"/>
  <c r="G28" i="17"/>
  <c r="E28" i="17"/>
  <c r="F28" i="17" s="1"/>
  <c r="I28" i="17" s="1"/>
  <c r="H28" i="16"/>
  <c r="E28" i="16"/>
  <c r="F28" i="16" s="1"/>
  <c r="G27" i="16"/>
  <c r="E27" i="16"/>
  <c r="F27" i="16" s="1"/>
  <c r="I27" i="16" s="1"/>
  <c r="H29" i="15"/>
  <c r="E29" i="15"/>
  <c r="F29" i="15" s="1"/>
  <c r="I29" i="15" s="1"/>
  <c r="G28" i="15"/>
  <c r="E28" i="15"/>
  <c r="F28" i="15" s="1"/>
  <c r="H28" i="14"/>
  <c r="E28" i="14"/>
  <c r="F28" i="14" s="1"/>
  <c r="I28" i="14" s="1"/>
  <c r="G27" i="14"/>
  <c r="E27" i="14"/>
  <c r="F27" i="14" s="1"/>
  <c r="I27" i="14" s="1"/>
  <c r="H26" i="13"/>
  <c r="E26" i="13"/>
  <c r="F26" i="13" s="1"/>
  <c r="I26" i="13" s="1"/>
  <c r="G25" i="13"/>
  <c r="E25" i="13"/>
  <c r="F25" i="13" s="1"/>
  <c r="H30" i="12"/>
  <c r="E30" i="12"/>
  <c r="F30" i="12" s="1"/>
  <c r="G29" i="12"/>
  <c r="E29" i="12"/>
  <c r="F29" i="12" s="1"/>
  <c r="I29" i="12" s="1"/>
  <c r="H31" i="11"/>
  <c r="E31" i="11"/>
  <c r="F31" i="11" s="1"/>
  <c r="G30" i="11"/>
  <c r="E30" i="11"/>
  <c r="F30" i="11" s="1"/>
  <c r="I30" i="11" s="1"/>
  <c r="H26" i="10"/>
  <c r="E26" i="10"/>
  <c r="F26" i="10" s="1"/>
  <c r="G25" i="10"/>
  <c r="E25" i="10"/>
  <c r="F25" i="10" s="1"/>
  <c r="I25" i="10" s="1"/>
  <c r="H24" i="9"/>
  <c r="E24" i="9"/>
  <c r="F24" i="9" s="1"/>
  <c r="I24" i="9" s="1"/>
  <c r="G23" i="9"/>
  <c r="E23" i="9"/>
  <c r="F23" i="9" s="1"/>
  <c r="I23" i="9" s="1"/>
  <c r="H26" i="8"/>
  <c r="E26" i="8"/>
  <c r="F26" i="8" s="1"/>
  <c r="G25" i="8"/>
  <c r="E25" i="8"/>
  <c r="F25" i="8" s="1"/>
  <c r="H27" i="7"/>
  <c r="E27" i="7"/>
  <c r="F27" i="7" s="1"/>
  <c r="I27" i="7" s="1"/>
  <c r="G26" i="7"/>
  <c r="E26" i="7"/>
  <c r="F26" i="7" s="1"/>
  <c r="I26" i="7" s="1"/>
  <c r="H28" i="6"/>
  <c r="E28" i="6"/>
  <c r="F28" i="6" s="1"/>
  <c r="I28" i="6" s="1"/>
  <c r="G27" i="6"/>
  <c r="E27" i="6"/>
  <c r="F27" i="6" s="1"/>
  <c r="I27" i="6" s="1"/>
  <c r="H28" i="5"/>
  <c r="E28" i="5"/>
  <c r="F28" i="5" s="1"/>
  <c r="I28" i="5" s="1"/>
  <c r="G27" i="5"/>
  <c r="E27" i="5"/>
  <c r="F27" i="5" s="1"/>
  <c r="I27" i="5" s="1"/>
  <c r="H26" i="4"/>
  <c r="E26" i="4"/>
  <c r="F26" i="4" s="1"/>
  <c r="G25" i="4"/>
  <c r="E25" i="4"/>
  <c r="F25" i="4" s="1"/>
  <c r="H27" i="3"/>
  <c r="E27" i="3"/>
  <c r="F27" i="3" s="1"/>
  <c r="I27" i="3" s="1"/>
  <c r="G26" i="3"/>
  <c r="E26" i="3"/>
  <c r="F26" i="3" s="1"/>
  <c r="H24" i="2"/>
  <c r="E24" i="2"/>
  <c r="F24" i="2" s="1"/>
  <c r="I24" i="2" s="1"/>
  <c r="G23" i="2"/>
  <c r="E23" i="2"/>
  <c r="F23" i="2" s="1"/>
  <c r="I23" i="2" s="1"/>
  <c r="E30" i="1"/>
  <c r="F30" i="1" s="1"/>
  <c r="H30" i="1"/>
  <c r="G29" i="1"/>
  <c r="E29" i="1"/>
  <c r="F29" i="1" s="1"/>
  <c r="I29" i="1" s="1"/>
  <c r="F5" i="14"/>
  <c r="F4" i="14"/>
  <c r="L22" i="11"/>
  <c r="J22" i="11"/>
  <c r="H22" i="11"/>
  <c r="M10" i="25"/>
  <c r="L20" i="25"/>
  <c r="J20" i="25"/>
  <c r="H20" i="25"/>
  <c r="L19" i="25"/>
  <c r="J19" i="25"/>
  <c r="H19" i="25"/>
  <c r="L18" i="25"/>
  <c r="J18" i="25"/>
  <c r="H18" i="25"/>
  <c r="L17" i="25"/>
  <c r="J17" i="25"/>
  <c r="H17" i="25"/>
  <c r="D16" i="25"/>
  <c r="Q10" i="25"/>
  <c r="H10" i="25"/>
  <c r="F10" i="25"/>
  <c r="U10" i="25" s="1"/>
  <c r="Q9" i="25"/>
  <c r="M9" i="25"/>
  <c r="J9" i="25"/>
  <c r="F9" i="25"/>
  <c r="J8" i="25"/>
  <c r="F8" i="25"/>
  <c r="U8" i="25" s="1"/>
  <c r="J7" i="25"/>
  <c r="F7" i="25"/>
  <c r="U7" i="25" s="1"/>
  <c r="J6" i="25"/>
  <c r="M6" i="25" s="1"/>
  <c r="F6" i="25"/>
  <c r="U6" i="25" s="1"/>
  <c r="R5" i="25"/>
  <c r="S5" i="25" s="1"/>
  <c r="N5" i="25"/>
  <c r="O5" i="25" s="1"/>
  <c r="J5" i="25"/>
  <c r="K5" i="25" s="1"/>
  <c r="M5" i="25" s="1"/>
  <c r="F5" i="25"/>
  <c r="F4" i="25"/>
  <c r="U4" i="25" s="1"/>
  <c r="H10" i="24"/>
  <c r="F9" i="24"/>
  <c r="Q9" i="24" s="1"/>
  <c r="F9" i="23"/>
  <c r="L23" i="24"/>
  <c r="J23" i="24"/>
  <c r="H23" i="24"/>
  <c r="L22" i="24"/>
  <c r="J22" i="24"/>
  <c r="H22" i="24"/>
  <c r="L21" i="24"/>
  <c r="J21" i="24"/>
  <c r="H21" i="24"/>
  <c r="L20" i="24"/>
  <c r="J20" i="24"/>
  <c r="H20" i="24"/>
  <c r="L19" i="24"/>
  <c r="J19" i="24"/>
  <c r="H19" i="24"/>
  <c r="L18" i="24"/>
  <c r="J18" i="24"/>
  <c r="H18" i="24"/>
  <c r="D17" i="24"/>
  <c r="F10" i="24"/>
  <c r="J9" i="24"/>
  <c r="J8" i="24"/>
  <c r="F8" i="24"/>
  <c r="U8" i="24" s="1"/>
  <c r="J7" i="24"/>
  <c r="F7" i="24"/>
  <c r="U7" i="24" s="1"/>
  <c r="S6" i="24"/>
  <c r="R6" i="24"/>
  <c r="N6" i="24"/>
  <c r="O6" i="24" s="1"/>
  <c r="J6" i="24"/>
  <c r="K6" i="24" s="1"/>
  <c r="F6" i="24"/>
  <c r="R5" i="24"/>
  <c r="S5" i="24" s="1"/>
  <c r="N5" i="24"/>
  <c r="O5" i="24" s="1"/>
  <c r="J5" i="24"/>
  <c r="K5" i="24" s="1"/>
  <c r="M5" i="24" s="1"/>
  <c r="F5" i="24"/>
  <c r="U5" i="24" s="1"/>
  <c r="F4" i="24"/>
  <c r="C17" i="24" s="1"/>
  <c r="H18" i="23"/>
  <c r="L23" i="23"/>
  <c r="J23" i="23"/>
  <c r="H23" i="23"/>
  <c r="L22" i="23"/>
  <c r="J22" i="23"/>
  <c r="H22" i="23"/>
  <c r="L21" i="23"/>
  <c r="J21" i="23"/>
  <c r="H21" i="23"/>
  <c r="L20" i="23"/>
  <c r="J20" i="23"/>
  <c r="H20" i="23"/>
  <c r="L19" i="23"/>
  <c r="J19" i="23"/>
  <c r="H19" i="23"/>
  <c r="L18" i="23"/>
  <c r="J18" i="23"/>
  <c r="L17" i="23"/>
  <c r="J17" i="23"/>
  <c r="H17" i="23"/>
  <c r="D16" i="23"/>
  <c r="C16" i="23"/>
  <c r="H16" i="23" s="1"/>
  <c r="H10" i="23"/>
  <c r="F10" i="23"/>
  <c r="U10" i="23" s="1"/>
  <c r="J9" i="23"/>
  <c r="Q9" i="23"/>
  <c r="J8" i="23"/>
  <c r="F8" i="23"/>
  <c r="U8" i="23" s="1"/>
  <c r="M7" i="23"/>
  <c r="J7" i="23"/>
  <c r="F7" i="23"/>
  <c r="U7" i="23" s="1"/>
  <c r="J6" i="23"/>
  <c r="F6" i="23"/>
  <c r="Q6" i="23" s="1"/>
  <c r="R5" i="23"/>
  <c r="S5" i="23" s="1"/>
  <c r="N5" i="23"/>
  <c r="O5" i="23" s="1"/>
  <c r="Q5" i="23" s="1"/>
  <c r="J5" i="23"/>
  <c r="K5" i="23" s="1"/>
  <c r="F5" i="23"/>
  <c r="M5" i="23" s="1"/>
  <c r="M4" i="23"/>
  <c r="F4" i="23"/>
  <c r="U4" i="23" s="1"/>
  <c r="L25" i="22"/>
  <c r="J25" i="22"/>
  <c r="H25" i="22"/>
  <c r="L24" i="22"/>
  <c r="J24" i="22"/>
  <c r="H24" i="22"/>
  <c r="L23" i="22"/>
  <c r="J23" i="22"/>
  <c r="H23" i="22"/>
  <c r="L22" i="22"/>
  <c r="J22" i="22"/>
  <c r="H22" i="22"/>
  <c r="L21" i="22"/>
  <c r="J21" i="22"/>
  <c r="H21" i="22"/>
  <c r="L20" i="22"/>
  <c r="J20" i="22"/>
  <c r="H20" i="22"/>
  <c r="L19" i="22"/>
  <c r="J19" i="22"/>
  <c r="H19" i="22"/>
  <c r="L18" i="22"/>
  <c r="J18" i="22"/>
  <c r="H18" i="22"/>
  <c r="D17" i="22"/>
  <c r="H10" i="22"/>
  <c r="F10" i="22"/>
  <c r="U10" i="22" s="1"/>
  <c r="J9" i="22"/>
  <c r="M9" i="22" s="1"/>
  <c r="F9" i="22"/>
  <c r="Q9" i="22" s="1"/>
  <c r="Q8" i="22"/>
  <c r="J8" i="22"/>
  <c r="F8" i="22"/>
  <c r="M8" i="22" s="1"/>
  <c r="J7" i="22"/>
  <c r="F7" i="22"/>
  <c r="Q7" i="22" s="1"/>
  <c r="J6" i="22"/>
  <c r="F6" i="22"/>
  <c r="U6" i="22" s="1"/>
  <c r="R5" i="22"/>
  <c r="S5" i="22" s="1"/>
  <c r="N5" i="22"/>
  <c r="O5" i="22" s="1"/>
  <c r="K5" i="22"/>
  <c r="J5" i="22"/>
  <c r="F5" i="22"/>
  <c r="M5" i="22" s="1"/>
  <c r="Q4" i="22"/>
  <c r="F4" i="22"/>
  <c r="C17" i="22" s="1"/>
  <c r="L20" i="21"/>
  <c r="L21" i="21"/>
  <c r="L22" i="21"/>
  <c r="L23" i="21"/>
  <c r="L24" i="21"/>
  <c r="L19" i="21"/>
  <c r="J20" i="21"/>
  <c r="J21" i="21"/>
  <c r="J22" i="21"/>
  <c r="J23" i="21"/>
  <c r="J24" i="21"/>
  <c r="J19" i="21"/>
  <c r="H20" i="21"/>
  <c r="H21" i="21"/>
  <c r="H22" i="21"/>
  <c r="H23" i="21"/>
  <c r="H24" i="21"/>
  <c r="H19" i="21"/>
  <c r="U10" i="14"/>
  <c r="Q10" i="18"/>
  <c r="U10" i="21"/>
  <c r="Q10" i="21"/>
  <c r="M10" i="21"/>
  <c r="H10" i="21"/>
  <c r="F9" i="21"/>
  <c r="Q9" i="21" s="1"/>
  <c r="R5" i="21"/>
  <c r="N5" i="21"/>
  <c r="O5" i="21" s="1"/>
  <c r="Q5" i="21" s="1"/>
  <c r="J5" i="21"/>
  <c r="K5" i="21" s="1"/>
  <c r="F5" i="21"/>
  <c r="J8" i="21"/>
  <c r="F8" i="21"/>
  <c r="U8" i="21" s="1"/>
  <c r="L18" i="21"/>
  <c r="J18" i="21"/>
  <c r="H18" i="21"/>
  <c r="L17" i="21"/>
  <c r="J17" i="21"/>
  <c r="H17" i="21"/>
  <c r="D16" i="21"/>
  <c r="F10" i="21"/>
  <c r="J9" i="21"/>
  <c r="J7" i="21"/>
  <c r="F7" i="21"/>
  <c r="U7" i="21" s="1"/>
  <c r="J6" i="21"/>
  <c r="F6" i="21"/>
  <c r="M6" i="21" s="1"/>
  <c r="S5" i="21"/>
  <c r="F4" i="21"/>
  <c r="U4" i="21" s="1"/>
  <c r="R5" i="20"/>
  <c r="S5" i="20" s="1"/>
  <c r="N5" i="20"/>
  <c r="O5" i="20" s="1"/>
  <c r="J5" i="20"/>
  <c r="K5" i="20" s="1"/>
  <c r="F5" i="20"/>
  <c r="L23" i="20"/>
  <c r="J23" i="20"/>
  <c r="H23" i="20"/>
  <c r="L22" i="20"/>
  <c r="J22" i="20"/>
  <c r="H22" i="20"/>
  <c r="L21" i="20"/>
  <c r="J21" i="20"/>
  <c r="H21" i="20"/>
  <c r="L20" i="20"/>
  <c r="J20" i="20"/>
  <c r="H20" i="20"/>
  <c r="L19" i="20"/>
  <c r="J19" i="20"/>
  <c r="H19" i="20"/>
  <c r="L18" i="20"/>
  <c r="J18" i="20"/>
  <c r="H18" i="20"/>
  <c r="D17" i="20"/>
  <c r="H10" i="20"/>
  <c r="U10" i="20" s="1"/>
  <c r="F10" i="20"/>
  <c r="Q10" i="20" s="1"/>
  <c r="J9" i="20"/>
  <c r="F9" i="20"/>
  <c r="Q9" i="20" s="1"/>
  <c r="J8" i="20"/>
  <c r="F8" i="20"/>
  <c r="U8" i="20" s="1"/>
  <c r="J7" i="20"/>
  <c r="F7" i="20"/>
  <c r="R6" i="20"/>
  <c r="S6" i="20" s="1"/>
  <c r="N6" i="20"/>
  <c r="O6" i="20" s="1"/>
  <c r="J6" i="20"/>
  <c r="K6" i="20" s="1"/>
  <c r="F6" i="20"/>
  <c r="F4" i="20"/>
  <c r="U4" i="20" s="1"/>
  <c r="L23" i="18"/>
  <c r="J23" i="18"/>
  <c r="H23" i="18"/>
  <c r="L22" i="18"/>
  <c r="J22" i="18"/>
  <c r="H22" i="18"/>
  <c r="L21" i="18"/>
  <c r="J21" i="18"/>
  <c r="H21" i="18"/>
  <c r="L20" i="18"/>
  <c r="J20" i="18"/>
  <c r="H20" i="18"/>
  <c r="L19" i="18"/>
  <c r="J19" i="18"/>
  <c r="H19" i="18"/>
  <c r="L18" i="18"/>
  <c r="J18" i="18"/>
  <c r="H18" i="18"/>
  <c r="D17" i="18"/>
  <c r="H10" i="18"/>
  <c r="F10" i="18"/>
  <c r="M10" i="18" s="1"/>
  <c r="J9" i="18"/>
  <c r="F9" i="18"/>
  <c r="Q9" i="18" s="1"/>
  <c r="J8" i="18"/>
  <c r="F8" i="18"/>
  <c r="U8" i="18" s="1"/>
  <c r="Q7" i="18"/>
  <c r="J7" i="18"/>
  <c r="F7" i="18"/>
  <c r="U7" i="18" s="1"/>
  <c r="Q6" i="18"/>
  <c r="J6" i="18"/>
  <c r="F6" i="18"/>
  <c r="S5" i="18"/>
  <c r="R5" i="18"/>
  <c r="O5" i="18"/>
  <c r="N5" i="18"/>
  <c r="J5" i="18"/>
  <c r="K5" i="18" s="1"/>
  <c r="F5" i="18"/>
  <c r="U5" i="18" s="1"/>
  <c r="M4" i="18"/>
  <c r="F4" i="18"/>
  <c r="U4" i="18" s="1"/>
  <c r="H19" i="17"/>
  <c r="L23" i="17"/>
  <c r="J23" i="17"/>
  <c r="H23" i="17"/>
  <c r="L22" i="17"/>
  <c r="J22" i="17"/>
  <c r="H22" i="17"/>
  <c r="L21" i="17"/>
  <c r="J21" i="17"/>
  <c r="H21" i="17"/>
  <c r="L20" i="17"/>
  <c r="J20" i="17"/>
  <c r="H20" i="17"/>
  <c r="L19" i="17"/>
  <c r="J19" i="17"/>
  <c r="L18" i="17"/>
  <c r="J18" i="17"/>
  <c r="H18" i="17"/>
  <c r="D17" i="17"/>
  <c r="H10" i="17"/>
  <c r="F10" i="17"/>
  <c r="Q10" i="17" s="1"/>
  <c r="J9" i="17"/>
  <c r="F9" i="17"/>
  <c r="Q9" i="17" s="1"/>
  <c r="J8" i="17"/>
  <c r="F8" i="17"/>
  <c r="U8" i="17" s="1"/>
  <c r="J7" i="17"/>
  <c r="F7" i="17"/>
  <c r="U7" i="17" s="1"/>
  <c r="J6" i="17"/>
  <c r="F6" i="17"/>
  <c r="M6" i="17" s="1"/>
  <c r="R5" i="17"/>
  <c r="S5" i="17" s="1"/>
  <c r="N5" i="17"/>
  <c r="O5" i="17" s="1"/>
  <c r="Q5" i="17" s="1"/>
  <c r="J5" i="17"/>
  <c r="K5" i="17" s="1"/>
  <c r="F5" i="17"/>
  <c r="M4" i="17"/>
  <c r="F4" i="17"/>
  <c r="U4" i="17" s="1"/>
  <c r="L23" i="16"/>
  <c r="J23" i="16"/>
  <c r="H23" i="16"/>
  <c r="L22" i="16"/>
  <c r="J22" i="16"/>
  <c r="H22" i="16"/>
  <c r="L21" i="16"/>
  <c r="J21" i="16"/>
  <c r="H21" i="16"/>
  <c r="L20" i="16"/>
  <c r="J20" i="16"/>
  <c r="H20" i="16"/>
  <c r="L19" i="16"/>
  <c r="J19" i="16"/>
  <c r="H19" i="16"/>
  <c r="L18" i="16"/>
  <c r="J18" i="16"/>
  <c r="H18" i="16"/>
  <c r="D17" i="16"/>
  <c r="H10" i="16"/>
  <c r="M10" i="16" s="1"/>
  <c r="F10" i="16"/>
  <c r="U10" i="16" s="1"/>
  <c r="J9" i="16"/>
  <c r="F9" i="16"/>
  <c r="Q9" i="16" s="1"/>
  <c r="J8" i="16"/>
  <c r="M8" i="16" s="1"/>
  <c r="F8" i="16"/>
  <c r="U8" i="16" s="1"/>
  <c r="J7" i="16"/>
  <c r="F7" i="16"/>
  <c r="U7" i="16" s="1"/>
  <c r="J6" i="16"/>
  <c r="F6" i="16"/>
  <c r="M6" i="16" s="1"/>
  <c r="R5" i="16"/>
  <c r="S5" i="16" s="1"/>
  <c r="U5" i="16" s="1"/>
  <c r="O5" i="16"/>
  <c r="N5" i="16"/>
  <c r="J5" i="16"/>
  <c r="K5" i="16" s="1"/>
  <c r="F5" i="16"/>
  <c r="M4" i="16"/>
  <c r="F4" i="16"/>
  <c r="U4" i="16" s="1"/>
  <c r="J8" i="15"/>
  <c r="F8" i="15"/>
  <c r="U8" i="15" s="1"/>
  <c r="L23" i="15"/>
  <c r="J23" i="15"/>
  <c r="H23" i="15"/>
  <c r="L22" i="15"/>
  <c r="J22" i="15"/>
  <c r="H22" i="15"/>
  <c r="L21" i="15"/>
  <c r="J21" i="15"/>
  <c r="H21" i="15"/>
  <c r="L20" i="15"/>
  <c r="J20" i="15"/>
  <c r="H20" i="15"/>
  <c r="L19" i="15"/>
  <c r="J19" i="15"/>
  <c r="H19" i="15"/>
  <c r="L18" i="15"/>
  <c r="J18" i="15"/>
  <c r="H18" i="15"/>
  <c r="D17" i="15"/>
  <c r="H10" i="15"/>
  <c r="F10" i="15"/>
  <c r="J9" i="15"/>
  <c r="F9" i="15"/>
  <c r="Q9" i="15" s="1"/>
  <c r="J7" i="15"/>
  <c r="F7" i="15"/>
  <c r="U7" i="15" s="1"/>
  <c r="J6" i="15"/>
  <c r="F6" i="15"/>
  <c r="U6" i="15" s="1"/>
  <c r="R5" i="15"/>
  <c r="S5" i="15" s="1"/>
  <c r="N5" i="15"/>
  <c r="O5" i="15" s="1"/>
  <c r="J5" i="15"/>
  <c r="K5" i="15" s="1"/>
  <c r="F5" i="15"/>
  <c r="F4" i="15"/>
  <c r="Q4" i="15" s="1"/>
  <c r="L21" i="14"/>
  <c r="L22" i="14"/>
  <c r="L23" i="14"/>
  <c r="L20" i="14"/>
  <c r="J21" i="14"/>
  <c r="J22" i="14"/>
  <c r="J23" i="14"/>
  <c r="J20" i="14"/>
  <c r="H21" i="14"/>
  <c r="H22" i="14"/>
  <c r="H23" i="14"/>
  <c r="H20" i="14"/>
  <c r="L19" i="14"/>
  <c r="J19" i="14"/>
  <c r="H19" i="14"/>
  <c r="H10" i="14"/>
  <c r="F9" i="14"/>
  <c r="Q9" i="14" s="1"/>
  <c r="F6" i="14"/>
  <c r="K6" i="14"/>
  <c r="R6" i="14"/>
  <c r="S6" i="14" s="1"/>
  <c r="N6" i="14"/>
  <c r="O6" i="14" s="1"/>
  <c r="J6" i="14"/>
  <c r="M4" i="14"/>
  <c r="L18" i="14"/>
  <c r="J18" i="14"/>
  <c r="H18" i="14"/>
  <c r="D17" i="14"/>
  <c r="F10" i="14"/>
  <c r="Q10" i="14" s="1"/>
  <c r="J9" i="14"/>
  <c r="J8" i="14"/>
  <c r="F8" i="14"/>
  <c r="M8" i="14" s="1"/>
  <c r="J7" i="14"/>
  <c r="F7" i="14"/>
  <c r="Q7" i="14" s="1"/>
  <c r="R5" i="14"/>
  <c r="N5" i="14"/>
  <c r="J5" i="14"/>
  <c r="U5" i="14"/>
  <c r="H11" i="13"/>
  <c r="L20" i="13"/>
  <c r="J20" i="13"/>
  <c r="H20" i="13"/>
  <c r="L19" i="13"/>
  <c r="J19" i="13"/>
  <c r="H19" i="13"/>
  <c r="D18" i="13"/>
  <c r="F11" i="13"/>
  <c r="Q11" i="13" s="1"/>
  <c r="Q10" i="13"/>
  <c r="J10" i="13"/>
  <c r="M10" i="13" s="1"/>
  <c r="Q9" i="13"/>
  <c r="J9" i="13"/>
  <c r="M9" i="13" s="1"/>
  <c r="F9" i="13"/>
  <c r="Q8" i="13"/>
  <c r="J8" i="13"/>
  <c r="M8" i="13" s="1"/>
  <c r="J7" i="13"/>
  <c r="F7" i="13"/>
  <c r="U7" i="13" s="1"/>
  <c r="J6" i="13"/>
  <c r="F6" i="13"/>
  <c r="M6" i="13" s="1"/>
  <c r="R5" i="13"/>
  <c r="S5" i="13" s="1"/>
  <c r="N5" i="13"/>
  <c r="O5" i="13" s="1"/>
  <c r="J5" i="13"/>
  <c r="K5" i="13" s="1"/>
  <c r="F5" i="13"/>
  <c r="F4" i="13"/>
  <c r="C18" i="13" s="1"/>
  <c r="L22" i="12"/>
  <c r="L23" i="12"/>
  <c r="L24" i="12"/>
  <c r="J22" i="12"/>
  <c r="J23" i="12"/>
  <c r="J24" i="12"/>
  <c r="H22" i="12"/>
  <c r="H23" i="12"/>
  <c r="H24" i="12"/>
  <c r="H11" i="12"/>
  <c r="F9" i="12"/>
  <c r="F7" i="12"/>
  <c r="U7" i="12" s="1"/>
  <c r="Q9" i="12"/>
  <c r="F5" i="12"/>
  <c r="R5" i="12"/>
  <c r="S5" i="12" s="1"/>
  <c r="N5" i="12"/>
  <c r="O5" i="12" s="1"/>
  <c r="J5" i="12"/>
  <c r="K5" i="12" s="1"/>
  <c r="L21" i="12"/>
  <c r="J21" i="12"/>
  <c r="H21" i="12"/>
  <c r="L20" i="12"/>
  <c r="J20" i="12"/>
  <c r="H20" i="12"/>
  <c r="L19" i="12"/>
  <c r="J19" i="12"/>
  <c r="H19" i="12"/>
  <c r="L18" i="12"/>
  <c r="J18" i="12"/>
  <c r="H18" i="12"/>
  <c r="D17" i="12"/>
  <c r="F11" i="12"/>
  <c r="Q10" i="12"/>
  <c r="J10" i="12"/>
  <c r="M10" i="12" s="1"/>
  <c r="J9" i="12"/>
  <c r="Q8" i="12"/>
  <c r="J8" i="12"/>
  <c r="M8" i="12" s="1"/>
  <c r="J7" i="12"/>
  <c r="J6" i="12"/>
  <c r="F6" i="12"/>
  <c r="U6" i="12" s="1"/>
  <c r="F4" i="12"/>
  <c r="C17" i="12" s="1"/>
  <c r="D17" i="11"/>
  <c r="H19" i="11"/>
  <c r="F8" i="11"/>
  <c r="F6" i="11"/>
  <c r="Q6" i="11" s="1"/>
  <c r="L21" i="11"/>
  <c r="J21" i="11"/>
  <c r="H21" i="11"/>
  <c r="L20" i="11"/>
  <c r="J20" i="11"/>
  <c r="H20" i="11"/>
  <c r="L19" i="11"/>
  <c r="J19" i="11"/>
  <c r="L18" i="11"/>
  <c r="J18" i="11"/>
  <c r="H18" i="11"/>
  <c r="M10" i="11"/>
  <c r="H10" i="11"/>
  <c r="F10" i="11"/>
  <c r="Q9" i="11"/>
  <c r="M9" i="11"/>
  <c r="J9" i="11"/>
  <c r="Q8" i="11"/>
  <c r="J8" i="11"/>
  <c r="M8" i="11" s="1"/>
  <c r="Q7" i="11"/>
  <c r="J7" i="11"/>
  <c r="M7" i="11" s="1"/>
  <c r="J6" i="11"/>
  <c r="J5" i="11"/>
  <c r="F5" i="11"/>
  <c r="U5" i="11" s="1"/>
  <c r="M4" i="11"/>
  <c r="F4" i="11"/>
  <c r="C17" i="11" s="1"/>
  <c r="L19" i="10"/>
  <c r="L21" i="10"/>
  <c r="J21" i="10"/>
  <c r="H21" i="10"/>
  <c r="L20" i="10"/>
  <c r="J20" i="10"/>
  <c r="H20" i="10"/>
  <c r="D17" i="10"/>
  <c r="M9" i="10"/>
  <c r="F6" i="10"/>
  <c r="J19" i="10"/>
  <c r="H19" i="10"/>
  <c r="L18" i="10"/>
  <c r="J18" i="10"/>
  <c r="H18" i="10"/>
  <c r="H10" i="10"/>
  <c r="F10" i="10"/>
  <c r="Q10" i="10" s="1"/>
  <c r="J9" i="10"/>
  <c r="Q9" i="10"/>
  <c r="Q8" i="10"/>
  <c r="J8" i="10"/>
  <c r="M8" i="10" s="1"/>
  <c r="Q7" i="10"/>
  <c r="J7" i="10"/>
  <c r="M7" i="10" s="1"/>
  <c r="J6" i="10"/>
  <c r="M6" i="10"/>
  <c r="J5" i="10"/>
  <c r="F5" i="10"/>
  <c r="Q5" i="10" s="1"/>
  <c r="F4" i="10"/>
  <c r="U4" i="10" s="1"/>
  <c r="L18" i="9"/>
  <c r="J18" i="9"/>
  <c r="H18" i="9"/>
  <c r="L17" i="9"/>
  <c r="J17" i="9"/>
  <c r="H17" i="9"/>
  <c r="D16" i="9"/>
  <c r="H10" i="9"/>
  <c r="F10" i="9"/>
  <c r="U10" i="9" s="1"/>
  <c r="J9" i="9"/>
  <c r="F9" i="9"/>
  <c r="Q9" i="9" s="1"/>
  <c r="Q8" i="9"/>
  <c r="M8" i="9"/>
  <c r="J8" i="9"/>
  <c r="Q7" i="9"/>
  <c r="J7" i="9"/>
  <c r="M7" i="9" s="1"/>
  <c r="J6" i="9"/>
  <c r="F6" i="9"/>
  <c r="U6" i="9" s="1"/>
  <c r="J5" i="9"/>
  <c r="F5" i="9"/>
  <c r="U5" i="9" s="1"/>
  <c r="U4" i="9"/>
  <c r="U11" i="9" s="1"/>
  <c r="F4" i="9"/>
  <c r="C16" i="9" s="1"/>
  <c r="D18" i="8"/>
  <c r="D17" i="7"/>
  <c r="D17" i="6"/>
  <c r="H10" i="8"/>
  <c r="F9" i="8"/>
  <c r="Q9" i="8" s="1"/>
  <c r="F6" i="8"/>
  <c r="Q6" i="8" s="1"/>
  <c r="F6" i="5"/>
  <c r="U6" i="5" s="1"/>
  <c r="F6" i="1"/>
  <c r="U6" i="1" s="1"/>
  <c r="F5" i="8"/>
  <c r="U5" i="8" s="1"/>
  <c r="L20" i="8"/>
  <c r="J20" i="8"/>
  <c r="H20" i="8"/>
  <c r="L19" i="8"/>
  <c r="J19" i="8"/>
  <c r="H19" i="8"/>
  <c r="F10" i="8"/>
  <c r="J9" i="8"/>
  <c r="J8" i="8"/>
  <c r="M8" i="8" s="1"/>
  <c r="Q7" i="8"/>
  <c r="J7" i="8"/>
  <c r="M7" i="8" s="1"/>
  <c r="J6" i="8"/>
  <c r="J5" i="8"/>
  <c r="F4" i="8"/>
  <c r="U4" i="8" s="1"/>
  <c r="H17" i="2"/>
  <c r="H18" i="2"/>
  <c r="H20" i="1"/>
  <c r="L19" i="7"/>
  <c r="J19" i="7"/>
  <c r="H19" i="7"/>
  <c r="L19" i="1"/>
  <c r="J19" i="1"/>
  <c r="H19" i="1" s="1"/>
  <c r="L18" i="5"/>
  <c r="J18" i="5"/>
  <c r="H18" i="5"/>
  <c r="H19" i="6"/>
  <c r="L19" i="6"/>
  <c r="J19" i="6"/>
  <c r="H10" i="7"/>
  <c r="F8" i="1"/>
  <c r="U8" i="1" s="1"/>
  <c r="F7" i="7"/>
  <c r="F8" i="6"/>
  <c r="Q8" i="6" s="1"/>
  <c r="H10" i="6"/>
  <c r="F6" i="6"/>
  <c r="Q6" i="6" s="1"/>
  <c r="J8" i="1"/>
  <c r="L20" i="7"/>
  <c r="J20" i="7"/>
  <c r="H20" i="7"/>
  <c r="L18" i="7"/>
  <c r="J18" i="7"/>
  <c r="H18" i="7"/>
  <c r="F10" i="7"/>
  <c r="J9" i="7"/>
  <c r="F9" i="7"/>
  <c r="M9" i="7" s="1"/>
  <c r="Q8" i="7"/>
  <c r="J8" i="7"/>
  <c r="F8" i="7"/>
  <c r="J7" i="7"/>
  <c r="J6" i="7"/>
  <c r="F6" i="7"/>
  <c r="Q6" i="7" s="1"/>
  <c r="U5" i="7"/>
  <c r="Q5" i="7"/>
  <c r="J5" i="7"/>
  <c r="M5" i="7" s="1"/>
  <c r="F4" i="7"/>
  <c r="U4" i="7" s="1"/>
  <c r="F7" i="2"/>
  <c r="F9" i="3"/>
  <c r="U9" i="3" s="1"/>
  <c r="F8" i="3"/>
  <c r="J9" i="3"/>
  <c r="J8" i="3"/>
  <c r="F9" i="4"/>
  <c r="F7" i="1"/>
  <c r="F6" i="3"/>
  <c r="U6" i="3" s="1"/>
  <c r="F7" i="3"/>
  <c r="Q7" i="3" s="1"/>
  <c r="H10" i="3"/>
  <c r="F10" i="3"/>
  <c r="L21" i="6"/>
  <c r="J21" i="6"/>
  <c r="H21" i="6"/>
  <c r="L20" i="6"/>
  <c r="J20" i="6"/>
  <c r="H20" i="6"/>
  <c r="D17" i="1"/>
  <c r="D16" i="4"/>
  <c r="F7" i="6"/>
  <c r="F9" i="6"/>
  <c r="Q9" i="6" s="1"/>
  <c r="J9" i="6"/>
  <c r="J8" i="6"/>
  <c r="L18" i="6"/>
  <c r="J18" i="6"/>
  <c r="H18" i="6"/>
  <c r="F10" i="6"/>
  <c r="J7" i="6"/>
  <c r="J6" i="6"/>
  <c r="U5" i="6"/>
  <c r="Q5" i="6"/>
  <c r="J5" i="6"/>
  <c r="M5" i="6" s="1"/>
  <c r="F4" i="6"/>
  <c r="Q4" i="6" s="1"/>
  <c r="L21" i="5"/>
  <c r="J21" i="5"/>
  <c r="H21" i="5"/>
  <c r="L20" i="3"/>
  <c r="J20" i="3"/>
  <c r="H20" i="3"/>
  <c r="L20" i="5"/>
  <c r="J20" i="5"/>
  <c r="H20" i="5"/>
  <c r="L19" i="5"/>
  <c r="J19" i="5"/>
  <c r="H19" i="5"/>
  <c r="R5" i="5"/>
  <c r="S5" i="5" s="1"/>
  <c r="N5" i="5"/>
  <c r="O5" i="5" s="1"/>
  <c r="J5" i="5"/>
  <c r="K5" i="5" s="1"/>
  <c r="L17" i="5"/>
  <c r="J17" i="5"/>
  <c r="H17" i="5"/>
  <c r="H9" i="5"/>
  <c r="M9" i="5" s="1"/>
  <c r="F9" i="5"/>
  <c r="J8" i="5"/>
  <c r="F8" i="5"/>
  <c r="Q8" i="5" s="1"/>
  <c r="J7" i="5"/>
  <c r="F7" i="5"/>
  <c r="J6" i="5"/>
  <c r="F5" i="5"/>
  <c r="F4" i="5"/>
  <c r="C16" i="5" s="1"/>
  <c r="L19" i="4"/>
  <c r="J19" i="4"/>
  <c r="H19" i="4"/>
  <c r="H9" i="4"/>
  <c r="F8" i="4"/>
  <c r="F6" i="4"/>
  <c r="U6" i="4" s="1"/>
  <c r="L17" i="4"/>
  <c r="J17" i="4"/>
  <c r="H17" i="4"/>
  <c r="J8" i="4"/>
  <c r="J7" i="4"/>
  <c r="F7" i="4"/>
  <c r="Q7" i="4" s="1"/>
  <c r="J6" i="4"/>
  <c r="R5" i="4"/>
  <c r="N5" i="4"/>
  <c r="J5" i="4"/>
  <c r="F5" i="4"/>
  <c r="U5" i="4" s="1"/>
  <c r="F4" i="4"/>
  <c r="Q4" i="4" s="1"/>
  <c r="J18" i="3"/>
  <c r="F8" i="2"/>
  <c r="M8" i="2" s="1"/>
  <c r="F9" i="1"/>
  <c r="Q9" i="1" s="1"/>
  <c r="L19" i="3"/>
  <c r="J19" i="3"/>
  <c r="H19" i="3"/>
  <c r="L18" i="3"/>
  <c r="H18" i="3"/>
  <c r="L17" i="3"/>
  <c r="J17" i="3"/>
  <c r="H17" i="3"/>
  <c r="J7" i="3"/>
  <c r="J6" i="3"/>
  <c r="U5" i="3"/>
  <c r="Q5" i="3"/>
  <c r="J5" i="3"/>
  <c r="M5" i="3" s="1"/>
  <c r="F4" i="3"/>
  <c r="U4" i="3" s="1"/>
  <c r="J19" i="2"/>
  <c r="H19" i="2"/>
  <c r="L19" i="2"/>
  <c r="L18" i="2"/>
  <c r="J18" i="2"/>
  <c r="L17" i="2"/>
  <c r="J17" i="2"/>
  <c r="L16" i="2"/>
  <c r="J16" i="2"/>
  <c r="H16" i="2"/>
  <c r="Q9" i="2"/>
  <c r="H9" i="2"/>
  <c r="F9" i="2"/>
  <c r="M9" i="2" s="1"/>
  <c r="Q8" i="2"/>
  <c r="J8" i="2"/>
  <c r="J7" i="2"/>
  <c r="Q7" i="2"/>
  <c r="U6" i="2"/>
  <c r="Q6" i="2"/>
  <c r="J6" i="2"/>
  <c r="M6" i="2" s="1"/>
  <c r="R5" i="2"/>
  <c r="N5" i="2"/>
  <c r="J5" i="2"/>
  <c r="F5" i="2"/>
  <c r="U5" i="2" s="1"/>
  <c r="U4" i="2"/>
  <c r="F4" i="2"/>
  <c r="Q4" i="2" s="1"/>
  <c r="L21" i="1"/>
  <c r="L22" i="1"/>
  <c r="L23" i="1"/>
  <c r="L24" i="1"/>
  <c r="L20" i="1"/>
  <c r="J21" i="1"/>
  <c r="J22" i="1"/>
  <c r="J23" i="1"/>
  <c r="J24" i="1"/>
  <c r="J20" i="1"/>
  <c r="H21" i="1"/>
  <c r="H22" i="1"/>
  <c r="H23" i="1"/>
  <c r="H24" i="1"/>
  <c r="L18" i="1"/>
  <c r="J18" i="1"/>
  <c r="H18" i="1"/>
  <c r="H10" i="1"/>
  <c r="F10" i="1"/>
  <c r="J9" i="1"/>
  <c r="J7" i="1"/>
  <c r="J6" i="1"/>
  <c r="R5" i="1"/>
  <c r="J5" i="1"/>
  <c r="N5" i="1"/>
  <c r="F5" i="1"/>
  <c r="U5" i="1" s="1"/>
  <c r="F4" i="1"/>
  <c r="U4" i="1" s="1"/>
  <c r="Q5" i="24" l="1"/>
  <c r="M10" i="24"/>
  <c r="M6" i="24"/>
  <c r="I29" i="24"/>
  <c r="Q10" i="24"/>
  <c r="U10" i="24"/>
  <c r="M10" i="22"/>
  <c r="U4" i="22"/>
  <c r="M5" i="20"/>
  <c r="M10" i="20"/>
  <c r="U5" i="20"/>
  <c r="U10" i="18"/>
  <c r="M6" i="18"/>
  <c r="M5" i="18"/>
  <c r="M7" i="18"/>
  <c r="Q4" i="17"/>
  <c r="U5" i="17"/>
  <c r="U11" i="17" s="1"/>
  <c r="M10" i="17"/>
  <c r="M8" i="17"/>
  <c r="M7" i="17"/>
  <c r="C17" i="17"/>
  <c r="U10" i="17"/>
  <c r="Q6" i="17"/>
  <c r="Q7" i="17"/>
  <c r="I29" i="17"/>
  <c r="M5" i="16"/>
  <c r="M7" i="16"/>
  <c r="Q10" i="16"/>
  <c r="Q6" i="16"/>
  <c r="Q7" i="16"/>
  <c r="I28" i="16"/>
  <c r="U10" i="15"/>
  <c r="M8" i="15"/>
  <c r="M7" i="15"/>
  <c r="M10" i="15"/>
  <c r="Q10" i="15"/>
  <c r="I28" i="15"/>
  <c r="M10" i="14"/>
  <c r="Q5" i="13"/>
  <c r="U5" i="13"/>
  <c r="M4" i="13"/>
  <c r="M12" i="13" s="1"/>
  <c r="Q4" i="13"/>
  <c r="Q12" i="13" s="1"/>
  <c r="M7" i="13"/>
  <c r="M5" i="13"/>
  <c r="U4" i="13"/>
  <c r="U12" i="13" s="1"/>
  <c r="Q6" i="13"/>
  <c r="Q7" i="13"/>
  <c r="I25" i="13"/>
  <c r="Q4" i="12"/>
  <c r="U5" i="12"/>
  <c r="I30" i="12"/>
  <c r="Q11" i="12"/>
  <c r="U10" i="11"/>
  <c r="I31" i="11"/>
  <c r="M10" i="10"/>
  <c r="I26" i="10"/>
  <c r="M6" i="9"/>
  <c r="Q4" i="9"/>
  <c r="M5" i="9"/>
  <c r="Q6" i="9"/>
  <c r="M9" i="9"/>
  <c r="M10" i="9"/>
  <c r="Q5" i="9"/>
  <c r="Q10" i="9"/>
  <c r="M9" i="8"/>
  <c r="M6" i="8"/>
  <c r="M4" i="8"/>
  <c r="M11" i="8" s="1"/>
  <c r="Q9" i="7"/>
  <c r="M7" i="7"/>
  <c r="M8" i="7"/>
  <c r="Q10" i="7"/>
  <c r="U10" i="6"/>
  <c r="M8" i="5"/>
  <c r="Q4" i="5"/>
  <c r="M7" i="5"/>
  <c r="Q9" i="5"/>
  <c r="U4" i="5"/>
  <c r="U5" i="5"/>
  <c r="M5" i="5"/>
  <c r="Q7" i="5"/>
  <c r="U9" i="5"/>
  <c r="M8" i="4"/>
  <c r="U9" i="4"/>
  <c r="M9" i="4"/>
  <c r="Q9" i="4"/>
  <c r="I26" i="4"/>
  <c r="I26" i="3"/>
  <c r="M8" i="3"/>
  <c r="M6" i="1"/>
  <c r="Q6" i="1"/>
  <c r="C17" i="1"/>
  <c r="H17" i="1" s="1"/>
  <c r="H25" i="1" s="1"/>
  <c r="I30" i="1"/>
  <c r="Q5" i="25"/>
  <c r="M4" i="25"/>
  <c r="U5" i="25"/>
  <c r="Q6" i="25"/>
  <c r="M7" i="25"/>
  <c r="Q4" i="25"/>
  <c r="Q7" i="25"/>
  <c r="M8" i="25"/>
  <c r="C16" i="25"/>
  <c r="Q8" i="25"/>
  <c r="M7" i="24"/>
  <c r="Q7" i="24"/>
  <c r="M4" i="24"/>
  <c r="Q4" i="24"/>
  <c r="U4" i="24"/>
  <c r="U11" i="24" s="1"/>
  <c r="H17" i="24"/>
  <c r="L17" i="24"/>
  <c r="J17" i="24"/>
  <c r="U6" i="24"/>
  <c r="M8" i="24"/>
  <c r="Q6" i="24"/>
  <c r="Q8" i="24"/>
  <c r="M9" i="24"/>
  <c r="Q7" i="23"/>
  <c r="U5" i="23"/>
  <c r="J16" i="23"/>
  <c r="Q4" i="23"/>
  <c r="M6" i="23"/>
  <c r="M8" i="23"/>
  <c r="L16" i="23"/>
  <c r="Q8" i="23"/>
  <c r="M9" i="23"/>
  <c r="M10" i="23"/>
  <c r="U6" i="23"/>
  <c r="Q10" i="23"/>
  <c r="Q5" i="22"/>
  <c r="L17" i="22"/>
  <c r="J17" i="22"/>
  <c r="H17" i="22"/>
  <c r="M6" i="22"/>
  <c r="U8" i="22"/>
  <c r="Q10" i="22"/>
  <c r="U7" i="22"/>
  <c r="M4" i="22"/>
  <c r="U5" i="22"/>
  <c r="Q6" i="22"/>
  <c r="M7" i="22"/>
  <c r="M9" i="21"/>
  <c r="M8" i="21"/>
  <c r="Q8" i="21"/>
  <c r="M7" i="21"/>
  <c r="Q7" i="21"/>
  <c r="M5" i="21"/>
  <c r="Q6" i="21"/>
  <c r="U5" i="21"/>
  <c r="C16" i="21"/>
  <c r="M4" i="21"/>
  <c r="Q4" i="21"/>
  <c r="U6" i="21"/>
  <c r="M7" i="20"/>
  <c r="Q8" i="20"/>
  <c r="M4" i="20"/>
  <c r="Q5" i="20"/>
  <c r="M8" i="20"/>
  <c r="Q7" i="20"/>
  <c r="U6" i="20"/>
  <c r="M6" i="20"/>
  <c r="Q4" i="20"/>
  <c r="Q6" i="20"/>
  <c r="U7" i="20"/>
  <c r="C17" i="20"/>
  <c r="M9" i="20"/>
  <c r="Q4" i="18"/>
  <c r="Q5" i="18"/>
  <c r="U6" i="18"/>
  <c r="M8" i="18"/>
  <c r="C17" i="18"/>
  <c r="Q8" i="18"/>
  <c r="M9" i="18"/>
  <c r="M5" i="17"/>
  <c r="M11" i="17" s="1"/>
  <c r="L17" i="17"/>
  <c r="Q8" i="17"/>
  <c r="M9" i="17"/>
  <c r="U6" i="17"/>
  <c r="Q4" i="16"/>
  <c r="Q5" i="16"/>
  <c r="U6" i="16"/>
  <c r="C17" i="16"/>
  <c r="Q8" i="16"/>
  <c r="M9" i="16"/>
  <c r="Q8" i="15"/>
  <c r="U4" i="15"/>
  <c r="M6" i="15"/>
  <c r="M5" i="15"/>
  <c r="Q6" i="15"/>
  <c r="C17" i="15"/>
  <c r="M4" i="15"/>
  <c r="Q5" i="15"/>
  <c r="Q7" i="15"/>
  <c r="M9" i="15"/>
  <c r="U5" i="15"/>
  <c r="M9" i="14"/>
  <c r="U6" i="14"/>
  <c r="Q6" i="14"/>
  <c r="M6" i="14"/>
  <c r="Q4" i="14"/>
  <c r="Q8" i="14"/>
  <c r="U4" i="14"/>
  <c r="C17" i="14"/>
  <c r="J17" i="14" s="1"/>
  <c r="U7" i="14"/>
  <c r="Q5" i="14"/>
  <c r="M7" i="14"/>
  <c r="U8" i="14"/>
  <c r="M5" i="14"/>
  <c r="M11" i="13"/>
  <c r="L18" i="13"/>
  <c r="J18" i="13"/>
  <c r="H18" i="13"/>
  <c r="U11" i="13"/>
  <c r="U6" i="13"/>
  <c r="M6" i="12"/>
  <c r="Q5" i="12"/>
  <c r="M5" i="12"/>
  <c r="U4" i="12"/>
  <c r="Q6" i="12"/>
  <c r="M11" i="12"/>
  <c r="M7" i="12"/>
  <c r="M9" i="12"/>
  <c r="U11" i="12"/>
  <c r="L17" i="12"/>
  <c r="J17" i="12"/>
  <c r="H17" i="12"/>
  <c r="Q7" i="12"/>
  <c r="M4" i="12"/>
  <c r="M12" i="12" s="1"/>
  <c r="L17" i="11"/>
  <c r="J17" i="11"/>
  <c r="H17" i="11"/>
  <c r="U6" i="11"/>
  <c r="Q4" i="11"/>
  <c r="M5" i="11"/>
  <c r="Q10" i="11"/>
  <c r="U4" i="11"/>
  <c r="Q5" i="11"/>
  <c r="M6" i="11"/>
  <c r="Q6" i="10"/>
  <c r="Q4" i="10"/>
  <c r="M5" i="10"/>
  <c r="U5" i="10"/>
  <c r="U10" i="10"/>
  <c r="M4" i="10"/>
  <c r="U6" i="10"/>
  <c r="C17" i="10"/>
  <c r="H16" i="9"/>
  <c r="L16" i="9"/>
  <c r="J16" i="9"/>
  <c r="M4" i="9"/>
  <c r="M11" i="9" s="1"/>
  <c r="M10" i="8"/>
  <c r="Q10" i="8"/>
  <c r="Q8" i="8"/>
  <c r="M5" i="8"/>
  <c r="Q5" i="8"/>
  <c r="U6" i="8"/>
  <c r="U10" i="8"/>
  <c r="Q4" i="8"/>
  <c r="C18" i="8"/>
  <c r="M10" i="7"/>
  <c r="Q10" i="6"/>
  <c r="M10" i="6"/>
  <c r="Q7" i="7"/>
  <c r="M8" i="1"/>
  <c r="Q8" i="1"/>
  <c r="U6" i="7"/>
  <c r="M4" i="7"/>
  <c r="U10" i="7"/>
  <c r="Q4" i="7"/>
  <c r="M6" i="7"/>
  <c r="C17" i="7"/>
  <c r="Q8" i="3"/>
  <c r="M9" i="3"/>
  <c r="Q9" i="3"/>
  <c r="U8" i="3"/>
  <c r="U11" i="3" s="1"/>
  <c r="Q10" i="3"/>
  <c r="M10" i="3"/>
  <c r="U10" i="3"/>
  <c r="M9" i="6"/>
  <c r="M8" i="6"/>
  <c r="M7" i="6"/>
  <c r="U4" i="6"/>
  <c r="Q7" i="6"/>
  <c r="U6" i="6"/>
  <c r="M4" i="6"/>
  <c r="M6" i="6"/>
  <c r="C17" i="6"/>
  <c r="M6" i="5"/>
  <c r="Q6" i="5"/>
  <c r="Q5" i="5"/>
  <c r="H16" i="5"/>
  <c r="L16" i="5"/>
  <c r="J16" i="5"/>
  <c r="U7" i="5"/>
  <c r="M4" i="5"/>
  <c r="M6" i="4"/>
  <c r="Q6" i="4"/>
  <c r="U4" i="4"/>
  <c r="Q8" i="4"/>
  <c r="U7" i="4"/>
  <c r="Q5" i="4"/>
  <c r="M4" i="4"/>
  <c r="M7" i="4"/>
  <c r="C16" i="4"/>
  <c r="M5" i="4"/>
  <c r="M6" i="3"/>
  <c r="Q4" i="3"/>
  <c r="Q6" i="3"/>
  <c r="M7" i="3"/>
  <c r="M4" i="3"/>
  <c r="C16" i="3"/>
  <c r="Q5" i="2"/>
  <c r="U9" i="2"/>
  <c r="M4" i="2"/>
  <c r="M7" i="2"/>
  <c r="C15" i="2"/>
  <c r="U7" i="2"/>
  <c r="M5" i="2"/>
  <c r="M7" i="1"/>
  <c r="U10" i="1"/>
  <c r="M4" i="1"/>
  <c r="M11" i="1" s="1"/>
  <c r="Q4" i="1"/>
  <c r="M9" i="1"/>
  <c r="M10" i="1"/>
  <c r="Q7" i="1"/>
  <c r="Q10" i="1"/>
  <c r="U7" i="1"/>
  <c r="M5" i="1"/>
  <c r="Q5" i="1"/>
  <c r="Q11" i="24" l="1"/>
  <c r="M11" i="24"/>
  <c r="Q11" i="17"/>
  <c r="H17" i="17"/>
  <c r="J17" i="17"/>
  <c r="Q11" i="15"/>
  <c r="M11" i="15"/>
  <c r="U11" i="15"/>
  <c r="U12" i="12"/>
  <c r="Q12" i="12"/>
  <c r="Q11" i="9"/>
  <c r="U11" i="8"/>
  <c r="Q11" i="8"/>
  <c r="L18" i="8"/>
  <c r="J18" i="8"/>
  <c r="H17" i="7"/>
  <c r="Q11" i="3"/>
  <c r="M11" i="3"/>
  <c r="U11" i="1"/>
  <c r="Q11" i="1"/>
  <c r="H16" i="25"/>
  <c r="L16" i="25"/>
  <c r="J16" i="25"/>
  <c r="J16" i="21"/>
  <c r="H16" i="21"/>
  <c r="L16" i="21"/>
  <c r="H17" i="20"/>
  <c r="J17" i="20"/>
  <c r="L17" i="20"/>
  <c r="H17" i="18"/>
  <c r="J17" i="18"/>
  <c r="L17" i="18"/>
  <c r="H17" i="16"/>
  <c r="J17" i="16"/>
  <c r="L17" i="16"/>
  <c r="H17" i="15"/>
  <c r="L17" i="15"/>
  <c r="J17" i="15"/>
  <c r="H17" i="14"/>
  <c r="L17" i="14"/>
  <c r="H17" i="10"/>
  <c r="L17" i="10"/>
  <c r="J17" i="10"/>
  <c r="H18" i="8"/>
  <c r="L17" i="7"/>
  <c r="H17" i="6"/>
  <c r="L17" i="6"/>
  <c r="J17" i="6"/>
  <c r="H16" i="4"/>
  <c r="L16" i="4"/>
  <c r="J16" i="4"/>
  <c r="J16" i="3"/>
  <c r="L16" i="3"/>
  <c r="H16" i="3"/>
  <c r="H15" i="2"/>
  <c r="H20" i="2" s="1"/>
  <c r="J15" i="2"/>
  <c r="L15" i="2"/>
  <c r="J17" i="1"/>
  <c r="J25" i="1" s="1"/>
  <c r="L17" i="1"/>
  <c r="L25" i="1" s="1"/>
</calcChain>
</file>

<file path=xl/sharedStrings.xml><?xml version="1.0" encoding="utf-8"?>
<sst xmlns="http://schemas.openxmlformats.org/spreadsheetml/2006/main" count="1517" uniqueCount="117">
  <si>
    <t>LABORATORY</t>
  </si>
  <si>
    <t>AREA</t>
  </si>
  <si>
    <t xml:space="preserve">LENGTH </t>
  </si>
  <si>
    <t>WIDTH</t>
  </si>
  <si>
    <t>HEIGHT</t>
  </si>
  <si>
    <t>ROOF</t>
  </si>
  <si>
    <t>OVERALL HEAT TRANSFER COEFFICIENT (U)</t>
  </si>
  <si>
    <t>EFFECTIVE AREA</t>
  </si>
  <si>
    <t>SHGF</t>
  </si>
  <si>
    <t>CLTD/TD @12</t>
  </si>
  <si>
    <t>CLTD (CORR) @12</t>
  </si>
  <si>
    <t>CLF @12</t>
  </si>
  <si>
    <t>FLOOR</t>
  </si>
  <si>
    <t>SC</t>
  </si>
  <si>
    <t xml:space="preserve">LM </t>
  </si>
  <si>
    <t>CLTD/TD @14</t>
  </si>
  <si>
    <t>CLF @14</t>
  </si>
  <si>
    <t>CLTD (CORR) @14</t>
  </si>
  <si>
    <t>CLTD/TD @16</t>
  </si>
  <si>
    <t>CLTD (CORR) @16</t>
  </si>
  <si>
    <t>CLF @16</t>
  </si>
  <si>
    <t xml:space="preserve">COOLING LOAD q @12 </t>
  </si>
  <si>
    <t>COOLING LOAD q @14</t>
  </si>
  <si>
    <t>COOLING LOAD q @16</t>
  </si>
  <si>
    <t>EXPOSED WALL (WEST)</t>
  </si>
  <si>
    <t>PARTITION WALL (EAST)</t>
  </si>
  <si>
    <t>PARTITION WALL (NORTH)+DOOR</t>
  </si>
  <si>
    <t>2-GLASS WINDOWS (WEST)</t>
  </si>
  <si>
    <t>a=0.65 and b=C FROM Table-16</t>
  </si>
  <si>
    <t>QUANTITY</t>
  </si>
  <si>
    <t xml:space="preserve">INPUT </t>
  </si>
  <si>
    <t>L.H.G</t>
  </si>
  <si>
    <t>S.H.G.</t>
  </si>
  <si>
    <t>COOLING LOAD @12</t>
  </si>
  <si>
    <t>COOLING LOAD @16</t>
  </si>
  <si>
    <t>COOLING LOAD @14</t>
  </si>
  <si>
    <t>LIGHTS</t>
  </si>
  <si>
    <t>PEOPLE (S.H.)</t>
  </si>
  <si>
    <t>PEOPLE (L.H.)</t>
  </si>
  <si>
    <t>HYSTEROSCOPIC PUMP (6 hrs)</t>
  </si>
  <si>
    <t>OPTICAL MICROSCOPE (6 hrs)</t>
  </si>
  <si>
    <t>LASER SONICS (6 hrs)</t>
  </si>
  <si>
    <t>ULTRASOUND SYSTEM (6 hrs)</t>
  </si>
  <si>
    <t>X-RAY SYSTEM (6 hrs)</t>
  </si>
  <si>
    <t>COUNSELOR OFFICE (C-8)</t>
  </si>
  <si>
    <t>a=0.65 and b=C FROM Table-16 (OPERATIONAL HOURS 9 TO 19 (10 HRS))</t>
  </si>
  <si>
    <t>PRINTER</t>
  </si>
  <si>
    <t>PULSE OXIMETER</t>
  </si>
  <si>
    <t xml:space="preserve">COMPUTER </t>
  </si>
  <si>
    <t>PHLEBOTOMY + STORAGE</t>
  </si>
  <si>
    <t>PARTITION WALL (WEST)</t>
  </si>
  <si>
    <t>PARTITION WALL (EAST)+DOOR</t>
  </si>
  <si>
    <t>2-GLASS WINDOWS (EAST)</t>
  </si>
  <si>
    <t>GLASS WINDOWS (WEST)</t>
  </si>
  <si>
    <t>PARTITION WALL (NORTH)</t>
  </si>
  <si>
    <t>PHLEBOTOMY-2</t>
  </si>
  <si>
    <t>ROUTINE CHECK UP ROOM</t>
  </si>
  <si>
    <t>EXPOSED WALL (EAST)</t>
  </si>
  <si>
    <t>a=0.65 and b=C FROM Table-16 (OPERATIONAL HOURS 9 TO 21 (12 HRS))</t>
  </si>
  <si>
    <t>PARTITION WALL (SOUTH)+DOOR</t>
  </si>
  <si>
    <t>PARTITION WALL (SOUTH)</t>
  </si>
  <si>
    <t>GLASS WINDOWS (NORTH)</t>
  </si>
  <si>
    <t>PARTITION WALL (NORTH )</t>
  </si>
  <si>
    <t>HELP DESK</t>
  </si>
  <si>
    <t>a=0.65 and b=C FROM Table-16 (OPERATIONAL HOURS 7 TO 11 (16 HRS))</t>
  </si>
  <si>
    <t>STORE-2</t>
  </si>
  <si>
    <t>PARTITION WALL (SOUTH )</t>
  </si>
  <si>
    <t>GLASS WINDOWS (SOUTH)</t>
  </si>
  <si>
    <t>FEMALE TOILET</t>
  </si>
  <si>
    <t>MALE TOILET</t>
  </si>
  <si>
    <t>MEDICAL STORE-1</t>
  </si>
  <si>
    <t>STAFF ROOM</t>
  </si>
  <si>
    <t>FIRST-AID ROOM</t>
  </si>
  <si>
    <t>PARTITION WALL (WEST)+DOOR</t>
  </si>
  <si>
    <t>BLOOD PRESSURE METER</t>
  </si>
  <si>
    <t>BLOOD WARMER</t>
  </si>
  <si>
    <t>CLERK ROOM</t>
  </si>
  <si>
    <t>COUNSELOR OFFICE-1</t>
  </si>
  <si>
    <t>EXPOSED WALL (SOUTH)</t>
  </si>
  <si>
    <t>STRESS TREADMILL</t>
  </si>
  <si>
    <t>ECG/RESP</t>
  </si>
  <si>
    <t>COMPUTER</t>
  </si>
  <si>
    <t>COUNSELOR OFFICE-2</t>
  </si>
  <si>
    <t>COUNSELOR OFFICE-3</t>
  </si>
  <si>
    <t>COUNSELOR OFFICE-4</t>
  </si>
  <si>
    <t>COUNSELOR OFFICE-6</t>
  </si>
  <si>
    <t>COUNSELOR OFFICE-7</t>
  </si>
  <si>
    <t>EXAMINATION ROOM-2</t>
  </si>
  <si>
    <t>EXPOSED WALL (NORTH)</t>
  </si>
  <si>
    <t xml:space="preserve"> </t>
  </si>
  <si>
    <t xml:space="preserve">a=0.65 and b=C FROM Table-16 </t>
  </si>
  <si>
    <t>BLANKET WARMER</t>
  </si>
  <si>
    <t>BLOOOD PRESSURE METER</t>
  </si>
  <si>
    <t xml:space="preserve">PULSE OXIMETER </t>
  </si>
  <si>
    <t>ANESTHESIA SYSTEM</t>
  </si>
  <si>
    <t>EXAMINATION ROOM-3</t>
  </si>
  <si>
    <t>EXAMINATION ROOM-4</t>
  </si>
  <si>
    <t>EXAMKINATION ROOM-5</t>
  </si>
  <si>
    <t>`</t>
  </si>
  <si>
    <t>STORAGE</t>
  </si>
  <si>
    <t>COFFEE BREWER</t>
  </si>
  <si>
    <t>CONSIDER LATENT HEAT FOR THE COFFE BREWER</t>
  </si>
  <si>
    <t>VENTILATION AND INFILTRATION (SENSIBLE)</t>
  </si>
  <si>
    <t>VENTILATION AND INFILTRATION (LATENT)</t>
  </si>
  <si>
    <t>LENGTH</t>
  </si>
  <si>
    <t>HEIGHT`</t>
  </si>
  <si>
    <t>VOLUME</t>
  </si>
  <si>
    <t>L/S</t>
  </si>
  <si>
    <t>TD</t>
  </si>
  <si>
    <t>HUMIDITY DIFFERENCE</t>
  </si>
  <si>
    <t>COOLING LOAD</t>
  </si>
  <si>
    <t>TOTAL</t>
  </si>
  <si>
    <t>TOTAL LATENT COOLOING LOAD</t>
  </si>
  <si>
    <t>TOTAL SENSIBLE COOLOING LOAD</t>
  </si>
  <si>
    <t>q @12 hrs</t>
  </si>
  <si>
    <t>q @14 hrs</t>
  </si>
  <si>
    <t>q @16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</si>
</sst>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4"/>
      <name val="Times New Roman"/>
      <family val="1"/>
    </font>
    <font>
      <b/>
      <sz val="22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A2A5-709B-4159-B8EE-F1C3E54EC78A}">
  <dimension ref="A1:U36"/>
  <sheetViews>
    <sheetView topLeftCell="B19" workbookViewId="0">
      <selection activeCell="C35" sqref="C35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9.7109375" style="1" bestFit="1" customWidth="1"/>
    <col min="5" max="5" width="10.14062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8.077</v>
      </c>
      <c r="D4" s="1">
        <v>5.03</v>
      </c>
      <c r="F4" s="4">
        <f>(C4*D4)</f>
        <v>40.627310000000001</v>
      </c>
      <c r="G4" s="4">
        <v>1</v>
      </c>
      <c r="J4" s="1">
        <v>12</v>
      </c>
      <c r="K4" s="1">
        <v>32.1</v>
      </c>
      <c r="M4" s="4">
        <f>(B4*F4*K4)</f>
        <v>1421.5089495900004</v>
      </c>
      <c r="N4" s="1">
        <v>17</v>
      </c>
      <c r="O4" s="1">
        <v>37.1</v>
      </c>
      <c r="Q4" s="4">
        <f>(B4*F4*O4)</f>
        <v>1642.9277890900003</v>
      </c>
      <c r="R4" s="1">
        <v>22</v>
      </c>
      <c r="S4" s="1">
        <v>42.1</v>
      </c>
      <c r="U4" s="4">
        <f>(B4*F4*S4)</f>
        <v>1864.3466285900004</v>
      </c>
    </row>
    <row r="5" spans="1:21" x14ac:dyDescent="0.25">
      <c r="A5" s="1" t="s">
        <v>24</v>
      </c>
      <c r="B5" s="1">
        <v>0.90590000000000004</v>
      </c>
      <c r="C5" s="1">
        <v>8.077</v>
      </c>
      <c r="E5" s="1">
        <v>3.65</v>
      </c>
      <c r="F5" s="4">
        <f>(C5*E5)</f>
        <v>29.48105</v>
      </c>
      <c r="G5" s="4">
        <v>0</v>
      </c>
      <c r="J5" s="1">
        <f>9/1.8</f>
        <v>5</v>
      </c>
      <c r="K5" s="1">
        <v>24.1</v>
      </c>
      <c r="M5" s="4">
        <f>(B5*F5*K5)</f>
        <v>643.63588499950004</v>
      </c>
      <c r="N5" s="4">
        <f>11/1.8</f>
        <v>6.1111111111111107</v>
      </c>
      <c r="O5" s="1">
        <v>25.21</v>
      </c>
      <c r="Q5" s="4">
        <f>(B5*F5*O5)</f>
        <v>673.28052534594997</v>
      </c>
      <c r="R5" s="1">
        <f>18/1.8</f>
        <v>10</v>
      </c>
      <c r="S5" s="1">
        <v>29.1</v>
      </c>
      <c r="U5" s="4">
        <f>(B5*F5*S5)</f>
        <v>777.17030097450004</v>
      </c>
    </row>
    <row r="6" spans="1:21" x14ac:dyDescent="0.25">
      <c r="A6" s="1" t="s">
        <v>12</v>
      </c>
      <c r="B6" s="1">
        <v>1.0900000000000001</v>
      </c>
      <c r="C6" s="1">
        <v>8.077</v>
      </c>
      <c r="D6" s="1">
        <v>5.03</v>
      </c>
      <c r="F6" s="4">
        <f>C6*D6</f>
        <v>40.627310000000001</v>
      </c>
      <c r="J6" s="1">
        <f>40-22</f>
        <v>18</v>
      </c>
      <c r="M6" s="4">
        <f>(B6*F6*J6)</f>
        <v>797.1078222000001</v>
      </c>
      <c r="N6" s="1">
        <v>18</v>
      </c>
      <c r="Q6" s="4">
        <f>(B6*F6*N6)</f>
        <v>797.1078222000001</v>
      </c>
      <c r="R6" s="1">
        <v>18</v>
      </c>
      <c r="U6" s="4">
        <f>(B6*F6*R6)</f>
        <v>797.1078222000001</v>
      </c>
    </row>
    <row r="7" spans="1:21" x14ac:dyDescent="0.25">
      <c r="A7" s="1" t="s">
        <v>25</v>
      </c>
      <c r="B7" s="1">
        <v>1.349</v>
      </c>
      <c r="C7" s="1">
        <v>8.077</v>
      </c>
      <c r="E7" s="1">
        <v>3.65</v>
      </c>
      <c r="F7" s="4">
        <f>((C7*E7)-(2*2.71))</f>
        <v>24.061050000000002</v>
      </c>
      <c r="J7" s="1">
        <f>40-22</f>
        <v>18</v>
      </c>
      <c r="M7" s="4">
        <f>(B7*F7*J7)</f>
        <v>584.25041610000005</v>
      </c>
      <c r="N7" s="1">
        <v>18</v>
      </c>
      <c r="Q7" s="4">
        <f>(B7*F7*N7)</f>
        <v>584.25041610000005</v>
      </c>
      <c r="R7" s="1">
        <v>18</v>
      </c>
      <c r="U7" s="4">
        <f>(B7*F7*R7)</f>
        <v>584.25041610000005</v>
      </c>
    </row>
    <row r="8" spans="1:21" x14ac:dyDescent="0.25">
      <c r="A8" s="1" t="s">
        <v>60</v>
      </c>
      <c r="B8" s="1">
        <v>1.349</v>
      </c>
      <c r="D8" s="1">
        <v>5.03</v>
      </c>
      <c r="E8" s="1">
        <v>3.65</v>
      </c>
      <c r="F8" s="4">
        <f>(D8*E8)</f>
        <v>18.359500000000001</v>
      </c>
      <c r="J8" s="1">
        <f>40-22</f>
        <v>18</v>
      </c>
      <c r="M8" s="4">
        <f>(B8*F8*J8)</f>
        <v>445.80537900000002</v>
      </c>
      <c r="N8" s="1">
        <v>18</v>
      </c>
      <c r="Q8" s="4">
        <f>(B8*F8*N8)</f>
        <v>445.80537900000002</v>
      </c>
      <c r="R8" s="1">
        <v>18</v>
      </c>
      <c r="U8" s="4">
        <f>(B8*F8*R8)</f>
        <v>445.80537900000002</v>
      </c>
    </row>
    <row r="9" spans="1:21" x14ac:dyDescent="0.25">
      <c r="A9" s="1" t="s">
        <v>26</v>
      </c>
      <c r="B9" s="1">
        <v>1.5124</v>
      </c>
      <c r="F9" s="4">
        <f>((5.03*3.65)+(3.962))</f>
        <v>22.3215</v>
      </c>
      <c r="J9" s="1">
        <f>40-22</f>
        <v>18</v>
      </c>
      <c r="M9" s="4">
        <f>(B9*F9*J9)</f>
        <v>607.66265880000003</v>
      </c>
      <c r="N9" s="1">
        <v>18</v>
      </c>
      <c r="Q9" s="4">
        <f>(B9*F9*N9)</f>
        <v>607.66265880000003</v>
      </c>
      <c r="R9" s="1">
        <v>18</v>
      </c>
      <c r="U9" s="4">
        <v>499.8</v>
      </c>
    </row>
    <row r="10" spans="1:21" x14ac:dyDescent="0.25">
      <c r="A10" s="1" t="s">
        <v>27</v>
      </c>
      <c r="B10" s="1">
        <v>4.8</v>
      </c>
      <c r="C10" s="1">
        <v>1.37</v>
      </c>
      <c r="D10" s="1">
        <v>1.98</v>
      </c>
      <c r="F10" s="4">
        <f>C10*D10</f>
        <v>2.7126000000000001</v>
      </c>
      <c r="H10" s="1">
        <f>213*3.147</f>
        <v>670.31099999999992</v>
      </c>
      <c r="I10" s="1">
        <v>0.6</v>
      </c>
      <c r="J10" s="1">
        <v>18</v>
      </c>
      <c r="L10" s="1">
        <v>0.17</v>
      </c>
      <c r="M10" s="4">
        <f>2*((B10*F10*J10)+(F10*I10*H10*L10))</f>
        <v>839.66754619440007</v>
      </c>
      <c r="N10" s="1">
        <v>18</v>
      </c>
      <c r="P10" s="1">
        <v>0.53</v>
      </c>
      <c r="Q10" s="4">
        <f>2*((B10*F10*N10)+(F10*I10*H10*P10))</f>
        <v>1625.1669334296</v>
      </c>
      <c r="R10" s="1">
        <v>18</v>
      </c>
      <c r="T10" s="1">
        <v>0.82</v>
      </c>
      <c r="U10" s="4">
        <f>2*((B10*F10*R10)+(F10*I10*H10*T10))</f>
        <v>2257.9303287023999</v>
      </c>
    </row>
    <row r="11" spans="1:21" x14ac:dyDescent="0.25">
      <c r="K11" s="10" t="s">
        <v>111</v>
      </c>
      <c r="M11" s="11">
        <f>SUM(M4:M10)</f>
        <v>5339.6386568839007</v>
      </c>
      <c r="Q11" s="11">
        <f>SUM(Q4:Q10)</f>
        <v>6376.2015239655511</v>
      </c>
      <c r="U11" s="11">
        <f>SUM(U4:U10)</f>
        <v>7226.4108755669004</v>
      </c>
    </row>
    <row r="13" spans="1:21" s="8" customFormat="1" x14ac:dyDescent="0.25"/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21" customFormat="1" x14ac:dyDescent="0.25"/>
    <row r="16" spans="1:21" x14ac:dyDescent="0.25"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</row>
    <row r="17" spans="1:12" x14ac:dyDescent="0.25">
      <c r="A17" s="1" t="s">
        <v>36</v>
      </c>
      <c r="B17" s="1">
        <v>5</v>
      </c>
      <c r="C17" s="4">
        <f>(B17*F4*10)</f>
        <v>2031.3654999999999</v>
      </c>
      <c r="D17" s="4">
        <f>C4*D4</f>
        <v>40.627310000000001</v>
      </c>
      <c r="G17" s="1">
        <v>0.8</v>
      </c>
      <c r="H17" s="4">
        <f>(C17*G17)</f>
        <v>1625.0924</v>
      </c>
      <c r="I17" s="1">
        <v>0.82</v>
      </c>
      <c r="J17" s="4">
        <f>(C17*I17)</f>
        <v>1665.7197099999998</v>
      </c>
      <c r="K17" s="1">
        <v>0.84</v>
      </c>
      <c r="L17" s="4">
        <f>(C17*K17)</f>
        <v>1706.3470199999999</v>
      </c>
    </row>
    <row r="18" spans="1:12" x14ac:dyDescent="0.25">
      <c r="A18" s="1" t="s">
        <v>37</v>
      </c>
      <c r="B18" s="1">
        <v>10</v>
      </c>
      <c r="F18" s="1">
        <v>73</v>
      </c>
      <c r="G18" s="1">
        <v>0.77</v>
      </c>
      <c r="H18" s="4">
        <f>(B18*F18*G18)</f>
        <v>562.1</v>
      </c>
      <c r="I18" s="1">
        <v>0.83</v>
      </c>
      <c r="J18" s="1">
        <f>(B18*F18*I18)</f>
        <v>605.9</v>
      </c>
      <c r="K18" s="1">
        <v>0.87</v>
      </c>
      <c r="L18" s="1">
        <f>(B18*F18*K18)</f>
        <v>635.1</v>
      </c>
    </row>
    <row r="19" spans="1:12" x14ac:dyDescent="0.25">
      <c r="A19" s="1" t="s">
        <v>38</v>
      </c>
      <c r="B19" s="1">
        <v>10</v>
      </c>
      <c r="E19" s="1">
        <v>59</v>
      </c>
      <c r="H19" s="1">
        <f>J19</f>
        <v>590</v>
      </c>
      <c r="J19" s="1">
        <f>B19*E19</f>
        <v>590</v>
      </c>
      <c r="L19" s="1">
        <f>B19*E19</f>
        <v>590</v>
      </c>
    </row>
    <row r="20" spans="1:12" x14ac:dyDescent="0.25">
      <c r="A20" s="5" t="s">
        <v>39</v>
      </c>
      <c r="B20" s="1">
        <v>2</v>
      </c>
      <c r="C20" s="18"/>
      <c r="D20" s="18"/>
      <c r="E20" s="18"/>
      <c r="F20" s="1">
        <v>34</v>
      </c>
      <c r="G20" s="1">
        <v>0.81</v>
      </c>
      <c r="H20" s="1">
        <f>(B20*F20*G20)</f>
        <v>55.080000000000005</v>
      </c>
      <c r="I20" s="1">
        <v>0.85</v>
      </c>
      <c r="J20" s="1">
        <f>(B20*F20*I20)</f>
        <v>57.8</v>
      </c>
      <c r="K20" s="1">
        <v>0.89</v>
      </c>
      <c r="L20" s="1">
        <f>(B20*F20*K20)</f>
        <v>60.52</v>
      </c>
    </row>
    <row r="21" spans="1:12" x14ac:dyDescent="0.25">
      <c r="A21" s="1" t="s">
        <v>40</v>
      </c>
      <c r="B21" s="1">
        <v>5</v>
      </c>
      <c r="C21" s="18"/>
      <c r="D21" s="18"/>
      <c r="E21" s="18"/>
      <c r="F21" s="1">
        <v>63</v>
      </c>
      <c r="G21" s="1">
        <v>0.81</v>
      </c>
      <c r="H21" s="1">
        <f t="shared" ref="H21:H24" si="0">(B21*F21*G21)</f>
        <v>255.15</v>
      </c>
      <c r="I21" s="1">
        <v>0.85</v>
      </c>
      <c r="J21" s="1">
        <f t="shared" ref="J21:J24" si="1">(B21*F21*I21)</f>
        <v>267.75</v>
      </c>
      <c r="K21" s="1">
        <v>0.89</v>
      </c>
      <c r="L21" s="1">
        <f t="shared" ref="L21:L24" si="2">(B21*F21*K21)</f>
        <v>280.35000000000002</v>
      </c>
    </row>
    <row r="22" spans="1:12" x14ac:dyDescent="0.25">
      <c r="A22" s="1" t="s">
        <v>41</v>
      </c>
      <c r="B22" s="1">
        <v>3</v>
      </c>
      <c r="C22" s="18"/>
      <c r="D22" s="18"/>
      <c r="E22" s="18"/>
      <c r="F22" s="1">
        <v>229</v>
      </c>
      <c r="G22" s="1">
        <v>0.81</v>
      </c>
      <c r="H22" s="1">
        <f t="shared" si="0"/>
        <v>556.47</v>
      </c>
      <c r="I22" s="1">
        <v>0.85</v>
      </c>
      <c r="J22" s="1">
        <f t="shared" si="1"/>
        <v>583.94999999999993</v>
      </c>
      <c r="K22" s="1">
        <v>0.89</v>
      </c>
      <c r="L22" s="1">
        <f t="shared" si="2"/>
        <v>611.43000000000006</v>
      </c>
    </row>
    <row r="23" spans="1:12" x14ac:dyDescent="0.25">
      <c r="A23" s="1" t="s">
        <v>42</v>
      </c>
      <c r="B23" s="1">
        <v>2</v>
      </c>
      <c r="C23" s="18"/>
      <c r="D23" s="18"/>
      <c r="E23" s="18"/>
      <c r="F23" s="1">
        <v>1050</v>
      </c>
      <c r="G23" s="1">
        <v>0.81</v>
      </c>
      <c r="H23" s="1">
        <f t="shared" si="0"/>
        <v>1701</v>
      </c>
      <c r="I23" s="1">
        <v>0.85</v>
      </c>
      <c r="J23" s="1">
        <f t="shared" si="1"/>
        <v>1785</v>
      </c>
      <c r="K23" s="1">
        <v>0.89</v>
      </c>
      <c r="L23" s="1">
        <f t="shared" si="2"/>
        <v>1869</v>
      </c>
    </row>
    <row r="24" spans="1:12" x14ac:dyDescent="0.25">
      <c r="A24" s="1" t="s">
        <v>43</v>
      </c>
      <c r="B24" s="1">
        <v>1</v>
      </c>
      <c r="C24" s="18"/>
      <c r="D24" s="18"/>
      <c r="E24" s="18"/>
      <c r="F24" s="1">
        <v>229</v>
      </c>
      <c r="G24" s="1">
        <v>0.81</v>
      </c>
      <c r="H24" s="1">
        <f t="shared" si="0"/>
        <v>185.49</v>
      </c>
      <c r="I24" s="1">
        <v>0.85</v>
      </c>
      <c r="J24" s="1">
        <f t="shared" si="1"/>
        <v>194.65</v>
      </c>
      <c r="K24" s="1">
        <v>0.89</v>
      </c>
      <c r="L24" s="1">
        <f t="shared" si="2"/>
        <v>203.81</v>
      </c>
    </row>
    <row r="25" spans="1:12" x14ac:dyDescent="0.25">
      <c r="C25" s="20" t="s">
        <v>111</v>
      </c>
      <c r="D25" s="18"/>
      <c r="E25" s="18"/>
      <c r="G25" s="10"/>
      <c r="H25" s="11">
        <f>SUM(H17:H18,H20:H24)</f>
        <v>4940.3823999999995</v>
      </c>
      <c r="J25" s="11">
        <f>SUM(J17:J18,J20:J24)</f>
        <v>5160.7697099999996</v>
      </c>
      <c r="L25" s="11">
        <f>SUM(L17:L18,L20:L24)</f>
        <v>5366.5570200000002</v>
      </c>
    </row>
    <row r="27" spans="1:12" s="8" customFormat="1" x14ac:dyDescent="0.25"/>
    <row r="28" spans="1:12" x14ac:dyDescent="0.25">
      <c r="B28" s="1" t="s">
        <v>104</v>
      </c>
      <c r="C28" s="1" t="s">
        <v>3</v>
      </c>
      <c r="D28" s="1" t="s">
        <v>105</v>
      </c>
      <c r="E28" s="1" t="s">
        <v>106</v>
      </c>
      <c r="F28" s="1" t="s">
        <v>107</v>
      </c>
      <c r="G28" s="1" t="s">
        <v>108</v>
      </c>
      <c r="H28" s="1" t="s">
        <v>109</v>
      </c>
      <c r="I28" s="1" t="s">
        <v>110</v>
      </c>
    </row>
    <row r="29" spans="1:12" x14ac:dyDescent="0.25">
      <c r="A29" s="1" t="s">
        <v>102</v>
      </c>
      <c r="B29" s="1">
        <v>8.077</v>
      </c>
      <c r="C29" s="1">
        <v>5.03</v>
      </c>
      <c r="D29" s="1">
        <v>3.65</v>
      </c>
      <c r="E29" s="4">
        <f>(B29*C29*D29)</f>
        <v>148.2896815</v>
      </c>
      <c r="F29" s="4">
        <f>((E29*2*1000)/3600)</f>
        <v>82.383156388888892</v>
      </c>
      <c r="G29" s="1">
        <f>(45-22)</f>
        <v>23</v>
      </c>
      <c r="I29" s="11">
        <f>(1.232*F29*G29)</f>
        <v>2334.4091194355556</v>
      </c>
    </row>
    <row r="30" spans="1:12" x14ac:dyDescent="0.25">
      <c r="A30" s="6" t="s">
        <v>103</v>
      </c>
      <c r="B30" s="6">
        <v>8.077</v>
      </c>
      <c r="C30" s="6">
        <v>5.03</v>
      </c>
      <c r="D30" s="6">
        <v>3.65</v>
      </c>
      <c r="E30" s="4">
        <f>(B30*C30*D30)</f>
        <v>148.2896815</v>
      </c>
      <c r="F30" s="4">
        <f>((E30*2*1000)/3600)</f>
        <v>82.383156388888892</v>
      </c>
      <c r="H30" s="1">
        <f>(0.0275-0.01)</f>
        <v>1.7500000000000002E-2</v>
      </c>
      <c r="I30" s="11">
        <f>(3012*F30*H30)</f>
        <v>4342.4161732583343</v>
      </c>
    </row>
    <row r="32" spans="1:12" s="8" customFormat="1" x14ac:dyDescent="0.25"/>
    <row r="33" spans="2:5" s="8" customFormat="1" x14ac:dyDescent="0.25"/>
    <row r="34" spans="2:5" s="8" customFormat="1" x14ac:dyDescent="0.25">
      <c r="C34" s="8" t="s">
        <v>114</v>
      </c>
      <c r="D34" s="8" t="s">
        <v>115</v>
      </c>
      <c r="E34" s="8" t="s">
        <v>116</v>
      </c>
    </row>
    <row r="35" spans="2:5" x14ac:dyDescent="0.25">
      <c r="B35" s="1" t="s">
        <v>113</v>
      </c>
      <c r="C35" s="12">
        <f>SUM(I29,H25,M11)</f>
        <v>12614.430176319456</v>
      </c>
      <c r="D35" s="12">
        <f>SUM(Q11,J25,I29)</f>
        <v>13871.380353401106</v>
      </c>
      <c r="E35" s="12">
        <f>SUM(L25,I29,U11)</f>
        <v>14927.377015002456</v>
      </c>
    </row>
    <row r="36" spans="2:5" x14ac:dyDescent="0.25">
      <c r="B36" s="1" t="s">
        <v>112</v>
      </c>
      <c r="C36" s="12">
        <f>SUM(H19,I30)</f>
        <v>4932.4161732583343</v>
      </c>
      <c r="D36" s="12">
        <f>SUM(I30,J19)</f>
        <v>4932.4161732583343</v>
      </c>
      <c r="E36" s="12">
        <f>SUM(I30,L19)</f>
        <v>4932.4161732583343</v>
      </c>
    </row>
  </sheetData>
  <mergeCells count="4">
    <mergeCell ref="A14:L14"/>
    <mergeCell ref="A1:U1"/>
    <mergeCell ref="C20:E24"/>
    <mergeCell ref="C25:E25"/>
  </mergeCells>
  <pageMargins left="0.7" right="0.7" top="0.75" bottom="0.75" header="0.3" footer="0.3"/>
  <pageSetup orientation="portrait" r:id="rId1"/>
  <ignoredErrors>
    <ignoredError sqref="H19 J19 L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41CA-95DE-4725-BB76-B6CD63C90C0B}">
  <dimension ref="A1:U31"/>
  <sheetViews>
    <sheetView topLeftCell="B11" workbookViewId="0">
      <selection activeCell="C30" sqref="C30:E30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70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3.96</v>
      </c>
      <c r="E4" s="1"/>
      <c r="F4" s="4">
        <f>(C4*D4)</f>
        <v>15.9984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559.76801760000012</v>
      </c>
      <c r="N4" s="1">
        <v>17</v>
      </c>
      <c r="O4" s="1">
        <v>37.1</v>
      </c>
      <c r="P4" s="1"/>
      <c r="Q4" s="4">
        <f>(B4*F4*O4)</f>
        <v>646.95929760000013</v>
      </c>
      <c r="R4" s="1">
        <v>22</v>
      </c>
      <c r="S4" s="1">
        <v>42.1</v>
      </c>
      <c r="T4" s="1"/>
      <c r="U4" s="4">
        <f>(B4*F4*S4)</f>
        <v>734.15057760000013</v>
      </c>
    </row>
    <row r="5" spans="1:21" x14ac:dyDescent="0.25">
      <c r="A5" s="1" t="s">
        <v>12</v>
      </c>
      <c r="B5" s="1">
        <v>1.0900000000000001</v>
      </c>
      <c r="C5" s="1">
        <v>4.04</v>
      </c>
      <c r="D5" s="1">
        <v>3.96</v>
      </c>
      <c r="E5" s="1"/>
      <c r="F5" s="4">
        <f>C5*D5</f>
        <v>15.9984</v>
      </c>
      <c r="G5" s="1"/>
      <c r="H5" s="1"/>
      <c r="I5" s="1"/>
      <c r="J5" s="1">
        <f>40-22</f>
        <v>18</v>
      </c>
      <c r="K5" s="1"/>
      <c r="L5" s="1"/>
      <c r="M5" s="4">
        <f>(B5*F5*J5)</f>
        <v>313.88860800000003</v>
      </c>
      <c r="N5" s="1">
        <v>18</v>
      </c>
      <c r="O5" s="1"/>
      <c r="P5" s="1"/>
      <c r="Q5" s="4">
        <f>(B5*F5*N5)</f>
        <v>313.88860800000003</v>
      </c>
      <c r="R5" s="1">
        <v>18</v>
      </c>
      <c r="S5" s="1"/>
      <c r="T5" s="1"/>
      <c r="U5" s="4">
        <f>(B5*F5*R5)</f>
        <v>313.88860800000003</v>
      </c>
    </row>
    <row r="6" spans="1:21" x14ac:dyDescent="0.25">
      <c r="A6" s="1" t="s">
        <v>25</v>
      </c>
      <c r="B6" s="1">
        <v>1.349</v>
      </c>
      <c r="C6" s="1">
        <v>4.04</v>
      </c>
      <c r="D6" s="1"/>
      <c r="E6" s="1">
        <v>3.65</v>
      </c>
      <c r="F6" s="4">
        <f>C6*E6</f>
        <v>14.746</v>
      </c>
      <c r="G6" s="1"/>
      <c r="H6" s="1"/>
      <c r="I6" s="1"/>
      <c r="J6" s="1">
        <f>40-22</f>
        <v>18</v>
      </c>
      <c r="K6" s="1"/>
      <c r="L6" s="1"/>
      <c r="M6" s="4">
        <f>(B6*F6*J6)</f>
        <v>358.06237200000004</v>
      </c>
      <c r="N6" s="1">
        <v>18</v>
      </c>
      <c r="O6" s="1"/>
      <c r="P6" s="1"/>
      <c r="Q6" s="4">
        <f>(B6*F6*N6)</f>
        <v>358.06237200000004</v>
      </c>
      <c r="R6" s="1">
        <v>18</v>
      </c>
      <c r="S6" s="1"/>
      <c r="T6" s="1"/>
      <c r="U6" s="4">
        <f>(B6*F6*R6)</f>
        <v>358.06237200000004</v>
      </c>
    </row>
    <row r="7" spans="1:21" x14ac:dyDescent="0.25">
      <c r="A7" s="1" t="s">
        <v>26</v>
      </c>
      <c r="B7" s="1">
        <v>1.5467</v>
      </c>
      <c r="C7" s="1"/>
      <c r="D7" s="1"/>
      <c r="E7" s="1"/>
      <c r="F7" s="4">
        <v>18.420000000000002</v>
      </c>
      <c r="G7" s="1"/>
      <c r="H7" s="1"/>
      <c r="I7" s="1"/>
      <c r="J7" s="1">
        <f>40-22</f>
        <v>18</v>
      </c>
      <c r="K7" s="1"/>
      <c r="L7" s="1"/>
      <c r="M7" s="4">
        <f>(B7*F7*J7)</f>
        <v>512.82385199999999</v>
      </c>
      <c r="N7" s="1">
        <v>18</v>
      </c>
      <c r="O7" s="1"/>
      <c r="P7" s="1"/>
      <c r="Q7" s="4">
        <f>(B7*F7*N7)</f>
        <v>512.82385199999999</v>
      </c>
      <c r="R7" s="1">
        <v>18</v>
      </c>
      <c r="S7" s="1"/>
      <c r="T7" s="1"/>
      <c r="U7" s="4">
        <v>499.8</v>
      </c>
    </row>
    <row r="8" spans="1:21" x14ac:dyDescent="0.25">
      <c r="A8" s="1" t="s">
        <v>50</v>
      </c>
      <c r="B8" s="1">
        <v>1.4339</v>
      </c>
      <c r="C8" s="1"/>
      <c r="D8" s="1"/>
      <c r="E8" s="1"/>
      <c r="F8" s="4">
        <v>1.4339</v>
      </c>
      <c r="G8" s="1"/>
      <c r="H8" s="1"/>
      <c r="I8" s="1"/>
      <c r="J8" s="1">
        <f>40-22</f>
        <v>18</v>
      </c>
      <c r="K8" s="1"/>
      <c r="L8" s="1"/>
      <c r="M8" s="4">
        <f>(B8*F8*J8)</f>
        <v>37.009245780000001</v>
      </c>
      <c r="N8" s="1">
        <v>18</v>
      </c>
      <c r="O8" s="1"/>
      <c r="P8" s="1"/>
      <c r="Q8" s="4">
        <f>(B8*F8*N8)</f>
        <v>37.009245780000001</v>
      </c>
      <c r="R8" s="1">
        <v>18</v>
      </c>
      <c r="S8" s="1"/>
      <c r="T8" s="1"/>
      <c r="U8" s="4">
        <v>499.8</v>
      </c>
    </row>
    <row r="9" spans="1:21" x14ac:dyDescent="0.25">
      <c r="A9" s="1" t="s">
        <v>60</v>
      </c>
      <c r="B9" s="1">
        <v>1.5676000000000001</v>
      </c>
      <c r="C9" s="1">
        <v>4.04</v>
      </c>
      <c r="D9" s="1"/>
      <c r="E9" s="1">
        <v>3.65</v>
      </c>
      <c r="F9" s="4">
        <v>15.75</v>
      </c>
      <c r="G9" s="1"/>
      <c r="H9" s="1"/>
      <c r="I9" s="1"/>
      <c r="J9" s="1">
        <f>40-22</f>
        <v>18</v>
      </c>
      <c r="K9" s="1"/>
      <c r="L9" s="1"/>
      <c r="M9" s="4">
        <f>(B9*F9*J9)</f>
        <v>444.41460000000006</v>
      </c>
      <c r="N9" s="1">
        <v>18</v>
      </c>
      <c r="O9" s="1"/>
      <c r="P9" s="1"/>
      <c r="Q9" s="4">
        <f>(B9*F9*N9)</f>
        <v>444.41460000000006</v>
      </c>
      <c r="R9" s="1">
        <v>18</v>
      </c>
      <c r="S9" s="1"/>
      <c r="T9" s="1"/>
      <c r="U9" s="4">
        <v>499.8</v>
      </c>
    </row>
    <row r="10" spans="1:21" x14ac:dyDescent="0.25">
      <c r="A10" s="1" t="s">
        <v>53</v>
      </c>
      <c r="B10" s="1">
        <v>4.8</v>
      </c>
      <c r="C10" s="1">
        <v>1</v>
      </c>
      <c r="D10" s="1">
        <v>1</v>
      </c>
      <c r="E10" s="1"/>
      <c r="F10" s="4">
        <f>C10*D10</f>
        <v>1</v>
      </c>
      <c r="G10" s="1"/>
      <c r="H10" s="4">
        <f>213*3.147</f>
        <v>670.31099999999992</v>
      </c>
      <c r="I10" s="1">
        <v>0.6</v>
      </c>
      <c r="J10" s="1">
        <v>18</v>
      </c>
      <c r="K10" s="1"/>
      <c r="L10" s="1">
        <v>0.17</v>
      </c>
      <c r="M10" s="4">
        <f>((B10*F10*J10)+(F10*I10*H10*L10))</f>
        <v>154.77172199999998</v>
      </c>
      <c r="N10" s="1">
        <v>18</v>
      </c>
      <c r="O10" s="1"/>
      <c r="P10" s="1">
        <v>0.53</v>
      </c>
      <c r="Q10" s="4">
        <f>((B10*F10*N10)+(F10*I10*H10*P10))</f>
        <v>299.558898</v>
      </c>
      <c r="R10" s="1">
        <v>18</v>
      </c>
      <c r="S10" s="1"/>
      <c r="T10" s="1">
        <v>0.82</v>
      </c>
      <c r="U10" s="4">
        <f>((B10*F10*R10)+(F10*I10*H10*T10))</f>
        <v>416.1930119999999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3" t="s">
        <v>111</v>
      </c>
      <c r="L11" s="1"/>
      <c r="M11" s="11">
        <f>SUM(M4:M10)</f>
        <v>2380.7384173800001</v>
      </c>
      <c r="N11" s="1"/>
      <c r="O11" s="1"/>
      <c r="P11" s="1"/>
      <c r="Q11" s="11">
        <f>SUM(Q4:Q10)</f>
        <v>2612.7168733799999</v>
      </c>
      <c r="R11" s="1"/>
      <c r="S11" s="1"/>
      <c r="T11" s="1"/>
      <c r="U11" s="11">
        <f>SUM(U4:U10)</f>
        <v>3321.6945696000002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28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"/>
      <c r="N14" s="1"/>
      <c r="O14" s="1"/>
      <c r="P14" s="1"/>
      <c r="Q14" s="1"/>
      <c r="R14" s="1"/>
      <c r="S14" s="1"/>
      <c r="T14" s="1"/>
      <c r="U14" s="1"/>
    </row>
    <row r="16" spans="1:21" x14ac:dyDescent="0.25">
      <c r="A16" s="1"/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36</v>
      </c>
      <c r="B17" s="1">
        <v>2</v>
      </c>
      <c r="C17" s="4">
        <f>(B17*F4*10)</f>
        <v>319.96800000000002</v>
      </c>
      <c r="D17" s="4">
        <f>C4*D4</f>
        <v>15.9984</v>
      </c>
      <c r="E17" s="1"/>
      <c r="F17" s="1"/>
      <c r="G17" s="1">
        <v>0.86</v>
      </c>
      <c r="H17" s="4">
        <f>(C17*G17)</f>
        <v>275.17248000000001</v>
      </c>
      <c r="I17" s="1">
        <v>0.88</v>
      </c>
      <c r="J17" s="4">
        <f>(C17*I17)</f>
        <v>281.57184000000001</v>
      </c>
      <c r="K17" s="1">
        <v>0.89</v>
      </c>
      <c r="L17" s="4">
        <f>(C17*K17)</f>
        <v>284.77152000000001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37</v>
      </c>
      <c r="B18" s="1">
        <v>5</v>
      </c>
      <c r="C18" s="18"/>
      <c r="D18" s="18"/>
      <c r="E18" s="1"/>
      <c r="F18" s="1">
        <v>73</v>
      </c>
      <c r="G18" s="1">
        <v>0.82</v>
      </c>
      <c r="H18" s="4">
        <f>(B18*F18*G18)</f>
        <v>299.29999999999995</v>
      </c>
      <c r="I18" s="1">
        <v>0.87</v>
      </c>
      <c r="J18" s="1">
        <f>(B18*F18*I18)</f>
        <v>317.55</v>
      </c>
      <c r="K18" s="1">
        <v>0.9</v>
      </c>
      <c r="L18" s="1">
        <f>(B18*F18*K18)</f>
        <v>328.5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38</v>
      </c>
      <c r="B19" s="1">
        <v>5</v>
      </c>
      <c r="C19" s="18"/>
      <c r="D19" s="18"/>
      <c r="E19" s="1">
        <v>59</v>
      </c>
      <c r="F19" s="1"/>
      <c r="G19" s="1"/>
      <c r="H19" s="1">
        <f>B19*E19</f>
        <v>295</v>
      </c>
      <c r="I19" s="1"/>
      <c r="J19" s="1">
        <f>B19*E19</f>
        <v>295</v>
      </c>
      <c r="K19" s="1"/>
      <c r="L19" s="1">
        <f>B19*E19</f>
        <v>295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5" t="s">
        <v>48</v>
      </c>
      <c r="B20" s="1">
        <v>3</v>
      </c>
      <c r="C20" s="18"/>
      <c r="D20" s="18"/>
      <c r="E20" s="1"/>
      <c r="F20" s="1">
        <v>65</v>
      </c>
      <c r="G20" s="1">
        <v>0.85</v>
      </c>
      <c r="H20" s="1">
        <f>(B20*F20*G20)</f>
        <v>165.75</v>
      </c>
      <c r="I20" s="1">
        <v>0.89</v>
      </c>
      <c r="J20" s="1">
        <f>(B20*F20*I20)</f>
        <v>173.55</v>
      </c>
      <c r="K20" s="1">
        <v>0.91</v>
      </c>
      <c r="L20" s="1">
        <f>B20*F20*K20</f>
        <v>177.45000000000002</v>
      </c>
    </row>
    <row r="21" spans="1:21" x14ac:dyDescent="0.25">
      <c r="A21" s="1" t="s">
        <v>46</v>
      </c>
      <c r="B21" s="1">
        <v>3</v>
      </c>
      <c r="C21" s="18"/>
      <c r="D21" s="18"/>
      <c r="E21" s="1"/>
      <c r="F21" s="1">
        <v>550</v>
      </c>
      <c r="G21" s="1">
        <v>0.85</v>
      </c>
      <c r="H21" s="1">
        <f>B21*F21*G21</f>
        <v>1402.5</v>
      </c>
      <c r="I21" s="1">
        <v>0.89</v>
      </c>
      <c r="J21" s="1">
        <f>B21*F21*I21</f>
        <v>1468.5</v>
      </c>
      <c r="K21" s="1">
        <v>0.91</v>
      </c>
      <c r="L21" s="1">
        <f>B21*F21*K21</f>
        <v>1501.5</v>
      </c>
    </row>
    <row r="22" spans="1:21" x14ac:dyDescent="0.25">
      <c r="C22" s="22" t="s">
        <v>111</v>
      </c>
      <c r="D22" s="22"/>
      <c r="E22" s="15"/>
      <c r="F22" s="15"/>
      <c r="G22" s="15"/>
      <c r="H22" s="11">
        <f>SUM(H17,H18,H20,H21)</f>
        <v>2142.7224799999999</v>
      </c>
      <c r="I22" s="15"/>
      <c r="J22" s="11">
        <f>SUM(J17:J18,J20:J21)</f>
        <v>2241.17184</v>
      </c>
      <c r="K22" s="15"/>
      <c r="L22" s="11">
        <f>SUM(L17:L18,L20:L21)</f>
        <v>2292.2215200000001</v>
      </c>
    </row>
    <row r="24" spans="1:21" x14ac:dyDescent="0.25">
      <c r="A24" s="6"/>
      <c r="B24" s="6" t="s">
        <v>104</v>
      </c>
      <c r="C24" s="6" t="s">
        <v>3</v>
      </c>
      <c r="D24" s="6" t="s">
        <v>105</v>
      </c>
      <c r="E24" s="6" t="s">
        <v>106</v>
      </c>
      <c r="F24" s="6" t="s">
        <v>107</v>
      </c>
      <c r="G24" s="6" t="s">
        <v>108</v>
      </c>
      <c r="H24" s="6" t="s">
        <v>109</v>
      </c>
      <c r="I24" s="6" t="s">
        <v>110</v>
      </c>
    </row>
    <row r="25" spans="1:21" x14ac:dyDescent="0.25">
      <c r="A25" s="6" t="s">
        <v>102</v>
      </c>
      <c r="B25" s="6">
        <v>4.04</v>
      </c>
      <c r="C25" s="6">
        <v>3.96</v>
      </c>
      <c r="D25" s="6">
        <v>3.65</v>
      </c>
      <c r="E25" s="4">
        <f>(B25*C25*D25)</f>
        <v>58.394159999999999</v>
      </c>
      <c r="F25" s="4">
        <f>((E25*2*1000)/3600)</f>
        <v>32.441199999999995</v>
      </c>
      <c r="G25" s="6">
        <f>(45-22)</f>
        <v>23</v>
      </c>
      <c r="H25" s="6"/>
      <c r="I25" s="11">
        <f>(1.232*F25*G25)</f>
        <v>919.25384319999989</v>
      </c>
    </row>
    <row r="26" spans="1:21" x14ac:dyDescent="0.25">
      <c r="A26" s="6" t="s">
        <v>103</v>
      </c>
      <c r="B26" s="6">
        <v>4.04</v>
      </c>
      <c r="C26" s="6">
        <v>3.96</v>
      </c>
      <c r="D26" s="6">
        <v>3.65</v>
      </c>
      <c r="E26" s="4">
        <f>(B26*C26*D26)</f>
        <v>58.394159999999999</v>
      </c>
      <c r="F26" s="4">
        <f>((E26*2*1000)/3600)</f>
        <v>32.441199999999995</v>
      </c>
      <c r="G26" s="6"/>
      <c r="H26" s="6">
        <f>(0.0275-0.01)</f>
        <v>1.7500000000000002E-2</v>
      </c>
      <c r="I26" s="11">
        <f>(3012*F26*H26)</f>
        <v>1709.9756520000001</v>
      </c>
    </row>
    <row r="29" spans="1:21" x14ac:dyDescent="0.25">
      <c r="B29" s="9"/>
      <c r="C29" s="9" t="s">
        <v>114</v>
      </c>
      <c r="D29" s="9" t="s">
        <v>115</v>
      </c>
      <c r="E29" s="9" t="s">
        <v>116</v>
      </c>
    </row>
    <row r="30" spans="1:21" x14ac:dyDescent="0.25">
      <c r="B30" s="9" t="s">
        <v>113</v>
      </c>
      <c r="C30" s="12">
        <f>SUM(I25,H22,M11)</f>
        <v>5442.7147405799997</v>
      </c>
      <c r="D30" s="12">
        <f>SUM(J22,I25,Q11)</f>
        <v>5773.14255658</v>
      </c>
      <c r="E30" s="12">
        <f>SUM(I25,L22,U11)</f>
        <v>6533.1699328000004</v>
      </c>
    </row>
    <row r="31" spans="1:21" x14ac:dyDescent="0.25">
      <c r="B31" s="9" t="s">
        <v>112</v>
      </c>
      <c r="C31" s="12">
        <f>SUM(I26,H19)</f>
        <v>2004.9756520000001</v>
      </c>
      <c r="D31" s="12">
        <f>SUM(I26,J19)</f>
        <v>2004.9756520000001</v>
      </c>
      <c r="E31" s="12">
        <f>SUM(L19,I26)</f>
        <v>2004.9756520000001</v>
      </c>
    </row>
  </sheetData>
  <mergeCells count="4">
    <mergeCell ref="A1:U1"/>
    <mergeCell ref="A14:L14"/>
    <mergeCell ref="C18:D21"/>
    <mergeCell ref="C22:D22"/>
  </mergeCells>
  <pageMargins left="0.7" right="0.7" top="0.75" bottom="0.75" header="0.3" footer="0.3"/>
  <ignoredErrors>
    <ignoredError sqref="H19 J1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574B-935C-4CDC-8B78-C66CAC97B18F}">
  <dimension ref="A1:U36"/>
  <sheetViews>
    <sheetView topLeftCell="B16" workbookViewId="0">
      <selection activeCell="C35" sqref="C35:E35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9.42578125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7109375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71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3.96</v>
      </c>
      <c r="E4" s="1"/>
      <c r="F4" s="4">
        <f>(C4*D4)</f>
        <v>15.9984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559.76801760000012</v>
      </c>
      <c r="N4" s="1">
        <v>17</v>
      </c>
      <c r="O4" s="1">
        <v>37.1</v>
      </c>
      <c r="P4" s="1"/>
      <c r="Q4" s="4">
        <f>(B4*F4*O4)</f>
        <v>646.95929760000013</v>
      </c>
      <c r="R4" s="1">
        <v>22</v>
      </c>
      <c r="S4" s="1">
        <v>42.1</v>
      </c>
      <c r="T4" s="1"/>
      <c r="U4" s="4">
        <f>(B4*F4*S4)</f>
        <v>734.15057760000013</v>
      </c>
    </row>
    <row r="5" spans="1:21" x14ac:dyDescent="0.25">
      <c r="A5" s="1" t="s">
        <v>12</v>
      </c>
      <c r="B5" s="1">
        <v>1.0900000000000001</v>
      </c>
      <c r="C5" s="1">
        <v>4.04</v>
      </c>
      <c r="D5" s="1">
        <v>3.96</v>
      </c>
      <c r="E5" s="1"/>
      <c r="F5" s="4">
        <f>C5*D5</f>
        <v>15.9984</v>
      </c>
      <c r="G5" s="1"/>
      <c r="H5" s="1"/>
      <c r="I5" s="1"/>
      <c r="J5" s="1">
        <f>40-22</f>
        <v>18</v>
      </c>
      <c r="K5" s="1"/>
      <c r="L5" s="1"/>
      <c r="M5" s="4">
        <f>(B5*F5*J5)</f>
        <v>313.88860800000003</v>
      </c>
      <c r="N5" s="1">
        <v>18</v>
      </c>
      <c r="O5" s="1"/>
      <c r="P5" s="1"/>
      <c r="Q5" s="4">
        <f>(B5*F5*N5)</f>
        <v>313.88860800000003</v>
      </c>
      <c r="R5" s="1">
        <v>18</v>
      </c>
      <c r="S5" s="1"/>
      <c r="T5" s="1"/>
      <c r="U5" s="4">
        <f>(B5*F5*R5)</f>
        <v>313.88860800000003</v>
      </c>
    </row>
    <row r="6" spans="1:21" x14ac:dyDescent="0.25">
      <c r="A6" s="1" t="s">
        <v>54</v>
      </c>
      <c r="B6" s="1">
        <v>1.349</v>
      </c>
      <c r="C6" s="1"/>
      <c r="D6" s="1">
        <v>3.96</v>
      </c>
      <c r="E6" s="1">
        <v>3.65</v>
      </c>
      <c r="F6" s="4">
        <f>D6*E6</f>
        <v>14.453999999999999</v>
      </c>
      <c r="G6" s="1"/>
      <c r="H6" s="1"/>
      <c r="I6" s="1"/>
      <c r="J6" s="1">
        <f>40-22</f>
        <v>18</v>
      </c>
      <c r="K6" s="1"/>
      <c r="L6" s="1"/>
      <c r="M6" s="4">
        <f>(B6*F6*J6)</f>
        <v>350.97202799999997</v>
      </c>
      <c r="N6" s="1">
        <v>18</v>
      </c>
      <c r="O6" s="1"/>
      <c r="P6" s="1"/>
      <c r="Q6" s="4">
        <f>(B6*F6*N6)</f>
        <v>350.97202799999997</v>
      </c>
      <c r="R6" s="1">
        <v>18</v>
      </c>
      <c r="S6" s="1"/>
      <c r="T6" s="1"/>
      <c r="U6" s="4">
        <f>(B6*F6*R6)</f>
        <v>350.97202799999997</v>
      </c>
    </row>
    <row r="7" spans="1:21" x14ac:dyDescent="0.25">
      <c r="A7" s="1" t="s">
        <v>59</v>
      </c>
      <c r="B7" s="1">
        <v>1.5467</v>
      </c>
      <c r="C7" s="1"/>
      <c r="D7" s="1"/>
      <c r="E7" s="1"/>
      <c r="F7" s="4">
        <v>18.420000000000002</v>
      </c>
      <c r="G7" s="1"/>
      <c r="H7" s="1"/>
      <c r="I7" s="1"/>
      <c r="J7" s="1">
        <f>40-22</f>
        <v>18</v>
      </c>
      <c r="K7" s="1"/>
      <c r="L7" s="1"/>
      <c r="M7" s="4">
        <f>(B7*F7*J7)</f>
        <v>512.82385199999999</v>
      </c>
      <c r="N7" s="1">
        <v>18</v>
      </c>
      <c r="O7" s="1"/>
      <c r="P7" s="1"/>
      <c r="Q7" s="4">
        <f>(B7*F7*N7)</f>
        <v>512.82385199999999</v>
      </c>
      <c r="R7" s="1">
        <v>18</v>
      </c>
      <c r="S7" s="1"/>
      <c r="T7" s="1"/>
      <c r="U7" s="4">
        <v>499.8</v>
      </c>
    </row>
    <row r="8" spans="1:21" x14ac:dyDescent="0.25">
      <c r="A8" s="1" t="s">
        <v>25</v>
      </c>
      <c r="B8" s="1">
        <v>1.349</v>
      </c>
      <c r="C8" s="1">
        <v>4.04</v>
      </c>
      <c r="D8" s="1"/>
      <c r="E8" s="1">
        <v>3.65</v>
      </c>
      <c r="F8" s="4">
        <f>C8*E8</f>
        <v>14.746</v>
      </c>
      <c r="G8" s="1"/>
      <c r="H8" s="1"/>
      <c r="I8" s="1"/>
      <c r="J8" s="1">
        <f>40-22</f>
        <v>18</v>
      </c>
      <c r="K8" s="1"/>
      <c r="L8" s="1"/>
      <c r="M8" s="4">
        <f>(B8*F8*J8)</f>
        <v>358.06237200000004</v>
      </c>
      <c r="N8" s="1">
        <v>18</v>
      </c>
      <c r="O8" s="1"/>
      <c r="P8" s="1"/>
      <c r="Q8" s="4">
        <f>(B8*F8*N8)</f>
        <v>358.06237200000004</v>
      </c>
      <c r="R8" s="1">
        <v>18</v>
      </c>
      <c r="S8" s="1"/>
      <c r="T8" s="1"/>
      <c r="U8" s="4">
        <v>499.8</v>
      </c>
    </row>
    <row r="9" spans="1:21" x14ac:dyDescent="0.25">
      <c r="A9" s="1" t="s">
        <v>50</v>
      </c>
      <c r="B9" s="1">
        <v>1.5676000000000001</v>
      </c>
      <c r="C9" s="1">
        <v>4.04</v>
      </c>
      <c r="D9" s="1"/>
      <c r="E9" s="1">
        <v>3.65</v>
      </c>
      <c r="F9" s="4">
        <v>15.75</v>
      </c>
      <c r="G9" s="1"/>
      <c r="H9" s="1"/>
      <c r="I9" s="1"/>
      <c r="J9" s="1">
        <f>40-22</f>
        <v>18</v>
      </c>
      <c r="K9" s="1"/>
      <c r="L9" s="1"/>
      <c r="M9" s="4">
        <f>(B9*F9*J9)</f>
        <v>444.41460000000006</v>
      </c>
      <c r="N9" s="1">
        <v>18</v>
      </c>
      <c r="O9" s="1"/>
      <c r="P9" s="1"/>
      <c r="Q9" s="4">
        <f>(B9*F9*N9)</f>
        <v>444.41460000000006</v>
      </c>
      <c r="R9" s="1">
        <v>18</v>
      </c>
      <c r="S9" s="1"/>
      <c r="T9" s="1"/>
      <c r="U9" s="4">
        <v>499.8</v>
      </c>
    </row>
    <row r="10" spans="1:21" x14ac:dyDescent="0.25">
      <c r="A10" s="1" t="s">
        <v>53</v>
      </c>
      <c r="B10" s="1">
        <v>4.8</v>
      </c>
      <c r="C10" s="1">
        <v>1</v>
      </c>
      <c r="D10" s="1">
        <v>1</v>
      </c>
      <c r="E10" s="1"/>
      <c r="F10" s="4">
        <f>C10*D10</f>
        <v>1</v>
      </c>
      <c r="G10" s="1"/>
      <c r="H10" s="4">
        <f>213*3.147</f>
        <v>670.31099999999992</v>
      </c>
      <c r="I10" s="1">
        <v>0.6</v>
      </c>
      <c r="J10" s="1">
        <v>18</v>
      </c>
      <c r="K10" s="1"/>
      <c r="L10" s="1">
        <v>0.17</v>
      </c>
      <c r="M10" s="4">
        <f>((B10*F10*J10)+(F10*I10*H10*L10))</f>
        <v>154.77172199999998</v>
      </c>
      <c r="N10" s="1">
        <v>18</v>
      </c>
      <c r="O10" s="1"/>
      <c r="P10" s="1">
        <v>0.53</v>
      </c>
      <c r="Q10" s="4">
        <f>((B10*F10*N10)+(F10*I10*H10*P10))</f>
        <v>299.558898</v>
      </c>
      <c r="R10" s="1">
        <v>18</v>
      </c>
      <c r="S10" s="1"/>
      <c r="T10" s="1">
        <v>0.82</v>
      </c>
      <c r="U10" s="4">
        <f>((B10*F10*R10)+(F10*I10*H10*T10))</f>
        <v>416.1930119999999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3" t="s">
        <v>111</v>
      </c>
      <c r="L11" s="1"/>
      <c r="M11" s="11">
        <f>SUM(M4:M10)</f>
        <v>2694.7011996000001</v>
      </c>
      <c r="N11" s="1"/>
      <c r="O11" s="1"/>
      <c r="P11" s="1"/>
      <c r="Q11" s="11">
        <f>SUM(Q4:Q10)</f>
        <v>2926.6796555999999</v>
      </c>
      <c r="R11" s="1"/>
      <c r="S11" s="1"/>
      <c r="T11" s="1"/>
      <c r="U11" s="11">
        <f>SUM(U4:U10)</f>
        <v>3314.6042256000001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28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"/>
      <c r="N14" s="1"/>
      <c r="O14" s="1"/>
      <c r="P14" s="1"/>
      <c r="Q14" s="1"/>
      <c r="R14" s="1"/>
      <c r="S14" s="1"/>
      <c r="T14" s="1"/>
      <c r="U14" s="1"/>
    </row>
    <row r="16" spans="1:21" x14ac:dyDescent="0.25">
      <c r="A16" s="1"/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36</v>
      </c>
      <c r="B17" s="1">
        <v>2</v>
      </c>
      <c r="C17" s="4">
        <f>(B17*F4*10)</f>
        <v>319.96800000000002</v>
      </c>
      <c r="D17" s="4">
        <f>C4*D4</f>
        <v>15.9984</v>
      </c>
      <c r="E17" s="1"/>
      <c r="F17" s="1"/>
      <c r="G17" s="1">
        <v>0.8</v>
      </c>
      <c r="H17" s="4">
        <f>(C17*G17)</f>
        <v>255.97440000000003</v>
      </c>
      <c r="I17" s="1">
        <v>0.82</v>
      </c>
      <c r="J17" s="4">
        <f>(C17*I17)</f>
        <v>262.37376</v>
      </c>
      <c r="K17" s="1">
        <v>0.84</v>
      </c>
      <c r="L17" s="4">
        <f>(C17*K17)</f>
        <v>268.77312000000001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37</v>
      </c>
      <c r="B18" s="1">
        <v>5</v>
      </c>
      <c r="C18" s="18"/>
      <c r="D18" s="18"/>
      <c r="E18" s="1"/>
      <c r="F18" s="1">
        <v>73</v>
      </c>
      <c r="G18" s="1">
        <v>0.74</v>
      </c>
      <c r="H18" s="4">
        <f>(B18*F18*G18)</f>
        <v>270.10000000000002</v>
      </c>
      <c r="I18" s="1">
        <v>0.8</v>
      </c>
      <c r="J18" s="1">
        <f>(B18*F18*I18)</f>
        <v>292</v>
      </c>
      <c r="K18" s="1">
        <v>0.85</v>
      </c>
      <c r="L18" s="1">
        <f>(B18*F18*K18)</f>
        <v>310.25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38</v>
      </c>
      <c r="B19" s="1">
        <v>5</v>
      </c>
      <c r="C19" s="18"/>
      <c r="D19" s="18"/>
      <c r="E19" s="1">
        <v>59</v>
      </c>
      <c r="F19" s="1"/>
      <c r="G19" s="1"/>
      <c r="H19" s="1">
        <f>B19*E19</f>
        <v>295</v>
      </c>
      <c r="I19" s="1"/>
      <c r="J19" s="1">
        <f>B19*E19</f>
        <v>295</v>
      </c>
      <c r="K19" s="1"/>
      <c r="L19" s="1">
        <f>B19*E19</f>
        <v>295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5" t="s">
        <v>48</v>
      </c>
      <c r="B20" s="1">
        <v>3</v>
      </c>
      <c r="C20" s="18"/>
      <c r="D20" s="18"/>
      <c r="E20" s="1"/>
      <c r="F20" s="1">
        <v>65</v>
      </c>
      <c r="G20" s="1">
        <v>0.81</v>
      </c>
      <c r="H20" s="1">
        <f>(B20*F20*G20)</f>
        <v>157.95000000000002</v>
      </c>
      <c r="I20" s="1">
        <v>0.85</v>
      </c>
      <c r="J20" s="1">
        <f>(B20*F20*I20)</f>
        <v>165.75</v>
      </c>
      <c r="K20" s="1">
        <v>0.89</v>
      </c>
      <c r="L20" s="1">
        <f>B20*F20*K20</f>
        <v>173.55</v>
      </c>
    </row>
    <row r="21" spans="1:21" x14ac:dyDescent="0.25">
      <c r="A21" s="1" t="s">
        <v>46</v>
      </c>
      <c r="B21" s="1">
        <v>3</v>
      </c>
      <c r="C21" s="18"/>
      <c r="D21" s="18"/>
      <c r="E21" s="1"/>
      <c r="F21" s="1">
        <v>550</v>
      </c>
      <c r="G21" s="1">
        <v>0.81</v>
      </c>
      <c r="H21" s="1">
        <f>B21*F21*G21</f>
        <v>1336.5</v>
      </c>
      <c r="I21" s="1">
        <v>0.85</v>
      </c>
      <c r="J21" s="1">
        <f>B21*F21*I21</f>
        <v>1402.5</v>
      </c>
      <c r="K21" s="1">
        <v>0.89</v>
      </c>
      <c r="L21" s="1">
        <f>B21*F21*K21</f>
        <v>1468.5</v>
      </c>
    </row>
    <row r="22" spans="1:21" x14ac:dyDescent="0.25">
      <c r="A22" s="2" t="s">
        <v>100</v>
      </c>
      <c r="B22" s="2">
        <v>1</v>
      </c>
      <c r="C22" s="18"/>
      <c r="D22" s="18"/>
      <c r="E22" s="2">
        <v>560</v>
      </c>
      <c r="F22" s="2">
        <v>1100</v>
      </c>
      <c r="G22" s="2">
        <v>0.81</v>
      </c>
      <c r="H22" s="2">
        <f>((B22*F22*G22)+(E22))</f>
        <v>1451</v>
      </c>
      <c r="I22" s="2">
        <v>0.85</v>
      </c>
      <c r="J22" s="2">
        <f>((B22*F22*I22)+(E22))</f>
        <v>1495</v>
      </c>
      <c r="K22" s="2">
        <v>0.89</v>
      </c>
      <c r="L22" s="2">
        <f>((B22*F22*K22)+(E22))</f>
        <v>1539</v>
      </c>
    </row>
    <row r="23" spans="1:21" x14ac:dyDescent="0.25">
      <c r="C23" s="21" t="s">
        <v>111</v>
      </c>
      <c r="D23" s="22"/>
      <c r="E23" s="16"/>
      <c r="F23" s="16"/>
      <c r="G23" s="16"/>
      <c r="H23" s="11">
        <f>SUM(H17:H18,H20:H22)</f>
        <v>3471.5244000000002</v>
      </c>
      <c r="I23" s="16"/>
      <c r="J23" s="11">
        <f>SUM(J17:J18,J20:J22)</f>
        <v>3617.6237599999999</v>
      </c>
      <c r="K23" s="16"/>
      <c r="L23" s="11">
        <f>SUM(L17:L18,L20:L22)</f>
        <v>3760.07312</v>
      </c>
    </row>
    <row r="27" spans="1:21" x14ac:dyDescent="0.25">
      <c r="J27" t="s">
        <v>101</v>
      </c>
    </row>
    <row r="29" spans="1:21" x14ac:dyDescent="0.25">
      <c r="A29" s="6"/>
      <c r="B29" s="6" t="s">
        <v>104</v>
      </c>
      <c r="C29" s="6" t="s">
        <v>3</v>
      </c>
      <c r="D29" s="6" t="s">
        <v>105</v>
      </c>
      <c r="E29" s="6" t="s">
        <v>106</v>
      </c>
      <c r="F29" s="6" t="s">
        <v>107</v>
      </c>
      <c r="G29" s="6" t="s">
        <v>108</v>
      </c>
      <c r="H29" s="6" t="s">
        <v>109</v>
      </c>
      <c r="I29" s="6" t="s">
        <v>110</v>
      </c>
    </row>
    <row r="30" spans="1:21" x14ac:dyDescent="0.25">
      <c r="A30" s="6" t="s">
        <v>102</v>
      </c>
      <c r="B30" s="6">
        <v>4.04</v>
      </c>
      <c r="C30" s="6">
        <v>3.96</v>
      </c>
      <c r="D30" s="6">
        <v>3.65</v>
      </c>
      <c r="E30" s="4">
        <f>(B30*C30*D30)</f>
        <v>58.394159999999999</v>
      </c>
      <c r="F30" s="4">
        <f>((E30*2*1000)/3600)</f>
        <v>32.441199999999995</v>
      </c>
      <c r="G30" s="6">
        <f>(45-22)</f>
        <v>23</v>
      </c>
      <c r="H30" s="6"/>
      <c r="I30" s="11">
        <f>(1.232*F30*G30)</f>
        <v>919.25384319999989</v>
      </c>
    </row>
    <row r="31" spans="1:21" x14ac:dyDescent="0.25">
      <c r="A31" s="6" t="s">
        <v>103</v>
      </c>
      <c r="B31" s="6">
        <v>4.04</v>
      </c>
      <c r="C31" s="6">
        <v>3.96</v>
      </c>
      <c r="D31" s="6">
        <v>3.65</v>
      </c>
      <c r="E31" s="4">
        <f>(B31*C31*D31)</f>
        <v>58.394159999999999</v>
      </c>
      <c r="F31" s="4">
        <f>((E31*2*1000)/3600)</f>
        <v>32.441199999999995</v>
      </c>
      <c r="G31" s="6"/>
      <c r="H31" s="6">
        <f>(0.0275-0.01)</f>
        <v>1.7500000000000002E-2</v>
      </c>
      <c r="I31" s="11">
        <f>(3012*F31*H31)</f>
        <v>1709.9756520000001</v>
      </c>
    </row>
    <row r="34" spans="2:5" x14ac:dyDescent="0.25">
      <c r="B34" s="9"/>
      <c r="C34" s="9" t="s">
        <v>114</v>
      </c>
      <c r="D34" s="9" t="s">
        <v>115</v>
      </c>
      <c r="E34" s="9" t="s">
        <v>116</v>
      </c>
    </row>
    <row r="35" spans="2:5" x14ac:dyDescent="0.25">
      <c r="B35" s="9" t="s">
        <v>113</v>
      </c>
      <c r="C35" s="12">
        <f>SUM(I30,H23,M11)</f>
        <v>7085.4794428000005</v>
      </c>
      <c r="D35" s="12">
        <f>SUM(I30,J23,Q11)</f>
        <v>7463.5572587999995</v>
      </c>
      <c r="E35" s="12">
        <f>SUM(L23,I30,U11)</f>
        <v>7993.9311888000002</v>
      </c>
    </row>
    <row r="36" spans="2:5" x14ac:dyDescent="0.25">
      <c r="B36" s="9" t="s">
        <v>112</v>
      </c>
      <c r="C36" s="12">
        <f>SUM(I31,H19)</f>
        <v>2004.9756520000001</v>
      </c>
      <c r="D36" s="12">
        <f>SUM(I31,J19)</f>
        <v>2004.9756520000001</v>
      </c>
      <c r="E36" s="12">
        <f>SUM(I31,L19)</f>
        <v>2004.9756520000001</v>
      </c>
    </row>
  </sheetData>
  <mergeCells count="4">
    <mergeCell ref="A1:U1"/>
    <mergeCell ref="A14:L14"/>
    <mergeCell ref="C18:D22"/>
    <mergeCell ref="C23:D23"/>
  </mergeCells>
  <pageMargins left="0.7" right="0.7" top="0.75" bottom="0.75" header="0.3" footer="0.3"/>
  <ignoredErrors>
    <ignoredError sqref="H19 J1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A5E7-87A2-4BE3-9EEC-744AEB08AC06}">
  <dimension ref="A1:U35"/>
  <sheetViews>
    <sheetView topLeftCell="C15" workbookViewId="0">
      <selection activeCell="C34" sqref="C34:E34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9.42578125" customWidth="1"/>
    <col min="4" max="4" width="9.42578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7109375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5.03</v>
      </c>
      <c r="E4" s="1"/>
      <c r="F4" s="4">
        <f>(C4*D4)</f>
        <v>20.321200000000001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711.01846680000017</v>
      </c>
      <c r="N4" s="1">
        <v>17</v>
      </c>
      <c r="O4" s="1">
        <v>37.1</v>
      </c>
      <c r="P4" s="1"/>
      <c r="Q4" s="4">
        <f>(B4*F4*O4)</f>
        <v>821.76900680000017</v>
      </c>
      <c r="R4" s="1">
        <v>22</v>
      </c>
      <c r="S4" s="1">
        <v>42.1</v>
      </c>
      <c r="T4" s="1"/>
      <c r="U4" s="4">
        <f>(B4*F4*S4)</f>
        <v>932.51954680000017</v>
      </c>
    </row>
    <row r="5" spans="1:21" x14ac:dyDescent="0.25">
      <c r="A5" s="1" t="s">
        <v>57</v>
      </c>
      <c r="B5" s="1">
        <v>0.90590000000000004</v>
      </c>
      <c r="C5" s="1">
        <v>4.04</v>
      </c>
      <c r="D5" s="1">
        <v>5.03</v>
      </c>
      <c r="E5" s="1"/>
      <c r="F5" s="4">
        <f>((C5*D5)-(3.048*1.3))</f>
        <v>16.358800000000002</v>
      </c>
      <c r="G5" s="4">
        <v>0</v>
      </c>
      <c r="H5" s="1"/>
      <c r="I5" s="1"/>
      <c r="J5" s="1">
        <f>27/1.8</f>
        <v>15</v>
      </c>
      <c r="K5" s="1">
        <f>(J5+(25.5-22)+45-29.4)</f>
        <v>34.1</v>
      </c>
      <c r="L5" s="1"/>
      <c r="M5" s="4">
        <f>(B5*F5*K5)</f>
        <v>505.34279897200014</v>
      </c>
      <c r="N5" s="4">
        <f>32/1.8</f>
        <v>17.777777777777779</v>
      </c>
      <c r="O5" s="4">
        <f>(N5+(25.5-22)+45-29.4)</f>
        <v>36.877777777777773</v>
      </c>
      <c r="P5" s="1"/>
      <c r="Q5" s="4">
        <f>(B5*F5*O5)</f>
        <v>546.50790152755565</v>
      </c>
      <c r="R5" s="4">
        <f>33/1.8</f>
        <v>18.333333333333332</v>
      </c>
      <c r="S5" s="4">
        <f>(R5+(25.5-22)+45-29.4)</f>
        <v>37.43333333333333</v>
      </c>
      <c r="T5" s="1"/>
      <c r="U5" s="4">
        <f>(B5*F5*S5)</f>
        <v>554.74092203866678</v>
      </c>
    </row>
    <row r="6" spans="1:21" x14ac:dyDescent="0.25">
      <c r="A6" s="1" t="s">
        <v>12</v>
      </c>
      <c r="B6" s="1">
        <v>1.0900000000000001</v>
      </c>
      <c r="C6" s="1">
        <v>4.04</v>
      </c>
      <c r="D6" s="1">
        <v>5.03</v>
      </c>
      <c r="E6" s="1"/>
      <c r="F6" s="4">
        <f>C6*D6</f>
        <v>20.321200000000001</v>
      </c>
      <c r="G6" s="1"/>
      <c r="H6" s="1"/>
      <c r="I6" s="1"/>
      <c r="J6" s="1">
        <f>40-22</f>
        <v>18</v>
      </c>
      <c r="K6" s="1"/>
      <c r="L6" s="1"/>
      <c r="M6" s="4">
        <f>(B6*F6*J6)</f>
        <v>398.70194400000003</v>
      </c>
      <c r="N6" s="1">
        <v>18</v>
      </c>
      <c r="O6" s="1"/>
      <c r="P6" s="1"/>
      <c r="Q6" s="4">
        <f>(B6*F6*N6)</f>
        <v>398.70194400000003</v>
      </c>
      <c r="R6" s="1">
        <v>18</v>
      </c>
      <c r="S6" s="1"/>
      <c r="T6" s="1"/>
      <c r="U6" s="4">
        <f>(B6*F6*R6)</f>
        <v>398.70194400000003</v>
      </c>
    </row>
    <row r="7" spans="1:21" x14ac:dyDescent="0.25">
      <c r="A7" s="1" t="s">
        <v>25</v>
      </c>
      <c r="B7" s="1">
        <v>1.349</v>
      </c>
      <c r="C7" s="1">
        <v>4.04</v>
      </c>
      <c r="D7" s="1"/>
      <c r="E7" s="1">
        <v>3.65</v>
      </c>
      <c r="F7" s="4">
        <f>C7*E7</f>
        <v>14.746</v>
      </c>
      <c r="G7" s="1"/>
      <c r="H7" s="1"/>
      <c r="I7" s="1"/>
      <c r="J7" s="1">
        <f>40-22</f>
        <v>18</v>
      </c>
      <c r="K7" s="1"/>
      <c r="L7" s="1"/>
      <c r="M7" s="4">
        <f>(B7*F7*J7)</f>
        <v>358.06237200000004</v>
      </c>
      <c r="N7" s="1">
        <v>18</v>
      </c>
      <c r="O7" s="1"/>
      <c r="P7" s="1"/>
      <c r="Q7" s="4">
        <f>(B7*F7*N7)</f>
        <v>358.06237200000004</v>
      </c>
      <c r="R7" s="1">
        <v>18</v>
      </c>
      <c r="S7" s="1"/>
      <c r="T7" s="1"/>
      <c r="U7" s="4">
        <f>(B7*F7*R7)</f>
        <v>358.06237200000004</v>
      </c>
    </row>
    <row r="8" spans="1:21" x14ac:dyDescent="0.25">
      <c r="A8" s="1" t="s">
        <v>73</v>
      </c>
      <c r="B8" s="1">
        <v>1.5441</v>
      </c>
      <c r="C8" s="1"/>
      <c r="D8" s="1"/>
      <c r="E8" s="1"/>
      <c r="F8" s="4">
        <v>18.71</v>
      </c>
      <c r="G8" s="1"/>
      <c r="H8" s="1"/>
      <c r="I8" s="1"/>
      <c r="J8" s="1">
        <f>40-22</f>
        <v>18</v>
      </c>
      <c r="K8" s="1"/>
      <c r="L8" s="1"/>
      <c r="M8" s="4">
        <f>(B8*F8*J8)</f>
        <v>520.02199800000005</v>
      </c>
      <c r="N8" s="1">
        <v>18</v>
      </c>
      <c r="O8" s="1"/>
      <c r="P8" s="1"/>
      <c r="Q8" s="4">
        <f>(B8*F8*N8)</f>
        <v>520.02199800000005</v>
      </c>
      <c r="R8" s="1">
        <v>18</v>
      </c>
      <c r="S8" s="1"/>
      <c r="T8" s="1"/>
      <c r="U8" s="4">
        <v>499.8</v>
      </c>
    </row>
    <row r="9" spans="1:21" x14ac:dyDescent="0.25">
      <c r="A9" s="1" t="s">
        <v>60</v>
      </c>
      <c r="B9" s="1">
        <v>1.349</v>
      </c>
      <c r="C9" s="1"/>
      <c r="D9" s="1">
        <v>5.03</v>
      </c>
      <c r="E9" s="1">
        <v>3.65</v>
      </c>
      <c r="F9" s="4">
        <f>D9*E9</f>
        <v>18.359500000000001</v>
      </c>
      <c r="G9" s="1"/>
      <c r="H9" s="1"/>
      <c r="I9" s="1"/>
      <c r="J9" s="1">
        <f>40-22</f>
        <v>18</v>
      </c>
      <c r="K9" s="1"/>
      <c r="L9" s="1"/>
      <c r="M9" s="4">
        <f>(B9*F9*J9)</f>
        <v>445.80537900000002</v>
      </c>
      <c r="N9" s="1">
        <v>18</v>
      </c>
      <c r="O9" s="1"/>
      <c r="P9" s="1"/>
      <c r="Q9" s="4">
        <f>(B9*F9*N9)</f>
        <v>445.80537900000002</v>
      </c>
      <c r="R9" s="1">
        <v>18</v>
      </c>
      <c r="S9" s="1"/>
      <c r="T9" s="1"/>
      <c r="U9" s="4">
        <v>499.8</v>
      </c>
    </row>
    <row r="10" spans="1:21" x14ac:dyDescent="0.25">
      <c r="A10" s="1" t="s">
        <v>54</v>
      </c>
      <c r="B10" s="1">
        <v>1.4964</v>
      </c>
      <c r="C10" s="1"/>
      <c r="D10" s="1">
        <v>5.03</v>
      </c>
      <c r="E10" s="1">
        <v>3.65</v>
      </c>
      <c r="F10" s="4">
        <v>19.36</v>
      </c>
      <c r="G10" s="1"/>
      <c r="H10" s="1"/>
      <c r="I10" s="1"/>
      <c r="J10" s="1">
        <f>40-22</f>
        <v>18</v>
      </c>
      <c r="K10" s="1"/>
      <c r="L10" s="1"/>
      <c r="M10" s="4">
        <f>(B10*F10*J10)</f>
        <v>521.46547199999998</v>
      </c>
      <c r="N10" s="1">
        <v>18</v>
      </c>
      <c r="O10" s="1"/>
      <c r="P10" s="1"/>
      <c r="Q10" s="4">
        <f>(B10*F10*N10)</f>
        <v>521.46547199999998</v>
      </c>
      <c r="R10" s="1">
        <v>18</v>
      </c>
      <c r="S10" s="1"/>
      <c r="T10" s="1"/>
      <c r="U10" s="4">
        <v>499.8</v>
      </c>
    </row>
    <row r="11" spans="1:21" x14ac:dyDescent="0.25">
      <c r="A11" s="1" t="s">
        <v>61</v>
      </c>
      <c r="B11" s="1">
        <v>4.8</v>
      </c>
      <c r="C11" s="1">
        <v>1</v>
      </c>
      <c r="D11" s="1">
        <v>1</v>
      </c>
      <c r="E11" s="1"/>
      <c r="F11" s="4">
        <f>C11*D11</f>
        <v>1</v>
      </c>
      <c r="G11" s="1"/>
      <c r="H11" s="4">
        <f>45*3.147</f>
        <v>141.61499999999998</v>
      </c>
      <c r="I11" s="1">
        <v>0.6</v>
      </c>
      <c r="J11" s="1">
        <v>18</v>
      </c>
      <c r="K11" s="1"/>
      <c r="L11" s="1">
        <v>0.89</v>
      </c>
      <c r="M11" s="4">
        <f>((B11*F11*J11)+(F11*I11*H11*L11))</f>
        <v>162.02240999999998</v>
      </c>
      <c r="N11" s="1">
        <v>18</v>
      </c>
      <c r="O11" s="1"/>
      <c r="P11" s="1">
        <v>0.86</v>
      </c>
      <c r="Q11" s="4">
        <f>((B11*F11*N11)+(F11*I11*H11*P11))</f>
        <v>159.47333999999998</v>
      </c>
      <c r="R11" s="1">
        <v>18</v>
      </c>
      <c r="S11" s="1"/>
      <c r="T11" s="1">
        <v>0.75</v>
      </c>
      <c r="U11" s="4">
        <f>((B11*F11*R11)+(F11*I11*H11*T11))</f>
        <v>150.12674999999996</v>
      </c>
    </row>
    <row r="12" spans="1:21" x14ac:dyDescent="0.2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 t="s">
        <v>111</v>
      </c>
      <c r="L12" s="13"/>
      <c r="M12" s="11">
        <f>SUM(M4:M11)</f>
        <v>3622.4408407720002</v>
      </c>
      <c r="N12" s="13"/>
      <c r="O12" s="13"/>
      <c r="P12" s="13"/>
      <c r="Q12" s="11">
        <f>SUM(Q4:Q11)</f>
        <v>3771.8074133275554</v>
      </c>
      <c r="R12" s="13"/>
      <c r="S12" s="13"/>
      <c r="T12" s="13"/>
      <c r="U12" s="11">
        <f>SUM(U4:U11)</f>
        <v>3893.5515348386671</v>
      </c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28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"/>
      <c r="N14" s="1"/>
      <c r="O14" s="1"/>
      <c r="P14" s="1"/>
      <c r="Q14" s="1"/>
      <c r="R14" s="1"/>
      <c r="S14" s="1"/>
      <c r="T14" s="1"/>
      <c r="U14" s="1"/>
    </row>
    <row r="16" spans="1:21" x14ac:dyDescent="0.25">
      <c r="A16" s="1"/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36</v>
      </c>
      <c r="B17" s="1">
        <v>2</v>
      </c>
      <c r="C17" s="4">
        <f>(B17*F4*10)</f>
        <v>406.42400000000004</v>
      </c>
      <c r="D17" s="4">
        <f>C4*D4</f>
        <v>20.321200000000001</v>
      </c>
      <c r="E17" s="1"/>
      <c r="F17" s="1"/>
      <c r="G17" s="1">
        <v>0.86</v>
      </c>
      <c r="H17" s="4">
        <f>(C17*G17)</f>
        <v>349.52464000000003</v>
      </c>
      <c r="I17" s="1">
        <v>0.88</v>
      </c>
      <c r="J17" s="4">
        <f>(C17*I17)</f>
        <v>357.65312000000006</v>
      </c>
      <c r="K17" s="1">
        <v>0.89</v>
      </c>
      <c r="L17" s="4">
        <f>(C17*K17)</f>
        <v>361.71736000000004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37</v>
      </c>
      <c r="B18" s="1">
        <v>5</v>
      </c>
      <c r="C18" s="18"/>
      <c r="D18" s="18"/>
      <c r="E18" s="1"/>
      <c r="F18" s="1">
        <v>73</v>
      </c>
      <c r="G18" s="1">
        <v>0.85</v>
      </c>
      <c r="H18" s="4">
        <f>(B18*F18*G18)</f>
        <v>310.25</v>
      </c>
      <c r="I18" s="1">
        <v>0.89</v>
      </c>
      <c r="J18" s="1">
        <f>(B18*F18*I18)</f>
        <v>324.85000000000002</v>
      </c>
      <c r="K18" s="1">
        <v>0.92</v>
      </c>
      <c r="L18" s="1">
        <f>(B18*F18*K18)</f>
        <v>335.8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38</v>
      </c>
      <c r="B19" s="1">
        <v>5</v>
      </c>
      <c r="C19" s="18"/>
      <c r="D19" s="18"/>
      <c r="E19" s="1">
        <v>59</v>
      </c>
      <c r="F19" s="1"/>
      <c r="G19" s="1"/>
      <c r="H19" s="1">
        <f>B19*E19</f>
        <v>295</v>
      </c>
      <c r="I19" s="1"/>
      <c r="J19" s="1">
        <f>B19*E19</f>
        <v>295</v>
      </c>
      <c r="K19" s="1"/>
      <c r="L19" s="1">
        <f>B19*E19</f>
        <v>295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5" t="s">
        <v>48</v>
      </c>
      <c r="B20" s="1">
        <v>3</v>
      </c>
      <c r="C20" s="18"/>
      <c r="D20" s="18"/>
      <c r="E20" s="1"/>
      <c r="F20" s="1">
        <v>65</v>
      </c>
      <c r="G20" s="1">
        <v>0.87</v>
      </c>
      <c r="H20" s="1">
        <f>(B20*F20*G20)</f>
        <v>169.65</v>
      </c>
      <c r="I20" s="1">
        <v>0.9</v>
      </c>
      <c r="J20" s="1">
        <f>(B20*F20*I20)</f>
        <v>175.5</v>
      </c>
      <c r="K20" s="1">
        <v>0.93</v>
      </c>
      <c r="L20" s="1">
        <f>B20*F20*K20</f>
        <v>181.35000000000002</v>
      </c>
    </row>
    <row r="21" spans="1:21" x14ac:dyDescent="0.25">
      <c r="A21" s="1" t="s">
        <v>46</v>
      </c>
      <c r="B21" s="1">
        <v>3</v>
      </c>
      <c r="C21" s="18"/>
      <c r="D21" s="18"/>
      <c r="E21" s="1"/>
      <c r="F21" s="1">
        <v>550</v>
      </c>
      <c r="G21" s="1">
        <v>0.87</v>
      </c>
      <c r="H21" s="1">
        <f>B21*F21*G21</f>
        <v>1435.5</v>
      </c>
      <c r="I21" s="1">
        <v>0.9</v>
      </c>
      <c r="J21" s="1">
        <f>B21*F21*I21</f>
        <v>1485</v>
      </c>
      <c r="K21" s="1">
        <v>0.93</v>
      </c>
      <c r="L21" s="1">
        <f>B21*F21*K21</f>
        <v>1534.5</v>
      </c>
    </row>
    <row r="22" spans="1:21" x14ac:dyDescent="0.25">
      <c r="A22" s="1" t="s">
        <v>74</v>
      </c>
      <c r="B22" s="1">
        <v>2</v>
      </c>
      <c r="C22" s="18"/>
      <c r="D22" s="18"/>
      <c r="E22" s="1"/>
      <c r="F22" s="1">
        <v>29</v>
      </c>
      <c r="G22" s="1">
        <v>0.87</v>
      </c>
      <c r="H22" s="1">
        <f>B22*F22*G22</f>
        <v>50.46</v>
      </c>
      <c r="I22" s="1">
        <v>0.9</v>
      </c>
      <c r="J22" s="1">
        <f t="shared" ref="J22:J24" si="0">B22*F22*I22</f>
        <v>52.2</v>
      </c>
      <c r="K22" s="1">
        <v>0.93</v>
      </c>
      <c r="L22" s="1">
        <f t="shared" ref="L22:L24" si="1">B22*F22*K22</f>
        <v>53.940000000000005</v>
      </c>
    </row>
    <row r="23" spans="1:21" x14ac:dyDescent="0.25">
      <c r="A23" s="1" t="s">
        <v>75</v>
      </c>
      <c r="B23" s="1">
        <v>2</v>
      </c>
      <c r="C23" s="18"/>
      <c r="D23" s="18"/>
      <c r="E23" s="1"/>
      <c r="F23" s="1">
        <v>114</v>
      </c>
      <c r="G23" s="1">
        <v>0.87</v>
      </c>
      <c r="H23" s="1">
        <f t="shared" ref="H23:H24" si="2">B23*F23*G23</f>
        <v>198.35999999999999</v>
      </c>
      <c r="I23" s="1">
        <v>0.9</v>
      </c>
      <c r="J23" s="1">
        <f t="shared" si="0"/>
        <v>205.20000000000002</v>
      </c>
      <c r="K23" s="1">
        <v>0.93</v>
      </c>
      <c r="L23" s="1">
        <f t="shared" si="1"/>
        <v>212.04000000000002</v>
      </c>
    </row>
    <row r="24" spans="1:21" x14ac:dyDescent="0.25">
      <c r="A24" s="1" t="s">
        <v>47</v>
      </c>
      <c r="B24" s="1">
        <v>2</v>
      </c>
      <c r="C24" s="18"/>
      <c r="D24" s="18"/>
      <c r="E24" s="1"/>
      <c r="F24" s="1">
        <v>20</v>
      </c>
      <c r="G24" s="1">
        <v>0.87</v>
      </c>
      <c r="H24" s="1">
        <f t="shared" si="2"/>
        <v>34.799999999999997</v>
      </c>
      <c r="I24" s="1">
        <v>0.9</v>
      </c>
      <c r="J24" s="1">
        <f t="shared" si="0"/>
        <v>36</v>
      </c>
      <c r="K24" s="1">
        <v>0.93</v>
      </c>
      <c r="L24" s="1">
        <f t="shared" si="1"/>
        <v>37.200000000000003</v>
      </c>
    </row>
    <row r="25" spans="1:21" x14ac:dyDescent="0.25">
      <c r="C25" s="21" t="s">
        <v>111</v>
      </c>
      <c r="D25" s="21"/>
      <c r="E25" s="7"/>
      <c r="F25" s="7"/>
      <c r="G25" s="7"/>
      <c r="H25" s="11">
        <f>SUM(H17:H18,H20:H24)</f>
        <v>2548.5446400000005</v>
      </c>
      <c r="I25" s="16"/>
      <c r="J25" s="11">
        <f>SUM(J17:J18,J20:J24)</f>
        <v>2636.4031199999999</v>
      </c>
      <c r="K25" s="16"/>
      <c r="L25" s="11">
        <f>SUM(L17:L18,L20:L24)</f>
        <v>2716.54736</v>
      </c>
    </row>
    <row r="28" spans="1:21" x14ac:dyDescent="0.25">
      <c r="A28" s="6"/>
      <c r="B28" s="6" t="s">
        <v>104</v>
      </c>
      <c r="C28" s="6" t="s">
        <v>3</v>
      </c>
      <c r="D28" s="6" t="s">
        <v>105</v>
      </c>
      <c r="E28" s="6" t="s">
        <v>106</v>
      </c>
      <c r="F28" s="6" t="s">
        <v>107</v>
      </c>
      <c r="G28" s="6" t="s">
        <v>108</v>
      </c>
      <c r="H28" s="6" t="s">
        <v>109</v>
      </c>
      <c r="I28" s="6" t="s">
        <v>110</v>
      </c>
    </row>
    <row r="29" spans="1:21" x14ac:dyDescent="0.25">
      <c r="A29" s="6" t="s">
        <v>102</v>
      </c>
      <c r="B29" s="6">
        <v>4.04</v>
      </c>
      <c r="C29" s="6">
        <v>5.03</v>
      </c>
      <c r="D29" s="6">
        <v>3.65</v>
      </c>
      <c r="E29" s="4">
        <f>(B29*C29*D29)</f>
        <v>74.172380000000004</v>
      </c>
      <c r="F29" s="4">
        <f>((E29*2*1000)/3600)</f>
        <v>41.206877777777777</v>
      </c>
      <c r="G29" s="6">
        <f>(45-22)</f>
        <v>23</v>
      </c>
      <c r="H29" s="6"/>
      <c r="I29" s="11">
        <f>(1.232*F29*G29)</f>
        <v>1167.6380887111111</v>
      </c>
    </row>
    <row r="30" spans="1:21" x14ac:dyDescent="0.25">
      <c r="A30" s="6" t="s">
        <v>103</v>
      </c>
      <c r="B30" s="6">
        <v>4.04</v>
      </c>
      <c r="C30" s="6">
        <v>5.03</v>
      </c>
      <c r="D30" s="6">
        <v>3.65</v>
      </c>
      <c r="E30" s="4">
        <f>(B30*C30*D30)</f>
        <v>74.172380000000004</v>
      </c>
      <c r="F30" s="4">
        <f>((E30*2*1000)/3600)</f>
        <v>41.206877777777777</v>
      </c>
      <c r="G30" s="6"/>
      <c r="H30" s="6">
        <f>(0.0275-0.01)</f>
        <v>1.7500000000000002E-2</v>
      </c>
      <c r="I30" s="11">
        <f>(3012*F30*H30)</f>
        <v>2172.0145276666667</v>
      </c>
    </row>
    <row r="33" spans="2:5" x14ac:dyDescent="0.25">
      <c r="B33" s="9"/>
      <c r="C33" s="9" t="s">
        <v>114</v>
      </c>
      <c r="D33" s="9" t="s">
        <v>115</v>
      </c>
      <c r="E33" s="9" t="s">
        <v>116</v>
      </c>
    </row>
    <row r="34" spans="2:5" x14ac:dyDescent="0.25">
      <c r="B34" s="9" t="s">
        <v>113</v>
      </c>
      <c r="C34" s="12">
        <f>SUM(I29,H25,M12)</f>
        <v>7338.6235694831121</v>
      </c>
      <c r="D34" s="12">
        <f>SUM(I29,J25,Q12)</f>
        <v>7575.8486220386658</v>
      </c>
      <c r="E34" s="12">
        <f>SUM(L25,I29,U12)</f>
        <v>7777.7369835497784</v>
      </c>
    </row>
    <row r="35" spans="2:5" x14ac:dyDescent="0.25">
      <c r="B35" s="9" t="s">
        <v>112</v>
      </c>
      <c r="C35" s="12">
        <f>SUM(H19,I30)</f>
        <v>2467.0145276666667</v>
      </c>
      <c r="D35" s="12">
        <f>SUM(J19,I30)</f>
        <v>2467.0145276666667</v>
      </c>
      <c r="E35" s="12">
        <f>SUM(I30,L19)</f>
        <v>2467.0145276666667</v>
      </c>
    </row>
  </sheetData>
  <mergeCells count="4">
    <mergeCell ref="A1:U1"/>
    <mergeCell ref="A14:L14"/>
    <mergeCell ref="C18:D24"/>
    <mergeCell ref="C25:D25"/>
  </mergeCells>
  <pageMargins left="0.7" right="0.7" top="0.75" bottom="0.75" header="0.3" footer="0.3"/>
  <pageSetup orientation="portrait" r:id="rId1"/>
  <ignoredErrors>
    <ignoredError sqref="H19 J1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EF34-9D2D-40B1-AEB9-1984ECD61481}">
  <dimension ref="A1:U31"/>
  <sheetViews>
    <sheetView topLeftCell="B11" workbookViewId="0">
      <selection activeCell="C30" sqref="C30:E30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9.42578125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7109375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5.03</v>
      </c>
      <c r="E4" s="1"/>
      <c r="F4" s="4">
        <f>(C4*D4)</f>
        <v>20.321200000000001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711.01846680000017</v>
      </c>
      <c r="N4" s="1">
        <v>17</v>
      </c>
      <c r="O4" s="1">
        <v>37.1</v>
      </c>
      <c r="P4" s="1"/>
      <c r="Q4" s="4">
        <f>(B4*F4*O4)</f>
        <v>821.76900680000017</v>
      </c>
      <c r="R4" s="1">
        <v>22</v>
      </c>
      <c r="S4" s="1">
        <v>42.1</v>
      </c>
      <c r="T4" s="1"/>
      <c r="U4" s="4">
        <f>(B4*F4*S4)</f>
        <v>932.51954680000017</v>
      </c>
    </row>
    <row r="5" spans="1:21" x14ac:dyDescent="0.25">
      <c r="A5" s="1" t="s">
        <v>57</v>
      </c>
      <c r="B5" s="1">
        <v>0.90590000000000004</v>
      </c>
      <c r="C5" s="1">
        <v>4.04</v>
      </c>
      <c r="D5" s="1">
        <v>5.03</v>
      </c>
      <c r="E5" s="1"/>
      <c r="F5" s="4">
        <f>((C5*D5)-(3.048*1.3))</f>
        <v>16.358800000000002</v>
      </c>
      <c r="G5" s="4">
        <v>0</v>
      </c>
      <c r="H5" s="1"/>
      <c r="I5" s="1"/>
      <c r="J5" s="1">
        <f>27/1.8</f>
        <v>15</v>
      </c>
      <c r="K5" s="1">
        <f>(J5+(25.5-22)+45-29.4)</f>
        <v>34.1</v>
      </c>
      <c r="L5" s="1"/>
      <c r="M5" s="4">
        <f>(B5*F5*K5)</f>
        <v>505.34279897200014</v>
      </c>
      <c r="N5" s="4">
        <f>32/1.8</f>
        <v>17.777777777777779</v>
      </c>
      <c r="O5" s="4">
        <f>(N5+(25.5-22)+45-29.4)</f>
        <v>36.877777777777773</v>
      </c>
      <c r="P5" s="1"/>
      <c r="Q5" s="4">
        <f>(B5*F5*O5)</f>
        <v>546.50790152755565</v>
      </c>
      <c r="R5" s="4">
        <f>33/1.8</f>
        <v>18.333333333333332</v>
      </c>
      <c r="S5" s="4">
        <f>(R5+(25.5-22)+45-29.4)</f>
        <v>37.43333333333333</v>
      </c>
      <c r="T5" s="1"/>
      <c r="U5" s="4">
        <f>(B5*F5*S5)</f>
        <v>554.74092203866678</v>
      </c>
    </row>
    <row r="6" spans="1:21" x14ac:dyDescent="0.25">
      <c r="A6" s="1" t="s">
        <v>12</v>
      </c>
      <c r="B6" s="1">
        <v>1.0900000000000001</v>
      </c>
      <c r="C6" s="1">
        <v>4.04</v>
      </c>
      <c r="D6" s="1">
        <v>5.03</v>
      </c>
      <c r="E6" s="1"/>
      <c r="F6" s="4">
        <f>C6*D6</f>
        <v>20.321200000000001</v>
      </c>
      <c r="G6" s="1"/>
      <c r="H6" s="1"/>
      <c r="I6" s="1"/>
      <c r="J6" s="1">
        <f>40-22</f>
        <v>18</v>
      </c>
      <c r="K6" s="1"/>
      <c r="L6" s="1"/>
      <c r="M6" s="4">
        <f>(B6*F6*J6)</f>
        <v>398.70194400000003</v>
      </c>
      <c r="N6" s="1">
        <v>18</v>
      </c>
      <c r="O6" s="1"/>
      <c r="P6" s="1"/>
      <c r="Q6" s="4">
        <f>(B6*F6*N6)</f>
        <v>398.70194400000003</v>
      </c>
      <c r="R6" s="1">
        <v>18</v>
      </c>
      <c r="S6" s="1"/>
      <c r="T6" s="1"/>
      <c r="U6" s="4">
        <f>(B6*F6*R6)</f>
        <v>398.70194400000003</v>
      </c>
    </row>
    <row r="7" spans="1:21" x14ac:dyDescent="0.25">
      <c r="A7" s="1" t="s">
        <v>25</v>
      </c>
      <c r="B7" s="1">
        <v>1.349</v>
      </c>
      <c r="C7" s="1">
        <v>4.04</v>
      </c>
      <c r="D7" s="1"/>
      <c r="E7" s="1">
        <v>3.65</v>
      </c>
      <c r="F7" s="4">
        <f>C7*E7</f>
        <v>14.746</v>
      </c>
      <c r="G7" s="1"/>
      <c r="H7" s="1"/>
      <c r="I7" s="1"/>
      <c r="J7" s="1">
        <f>40-22</f>
        <v>18</v>
      </c>
      <c r="K7" s="1"/>
      <c r="L7" s="1"/>
      <c r="M7" s="4">
        <f>(B7*F7*J7)</f>
        <v>358.06237200000004</v>
      </c>
      <c r="N7" s="1">
        <v>18</v>
      </c>
      <c r="O7" s="1"/>
      <c r="P7" s="1"/>
      <c r="Q7" s="4">
        <f>(B7*F7*N7)</f>
        <v>358.06237200000004</v>
      </c>
      <c r="R7" s="1">
        <v>18</v>
      </c>
      <c r="S7" s="1"/>
      <c r="T7" s="1"/>
      <c r="U7" s="4">
        <f>(B7*F7*R7)</f>
        <v>358.06237200000004</v>
      </c>
    </row>
    <row r="8" spans="1:21" x14ac:dyDescent="0.25">
      <c r="A8" s="1" t="s">
        <v>73</v>
      </c>
      <c r="B8" s="1">
        <v>1.5441</v>
      </c>
      <c r="C8" s="1"/>
      <c r="D8" s="1"/>
      <c r="E8" s="1"/>
      <c r="F8" s="4">
        <v>18.71</v>
      </c>
      <c r="G8" s="1"/>
      <c r="H8" s="1"/>
      <c r="I8" s="1"/>
      <c r="J8" s="1">
        <f>40-22</f>
        <v>18</v>
      </c>
      <c r="K8" s="1"/>
      <c r="L8" s="1"/>
      <c r="M8" s="4">
        <f>(B8*F8*J8)</f>
        <v>520.02199800000005</v>
      </c>
      <c r="N8" s="1">
        <v>18</v>
      </c>
      <c r="O8" s="1"/>
      <c r="P8" s="1"/>
      <c r="Q8" s="4">
        <f>(B8*F8*N8)</f>
        <v>520.02199800000005</v>
      </c>
      <c r="R8" s="1">
        <v>18</v>
      </c>
      <c r="S8" s="1"/>
      <c r="T8" s="1"/>
      <c r="U8" s="4">
        <v>499.8</v>
      </c>
    </row>
    <row r="9" spans="1:21" x14ac:dyDescent="0.25">
      <c r="A9" s="1" t="s">
        <v>54</v>
      </c>
      <c r="B9" s="1">
        <v>1.349</v>
      </c>
      <c r="C9" s="1"/>
      <c r="D9" s="1">
        <v>5.03</v>
      </c>
      <c r="E9" s="1">
        <v>3.65</v>
      </c>
      <c r="F9" s="4">
        <f>D9*E9</f>
        <v>18.359500000000001</v>
      </c>
      <c r="G9" s="1"/>
      <c r="H9" s="1"/>
      <c r="I9" s="1"/>
      <c r="J9" s="1">
        <f>40-22</f>
        <v>18</v>
      </c>
      <c r="K9" s="1"/>
      <c r="L9" s="1"/>
      <c r="M9" s="4">
        <f>(B9*F9*J9)</f>
        <v>445.80537900000002</v>
      </c>
      <c r="N9" s="1">
        <v>18</v>
      </c>
      <c r="O9" s="1"/>
      <c r="P9" s="1"/>
      <c r="Q9" s="4">
        <f>(B9*F9*N9)</f>
        <v>445.80537900000002</v>
      </c>
      <c r="R9" s="1">
        <v>18</v>
      </c>
      <c r="S9" s="1"/>
      <c r="T9" s="1"/>
      <c r="U9" s="4">
        <v>499.8</v>
      </c>
    </row>
    <row r="10" spans="1:21" x14ac:dyDescent="0.25">
      <c r="A10" s="1" t="s">
        <v>60</v>
      </c>
      <c r="B10" s="1">
        <v>1.4964</v>
      </c>
      <c r="C10" s="1"/>
      <c r="D10" s="1">
        <v>5.03</v>
      </c>
      <c r="E10" s="1">
        <v>3.65</v>
      </c>
      <c r="F10" s="4">
        <v>19.36</v>
      </c>
      <c r="G10" s="1"/>
      <c r="H10" s="1"/>
      <c r="I10" s="1"/>
      <c r="J10" s="1">
        <f>40-22</f>
        <v>18</v>
      </c>
      <c r="K10" s="1"/>
      <c r="L10" s="1"/>
      <c r="M10" s="4">
        <f>(B10*F10*J10)</f>
        <v>521.46547199999998</v>
      </c>
      <c r="N10" s="1">
        <v>18</v>
      </c>
      <c r="O10" s="1"/>
      <c r="P10" s="1"/>
      <c r="Q10" s="4">
        <f>(B10*F10*N10)</f>
        <v>521.46547199999998</v>
      </c>
      <c r="R10" s="1">
        <v>18</v>
      </c>
      <c r="S10" s="1"/>
      <c r="T10" s="1"/>
      <c r="U10" s="4">
        <v>499.8</v>
      </c>
    </row>
    <row r="11" spans="1:21" x14ac:dyDescent="0.25">
      <c r="A11" s="1" t="s">
        <v>67</v>
      </c>
      <c r="B11" s="1">
        <v>4.8</v>
      </c>
      <c r="C11" s="1">
        <v>1</v>
      </c>
      <c r="D11" s="1">
        <v>1</v>
      </c>
      <c r="E11" s="1"/>
      <c r="F11" s="4">
        <f>C11*D11</f>
        <v>1</v>
      </c>
      <c r="G11" s="1"/>
      <c r="H11" s="4">
        <f>46*3.147</f>
        <v>144.762</v>
      </c>
      <c r="I11" s="1">
        <v>0.6</v>
      </c>
      <c r="J11" s="1">
        <v>18</v>
      </c>
      <c r="K11" s="1"/>
      <c r="L11" s="1">
        <v>0.83</v>
      </c>
      <c r="M11" s="4">
        <f>((B11*F11*J11)+(F11*I11*H11*L11))</f>
        <v>158.49147599999998</v>
      </c>
      <c r="N11" s="1">
        <v>18</v>
      </c>
      <c r="O11" s="1"/>
      <c r="P11" s="1">
        <v>0.68</v>
      </c>
      <c r="Q11" s="4">
        <f>((B11*F11*N11)+(F11*I11*H11*P11))</f>
        <v>145.462896</v>
      </c>
      <c r="R11" s="1">
        <v>18</v>
      </c>
      <c r="S11" s="1"/>
      <c r="T11" s="1">
        <v>0.35</v>
      </c>
      <c r="U11" s="4">
        <f>((B11*F11*R11)+(F11*I11*H11*T11))</f>
        <v>116.80001999999999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3" t="s">
        <v>111</v>
      </c>
      <c r="L12" s="1"/>
      <c r="M12" s="11">
        <f>SUM(M4:M11)</f>
        <v>3618.9099067720003</v>
      </c>
      <c r="N12" s="1"/>
      <c r="O12" s="1"/>
      <c r="P12" s="1"/>
      <c r="Q12" s="11">
        <f>SUM(Q4:Q11)</f>
        <v>3757.7969693275554</v>
      </c>
      <c r="R12" s="1"/>
      <c r="S12" s="1"/>
      <c r="T12" s="1"/>
      <c r="U12" s="11">
        <f>SUM(U4:U11)</f>
        <v>3860.2248048386673</v>
      </c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18" t="s">
        <v>28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"/>
      <c r="N15" s="1"/>
      <c r="O15" s="1"/>
      <c r="P15" s="1"/>
      <c r="Q15" s="1"/>
      <c r="R15" s="1"/>
      <c r="S15" s="1"/>
      <c r="T15" s="1"/>
      <c r="U15" s="1"/>
    </row>
    <row r="17" spans="1:21" x14ac:dyDescent="0.25">
      <c r="A17" s="1"/>
      <c r="B17" s="1" t="s">
        <v>29</v>
      </c>
      <c r="C17" s="1" t="s">
        <v>30</v>
      </c>
      <c r="D17" s="1" t="s">
        <v>1</v>
      </c>
      <c r="E17" s="1" t="s">
        <v>31</v>
      </c>
      <c r="F17" s="1" t="s">
        <v>32</v>
      </c>
      <c r="G17" s="1" t="s">
        <v>11</v>
      </c>
      <c r="H17" s="1" t="s">
        <v>33</v>
      </c>
      <c r="I17" s="1" t="s">
        <v>16</v>
      </c>
      <c r="J17" s="1" t="s">
        <v>35</v>
      </c>
      <c r="K17" s="1" t="s">
        <v>20</v>
      </c>
      <c r="L17" s="1" t="s">
        <v>34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36</v>
      </c>
      <c r="B18" s="1">
        <v>2</v>
      </c>
      <c r="C18" s="4">
        <f>(B18*F4*10)</f>
        <v>406.42400000000004</v>
      </c>
      <c r="D18" s="4">
        <f>C4*D4</f>
        <v>20.321200000000001</v>
      </c>
      <c r="E18" s="1"/>
      <c r="F18" s="1"/>
      <c r="G18" s="1">
        <v>0.86</v>
      </c>
      <c r="H18" s="4">
        <f>(C18*G18)</f>
        <v>349.52464000000003</v>
      </c>
      <c r="I18" s="1">
        <v>0.88</v>
      </c>
      <c r="J18" s="4">
        <f>(C18*I18)</f>
        <v>357.65312000000006</v>
      </c>
      <c r="K18" s="1">
        <v>0.89</v>
      </c>
      <c r="L18" s="4">
        <f>(C18*K18)</f>
        <v>361.71736000000004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37</v>
      </c>
      <c r="B19" s="1">
        <v>10</v>
      </c>
      <c r="C19" s="18"/>
      <c r="D19" s="18"/>
      <c r="E19" s="1"/>
      <c r="F19" s="1">
        <v>73</v>
      </c>
      <c r="G19" s="1">
        <v>0.85</v>
      </c>
      <c r="H19" s="4">
        <f>(B19*F19*G19)</f>
        <v>620.5</v>
      </c>
      <c r="I19" s="1">
        <v>0.89</v>
      </c>
      <c r="J19" s="1">
        <f>(B19*F19*I19)</f>
        <v>649.70000000000005</v>
      </c>
      <c r="K19" s="1">
        <v>0.92</v>
      </c>
      <c r="L19" s="1">
        <f>(B19*F19*K19)</f>
        <v>671.6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38</v>
      </c>
      <c r="B20" s="1">
        <v>10</v>
      </c>
      <c r="C20" s="18"/>
      <c r="D20" s="18"/>
      <c r="E20" s="1">
        <v>59</v>
      </c>
      <c r="F20" s="1"/>
      <c r="G20" s="1"/>
      <c r="H20" s="1">
        <f>B20*E20</f>
        <v>590</v>
      </c>
      <c r="I20" s="1"/>
      <c r="J20" s="1">
        <f>B20*E20</f>
        <v>590</v>
      </c>
      <c r="K20" s="1"/>
      <c r="L20" s="1">
        <f>B20*E20</f>
        <v>590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5"/>
      <c r="B21" s="1"/>
      <c r="C21" s="21" t="s">
        <v>111</v>
      </c>
      <c r="D21" s="21"/>
      <c r="E21" s="1"/>
      <c r="F21" s="1"/>
      <c r="G21" s="1"/>
      <c r="H21" s="11">
        <f>SUM(H18:H19)</f>
        <v>970.02464000000009</v>
      </c>
      <c r="I21" s="16"/>
      <c r="J21" s="11">
        <f>SUM(J18:J19)</f>
        <v>1007.3531200000001</v>
      </c>
      <c r="K21" s="16"/>
      <c r="L21" s="11">
        <f>SUM(L18:L19)</f>
        <v>1033.31736</v>
      </c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21" x14ac:dyDescent="0.25">
      <c r="A24" s="6"/>
      <c r="B24" s="6" t="s">
        <v>104</v>
      </c>
      <c r="C24" s="6" t="s">
        <v>3</v>
      </c>
      <c r="D24" s="6" t="s">
        <v>105</v>
      </c>
      <c r="E24" s="6" t="s">
        <v>106</v>
      </c>
      <c r="F24" s="6" t="s">
        <v>107</v>
      </c>
      <c r="G24" s="6" t="s">
        <v>108</v>
      </c>
      <c r="H24" s="6" t="s">
        <v>109</v>
      </c>
      <c r="I24" s="6" t="s">
        <v>110</v>
      </c>
      <c r="J24" s="1"/>
      <c r="K24" s="1"/>
      <c r="L24" s="1"/>
    </row>
    <row r="25" spans="1:21" x14ac:dyDescent="0.25">
      <c r="A25" s="6" t="s">
        <v>102</v>
      </c>
      <c r="B25" s="6">
        <v>4.04</v>
      </c>
      <c r="C25" s="6">
        <v>5.03</v>
      </c>
      <c r="D25" s="6">
        <v>3.65</v>
      </c>
      <c r="E25" s="4">
        <f>(B25*C25*D25)</f>
        <v>74.172380000000004</v>
      </c>
      <c r="F25" s="4">
        <f>((E25*2*1000)/3600)</f>
        <v>41.206877777777777</v>
      </c>
      <c r="G25" s="6">
        <f>(45-22)</f>
        <v>23</v>
      </c>
      <c r="H25" s="6"/>
      <c r="I25" s="11">
        <f>(1.232*F25*G25)</f>
        <v>1167.6380887111111</v>
      </c>
      <c r="J25" s="1"/>
      <c r="K25" s="1"/>
      <c r="L25" s="1"/>
    </row>
    <row r="26" spans="1:21" x14ac:dyDescent="0.25">
      <c r="A26" s="6" t="s">
        <v>103</v>
      </c>
      <c r="B26" s="6">
        <v>4.04</v>
      </c>
      <c r="C26" s="6">
        <v>5.03</v>
      </c>
      <c r="D26" s="6">
        <v>3.65</v>
      </c>
      <c r="E26" s="4">
        <f>(B26*C26*D26)</f>
        <v>74.172380000000004</v>
      </c>
      <c r="F26" s="4">
        <f>((E26*2*1000)/3600)</f>
        <v>41.206877777777777</v>
      </c>
      <c r="G26" s="6"/>
      <c r="H26" s="6">
        <f>(0.0275-0.01)</f>
        <v>1.7500000000000002E-2</v>
      </c>
      <c r="I26" s="11">
        <f>(3012*F26*H26)</f>
        <v>2172.0145276666667</v>
      </c>
      <c r="J26" s="1"/>
      <c r="K26" s="1"/>
      <c r="L26" s="1"/>
    </row>
    <row r="29" spans="1:21" x14ac:dyDescent="0.25">
      <c r="B29" s="9"/>
      <c r="C29" s="9" t="s">
        <v>114</v>
      </c>
      <c r="D29" s="9" t="s">
        <v>115</v>
      </c>
      <c r="E29" s="9" t="s">
        <v>116</v>
      </c>
    </row>
    <row r="30" spans="1:21" x14ac:dyDescent="0.25">
      <c r="B30" s="9" t="s">
        <v>113</v>
      </c>
      <c r="C30" s="12">
        <f>SUM(M12,H21,I25)</f>
        <v>5756.5726354831113</v>
      </c>
      <c r="D30" s="12">
        <f>SUM(J21,Q12,I25)</f>
        <v>5932.788178038666</v>
      </c>
      <c r="E30" s="12">
        <f>SUM(I25,L21,U12)</f>
        <v>6061.1802535497782</v>
      </c>
    </row>
    <row r="31" spans="1:21" x14ac:dyDescent="0.25">
      <c r="B31" s="9" t="s">
        <v>112</v>
      </c>
      <c r="C31" s="12">
        <f>SUM(I26,H20)</f>
        <v>2762.0145276666667</v>
      </c>
      <c r="D31" s="12">
        <f>SUM(I26,J20)</f>
        <v>2762.0145276666667</v>
      </c>
      <c r="E31" s="12">
        <f>SUM(I26,L20)</f>
        <v>2762.0145276666667</v>
      </c>
    </row>
  </sheetData>
  <mergeCells count="4">
    <mergeCell ref="A1:U1"/>
    <mergeCell ref="A15:L15"/>
    <mergeCell ref="C19:D20"/>
    <mergeCell ref="C21:D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9BFF-678B-4E2C-BD9D-F4EFA9E79F05}">
  <dimension ref="A1:U33"/>
  <sheetViews>
    <sheetView topLeftCell="C13" workbookViewId="0">
      <selection activeCell="C31" sqref="C31:E31"/>
    </sheetView>
  </sheetViews>
  <sheetFormatPr defaultRowHeight="15" x14ac:dyDescent="0.25"/>
  <cols>
    <col min="1" max="1" width="49.28515625" style="2" bestFit="1" customWidth="1"/>
    <col min="2" max="2" width="51" style="2" bestFit="1" customWidth="1"/>
    <col min="3" max="3" width="10.7109375" style="2" bestFit="1" customWidth="1"/>
    <col min="4" max="4" width="8.5703125" style="2" bestFit="1" customWidth="1"/>
    <col min="5" max="5" width="9.7109375" style="2" bestFit="1" customWidth="1"/>
    <col min="6" max="6" width="20.140625" style="2" bestFit="1" customWidth="1"/>
    <col min="7" max="7" width="9.42578125" style="2" bestFit="1" customWidth="1"/>
    <col min="8" max="8" width="25.85546875" style="2" bestFit="1" customWidth="1"/>
    <col min="9" max="9" width="17.42578125" style="2" bestFit="1" customWidth="1"/>
    <col min="10" max="10" width="22.140625" style="2" bestFit="1" customWidth="1"/>
    <col min="11" max="11" width="20.5703125" style="2" bestFit="1" customWidth="1"/>
    <col min="12" max="12" width="22.140625" style="2" bestFit="1" customWidth="1"/>
    <col min="13" max="13" width="26" style="2" bestFit="1" customWidth="1"/>
    <col min="14" max="14" width="15.5703125" style="2" bestFit="1" customWidth="1"/>
    <col min="15" max="15" width="20.5703125" style="2" bestFit="1" customWidth="1"/>
    <col min="16" max="16" width="10.140625" style="2" bestFit="1" customWidth="1"/>
    <col min="17" max="17" width="25.28515625" style="2" bestFit="1" customWidth="1"/>
    <col min="18" max="18" width="15.5703125" style="2" bestFit="1" customWidth="1"/>
    <col min="19" max="19" width="20.5703125" style="2" bestFit="1" customWidth="1"/>
    <col min="20" max="20" width="10.140625" style="2" bestFit="1" customWidth="1"/>
    <col min="21" max="21" width="25.28515625" style="2" bestFit="1" customWidth="1"/>
    <col min="22" max="16384" width="9.140625" style="2"/>
  </cols>
  <sheetData>
    <row r="1" spans="1:21" ht="27" x14ac:dyDescent="0.35">
      <c r="A1" s="19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F4" s="4">
        <f>(C4*D4)</f>
        <v>32.808999999999997</v>
      </c>
      <c r="G4" s="4">
        <v>1</v>
      </c>
      <c r="J4" s="2">
        <v>12</v>
      </c>
      <c r="K4" s="2">
        <v>32.1</v>
      </c>
      <c r="M4" s="4">
        <f>(B4*F4*K4)</f>
        <v>1147.954101</v>
      </c>
      <c r="N4" s="2">
        <v>17</v>
      </c>
      <c r="O4" s="2">
        <v>37.1</v>
      </c>
      <c r="Q4" s="4">
        <f>(B4*F4*O4)</f>
        <v>1326.7631509999999</v>
      </c>
      <c r="R4" s="2">
        <v>22</v>
      </c>
      <c r="S4" s="2">
        <v>42.1</v>
      </c>
      <c r="U4" s="4">
        <f>(B4*F4*S4)</f>
        <v>1505.5722009999999</v>
      </c>
    </row>
    <row r="5" spans="1:21" x14ac:dyDescent="0.25">
      <c r="A5" s="2" t="s">
        <v>24</v>
      </c>
      <c r="B5" s="2">
        <v>0.90590000000000004</v>
      </c>
      <c r="C5" s="2">
        <v>5.45</v>
      </c>
      <c r="E5" s="2">
        <v>3.65</v>
      </c>
      <c r="F5" s="4">
        <f>(C5*E5)</f>
        <v>19.892500000000002</v>
      </c>
      <c r="G5" s="4">
        <v>0</v>
      </c>
      <c r="J5" s="2">
        <f>9/1.8</f>
        <v>5</v>
      </c>
      <c r="K5" s="2">
        <v>24.1</v>
      </c>
      <c r="M5" s="4">
        <f>(B5*F5*K5)</f>
        <v>434.29683957500004</v>
      </c>
      <c r="N5" s="4">
        <f>11/1.8</f>
        <v>6.1111111111111107</v>
      </c>
      <c r="O5" s="2">
        <v>25.21</v>
      </c>
      <c r="Q5" s="4">
        <f>(B5*F5*O5)</f>
        <v>454.29972305750005</v>
      </c>
      <c r="R5" s="2">
        <f>18/1.8</f>
        <v>10</v>
      </c>
      <c r="S5" s="2">
        <v>29.1</v>
      </c>
      <c r="U5" s="4">
        <f>(B5*F5*S5)</f>
        <v>524.39991832500004</v>
      </c>
    </row>
    <row r="6" spans="1:21" x14ac:dyDescent="0.25">
      <c r="A6" s="2" t="s">
        <v>78</v>
      </c>
      <c r="B6" s="2">
        <v>0.90590000000000004</v>
      </c>
      <c r="D6" s="2">
        <v>6.02</v>
      </c>
      <c r="E6" s="2">
        <v>3.65</v>
      </c>
      <c r="F6" s="4">
        <f>((D6*E6)-(1.98*1.37))</f>
        <v>19.260399999999997</v>
      </c>
      <c r="G6" s="4">
        <v>-6</v>
      </c>
      <c r="J6" s="2">
        <f>9/1.8</f>
        <v>5</v>
      </c>
      <c r="K6" s="4">
        <f>((J6+G6)+(25.5-22)+(45-29.4))</f>
        <v>18.100000000000001</v>
      </c>
      <c r="M6" s="4">
        <f>(B6*F6*K6)</f>
        <v>315.80873411599998</v>
      </c>
      <c r="N6" s="4">
        <f>16/1.8</f>
        <v>8.8888888888888893</v>
      </c>
      <c r="O6" s="4">
        <f>((N6+G6)+(25.5-22)+(45-29.4))</f>
        <v>21.988888888888891</v>
      </c>
      <c r="Q6" s="4">
        <f>(B6*F6*O6)</f>
        <v>383.66205329377777</v>
      </c>
      <c r="R6" s="4">
        <f>24/1.8</f>
        <v>13.333333333333332</v>
      </c>
      <c r="S6" s="4">
        <f>((R6+G6)+(25.5-22)+(45-29.4))</f>
        <v>26.433333333333334</v>
      </c>
      <c r="U6" s="4">
        <f>(B6*F6*S6)</f>
        <v>461.20870378266659</v>
      </c>
    </row>
    <row r="7" spans="1:21" x14ac:dyDescent="0.25">
      <c r="A7" s="2" t="s">
        <v>12</v>
      </c>
      <c r="B7" s="2">
        <v>1.0900000000000001</v>
      </c>
      <c r="C7" s="2">
        <v>5.45</v>
      </c>
      <c r="D7" s="2">
        <v>6.02</v>
      </c>
      <c r="F7" s="4">
        <f>C7*D7</f>
        <v>32.808999999999997</v>
      </c>
      <c r="J7" s="2">
        <f>40-22</f>
        <v>18</v>
      </c>
      <c r="M7" s="4">
        <f>(B7*F7*J7)</f>
        <v>643.71257999999989</v>
      </c>
      <c r="N7" s="2">
        <v>18</v>
      </c>
      <c r="Q7" s="4">
        <f>(B7*F7*N7)</f>
        <v>643.71257999999989</v>
      </c>
      <c r="R7" s="2">
        <v>18</v>
      </c>
      <c r="U7" s="4">
        <f>(B7*F7*R7)</f>
        <v>643.71257999999989</v>
      </c>
    </row>
    <row r="8" spans="1:21" x14ac:dyDescent="0.25">
      <c r="A8" s="2" t="s">
        <v>25</v>
      </c>
      <c r="B8" s="2">
        <v>1.349</v>
      </c>
      <c r="C8" s="2">
        <v>5.45</v>
      </c>
      <c r="E8" s="2">
        <v>3.65</v>
      </c>
      <c r="F8" s="4">
        <f>((C8*E8)-(2*2.71))</f>
        <v>14.472500000000002</v>
      </c>
      <c r="J8" s="2">
        <f>40-22</f>
        <v>18</v>
      </c>
      <c r="M8" s="4">
        <f>(B8*F8*J8)</f>
        <v>351.42124500000006</v>
      </c>
      <c r="N8" s="2">
        <v>18</v>
      </c>
      <c r="Q8" s="4">
        <f>(B8*F8*N8)</f>
        <v>351.42124500000006</v>
      </c>
      <c r="R8" s="2">
        <v>18</v>
      </c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F9" s="4">
        <f>((6.02*3.65)+(3.962))</f>
        <v>25.934999999999999</v>
      </c>
      <c r="J9" s="2">
        <f>40-22</f>
        <v>18</v>
      </c>
      <c r="M9" s="4">
        <f>(B9*F9*J9)</f>
        <v>695.53001699999993</v>
      </c>
      <c r="N9" s="2">
        <v>18</v>
      </c>
      <c r="Q9" s="4">
        <f>(B9*F9*N9)</f>
        <v>695.53001699999993</v>
      </c>
      <c r="R9" s="2">
        <v>18</v>
      </c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F10" s="4">
        <f>C10*D10</f>
        <v>2.7126000000000001</v>
      </c>
      <c r="H10" s="2">
        <f>46*3.147</f>
        <v>144.762</v>
      </c>
      <c r="I10" s="2">
        <v>0.6</v>
      </c>
      <c r="J10" s="2">
        <v>18</v>
      </c>
      <c r="L10" s="2">
        <v>0.83</v>
      </c>
      <c r="M10" s="4">
        <f>((B10*F10*J10)+(F10*I10*H10*L10))</f>
        <v>429.92397779760006</v>
      </c>
      <c r="N10" s="2">
        <v>18</v>
      </c>
      <c r="P10" s="2">
        <v>0.68</v>
      </c>
      <c r="Q10" s="4">
        <f>((B10*F10*N10)+(F10*I10*H10*P10))</f>
        <v>394.58265168960008</v>
      </c>
      <c r="R10" s="2">
        <v>18</v>
      </c>
      <c r="T10" s="2">
        <v>0.35</v>
      </c>
      <c r="U10" s="4">
        <f>((B10*F10*R10)+(F10*I10*H10*T10))</f>
        <v>316.83173425200005</v>
      </c>
    </row>
    <row r="11" spans="1:21" x14ac:dyDescent="0.25">
      <c r="K11" s="13" t="s">
        <v>111</v>
      </c>
      <c r="L11" s="13"/>
      <c r="M11" s="11">
        <f>SUM(M4:M10)</f>
        <v>4018.6474944885999</v>
      </c>
      <c r="N11" s="13"/>
      <c r="O11" s="13"/>
      <c r="P11" s="13"/>
      <c r="Q11" s="11">
        <f>SUM(Q4:Q10)</f>
        <v>4249.9714210408774</v>
      </c>
      <c r="R11" s="13"/>
      <c r="S11" s="13"/>
      <c r="T11" s="13"/>
      <c r="U11" s="11">
        <f>SUM(U4:U10)</f>
        <v>4302.946382359667</v>
      </c>
    </row>
    <row r="13" spans="1:21" s="9" customFormat="1" x14ac:dyDescent="0.25"/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21" customFormat="1" x14ac:dyDescent="0.25"/>
    <row r="16" spans="1:21" x14ac:dyDescent="0.25"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</row>
    <row r="17" spans="1:12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</row>
    <row r="18" spans="1:12" x14ac:dyDescent="0.25">
      <c r="A18" s="2" t="s">
        <v>37</v>
      </c>
      <c r="B18" s="2">
        <v>3</v>
      </c>
      <c r="C18" s="18"/>
      <c r="D18" s="18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</row>
    <row r="19" spans="1:12" x14ac:dyDescent="0.25">
      <c r="A19" s="2" t="s">
        <v>38</v>
      </c>
      <c r="B19" s="2">
        <v>3</v>
      </c>
      <c r="C19" s="18"/>
      <c r="D19" s="18"/>
      <c r="E19" s="2">
        <v>59</v>
      </c>
      <c r="H19" s="2">
        <f>B19*E19</f>
        <v>177</v>
      </c>
      <c r="J19" s="2">
        <f>B19*E19</f>
        <v>177</v>
      </c>
      <c r="L19" s="2">
        <f>B19*E19</f>
        <v>177</v>
      </c>
    </row>
    <row r="20" spans="1:12" x14ac:dyDescent="0.25">
      <c r="A20" s="5" t="s">
        <v>81</v>
      </c>
      <c r="B20" s="2">
        <v>1</v>
      </c>
      <c r="C20" s="18"/>
      <c r="D20" s="18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</row>
    <row r="21" spans="1:12" x14ac:dyDescent="0.25">
      <c r="A21" s="2" t="s">
        <v>46</v>
      </c>
      <c r="B21" s="2">
        <v>1</v>
      </c>
      <c r="C21" s="18"/>
      <c r="D21" s="18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</row>
    <row r="22" spans="1:12" x14ac:dyDescent="0.25">
      <c r="A22" s="2" t="s">
        <v>79</v>
      </c>
      <c r="B22" s="2">
        <v>1</v>
      </c>
      <c r="C22" s="18"/>
      <c r="D22" s="18"/>
      <c r="F22" s="2">
        <v>173</v>
      </c>
      <c r="G22" s="2">
        <v>0.81</v>
      </c>
      <c r="H22" s="2">
        <f t="shared" si="0"/>
        <v>140.13</v>
      </c>
      <c r="I22" s="2">
        <v>0.85</v>
      </c>
      <c r="J22" s="2">
        <f t="shared" si="1"/>
        <v>147.04999999999998</v>
      </c>
      <c r="K22" s="2">
        <v>0.89</v>
      </c>
      <c r="L22" s="2">
        <f t="shared" si="2"/>
        <v>153.97</v>
      </c>
    </row>
    <row r="23" spans="1:12" x14ac:dyDescent="0.25">
      <c r="A23" s="2" t="s">
        <v>80</v>
      </c>
      <c r="B23" s="2">
        <v>1</v>
      </c>
      <c r="C23" s="18"/>
      <c r="D23" s="18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</row>
    <row r="24" spans="1:12" x14ac:dyDescent="0.25">
      <c r="C24" s="21" t="s">
        <v>111</v>
      </c>
      <c r="D24" s="21"/>
      <c r="H24" s="11">
        <f>SUM(H17:H18,H20:H23)</f>
        <v>1897.2980000000002</v>
      </c>
      <c r="J24" s="11">
        <f>SUM(J17:J18,J20:J23)</f>
        <v>1970.2051999999999</v>
      </c>
      <c r="L24" s="11">
        <f>SUM(L17:L18,L20:L23)</f>
        <v>2038.7323999999999</v>
      </c>
    </row>
    <row r="26" spans="1:12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12" x14ac:dyDescent="0.25">
      <c r="A27" s="6" t="s">
        <v>102</v>
      </c>
      <c r="B27" s="6">
        <v>5.45</v>
      </c>
      <c r="C27" s="6">
        <v>6.02</v>
      </c>
      <c r="D27" s="6">
        <v>3.65</v>
      </c>
      <c r="E27" s="4">
        <f>(B27*C27*D27)</f>
        <v>119.75284999999998</v>
      </c>
      <c r="F27" s="4">
        <f>((E27*2*1000)/3600)</f>
        <v>66.529361111111101</v>
      </c>
      <c r="G27" s="6">
        <f>(45-22)</f>
        <v>23</v>
      </c>
      <c r="H27" s="6"/>
      <c r="I27" s="11">
        <f>(1.232*F27*G27)</f>
        <v>1885.1759764444439</v>
      </c>
    </row>
    <row r="28" spans="1:12" x14ac:dyDescent="0.25">
      <c r="A28" s="6" t="s">
        <v>103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/>
      <c r="H28" s="6">
        <f>(0.0275-0.01)</f>
        <v>1.7500000000000002E-2</v>
      </c>
      <c r="I28" s="11">
        <f>(3012*F28*H28)</f>
        <v>3506.7626241666662</v>
      </c>
    </row>
    <row r="30" spans="1:12" x14ac:dyDescent="0.25">
      <c r="B30" s="9"/>
      <c r="C30" s="9" t="s">
        <v>114</v>
      </c>
      <c r="D30" s="9" t="s">
        <v>115</v>
      </c>
      <c r="E30" s="9" t="s">
        <v>116</v>
      </c>
    </row>
    <row r="31" spans="1:12" x14ac:dyDescent="0.25">
      <c r="B31" s="9" t="s">
        <v>113</v>
      </c>
      <c r="C31" s="12">
        <f>SUM(I27,H24,M11)</f>
        <v>7801.1214709330434</v>
      </c>
      <c r="D31" s="12">
        <f>SUM(I27,J24,Q11)</f>
        <v>8105.352597485321</v>
      </c>
      <c r="E31" s="12">
        <f>SUM(I27,L24,U11)</f>
        <v>8226.854758804111</v>
      </c>
    </row>
    <row r="32" spans="1:12" x14ac:dyDescent="0.25">
      <c r="B32" s="9" t="s">
        <v>112</v>
      </c>
      <c r="C32" s="12">
        <f>SUM(I28,H19)</f>
        <v>3683.7626241666662</v>
      </c>
      <c r="D32" s="12">
        <f>SUM(I28,J19)</f>
        <v>3683.7626241666662</v>
      </c>
      <c r="E32" s="12">
        <f>SUM(I28,L19)</f>
        <v>3683.7626241666662</v>
      </c>
    </row>
    <row r="33" spans="5:5" x14ac:dyDescent="0.25">
      <c r="E33" s="12"/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L19 J19 H1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9751-00E2-43FB-BA62-76506FE2EF45}">
  <dimension ref="A1:U34"/>
  <sheetViews>
    <sheetView topLeftCell="B14" workbookViewId="0">
      <selection activeCell="C33" sqref="C33:E33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82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E4" s="2"/>
      <c r="F4" s="4">
        <f>(C4*D4)</f>
        <v>32.808999999999997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1147.954101</v>
      </c>
      <c r="N4" s="2">
        <v>17</v>
      </c>
      <c r="O4" s="2">
        <v>37.1</v>
      </c>
      <c r="P4" s="2"/>
      <c r="Q4" s="4">
        <f>(B4*F4*O4)</f>
        <v>1326.7631509999999</v>
      </c>
      <c r="R4" s="2">
        <v>22</v>
      </c>
      <c r="S4" s="2">
        <v>42.1</v>
      </c>
      <c r="T4" s="2"/>
      <c r="U4" s="4">
        <f>(B4*F4*S4)</f>
        <v>1505.5722009999999</v>
      </c>
    </row>
    <row r="5" spans="1:21" x14ac:dyDescent="0.25">
      <c r="A5" s="2" t="s">
        <v>78</v>
      </c>
      <c r="B5" s="2">
        <v>0.90590000000000004</v>
      </c>
      <c r="C5" s="2"/>
      <c r="D5" s="2">
        <v>6.02</v>
      </c>
      <c r="E5" s="2">
        <v>3.65</v>
      </c>
      <c r="F5" s="4">
        <f>((D5*E5)-(1.98*1.37))</f>
        <v>19.260399999999997</v>
      </c>
      <c r="G5" s="4">
        <v>-6</v>
      </c>
      <c r="H5" s="2"/>
      <c r="I5" s="2"/>
      <c r="J5" s="2">
        <f>9/1.8</f>
        <v>5</v>
      </c>
      <c r="K5" s="4">
        <f>((J5+G5)+(25.5-22)+(45-29.4))</f>
        <v>18.100000000000001</v>
      </c>
      <c r="L5" s="2"/>
      <c r="M5" s="4">
        <f>(B5*F5*K5)</f>
        <v>315.80873411599998</v>
      </c>
      <c r="N5" s="4">
        <f>16/1.8</f>
        <v>8.8888888888888893</v>
      </c>
      <c r="O5" s="4">
        <f>((N5+G5)+(25.5-22)+(45-29.4))</f>
        <v>21.988888888888891</v>
      </c>
      <c r="P5" s="2"/>
      <c r="Q5" s="4">
        <f>(B5*F5*O5)</f>
        <v>383.66205329377777</v>
      </c>
      <c r="R5" s="4">
        <f>24/1.8</f>
        <v>13.333333333333332</v>
      </c>
      <c r="S5" s="4">
        <f>((R5+G5)+(25.5-22)+(45-29.4))</f>
        <v>26.433333333333334</v>
      </c>
      <c r="T5" s="2"/>
      <c r="U5" s="4">
        <f>(B5*F5*S5)</f>
        <v>461.20870378266659</v>
      </c>
    </row>
    <row r="6" spans="1:21" x14ac:dyDescent="0.25">
      <c r="A6" s="2" t="s">
        <v>12</v>
      </c>
      <c r="B6" s="2">
        <v>1.0900000000000001</v>
      </c>
      <c r="C6" s="2">
        <v>5.45</v>
      </c>
      <c r="D6" s="2">
        <v>6.02</v>
      </c>
      <c r="E6" s="2"/>
      <c r="F6" s="4">
        <f>C6*D6</f>
        <v>32.808999999999997</v>
      </c>
      <c r="G6" s="2"/>
      <c r="H6" s="2"/>
      <c r="I6" s="2"/>
      <c r="J6" s="2">
        <f>40-22</f>
        <v>18</v>
      </c>
      <c r="K6" s="2"/>
      <c r="L6" s="2"/>
      <c r="M6" s="4">
        <f>(B6*F6*J6)</f>
        <v>643.71257999999989</v>
      </c>
      <c r="N6" s="2">
        <v>18</v>
      </c>
      <c r="O6" s="2"/>
      <c r="P6" s="2"/>
      <c r="Q6" s="4">
        <f>(B6*F6*N6)</f>
        <v>643.71257999999989</v>
      </c>
      <c r="R6" s="2">
        <v>18</v>
      </c>
      <c r="S6" s="2"/>
      <c r="T6" s="2"/>
      <c r="U6" s="4">
        <f>(B6*F6*R6)</f>
        <v>643.71257999999989</v>
      </c>
    </row>
    <row r="7" spans="1:21" x14ac:dyDescent="0.25">
      <c r="A7" s="2" t="s">
        <v>25</v>
      </c>
      <c r="B7" s="2">
        <v>1.349</v>
      </c>
      <c r="C7" s="2">
        <v>5.45</v>
      </c>
      <c r="D7" s="2"/>
      <c r="E7" s="2">
        <v>3.65</v>
      </c>
      <c r="F7" s="4">
        <f>((C7*E7)-(2*2.71))</f>
        <v>14.472500000000002</v>
      </c>
      <c r="G7" s="2"/>
      <c r="H7" s="2"/>
      <c r="I7" s="2"/>
      <c r="J7" s="2">
        <f>40-22</f>
        <v>18</v>
      </c>
      <c r="K7" s="2"/>
      <c r="L7" s="2"/>
      <c r="M7" s="4">
        <f>(B7*F7*J7)</f>
        <v>351.42124500000006</v>
      </c>
      <c r="N7" s="2">
        <v>18</v>
      </c>
      <c r="O7" s="2"/>
      <c r="P7" s="2"/>
      <c r="Q7" s="4">
        <f>(B7*F7*N7)</f>
        <v>351.42124500000006</v>
      </c>
      <c r="R7" s="2">
        <v>18</v>
      </c>
      <c r="S7" s="2"/>
      <c r="T7" s="2"/>
      <c r="U7" s="4">
        <f>(B7*F7*R7)</f>
        <v>351.42124500000006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((B10*F10*J10)+(F10*I10*H10*L10))</f>
        <v>429.92397779760006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3" t="s">
        <v>111</v>
      </c>
      <c r="L11" s="13"/>
      <c r="M11" s="11">
        <f>SUM(M4:M10)</f>
        <v>3935.7718999136</v>
      </c>
      <c r="N11" s="13"/>
      <c r="O11" s="13"/>
      <c r="P11" s="13"/>
      <c r="Q11" s="11">
        <f>SUM(Q4:Q10)</f>
        <v>4147.0929429833777</v>
      </c>
      <c r="R11" s="13"/>
      <c r="S11" s="13"/>
      <c r="T11" s="13"/>
      <c r="U11" s="11">
        <f>SUM(U4:U10)</f>
        <v>4129.9677090346668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E17" s="2"/>
      <c r="F17" s="2"/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6"/>
      <c r="F24" s="16"/>
      <c r="G24" s="16"/>
      <c r="H24" s="11">
        <f>SUM(H17:H18,H20:H23)</f>
        <v>1780.6580000000001</v>
      </c>
      <c r="I24" s="16"/>
      <c r="J24" s="11">
        <f>SUM(J17:J18,J20:J23)</f>
        <v>1847.8052</v>
      </c>
      <c r="K24" s="16"/>
      <c r="L24" s="11">
        <f>SUM(L17:L18,L20:L23)</f>
        <v>1910.5723999999998</v>
      </c>
    </row>
    <row r="27" spans="1:21" x14ac:dyDescent="0.25">
      <c r="A27" s="6"/>
      <c r="B27" s="6" t="s">
        <v>104</v>
      </c>
      <c r="C27" s="6" t="s">
        <v>3</v>
      </c>
      <c r="D27" s="6" t="s">
        <v>105</v>
      </c>
      <c r="E27" s="6" t="s">
        <v>106</v>
      </c>
      <c r="F27" s="6" t="s">
        <v>107</v>
      </c>
      <c r="G27" s="6" t="s">
        <v>108</v>
      </c>
      <c r="H27" s="6" t="s">
        <v>109</v>
      </c>
      <c r="I27" s="6" t="s">
        <v>110</v>
      </c>
    </row>
    <row r="28" spans="1:21" x14ac:dyDescent="0.25">
      <c r="A28" s="6" t="s">
        <v>102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>
        <f>(45-22)</f>
        <v>23</v>
      </c>
      <c r="H28" s="6"/>
      <c r="I28" s="11">
        <f>(1.232*F28*G28)</f>
        <v>1885.1759764444439</v>
      </c>
    </row>
    <row r="29" spans="1:21" x14ac:dyDescent="0.25">
      <c r="A29" s="6" t="s">
        <v>103</v>
      </c>
      <c r="B29" s="6">
        <v>5.45</v>
      </c>
      <c r="C29" s="6">
        <v>6.02</v>
      </c>
      <c r="D29" s="6">
        <v>3.65</v>
      </c>
      <c r="E29" s="4">
        <f>(B29*C29*D29)</f>
        <v>119.75284999999998</v>
      </c>
      <c r="F29" s="4">
        <f>((E29*2*1000)/3600)</f>
        <v>66.529361111111101</v>
      </c>
      <c r="G29" s="6"/>
      <c r="H29" s="6">
        <f>(0.0275-0.01)</f>
        <v>1.7500000000000002E-2</v>
      </c>
      <c r="I29" s="11">
        <f>(3012*F29*H29)</f>
        <v>3506.7626241666662</v>
      </c>
    </row>
    <row r="32" spans="1:21" x14ac:dyDescent="0.25">
      <c r="B32" s="9"/>
      <c r="C32" s="9" t="s">
        <v>114</v>
      </c>
      <c r="D32" s="9" t="s">
        <v>115</v>
      </c>
      <c r="E32" s="9" t="s">
        <v>116</v>
      </c>
    </row>
    <row r="33" spans="2:5" x14ac:dyDescent="0.25">
      <c r="B33" s="9" t="s">
        <v>113</v>
      </c>
      <c r="C33" s="12">
        <f>SUM(I28,H24,M11)</f>
        <v>7601.605876358044</v>
      </c>
      <c r="D33" s="12">
        <f>SUM(I28,J24,Q11)</f>
        <v>7880.0741194278216</v>
      </c>
      <c r="E33" s="12">
        <f>SUM(I28,L24,U11)</f>
        <v>7925.7160854791109</v>
      </c>
    </row>
    <row r="34" spans="2:5" x14ac:dyDescent="0.25">
      <c r="B34" s="9" t="s">
        <v>112</v>
      </c>
      <c r="C34" s="12">
        <f>SUM(I29,H19)</f>
        <v>3683.7626241666662</v>
      </c>
      <c r="D34" s="12">
        <f>SUM(I29,J19)</f>
        <v>3683.7626241666662</v>
      </c>
      <c r="E34" s="12">
        <f>SUM(I29,L19)</f>
        <v>3683.7626241666662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H19 J19 L19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DCCB-2E77-4AD8-AB3B-74E0AD6C728D}">
  <dimension ref="A1:U32"/>
  <sheetViews>
    <sheetView topLeftCell="C14" workbookViewId="0">
      <selection activeCell="C31" sqref="C31:E31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83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E4" s="2"/>
      <c r="F4" s="4">
        <f>(C4*D4)</f>
        <v>32.808999999999997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1147.954101</v>
      </c>
      <c r="N4" s="2">
        <v>17</v>
      </c>
      <c r="O4" s="2">
        <v>37.1</v>
      </c>
      <c r="P4" s="2"/>
      <c r="Q4" s="4">
        <f>(B4*F4*O4)</f>
        <v>1326.7631509999999</v>
      </c>
      <c r="R4" s="2">
        <v>22</v>
      </c>
      <c r="S4" s="2">
        <v>42.1</v>
      </c>
      <c r="T4" s="2"/>
      <c r="U4" s="4">
        <f>(B4*F4*S4)</f>
        <v>1505.5722009999999</v>
      </c>
    </row>
    <row r="5" spans="1:21" x14ac:dyDescent="0.25">
      <c r="A5" s="2" t="s">
        <v>78</v>
      </c>
      <c r="B5" s="2">
        <v>0.90590000000000004</v>
      </c>
      <c r="C5" s="2"/>
      <c r="D5" s="2">
        <v>6.02</v>
      </c>
      <c r="E5" s="2">
        <v>3.65</v>
      </c>
      <c r="F5" s="4">
        <f>((D5*E5)-(1.98*1.37))</f>
        <v>19.260399999999997</v>
      </c>
      <c r="G5" s="4">
        <v>-6</v>
      </c>
      <c r="H5" s="2"/>
      <c r="I5" s="2"/>
      <c r="J5" s="2">
        <f>9/1.8</f>
        <v>5</v>
      </c>
      <c r="K5" s="4">
        <f>((J5+G5)+(25.5-22)+(45-29.4))</f>
        <v>18.100000000000001</v>
      </c>
      <c r="L5" s="2"/>
      <c r="M5" s="4">
        <f>(B5*F5*K5)</f>
        <v>315.80873411599998</v>
      </c>
      <c r="N5" s="4">
        <f>16/1.8</f>
        <v>8.8888888888888893</v>
      </c>
      <c r="O5" s="4">
        <f>((N5+G5)+(25.5-22)+(45-29.4))</f>
        <v>21.988888888888891</v>
      </c>
      <c r="P5" s="2"/>
      <c r="Q5" s="4">
        <f>(B5*F5*O5)</f>
        <v>383.66205329377777</v>
      </c>
      <c r="R5" s="4">
        <f>24/1.8</f>
        <v>13.333333333333332</v>
      </c>
      <c r="S5" s="4">
        <f>((R5+G5)+(25.5-22)+(45-29.4))</f>
        <v>26.433333333333334</v>
      </c>
      <c r="T5" s="2"/>
      <c r="U5" s="4">
        <f>(B5*F5*S5)</f>
        <v>461.20870378266659</v>
      </c>
    </row>
    <row r="6" spans="1:21" x14ac:dyDescent="0.25">
      <c r="A6" s="2" t="s">
        <v>12</v>
      </c>
      <c r="B6" s="2">
        <v>1.0900000000000001</v>
      </c>
      <c r="C6" s="2">
        <v>5.45</v>
      </c>
      <c r="D6" s="2">
        <v>6.02</v>
      </c>
      <c r="E6" s="2"/>
      <c r="F6" s="4">
        <f>C6*D6</f>
        <v>32.808999999999997</v>
      </c>
      <c r="G6" s="2"/>
      <c r="H6" s="2"/>
      <c r="I6" s="2"/>
      <c r="J6" s="2">
        <f>40-22</f>
        <v>18</v>
      </c>
      <c r="K6" s="2"/>
      <c r="L6" s="2"/>
      <c r="M6" s="4">
        <f>(B6*F6*J6)</f>
        <v>643.71257999999989</v>
      </c>
      <c r="N6" s="2">
        <v>18</v>
      </c>
      <c r="O6" s="2"/>
      <c r="P6" s="2"/>
      <c r="Q6" s="4">
        <f>(B6*F6*N6)</f>
        <v>643.71257999999989</v>
      </c>
      <c r="R6" s="2">
        <v>18</v>
      </c>
      <c r="S6" s="2"/>
      <c r="T6" s="2"/>
      <c r="U6" s="4">
        <f>(B6*F6*R6)</f>
        <v>643.71257999999989</v>
      </c>
    </row>
    <row r="7" spans="1:21" x14ac:dyDescent="0.25">
      <c r="A7" s="2" t="s">
        <v>25</v>
      </c>
      <c r="B7" s="2">
        <v>1.349</v>
      </c>
      <c r="C7" s="2">
        <v>5.45</v>
      </c>
      <c r="D7" s="2"/>
      <c r="E7" s="2">
        <v>3.65</v>
      </c>
      <c r="F7" s="4">
        <f>((C7*E7)-(2*2.71))</f>
        <v>14.472500000000002</v>
      </c>
      <c r="G7" s="2"/>
      <c r="H7" s="2"/>
      <c r="I7" s="2"/>
      <c r="J7" s="2">
        <f>40-22</f>
        <v>18</v>
      </c>
      <c r="K7" s="2"/>
      <c r="L7" s="2"/>
      <c r="M7" s="4">
        <f>(B7*F7*J7)</f>
        <v>351.42124500000006</v>
      </c>
      <c r="N7" s="2">
        <v>18</v>
      </c>
      <c r="O7" s="2"/>
      <c r="P7" s="2"/>
      <c r="Q7" s="4">
        <f>(B7*F7*N7)</f>
        <v>351.42124500000006</v>
      </c>
      <c r="R7" s="2">
        <v>18</v>
      </c>
      <c r="S7" s="2"/>
      <c r="T7" s="2"/>
      <c r="U7" s="4">
        <f>(B7*F7*R7)</f>
        <v>351.42124500000006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((B10*F10*J10)+(F10*I10*H10*L10))</f>
        <v>429.92397779760006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3" t="s">
        <v>111</v>
      </c>
      <c r="L11" s="16"/>
      <c r="M11" s="11">
        <f>SUM(M4:M10)</f>
        <v>3935.7718999136</v>
      </c>
      <c r="N11" s="16"/>
      <c r="O11" s="16"/>
      <c r="P11" s="16"/>
      <c r="Q11" s="11">
        <f>SUM(Q4:Q10)</f>
        <v>4147.0929429833777</v>
      </c>
      <c r="R11" s="16"/>
      <c r="S11" s="16"/>
      <c r="T11" s="16"/>
      <c r="U11" s="11">
        <f>SUM(U4:U10)</f>
        <v>4129.9677090346668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1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E17" s="2"/>
      <c r="F17" s="2"/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6"/>
      <c r="F24" s="16"/>
      <c r="G24" s="16"/>
      <c r="H24" s="11">
        <f>SUM(H17:H18,H20:H23)</f>
        <v>1780.6580000000001</v>
      </c>
      <c r="I24" s="16"/>
      <c r="J24" s="11">
        <f>SUM(J17:J18,J20:J23)</f>
        <v>1847.8052</v>
      </c>
      <c r="K24" s="16"/>
      <c r="L24" s="11">
        <f>SUM(L17:L18,L20:L23)</f>
        <v>1910.5723999999998</v>
      </c>
    </row>
    <row r="26" spans="1:21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21" x14ac:dyDescent="0.25">
      <c r="A27" s="6" t="s">
        <v>102</v>
      </c>
      <c r="B27" s="6">
        <v>5.45</v>
      </c>
      <c r="C27" s="6">
        <v>6.02</v>
      </c>
      <c r="D27" s="6">
        <v>3.65</v>
      </c>
      <c r="E27" s="4">
        <f>(B27*C27*D27)</f>
        <v>119.75284999999998</v>
      </c>
      <c r="F27" s="4">
        <f>((E27*2*1000)/3600)</f>
        <v>66.529361111111101</v>
      </c>
      <c r="G27" s="6">
        <f>(45-22)</f>
        <v>23</v>
      </c>
      <c r="H27" s="6"/>
      <c r="I27" s="11">
        <f>(1.232*F27*G27)</f>
        <v>1885.1759764444439</v>
      </c>
    </row>
    <row r="28" spans="1:21" x14ac:dyDescent="0.25">
      <c r="A28" s="6" t="s">
        <v>103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/>
      <c r="H28" s="6">
        <f>(0.0275-0.01)</f>
        <v>1.7500000000000002E-2</v>
      </c>
      <c r="I28" s="11">
        <f>(3012*F28*H28)</f>
        <v>3506.7626241666662</v>
      </c>
    </row>
    <row r="30" spans="1:21" x14ac:dyDescent="0.25">
      <c r="B30" s="9"/>
      <c r="C30" s="9" t="s">
        <v>114</v>
      </c>
      <c r="D30" s="9" t="s">
        <v>115</v>
      </c>
      <c r="E30" s="9" t="s">
        <v>116</v>
      </c>
    </row>
    <row r="31" spans="1:21" x14ac:dyDescent="0.25">
      <c r="B31" s="9" t="s">
        <v>113</v>
      </c>
      <c r="C31" s="12">
        <f>SUM(I27,H24,M11)</f>
        <v>7601.605876358044</v>
      </c>
      <c r="D31" s="12">
        <f>SUM(I27,J24,Q11)</f>
        <v>7880.0741194278216</v>
      </c>
      <c r="E31" s="12">
        <f>SUM(I27,L24,U11)</f>
        <v>7925.7160854791109</v>
      </c>
    </row>
    <row r="32" spans="1:21" x14ac:dyDescent="0.25">
      <c r="B32" s="9" t="s">
        <v>112</v>
      </c>
      <c r="C32" s="12">
        <f>SUM(I28,H19)</f>
        <v>3683.7626241666662</v>
      </c>
      <c r="D32" s="12">
        <f>SUM(I28,J19)</f>
        <v>3683.7626241666662</v>
      </c>
      <c r="E32" s="12">
        <f>SUM(I28,L19)</f>
        <v>3683.7626241666662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J19 L19 H19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1ABF-E6A1-4660-9BE5-21CE8181E7EC}">
  <dimension ref="A1:U33"/>
  <sheetViews>
    <sheetView topLeftCell="C13" workbookViewId="0">
      <selection activeCell="C32" sqref="C32:E32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E4" s="2"/>
      <c r="F4" s="4">
        <f>(C4*D4)</f>
        <v>32.808999999999997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1147.954101</v>
      </c>
      <c r="N4" s="2">
        <v>17</v>
      </c>
      <c r="O4" s="2">
        <v>37.1</v>
      </c>
      <c r="P4" s="2"/>
      <c r="Q4" s="4">
        <f>(B4*F4*O4)</f>
        <v>1326.7631509999999</v>
      </c>
      <c r="R4" s="2">
        <v>22</v>
      </c>
      <c r="S4" s="2">
        <v>42.1</v>
      </c>
      <c r="T4" s="2"/>
      <c r="U4" s="4">
        <f>(B4*F4*S4)</f>
        <v>1505.5722009999999</v>
      </c>
    </row>
    <row r="5" spans="1:21" x14ac:dyDescent="0.25">
      <c r="A5" s="2" t="s">
        <v>78</v>
      </c>
      <c r="B5" s="2">
        <v>0.90590000000000004</v>
      </c>
      <c r="C5" s="2"/>
      <c r="D5" s="2">
        <v>6.02</v>
      </c>
      <c r="E5" s="2">
        <v>3.65</v>
      </c>
      <c r="F5" s="4">
        <f>((D5*E5)-(1.98*1.37))</f>
        <v>19.260399999999997</v>
      </c>
      <c r="G5" s="4">
        <v>-6</v>
      </c>
      <c r="H5" s="2"/>
      <c r="I5" s="2"/>
      <c r="J5" s="2">
        <f>9/1.8</f>
        <v>5</v>
      </c>
      <c r="K5" s="4">
        <f>((J5+G5)+(25.5-22)+(45-29.4))</f>
        <v>18.100000000000001</v>
      </c>
      <c r="L5" s="2"/>
      <c r="M5" s="4">
        <f>(B5*F5*K5)</f>
        <v>315.80873411599998</v>
      </c>
      <c r="N5" s="4">
        <f>16/1.8</f>
        <v>8.8888888888888893</v>
      </c>
      <c r="O5" s="4">
        <f>((N5+G5)+(25.5-22)+(45-29.4))</f>
        <v>21.988888888888891</v>
      </c>
      <c r="P5" s="2"/>
      <c r="Q5" s="4">
        <f>(B5*F5*O5)</f>
        <v>383.66205329377777</v>
      </c>
      <c r="R5" s="4">
        <f>24/1.8</f>
        <v>13.333333333333332</v>
      </c>
      <c r="S5" s="4">
        <f>((R5+G5)+(25.5-22)+(45-29.4))</f>
        <v>26.433333333333334</v>
      </c>
      <c r="T5" s="2"/>
      <c r="U5" s="4">
        <f>(B5*F5*S5)</f>
        <v>461.20870378266659</v>
      </c>
    </row>
    <row r="6" spans="1:21" x14ac:dyDescent="0.25">
      <c r="A6" s="2" t="s">
        <v>12</v>
      </c>
      <c r="B6" s="2">
        <v>1.0900000000000001</v>
      </c>
      <c r="C6" s="2">
        <v>5.45</v>
      </c>
      <c r="D6" s="2">
        <v>6.02</v>
      </c>
      <c r="E6" s="2"/>
      <c r="F6" s="4">
        <f>C6*D6</f>
        <v>32.808999999999997</v>
      </c>
      <c r="G6" s="2"/>
      <c r="H6" s="2"/>
      <c r="I6" s="2"/>
      <c r="J6" s="2">
        <f>40-22</f>
        <v>18</v>
      </c>
      <c r="K6" s="2"/>
      <c r="L6" s="2"/>
      <c r="M6" s="4">
        <f>(B6*F6*J6)</f>
        <v>643.71257999999989</v>
      </c>
      <c r="N6" s="2">
        <v>18</v>
      </c>
      <c r="O6" s="2"/>
      <c r="P6" s="2"/>
      <c r="Q6" s="4">
        <f>(B6*F6*N6)</f>
        <v>643.71257999999989</v>
      </c>
      <c r="R6" s="2">
        <v>18</v>
      </c>
      <c r="S6" s="2"/>
      <c r="T6" s="2"/>
      <c r="U6" s="4">
        <f>(B6*F6*R6)</f>
        <v>643.71257999999989</v>
      </c>
    </row>
    <row r="7" spans="1:21" x14ac:dyDescent="0.25">
      <c r="A7" s="2" t="s">
        <v>25</v>
      </c>
      <c r="B7" s="2">
        <v>1.349</v>
      </c>
      <c r="C7" s="2">
        <v>5.45</v>
      </c>
      <c r="D7" s="2"/>
      <c r="E7" s="2">
        <v>3.65</v>
      </c>
      <c r="F7" s="4">
        <f>((C7*E7)-(2*2.71))</f>
        <v>14.472500000000002</v>
      </c>
      <c r="G7" s="2"/>
      <c r="H7" s="2"/>
      <c r="I7" s="2"/>
      <c r="J7" s="2">
        <f>40-22</f>
        <v>18</v>
      </c>
      <c r="K7" s="2"/>
      <c r="L7" s="2"/>
      <c r="M7" s="4">
        <f>(B7*F7*J7)</f>
        <v>351.42124500000006</v>
      </c>
      <c r="N7" s="2">
        <v>18</v>
      </c>
      <c r="O7" s="2"/>
      <c r="P7" s="2"/>
      <c r="Q7" s="4">
        <f>(B7*F7*N7)</f>
        <v>351.42124500000006</v>
      </c>
      <c r="R7" s="2">
        <v>18</v>
      </c>
      <c r="S7" s="2"/>
      <c r="T7" s="2"/>
      <c r="U7" s="4">
        <f>(B7*F7*R7)</f>
        <v>351.42124500000006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((B10*F10*J10)+(F10*I10*H10*L10))</f>
        <v>429.92397779760006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13" t="s">
        <v>111</v>
      </c>
      <c r="K11" s="13"/>
      <c r="L11" s="16"/>
      <c r="M11" s="11">
        <f>SUM(M4:M10)</f>
        <v>3935.7718999136</v>
      </c>
      <c r="N11" s="16"/>
      <c r="O11" s="16"/>
      <c r="P11" s="16"/>
      <c r="Q11" s="11">
        <f>SUM(Q4:Q10)</f>
        <v>4147.0929429833777</v>
      </c>
      <c r="R11" s="16"/>
      <c r="S11" s="16"/>
      <c r="T11" s="16"/>
      <c r="U11" s="11">
        <f>SUM(U4:U10)</f>
        <v>4129.9677090346668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E17" s="2"/>
      <c r="F17" s="2"/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3"/>
      <c r="F24" s="13"/>
      <c r="G24" s="13"/>
      <c r="H24" s="11">
        <f>SUM(H17:H18,H20:H23)</f>
        <v>1780.6580000000001</v>
      </c>
      <c r="I24" s="16"/>
      <c r="J24" s="11">
        <f>SUM(J17:J18,J20:J23)</f>
        <v>1847.8052</v>
      </c>
      <c r="K24" s="16"/>
      <c r="L24" s="11">
        <f>SUM(L17:L18,L20:L23)</f>
        <v>1910.5723999999998</v>
      </c>
    </row>
    <row r="27" spans="1:21" x14ac:dyDescent="0.25">
      <c r="A27" s="6"/>
      <c r="B27" s="6" t="s">
        <v>104</v>
      </c>
      <c r="C27" s="6" t="s">
        <v>3</v>
      </c>
      <c r="D27" s="6" t="s">
        <v>105</v>
      </c>
      <c r="E27" s="6" t="s">
        <v>106</v>
      </c>
      <c r="F27" s="6" t="s">
        <v>107</v>
      </c>
      <c r="G27" s="6" t="s">
        <v>108</v>
      </c>
      <c r="H27" s="6" t="s">
        <v>109</v>
      </c>
      <c r="I27" s="6" t="s">
        <v>110</v>
      </c>
    </row>
    <row r="28" spans="1:21" x14ac:dyDescent="0.25">
      <c r="A28" s="6" t="s">
        <v>102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>
        <f>(45-22)</f>
        <v>23</v>
      </c>
      <c r="H28" s="6"/>
      <c r="I28" s="11">
        <f>(1.232*F28*G28)</f>
        <v>1885.1759764444439</v>
      </c>
    </row>
    <row r="29" spans="1:21" x14ac:dyDescent="0.25">
      <c r="A29" s="6" t="s">
        <v>103</v>
      </c>
      <c r="B29" s="6">
        <v>5.45</v>
      </c>
      <c r="C29" s="6">
        <v>6.02</v>
      </c>
      <c r="D29" s="6">
        <v>3.65</v>
      </c>
      <c r="E29" s="4">
        <f>(B29*C29*D29)</f>
        <v>119.75284999999998</v>
      </c>
      <c r="F29" s="4">
        <f>((E29*2*1000)/3600)</f>
        <v>66.529361111111101</v>
      </c>
      <c r="G29" s="6"/>
      <c r="H29" s="6">
        <f>(0.0275-0.01)</f>
        <v>1.7500000000000002E-2</v>
      </c>
      <c r="I29" s="11">
        <f>(3012*F29*H29)</f>
        <v>3506.7626241666662</v>
      </c>
    </row>
    <row r="31" spans="1:21" x14ac:dyDescent="0.25">
      <c r="B31" s="9"/>
      <c r="C31" s="9" t="s">
        <v>114</v>
      </c>
      <c r="D31" s="9" t="s">
        <v>115</v>
      </c>
      <c r="E31" s="9" t="s">
        <v>116</v>
      </c>
    </row>
    <row r="32" spans="1:21" x14ac:dyDescent="0.25">
      <c r="B32" s="9" t="s">
        <v>113</v>
      </c>
      <c r="C32" s="12">
        <f>SUM(I28,H24,M11)</f>
        <v>7601.605876358044</v>
      </c>
      <c r="D32" s="12">
        <f>SUM(I28,J24,Q11)</f>
        <v>7880.0741194278216</v>
      </c>
      <c r="E32" s="12">
        <f>SUM(I28,L24,U11)</f>
        <v>7925.7160854791109</v>
      </c>
    </row>
    <row r="33" spans="2:5" x14ac:dyDescent="0.25">
      <c r="B33" s="9" t="s">
        <v>112</v>
      </c>
      <c r="C33" s="12">
        <f>SUM(I29,H19)</f>
        <v>3683.7626241666662</v>
      </c>
      <c r="D33" s="12">
        <f>SUM(I29,J19)</f>
        <v>3683.7626241666662</v>
      </c>
      <c r="E33" s="12">
        <f>SUM(I29,L19)</f>
        <v>3683.7626241666662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L19 J19 H19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BFC8-7B79-4121-9FDC-EE37136EF48C}">
  <dimension ref="A1:U32"/>
  <sheetViews>
    <sheetView topLeftCell="C12" workbookViewId="0">
      <selection activeCell="C31" sqref="C31:E31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85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E4" s="2"/>
      <c r="F4" s="4">
        <f>(C4*D4)</f>
        <v>32.808999999999997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1147.954101</v>
      </c>
      <c r="N4" s="2">
        <v>17</v>
      </c>
      <c r="O4" s="2">
        <v>37.1</v>
      </c>
      <c r="P4" s="2"/>
      <c r="Q4" s="4">
        <f>(B4*F4*O4)</f>
        <v>1326.7631509999999</v>
      </c>
      <c r="R4" s="2">
        <v>22</v>
      </c>
      <c r="S4" s="2">
        <v>42.1</v>
      </c>
      <c r="T4" s="2"/>
      <c r="U4" s="4">
        <f>(B4*F4*S4)</f>
        <v>1505.5722009999999</v>
      </c>
    </row>
    <row r="5" spans="1:21" x14ac:dyDescent="0.25">
      <c r="A5" s="2" t="s">
        <v>78</v>
      </c>
      <c r="B5" s="2">
        <v>0.90590000000000004</v>
      </c>
      <c r="C5" s="2"/>
      <c r="D5" s="2">
        <v>6.02</v>
      </c>
      <c r="E5" s="2">
        <v>3.65</v>
      </c>
      <c r="F5" s="4">
        <f>((D5*E5)-(1.98*1.37))</f>
        <v>19.260399999999997</v>
      </c>
      <c r="G5" s="4">
        <v>-6</v>
      </c>
      <c r="H5" s="2"/>
      <c r="I5" s="2"/>
      <c r="J5" s="2">
        <f>9/1.8</f>
        <v>5</v>
      </c>
      <c r="K5" s="4">
        <f>((J5+G5)+(25.5-22)+(45-29.4))</f>
        <v>18.100000000000001</v>
      </c>
      <c r="L5" s="2"/>
      <c r="M5" s="4">
        <f>(B5*F5*K5)</f>
        <v>315.80873411599998</v>
      </c>
      <c r="N5" s="4">
        <f>16/1.8</f>
        <v>8.8888888888888893</v>
      </c>
      <c r="O5" s="4">
        <f>((N5+G5)+(25.5-22)+(45-29.4))</f>
        <v>21.988888888888891</v>
      </c>
      <c r="P5" s="2"/>
      <c r="Q5" s="4">
        <f>(B5*F5*O5)</f>
        <v>383.66205329377777</v>
      </c>
      <c r="R5" s="4">
        <f>24/1.8</f>
        <v>13.333333333333332</v>
      </c>
      <c r="S5" s="4">
        <f>((R5+G5)+(25.5-22)+(45-29.4))</f>
        <v>26.433333333333334</v>
      </c>
      <c r="T5" s="2"/>
      <c r="U5" s="4">
        <f>(B5*F5*S5)</f>
        <v>461.20870378266659</v>
      </c>
    </row>
    <row r="6" spans="1:21" x14ac:dyDescent="0.25">
      <c r="A6" s="2" t="s">
        <v>12</v>
      </c>
      <c r="B6" s="2">
        <v>1.0900000000000001</v>
      </c>
      <c r="C6" s="2">
        <v>5.45</v>
      </c>
      <c r="D6" s="2">
        <v>6.02</v>
      </c>
      <c r="E6" s="2"/>
      <c r="F6" s="4">
        <f>C6*D6</f>
        <v>32.808999999999997</v>
      </c>
      <c r="G6" s="2"/>
      <c r="H6" s="2"/>
      <c r="I6" s="2"/>
      <c r="J6" s="2">
        <f>40-22</f>
        <v>18</v>
      </c>
      <c r="K6" s="2"/>
      <c r="L6" s="2"/>
      <c r="M6" s="4">
        <f>(B6*F6*J6)</f>
        <v>643.71257999999989</v>
      </c>
      <c r="N6" s="2">
        <v>18</v>
      </c>
      <c r="O6" s="2"/>
      <c r="P6" s="2"/>
      <c r="Q6" s="4">
        <f>(B6*F6*N6)</f>
        <v>643.71257999999989</v>
      </c>
      <c r="R6" s="2">
        <v>18</v>
      </c>
      <c r="S6" s="2"/>
      <c r="T6" s="2"/>
      <c r="U6" s="4">
        <f>(B6*F6*R6)</f>
        <v>643.71257999999989</v>
      </c>
    </row>
    <row r="7" spans="1:21" x14ac:dyDescent="0.25">
      <c r="A7" s="2" t="s">
        <v>25</v>
      </c>
      <c r="B7" s="2">
        <v>1.349</v>
      </c>
      <c r="C7" s="2">
        <v>5.45</v>
      </c>
      <c r="D7" s="2"/>
      <c r="E7" s="2">
        <v>3.65</v>
      </c>
      <c r="F7" s="4">
        <f>((C7*E7)-(2*2.71))</f>
        <v>14.472500000000002</v>
      </c>
      <c r="G7" s="2"/>
      <c r="H7" s="2"/>
      <c r="I7" s="2"/>
      <c r="J7" s="2">
        <f>40-22</f>
        <v>18</v>
      </c>
      <c r="K7" s="2"/>
      <c r="L7" s="2"/>
      <c r="M7" s="4">
        <f>(B7*F7*J7)</f>
        <v>351.42124500000006</v>
      </c>
      <c r="N7" s="2">
        <v>18</v>
      </c>
      <c r="O7" s="2"/>
      <c r="P7" s="2"/>
      <c r="Q7" s="4">
        <f>(B7*F7*N7)</f>
        <v>351.42124500000006</v>
      </c>
      <c r="R7" s="2">
        <v>18</v>
      </c>
      <c r="S7" s="2"/>
      <c r="T7" s="2"/>
      <c r="U7" s="4">
        <f>(B7*F7*R7)</f>
        <v>351.42124500000006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((B10*F10*J10)+(F10*I10*H10*L10))</f>
        <v>429.92397779760006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13" t="s">
        <v>111</v>
      </c>
      <c r="K11" s="16"/>
      <c r="L11" s="16"/>
      <c r="M11" s="11">
        <f>SUM(M4:M10)</f>
        <v>3935.7718999136</v>
      </c>
      <c r="N11" s="16"/>
      <c r="O11" s="16"/>
      <c r="P11" s="16"/>
      <c r="Q11" s="11">
        <f>SUM(Q4:Q10)</f>
        <v>4147.0929429833777</v>
      </c>
      <c r="R11" s="16"/>
      <c r="S11" s="16"/>
      <c r="T11" s="16"/>
      <c r="U11" s="11">
        <f>SUM(U4:U10)</f>
        <v>4129.9677090346668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E17" s="2"/>
      <c r="F17" s="2"/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6"/>
      <c r="F24" s="16"/>
      <c r="G24" s="16"/>
      <c r="H24" s="11">
        <f>SUM(H17:H18,H20:H23)</f>
        <v>1780.6580000000001</v>
      </c>
      <c r="I24" s="16"/>
      <c r="J24" s="11">
        <f>SUM(J17:J18,J20:J23)</f>
        <v>1847.8052</v>
      </c>
      <c r="K24" s="16"/>
      <c r="L24" s="11">
        <f>SUM(L17:L18,L20:L23)</f>
        <v>1910.5723999999998</v>
      </c>
    </row>
    <row r="26" spans="1:21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21" x14ac:dyDescent="0.25">
      <c r="A27" s="6" t="s">
        <v>102</v>
      </c>
      <c r="B27" s="6">
        <v>5.45</v>
      </c>
      <c r="C27" s="6">
        <v>6.02</v>
      </c>
      <c r="D27" s="6">
        <v>3.65</v>
      </c>
      <c r="E27" s="4">
        <f>(B27*C27*D27)</f>
        <v>119.75284999999998</v>
      </c>
      <c r="F27" s="4">
        <f>((E27*2*1000)/3600)</f>
        <v>66.529361111111101</v>
      </c>
      <c r="G27" s="6">
        <f>(45-22)</f>
        <v>23</v>
      </c>
      <c r="H27" s="6"/>
      <c r="I27" s="11">
        <f>(1.232*F27*G27)</f>
        <v>1885.1759764444439</v>
      </c>
    </row>
    <row r="28" spans="1:21" x14ac:dyDescent="0.25">
      <c r="A28" s="6" t="s">
        <v>103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/>
      <c r="H28" s="6">
        <f>(0.0275-0.01)</f>
        <v>1.7500000000000002E-2</v>
      </c>
      <c r="I28" s="11">
        <f>(3012*F28*H28)</f>
        <v>3506.7626241666662</v>
      </c>
    </row>
    <row r="30" spans="1:21" x14ac:dyDescent="0.25">
      <c r="B30" s="9"/>
      <c r="C30" s="9" t="s">
        <v>114</v>
      </c>
      <c r="D30" s="9" t="s">
        <v>115</v>
      </c>
      <c r="E30" s="9" t="s">
        <v>116</v>
      </c>
    </row>
    <row r="31" spans="1:21" x14ac:dyDescent="0.25">
      <c r="B31" s="9" t="s">
        <v>113</v>
      </c>
      <c r="C31" s="12">
        <f>SUM(I27,H24,M11)</f>
        <v>7601.605876358044</v>
      </c>
      <c r="D31" s="12">
        <f>SUM(I27,J24,Q11)</f>
        <v>7880.0741194278216</v>
      </c>
      <c r="E31" s="12">
        <f>SUM(I27,L24,U11)</f>
        <v>7925.7160854791109</v>
      </c>
    </row>
    <row r="32" spans="1:21" x14ac:dyDescent="0.25">
      <c r="B32" s="9" t="s">
        <v>112</v>
      </c>
      <c r="C32" s="12">
        <f>SUM(I28,H19)</f>
        <v>3683.7626241666662</v>
      </c>
      <c r="D32" s="12">
        <f>SUM(I28,J19)</f>
        <v>3683.7626241666662</v>
      </c>
      <c r="E32" s="12">
        <f>SUM(I28,L19)</f>
        <v>3683.7626241666662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H19 J19 L19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EDC9-6C83-4ED0-90D2-73162AB3C935}">
  <dimension ref="A1:U33"/>
  <sheetViews>
    <sheetView topLeftCell="C13" workbookViewId="0">
      <selection activeCell="C32" sqref="C32:E32"/>
    </sheetView>
  </sheetViews>
  <sheetFormatPr defaultRowHeight="15" x14ac:dyDescent="0.25"/>
  <cols>
    <col min="1" max="1" width="36.710937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86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6.02</v>
      </c>
      <c r="E4" s="2"/>
      <c r="F4" s="4">
        <f>(C4*D4)</f>
        <v>32.808999999999997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1147.954101</v>
      </c>
      <c r="N4" s="2">
        <v>17</v>
      </c>
      <c r="O4" s="2">
        <v>37.1</v>
      </c>
      <c r="P4" s="2"/>
      <c r="Q4" s="4">
        <f>(B4*F4*O4)</f>
        <v>1326.7631509999999</v>
      </c>
      <c r="R4" s="2">
        <v>22</v>
      </c>
      <c r="S4" s="2">
        <v>42.1</v>
      </c>
      <c r="T4" s="2"/>
      <c r="U4" s="4">
        <f>(B4*F4*S4)</f>
        <v>1505.5722009999999</v>
      </c>
    </row>
    <row r="5" spans="1:21" x14ac:dyDescent="0.25">
      <c r="A5" s="2" t="s">
        <v>57</v>
      </c>
      <c r="B5" s="2">
        <v>0.90590000000000004</v>
      </c>
      <c r="C5" s="2">
        <v>5.45</v>
      </c>
      <c r="D5" s="2"/>
      <c r="E5" s="2">
        <v>3.65</v>
      </c>
      <c r="F5" s="4">
        <f>(C5*E5)</f>
        <v>19.892500000000002</v>
      </c>
      <c r="G5" s="4">
        <v>0</v>
      </c>
      <c r="H5" s="2"/>
      <c r="I5" s="2"/>
      <c r="J5" s="2">
        <f>27/1.8</f>
        <v>15</v>
      </c>
      <c r="K5" s="2">
        <f>(J5+(25.5-22)+(45-29.4))</f>
        <v>34.1</v>
      </c>
      <c r="L5" s="2"/>
      <c r="M5" s="4">
        <f>(B5*F5*K5)</f>
        <v>614.50299707500005</v>
      </c>
      <c r="N5" s="4">
        <f>32/1.8</f>
        <v>17.777777777777779</v>
      </c>
      <c r="O5" s="4">
        <f>(N5+(25.5-22)+(45-29.4))</f>
        <v>36.87777777777778</v>
      </c>
      <c r="P5" s="2"/>
      <c r="Q5" s="4">
        <f>(B5*F5*O5)</f>
        <v>664.56026304722229</v>
      </c>
      <c r="R5" s="4">
        <f>33/1.8</f>
        <v>18.333333333333332</v>
      </c>
      <c r="S5" s="4">
        <f>(R5+(25.5-22)+(45-29.4))</f>
        <v>37.433333333333337</v>
      </c>
      <c r="T5" s="2"/>
      <c r="U5" s="4">
        <f>(B5*F5*S5)</f>
        <v>674.57171624166676</v>
      </c>
    </row>
    <row r="6" spans="1:21" x14ac:dyDescent="0.25">
      <c r="A6" s="2" t="s">
        <v>78</v>
      </c>
      <c r="B6" s="2">
        <v>0.90590000000000004</v>
      </c>
      <c r="C6" s="2"/>
      <c r="D6" s="2">
        <v>6.02</v>
      </c>
      <c r="E6" s="2">
        <v>3.65</v>
      </c>
      <c r="F6" s="4">
        <f>((D6*E6)-(1.98*1.37))</f>
        <v>19.260399999999997</v>
      </c>
      <c r="G6" s="4">
        <v>-6</v>
      </c>
      <c r="H6" s="2"/>
      <c r="I6" s="2"/>
      <c r="J6" s="2">
        <f>9/1.8</f>
        <v>5</v>
      </c>
      <c r="K6" s="4">
        <f>((J6+G6)+(25.5-22)+(45-29.4))</f>
        <v>18.100000000000001</v>
      </c>
      <c r="L6" s="2"/>
      <c r="M6" s="4">
        <f>(B6*F6*K6)</f>
        <v>315.80873411599998</v>
      </c>
      <c r="N6" s="4">
        <f>16/1.8</f>
        <v>8.8888888888888893</v>
      </c>
      <c r="O6" s="4">
        <f>((N6+G6)+(25.5-22)+(45-29.4))</f>
        <v>21.988888888888891</v>
      </c>
      <c r="P6" s="2"/>
      <c r="Q6" s="4">
        <f>(B6*F6*O6)</f>
        <v>383.66205329377777</v>
      </c>
      <c r="R6" s="4">
        <f>24/1.8</f>
        <v>13.333333333333332</v>
      </c>
      <c r="S6" s="4">
        <f>((R6+G6)+(25.5-22)+(45-29.4))</f>
        <v>26.433333333333334</v>
      </c>
      <c r="T6" s="2"/>
      <c r="U6" s="4">
        <f>(B6*F6*S6)</f>
        <v>461.20870378266659</v>
      </c>
    </row>
    <row r="7" spans="1:21" x14ac:dyDescent="0.25">
      <c r="A7" s="2" t="s">
        <v>12</v>
      </c>
      <c r="B7" s="2">
        <v>1.0900000000000001</v>
      </c>
      <c r="C7" s="2">
        <v>5.45</v>
      </c>
      <c r="D7" s="2">
        <v>6.02</v>
      </c>
      <c r="E7" s="2"/>
      <c r="F7" s="4">
        <f>C7*D7</f>
        <v>32.808999999999997</v>
      </c>
      <c r="G7" s="2"/>
      <c r="H7" s="2"/>
      <c r="I7" s="2"/>
      <c r="J7" s="2">
        <f>40-22</f>
        <v>18</v>
      </c>
      <c r="K7" s="2"/>
      <c r="L7" s="2"/>
      <c r="M7" s="4">
        <f>(B7*F7*J7)</f>
        <v>643.71257999999989</v>
      </c>
      <c r="N7" s="2">
        <v>18</v>
      </c>
      <c r="O7" s="2"/>
      <c r="P7" s="2"/>
      <c r="Q7" s="4">
        <f>(B7*F7*N7)</f>
        <v>643.71257999999989</v>
      </c>
      <c r="R7" s="2">
        <v>18</v>
      </c>
      <c r="S7" s="2"/>
      <c r="T7" s="2"/>
      <c r="U7" s="4">
        <f>(B7*F7*R7)</f>
        <v>643.71257999999989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2*((B10*F10*J10)+(F10*I10*H10*L10))</f>
        <v>859.84795559520012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13"/>
      <c r="K11" s="13" t="s">
        <v>111</v>
      </c>
      <c r="L11" s="16"/>
      <c r="M11" s="11">
        <f>SUM(M4:M10)</f>
        <v>4628.7776297862001</v>
      </c>
      <c r="N11" s="16"/>
      <c r="O11" s="16"/>
      <c r="P11" s="16"/>
      <c r="Q11" s="11">
        <f>SUM(Q4:Q10)</f>
        <v>4460.2319610306004</v>
      </c>
      <c r="R11" s="16"/>
      <c r="S11" s="16"/>
      <c r="T11" s="16"/>
      <c r="U11" s="11">
        <f>SUM(U4:U10)</f>
        <v>4453.118180276334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1312.36</v>
      </c>
      <c r="D17" s="4">
        <f>C4*D4</f>
        <v>32.808999999999997</v>
      </c>
      <c r="E17" s="2"/>
      <c r="F17" s="2"/>
      <c r="G17" s="2">
        <v>0.8</v>
      </c>
      <c r="H17" s="4">
        <f>(C17*G17)</f>
        <v>1049.8879999999999</v>
      </c>
      <c r="I17" s="2">
        <v>0.82</v>
      </c>
      <c r="J17" s="4">
        <f>(C17*I17)</f>
        <v>1076.1351999999999</v>
      </c>
      <c r="K17" s="2">
        <v>0.84</v>
      </c>
      <c r="L17" s="4">
        <f>(C17*K17)</f>
        <v>1102.3824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7"/>
      <c r="F24" s="17"/>
      <c r="G24" s="17"/>
      <c r="H24" s="11">
        <f>SUM(H17:H18,H20:H23)</f>
        <v>1780.6580000000001</v>
      </c>
      <c r="I24" s="16"/>
      <c r="J24" s="11">
        <f>SUM(J17:J18,J20:J23)</f>
        <v>1847.8052</v>
      </c>
      <c r="K24" s="16"/>
      <c r="L24" s="11">
        <f>SUM(L17:L18,L20:L23)</f>
        <v>1910.5723999999998</v>
      </c>
    </row>
    <row r="26" spans="1:21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21" x14ac:dyDescent="0.25">
      <c r="A27" s="6" t="s">
        <v>102</v>
      </c>
      <c r="B27" s="6">
        <v>5.45</v>
      </c>
      <c r="C27" s="6">
        <v>6.02</v>
      </c>
      <c r="D27" s="6">
        <v>3.65</v>
      </c>
      <c r="E27" s="4">
        <f>(B27*C27*D27)</f>
        <v>119.75284999999998</v>
      </c>
      <c r="F27" s="4">
        <f>((E27*2*1000)/3600)</f>
        <v>66.529361111111101</v>
      </c>
      <c r="G27" s="6">
        <f>(45-22)</f>
        <v>23</v>
      </c>
      <c r="H27" s="6"/>
      <c r="I27" s="11">
        <f>(1.232*F27*G27)</f>
        <v>1885.1759764444439</v>
      </c>
    </row>
    <row r="28" spans="1:21" x14ac:dyDescent="0.25">
      <c r="A28" s="6" t="s">
        <v>103</v>
      </c>
      <c r="B28" s="6">
        <v>5.45</v>
      </c>
      <c r="C28" s="6">
        <v>6.02</v>
      </c>
      <c r="D28" s="6">
        <v>3.65</v>
      </c>
      <c r="E28" s="4">
        <f>(B28*C28*D28)</f>
        <v>119.75284999999998</v>
      </c>
      <c r="F28" s="4">
        <f>((E28*2*1000)/3600)</f>
        <v>66.529361111111101</v>
      </c>
      <c r="G28" s="6"/>
      <c r="H28" s="6">
        <f>(0.0275-0.01)</f>
        <v>1.7500000000000002E-2</v>
      </c>
      <c r="I28" s="11">
        <f>(3012*F28*H28)</f>
        <v>3506.7626241666662</v>
      </c>
    </row>
    <row r="31" spans="1:21" x14ac:dyDescent="0.25">
      <c r="B31" s="9"/>
      <c r="C31" s="9" t="s">
        <v>114</v>
      </c>
      <c r="D31" s="9" t="s">
        <v>115</v>
      </c>
      <c r="E31" s="9" t="s">
        <v>116</v>
      </c>
    </row>
    <row r="32" spans="1:21" x14ac:dyDescent="0.25">
      <c r="B32" s="9" t="s">
        <v>113</v>
      </c>
      <c r="C32" s="12">
        <f>SUM(I27,H24,M11)</f>
        <v>8294.6116062306446</v>
      </c>
      <c r="D32" s="12">
        <f>SUM(I27,J24,Q11)</f>
        <v>8193.2131374750443</v>
      </c>
      <c r="E32" s="12">
        <f>SUM(I27,L24,U11)</f>
        <v>8248.8665567207772</v>
      </c>
    </row>
    <row r="33" spans="2:5" x14ac:dyDescent="0.25">
      <c r="B33" s="9" t="s">
        <v>112</v>
      </c>
      <c r="C33" s="12">
        <f>SUM(I28,H19)</f>
        <v>3683.7626241666662</v>
      </c>
      <c r="D33" s="12">
        <f>SUM(I28,J19)</f>
        <v>3683.7626241666662</v>
      </c>
      <c r="E33" s="12">
        <f>SUM(I28,L19)</f>
        <v>3683.7626241666662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H19 J19 L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777E-52EC-4996-B7F5-C0F09D857BAF}">
  <dimension ref="A1:V29"/>
  <sheetViews>
    <sheetView topLeftCell="B11" workbookViewId="0">
      <selection activeCell="C28" sqref="C28:E28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2.14062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2" ht="27" x14ac:dyDescent="0.35">
      <c r="A1" s="19" t="s">
        <v>44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  <c r="V3" s="1"/>
    </row>
    <row r="4" spans="1:22" x14ac:dyDescent="0.25">
      <c r="A4" s="1" t="s">
        <v>5</v>
      </c>
      <c r="B4" s="1">
        <v>1.0900000000000001</v>
      </c>
      <c r="C4" s="1">
        <v>8.077</v>
      </c>
      <c r="D4" s="1">
        <v>5.03</v>
      </c>
      <c r="E4" s="1"/>
      <c r="F4" s="4">
        <f>(C4*D4)</f>
        <v>40.627310000000001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1421.5089495900004</v>
      </c>
      <c r="N4" s="1">
        <v>17</v>
      </c>
      <c r="O4" s="1">
        <v>37.1</v>
      </c>
      <c r="P4" s="1"/>
      <c r="Q4" s="4">
        <f>(B4*F4*O4)</f>
        <v>1642.9277890900003</v>
      </c>
      <c r="R4" s="1">
        <v>22</v>
      </c>
      <c r="S4" s="1">
        <v>42.1</v>
      </c>
      <c r="T4" s="1"/>
      <c r="U4" s="4">
        <f>(B4*F4*S4)</f>
        <v>1864.3466285900004</v>
      </c>
      <c r="V4" s="1"/>
    </row>
    <row r="5" spans="1:22" x14ac:dyDescent="0.25">
      <c r="A5" s="1" t="s">
        <v>24</v>
      </c>
      <c r="B5" s="1">
        <v>0.90590000000000004</v>
      </c>
      <c r="C5" s="1">
        <v>8.077</v>
      </c>
      <c r="D5" s="1"/>
      <c r="E5" s="1">
        <v>3.65</v>
      </c>
      <c r="F5" s="4">
        <f>(C5*E5)</f>
        <v>29.48105</v>
      </c>
      <c r="G5" s="4">
        <v>0</v>
      </c>
      <c r="H5" s="1"/>
      <c r="I5" s="1"/>
      <c r="J5" s="1">
        <f>9/1.8</f>
        <v>5</v>
      </c>
      <c r="K5" s="1">
        <v>24.1</v>
      </c>
      <c r="L5" s="1"/>
      <c r="M5" s="4">
        <f>(B5*F5*K5)</f>
        <v>643.63588499950004</v>
      </c>
      <c r="N5" s="4">
        <f>11/1.8</f>
        <v>6.1111111111111107</v>
      </c>
      <c r="O5" s="1">
        <v>25.21</v>
      </c>
      <c r="P5" s="1"/>
      <c r="Q5" s="4">
        <f>(B5*F5*O5)</f>
        <v>673.28052534594997</v>
      </c>
      <c r="R5" s="1">
        <f>18/1.8</f>
        <v>10</v>
      </c>
      <c r="S5" s="1">
        <v>29.1</v>
      </c>
      <c r="T5" s="1"/>
      <c r="U5" s="4">
        <f>(B5*F5*S5)</f>
        <v>777.17030097450004</v>
      </c>
      <c r="V5" s="1"/>
    </row>
    <row r="6" spans="1:22" x14ac:dyDescent="0.25">
      <c r="A6" s="1" t="s">
        <v>12</v>
      </c>
      <c r="B6" s="1">
        <v>1.0900000000000001</v>
      </c>
      <c r="C6" s="1">
        <v>8.077</v>
      </c>
      <c r="D6" s="1">
        <v>5.03</v>
      </c>
      <c r="E6" s="1"/>
      <c r="F6" s="1">
        <v>40.630000000000003</v>
      </c>
      <c r="G6" s="1"/>
      <c r="H6" s="1"/>
      <c r="I6" s="1"/>
      <c r="J6" s="1">
        <f>40-22</f>
        <v>18</v>
      </c>
      <c r="K6" s="1"/>
      <c r="L6" s="1"/>
      <c r="M6" s="4">
        <f>(B6*F6*J6)</f>
        <v>797.16060000000004</v>
      </c>
      <c r="N6" s="1">
        <v>18</v>
      </c>
      <c r="O6" s="1"/>
      <c r="P6" s="1"/>
      <c r="Q6" s="4">
        <f>(B6*F6*N6)</f>
        <v>797.16060000000004</v>
      </c>
      <c r="R6" s="1">
        <v>18</v>
      </c>
      <c r="S6" s="1"/>
      <c r="T6" s="1"/>
      <c r="U6" s="4">
        <f>(B6*F6*R6)</f>
        <v>797.16060000000004</v>
      </c>
      <c r="V6" s="1"/>
    </row>
    <row r="7" spans="1:22" x14ac:dyDescent="0.25">
      <c r="A7" s="1" t="s">
        <v>25</v>
      </c>
      <c r="B7" s="1">
        <v>1.349</v>
      </c>
      <c r="C7" s="1">
        <v>8.077</v>
      </c>
      <c r="D7" s="1"/>
      <c r="E7" s="1">
        <v>3.65</v>
      </c>
      <c r="F7" s="4">
        <f>((C7*E7)-(2*2.71))</f>
        <v>24.061050000000002</v>
      </c>
      <c r="G7" s="1"/>
      <c r="H7" s="1"/>
      <c r="I7" s="1"/>
      <c r="J7" s="1">
        <f>40-22</f>
        <v>18</v>
      </c>
      <c r="K7" s="1"/>
      <c r="L7" s="1"/>
      <c r="M7" s="4">
        <f>(B7*F7*J7)</f>
        <v>584.25041610000005</v>
      </c>
      <c r="N7" s="1">
        <v>18</v>
      </c>
      <c r="O7" s="1"/>
      <c r="P7" s="1"/>
      <c r="Q7" s="4">
        <f>(B7*F7*N7)</f>
        <v>584.25041610000005</v>
      </c>
      <c r="R7" s="1">
        <v>18</v>
      </c>
      <c r="S7" s="1"/>
      <c r="T7" s="1"/>
      <c r="U7" s="4">
        <f>(B7*F7*R7)</f>
        <v>584.25041610000005</v>
      </c>
      <c r="V7" s="1"/>
    </row>
    <row r="8" spans="1:22" x14ac:dyDescent="0.25">
      <c r="A8" s="1" t="s">
        <v>26</v>
      </c>
      <c r="B8" s="1">
        <v>1.5124</v>
      </c>
      <c r="C8" s="1"/>
      <c r="D8" s="1"/>
      <c r="E8" s="1"/>
      <c r="F8" s="4">
        <f>((5.03*3.65)+3.962)</f>
        <v>22.3215</v>
      </c>
      <c r="G8" s="1"/>
      <c r="H8" s="1"/>
      <c r="I8" s="1"/>
      <c r="J8" s="1">
        <f>40-22</f>
        <v>18</v>
      </c>
      <c r="K8" s="1"/>
      <c r="L8" s="1"/>
      <c r="M8" s="4">
        <f>(B8*F8*J8)</f>
        <v>607.66265880000003</v>
      </c>
      <c r="N8" s="1">
        <v>18</v>
      </c>
      <c r="O8" s="1"/>
      <c r="P8" s="1"/>
      <c r="Q8" s="4">
        <f>(B8*F8*N8)</f>
        <v>607.66265880000003</v>
      </c>
      <c r="R8" s="1">
        <v>18</v>
      </c>
      <c r="S8" s="1"/>
      <c r="T8" s="1"/>
      <c r="U8" s="4">
        <v>499.8</v>
      </c>
      <c r="V8" s="1"/>
    </row>
    <row r="9" spans="1:22" x14ac:dyDescent="0.25">
      <c r="A9" s="1" t="s">
        <v>27</v>
      </c>
      <c r="B9" s="1">
        <v>4.8</v>
      </c>
      <c r="C9" s="1">
        <v>1.37</v>
      </c>
      <c r="D9" s="1">
        <v>1.98</v>
      </c>
      <c r="E9" s="1"/>
      <c r="F9" s="4">
        <f>C9*D9</f>
        <v>2.7126000000000001</v>
      </c>
      <c r="G9" s="1"/>
      <c r="H9" s="1">
        <f>213*3.147</f>
        <v>670.31099999999992</v>
      </c>
      <c r="I9" s="1">
        <v>0.6</v>
      </c>
      <c r="J9" s="1">
        <v>18</v>
      </c>
      <c r="K9" s="1"/>
      <c r="L9" s="1">
        <v>0.17</v>
      </c>
      <c r="M9" s="4">
        <f>2*((B9*F9*J9)+(F9*I9*H9*L9))</f>
        <v>839.66754619440007</v>
      </c>
      <c r="N9" s="1">
        <v>18</v>
      </c>
      <c r="O9" s="1"/>
      <c r="P9" s="1">
        <v>0.53</v>
      </c>
      <c r="Q9" s="4">
        <f>2*((B9*F9*N9)+(F9*I9*H9*P9))</f>
        <v>1625.1669334296</v>
      </c>
      <c r="R9" s="1">
        <v>18</v>
      </c>
      <c r="S9" s="1"/>
      <c r="T9" s="1">
        <v>0.82</v>
      </c>
      <c r="U9" s="4">
        <f>2*((B9*F9*R9)+(F9*I9*H9*T9))</f>
        <v>2257.9303287023999</v>
      </c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0" t="s">
        <v>111</v>
      </c>
      <c r="M10" s="11">
        <f>SUM(M4:M9)</f>
        <v>4893.8860556839008</v>
      </c>
      <c r="N10" s="1"/>
      <c r="O10" s="1"/>
      <c r="P10" s="1"/>
      <c r="Q10" s="11">
        <f>SUM(Q4:Q9)</f>
        <v>5930.4489227655513</v>
      </c>
      <c r="R10" s="1"/>
      <c r="S10" s="1"/>
      <c r="T10" s="1"/>
      <c r="U10" s="11">
        <f>SUM(U4:U9)</f>
        <v>6780.6582743669005</v>
      </c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8" t="s">
        <v>28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"/>
      <c r="N12" s="1"/>
      <c r="O12" s="1"/>
      <c r="P12" s="1"/>
      <c r="Q12" s="1"/>
      <c r="R12" s="1"/>
      <c r="S12" s="1"/>
      <c r="T12" s="1"/>
      <c r="U12" s="1"/>
      <c r="V12" s="1"/>
    </row>
    <row r="14" spans="1:22" x14ac:dyDescent="0.25">
      <c r="A14" s="1"/>
      <c r="B14" s="1" t="s">
        <v>29</v>
      </c>
      <c r="C14" s="1" t="s">
        <v>30</v>
      </c>
      <c r="D14" s="1" t="s">
        <v>1</v>
      </c>
      <c r="E14" s="1" t="s">
        <v>31</v>
      </c>
      <c r="F14" s="1" t="s">
        <v>32</v>
      </c>
      <c r="G14" s="1" t="s">
        <v>11</v>
      </c>
      <c r="H14" s="1" t="s">
        <v>33</v>
      </c>
      <c r="I14" s="1" t="s">
        <v>16</v>
      </c>
      <c r="J14" s="1" t="s">
        <v>35</v>
      </c>
      <c r="K14" s="1" t="s">
        <v>20</v>
      </c>
      <c r="L14" s="1" t="s">
        <v>34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 t="s">
        <v>36</v>
      </c>
      <c r="B15" s="1">
        <v>5</v>
      </c>
      <c r="C15" s="4">
        <f>(B15*F4*10)</f>
        <v>2031.3654999999999</v>
      </c>
      <c r="D15" s="1">
        <v>40.630000000000003</v>
      </c>
      <c r="E15" s="1"/>
      <c r="F15" s="1"/>
      <c r="G15" s="1">
        <v>0.8</v>
      </c>
      <c r="H15" s="4">
        <f>(C15*G15)</f>
        <v>1625.0924</v>
      </c>
      <c r="I15" s="1">
        <v>0.82</v>
      </c>
      <c r="J15" s="4">
        <f>(C15*I15)</f>
        <v>1665.7197099999998</v>
      </c>
      <c r="K15" s="1">
        <v>0.84</v>
      </c>
      <c r="L15" s="4">
        <f>(C15*K15)</f>
        <v>1706.3470199999999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 t="s">
        <v>37</v>
      </c>
      <c r="B16" s="1">
        <v>6</v>
      </c>
      <c r="C16" s="18"/>
      <c r="D16" s="18"/>
      <c r="E16" s="1"/>
      <c r="F16" s="1">
        <v>72</v>
      </c>
      <c r="G16" s="1">
        <v>0.77</v>
      </c>
      <c r="H16" s="4">
        <f>(B16*F16*G16)</f>
        <v>332.64</v>
      </c>
      <c r="I16" s="1">
        <v>0.83</v>
      </c>
      <c r="J16" s="1">
        <f>(B16*F16*I16)</f>
        <v>358.56</v>
      </c>
      <c r="K16" s="1">
        <v>0.87</v>
      </c>
      <c r="L16" s="1">
        <f>(B16*F16*K16)</f>
        <v>375.84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 t="s">
        <v>38</v>
      </c>
      <c r="B17" s="1">
        <v>6</v>
      </c>
      <c r="C17" s="18"/>
      <c r="D17" s="18"/>
      <c r="E17" s="1">
        <v>45</v>
      </c>
      <c r="F17" s="1"/>
      <c r="G17" s="1"/>
      <c r="H17" s="1">
        <f>(B17*E17)</f>
        <v>270</v>
      </c>
      <c r="I17" s="1"/>
      <c r="J17" s="1">
        <f>B17*E17</f>
        <v>270</v>
      </c>
      <c r="K17" s="1"/>
      <c r="L17" s="1">
        <f>B17*E17</f>
        <v>270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5" t="s">
        <v>48</v>
      </c>
      <c r="B18" s="1">
        <v>4</v>
      </c>
      <c r="C18" s="18"/>
      <c r="D18" s="18"/>
      <c r="E18" s="1"/>
      <c r="F18" s="1">
        <v>65</v>
      </c>
      <c r="G18" s="1">
        <v>0.81</v>
      </c>
      <c r="H18" s="1">
        <f>(B18*F18*G18)</f>
        <v>210.60000000000002</v>
      </c>
      <c r="I18" s="1">
        <v>0.85</v>
      </c>
      <c r="J18" s="1">
        <f>(B18*F18*I18)</f>
        <v>221</v>
      </c>
      <c r="K18" s="1">
        <v>0.89</v>
      </c>
      <c r="L18" s="1">
        <f>B18*F18*K18</f>
        <v>231.4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46</v>
      </c>
      <c r="B19" s="1">
        <v>4</v>
      </c>
      <c r="C19" s="18"/>
      <c r="D19" s="18"/>
      <c r="E19" s="1"/>
      <c r="F19" s="1">
        <v>550</v>
      </c>
      <c r="G19" s="1">
        <v>0.81</v>
      </c>
      <c r="H19" s="1">
        <f>B19*F19*G19</f>
        <v>1782.0000000000002</v>
      </c>
      <c r="I19" s="1">
        <v>0.85</v>
      </c>
      <c r="J19" s="1">
        <f>B19*F19*I19</f>
        <v>1870</v>
      </c>
      <c r="K19" s="1">
        <v>0.89</v>
      </c>
      <c r="L19" s="1">
        <f>B19*F19*K19</f>
        <v>1958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21" t="s">
        <v>111</v>
      </c>
      <c r="D20" s="21"/>
      <c r="E20" s="1"/>
      <c r="G20" s="1"/>
      <c r="H20" s="11">
        <f>SUM(H15:H16,H18:H19)</f>
        <v>3950.3324000000002</v>
      </c>
      <c r="I20" s="1"/>
      <c r="J20" s="11">
        <f>SUM(J15:J16,J18:J19)</f>
        <v>4115.2797099999998</v>
      </c>
      <c r="K20" s="1"/>
      <c r="L20" s="11">
        <f>SUM(L15:L16,L18:L19)</f>
        <v>4271.5870199999999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6"/>
      <c r="B22" s="6" t="s">
        <v>104</v>
      </c>
      <c r="C22" s="6" t="s">
        <v>3</v>
      </c>
      <c r="D22" s="6" t="s">
        <v>105</v>
      </c>
      <c r="E22" s="6" t="s">
        <v>106</v>
      </c>
      <c r="F22" s="6" t="s">
        <v>107</v>
      </c>
      <c r="G22" s="6" t="s">
        <v>108</v>
      </c>
      <c r="H22" s="6" t="s">
        <v>109</v>
      </c>
      <c r="I22" s="6" t="s">
        <v>110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6" t="s">
        <v>102</v>
      </c>
      <c r="B23" s="6">
        <v>8.077</v>
      </c>
      <c r="C23" s="6">
        <v>5.03</v>
      </c>
      <c r="D23" s="6">
        <v>3.65</v>
      </c>
      <c r="E23" s="4">
        <f>(B23*C23*D23)</f>
        <v>148.2896815</v>
      </c>
      <c r="F23" s="4">
        <f>((E23*2*1000)/3600)</f>
        <v>82.383156388888892</v>
      </c>
      <c r="G23" s="6">
        <f>(45-22)</f>
        <v>23</v>
      </c>
      <c r="H23" s="6"/>
      <c r="I23" s="11">
        <f>(1.232*F23*G23)</f>
        <v>2334.4091194355556</v>
      </c>
    </row>
    <row r="24" spans="1:22" x14ac:dyDescent="0.25">
      <c r="A24" s="6" t="s">
        <v>103</v>
      </c>
      <c r="B24" s="6">
        <v>8.077</v>
      </c>
      <c r="C24" s="6">
        <v>5.03</v>
      </c>
      <c r="D24" s="6">
        <v>3.65</v>
      </c>
      <c r="E24" s="4">
        <f>(B24*C24*D24)</f>
        <v>148.2896815</v>
      </c>
      <c r="F24" s="4">
        <f>((E24*2*1000)/3600)</f>
        <v>82.383156388888892</v>
      </c>
      <c r="G24" s="6"/>
      <c r="H24" s="6">
        <f>(0.0275-0.01)</f>
        <v>1.7500000000000002E-2</v>
      </c>
      <c r="I24" s="11">
        <f>(3012*F24*H24)</f>
        <v>4342.4161732583343</v>
      </c>
    </row>
    <row r="27" spans="1:22" x14ac:dyDescent="0.25">
      <c r="B27" s="8"/>
      <c r="C27" s="8" t="s">
        <v>114</v>
      </c>
      <c r="D27" s="8" t="s">
        <v>115</v>
      </c>
      <c r="E27" s="8" t="s">
        <v>116</v>
      </c>
    </row>
    <row r="28" spans="1:22" x14ac:dyDescent="0.25">
      <c r="B28" s="8" t="s">
        <v>113</v>
      </c>
      <c r="C28" s="12">
        <f>SUM(H20,M10,I23)</f>
        <v>11178.627575119457</v>
      </c>
      <c r="D28" s="12">
        <f>SUM(Q10,J20,I23)</f>
        <v>12380.137752201106</v>
      </c>
      <c r="E28" s="12">
        <f>SUM(U10,L20,I23)</f>
        <v>13386.654413802456</v>
      </c>
    </row>
    <row r="29" spans="1:22" x14ac:dyDescent="0.25">
      <c r="B29" s="8" t="s">
        <v>112</v>
      </c>
      <c r="C29" s="12">
        <f>SUM(H17,I24)</f>
        <v>4612.4161732583343</v>
      </c>
      <c r="D29" s="12">
        <f>SUM(J17,I24)</f>
        <v>4612.4161732583343</v>
      </c>
      <c r="E29" s="12">
        <f>SUM(I24,L17)</f>
        <v>4612.4161732583343</v>
      </c>
    </row>
  </sheetData>
  <mergeCells count="4">
    <mergeCell ref="C20:D20"/>
    <mergeCell ref="A1:U1"/>
    <mergeCell ref="A12:L12"/>
    <mergeCell ref="C16:D19"/>
  </mergeCells>
  <pageMargins left="0.7" right="0.7" top="0.75" bottom="0.75" header="0.3" footer="0.3"/>
  <ignoredErrors>
    <ignoredError sqref="H17 J17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4FEC-C7A2-4FB3-9103-AB9EECE4C13B}">
  <dimension ref="A1:V33"/>
  <sheetViews>
    <sheetView topLeftCell="B16" workbookViewId="0">
      <selection activeCell="C32" sqref="C32:E32"/>
    </sheetView>
  </sheetViews>
  <sheetFormatPr defaultRowHeight="15" x14ac:dyDescent="0.25"/>
  <cols>
    <col min="1" max="1" width="36.710937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2.140625" bestFit="1" customWidth="1"/>
    <col min="9" max="9" width="9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2" ht="27" x14ac:dyDescent="0.35">
      <c r="A1" s="19" t="s">
        <v>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  <c r="V3" s="2"/>
    </row>
    <row r="4" spans="1:22" x14ac:dyDescent="0.25">
      <c r="A4" s="2" t="s">
        <v>5</v>
      </c>
      <c r="B4" s="2">
        <v>1.0900000000000001</v>
      </c>
      <c r="C4" s="2">
        <v>4.5</v>
      </c>
      <c r="D4" s="2">
        <v>8.077</v>
      </c>
      <c r="E4" s="2"/>
      <c r="F4" s="4">
        <f>(C4*D4)</f>
        <v>36.346499999999999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1271.7276885000001</v>
      </c>
      <c r="N4" s="2">
        <v>17</v>
      </c>
      <c r="O4" s="2">
        <v>37.1</v>
      </c>
      <c r="P4" s="2"/>
      <c r="Q4" s="4">
        <f>(B4*F4*O4)</f>
        <v>1469.8161135</v>
      </c>
      <c r="R4" s="2">
        <v>22</v>
      </c>
      <c r="S4" s="2">
        <v>42.1</v>
      </c>
      <c r="T4" s="2"/>
      <c r="U4" s="4">
        <f>(B4*F4*S4)</f>
        <v>1667.9045385000002</v>
      </c>
      <c r="V4" s="2"/>
    </row>
    <row r="5" spans="1:22" x14ac:dyDescent="0.25">
      <c r="A5" s="2" t="s">
        <v>88</v>
      </c>
      <c r="B5" s="2">
        <v>0.90590000000000004</v>
      </c>
      <c r="C5" s="2">
        <v>4.5</v>
      </c>
      <c r="D5" s="2"/>
      <c r="E5" s="2">
        <v>3.65</v>
      </c>
      <c r="F5" s="4">
        <f>((C5*E5)-(1.98*1.37))</f>
        <v>13.712400000000001</v>
      </c>
      <c r="G5" s="4">
        <v>1</v>
      </c>
      <c r="H5" s="2"/>
      <c r="I5" s="2"/>
      <c r="J5" s="4">
        <f>7/1.8</f>
        <v>3.8888888888888888</v>
      </c>
      <c r="K5" s="4">
        <f>((J5+G5)+(25.5-22)+(45-29.4))</f>
        <v>23.988888888888891</v>
      </c>
      <c r="L5" s="2"/>
      <c r="M5" s="4">
        <f>(B5*F5*K5)</f>
        <v>297.99149291600003</v>
      </c>
      <c r="N5" s="4">
        <f>10/1.8</f>
        <v>5.5555555555555554</v>
      </c>
      <c r="O5" s="4">
        <f>((N5+G5)+(25.5-22)+(45-29.4))</f>
        <v>25.655555555555559</v>
      </c>
      <c r="P5" s="2"/>
      <c r="Q5" s="4">
        <f>(B5*F5*O5)</f>
        <v>318.69493151600005</v>
      </c>
      <c r="R5" s="4">
        <f>13/1.8</f>
        <v>7.2222222222222223</v>
      </c>
      <c r="S5" s="4">
        <f>((R5+G5)+(25.5-22)+(45-29.4))</f>
        <v>27.322222222222223</v>
      </c>
      <c r="T5" s="2"/>
      <c r="U5" s="4">
        <f>(B5*F5*S5)</f>
        <v>339.39837011600002</v>
      </c>
      <c r="V5" s="2"/>
    </row>
    <row r="6" spans="1:22" x14ac:dyDescent="0.25">
      <c r="A6" s="2" t="s">
        <v>12</v>
      </c>
      <c r="B6" s="2">
        <v>1.0900000000000001</v>
      </c>
      <c r="C6" s="2">
        <v>4.5</v>
      </c>
      <c r="D6" s="2">
        <v>8.077</v>
      </c>
      <c r="E6" s="2"/>
      <c r="F6" s="4">
        <f>C6*D6</f>
        <v>36.346499999999999</v>
      </c>
      <c r="G6" s="2"/>
      <c r="H6" s="2"/>
      <c r="I6" s="2"/>
      <c r="J6" s="2">
        <f>40-22</f>
        <v>18</v>
      </c>
      <c r="K6" s="2"/>
      <c r="L6" s="2"/>
      <c r="M6" s="4">
        <f>(B6*F6*J6)</f>
        <v>713.11833000000001</v>
      </c>
      <c r="N6" s="2">
        <v>18</v>
      </c>
      <c r="O6" s="2"/>
      <c r="P6" s="2"/>
      <c r="Q6" s="4">
        <f>(B6*F6*N6)</f>
        <v>713.11833000000001</v>
      </c>
      <c r="R6" s="2">
        <v>18</v>
      </c>
      <c r="S6" s="2"/>
      <c r="T6" s="2"/>
      <c r="U6" s="4">
        <f>(B6*F6*R6)</f>
        <v>713.11833000000001</v>
      </c>
      <c r="V6" s="2"/>
    </row>
    <row r="7" spans="1:22" x14ac:dyDescent="0.25">
      <c r="A7" s="2" t="s">
        <v>25</v>
      </c>
      <c r="B7" s="2">
        <v>1.349</v>
      </c>
      <c r="C7" s="2">
        <v>4.5</v>
      </c>
      <c r="D7" s="2"/>
      <c r="E7" s="2">
        <v>3.65</v>
      </c>
      <c r="F7" s="4">
        <f>((C7*E7)-(2*2.71))</f>
        <v>11.005000000000001</v>
      </c>
      <c r="G7" s="2"/>
      <c r="H7" s="2"/>
      <c r="I7" s="2"/>
      <c r="J7" s="2">
        <f>40-22</f>
        <v>18</v>
      </c>
      <c r="K7" s="2"/>
      <c r="L7" s="2"/>
      <c r="M7" s="4">
        <f>(B7*F7*J7)</f>
        <v>267.22341</v>
      </c>
      <c r="N7" s="2">
        <v>18</v>
      </c>
      <c r="O7" s="2"/>
      <c r="P7" s="2"/>
      <c r="Q7" s="4">
        <f>(B7*F7*N7)</f>
        <v>267.22341</v>
      </c>
      <c r="R7" s="2">
        <v>18</v>
      </c>
      <c r="S7" s="2"/>
      <c r="T7" s="2"/>
      <c r="U7" s="4">
        <f>(B7*F7*R7)</f>
        <v>267.22341</v>
      </c>
      <c r="V7" s="2"/>
    </row>
    <row r="8" spans="1:22" x14ac:dyDescent="0.25">
      <c r="A8" s="2" t="s">
        <v>50</v>
      </c>
      <c r="B8" s="2">
        <v>1.349</v>
      </c>
      <c r="C8" s="2">
        <v>4.5</v>
      </c>
      <c r="D8" s="2"/>
      <c r="E8" s="2">
        <v>3.65</v>
      </c>
      <c r="F8" s="4">
        <f>((C8*E8)-(2*2.71))</f>
        <v>11.005000000000001</v>
      </c>
      <c r="G8" s="2"/>
      <c r="H8" s="2"/>
      <c r="I8" s="2"/>
      <c r="J8" s="2">
        <f>40-22</f>
        <v>18</v>
      </c>
      <c r="K8" s="2"/>
      <c r="L8" s="2"/>
      <c r="M8" s="4">
        <f>(B8*F8*J8)</f>
        <v>267.22341</v>
      </c>
      <c r="N8" s="2">
        <v>18</v>
      </c>
      <c r="O8" s="2"/>
      <c r="P8" s="2"/>
      <c r="Q8" s="4">
        <f>(B8*F8*N8)</f>
        <v>267.22341</v>
      </c>
      <c r="R8" s="2">
        <v>18</v>
      </c>
      <c r="S8" s="2"/>
      <c r="T8" s="2"/>
      <c r="U8" s="4">
        <f>(B8*F8*R8)</f>
        <v>267.22341</v>
      </c>
      <c r="V8" s="2"/>
    </row>
    <row r="9" spans="1:22" x14ac:dyDescent="0.25">
      <c r="A9" s="2" t="s">
        <v>59</v>
      </c>
      <c r="B9" s="2">
        <v>0.93179999999999996</v>
      </c>
      <c r="C9" s="2"/>
      <c r="D9" s="2"/>
      <c r="E9" s="2"/>
      <c r="F9" s="4">
        <f>8.077*3.65</f>
        <v>29.48105</v>
      </c>
      <c r="G9" s="2"/>
      <c r="H9" s="2"/>
      <c r="I9" s="2"/>
      <c r="J9" s="2">
        <f>40-22</f>
        <v>18</v>
      </c>
      <c r="K9" s="2"/>
      <c r="L9" s="2"/>
      <c r="M9" s="4">
        <f>(B9*F9*J9)</f>
        <v>494.46796301999996</v>
      </c>
      <c r="N9" s="2">
        <v>18</v>
      </c>
      <c r="O9" s="2"/>
      <c r="P9" s="2"/>
      <c r="Q9" s="4">
        <f>(B9*F9*N9)</f>
        <v>494.46796301999996</v>
      </c>
      <c r="R9" s="2">
        <v>18</v>
      </c>
      <c r="S9" s="2"/>
      <c r="T9" s="2"/>
      <c r="U9" s="4">
        <v>499.8</v>
      </c>
      <c r="V9" s="2"/>
    </row>
    <row r="10" spans="1:22" x14ac:dyDescent="0.25">
      <c r="A10" s="2" t="s">
        <v>61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45*3.147</f>
        <v>141.61499999999998</v>
      </c>
      <c r="I10" s="2">
        <v>0.6</v>
      </c>
      <c r="J10" s="2">
        <v>18</v>
      </c>
      <c r="K10" s="2"/>
      <c r="L10" s="2">
        <v>0.89</v>
      </c>
      <c r="M10" s="4">
        <f>((B10*F10*J10)+(F10*I10*H10*L10))</f>
        <v>439.50198936599998</v>
      </c>
      <c r="N10" s="2">
        <v>18</v>
      </c>
      <c r="O10" s="2"/>
      <c r="P10" s="2">
        <v>0.86</v>
      </c>
      <c r="Q10" s="4">
        <f>((B10*F10*N10)+(F10*I10*H10*P10))</f>
        <v>432.58738208400001</v>
      </c>
      <c r="R10" s="2">
        <v>18</v>
      </c>
      <c r="S10" s="2"/>
      <c r="T10" s="2">
        <v>0.75</v>
      </c>
      <c r="U10" s="4">
        <f>((B10*F10*R10)+(F10*I10*H10*T10))</f>
        <v>407.23382205000001</v>
      </c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 t="s">
        <v>89</v>
      </c>
      <c r="I11" s="2"/>
      <c r="J11" s="2"/>
      <c r="K11" s="13" t="s">
        <v>111</v>
      </c>
      <c r="L11" s="16"/>
      <c r="M11" s="11">
        <f>SUM(M4:M10)</f>
        <v>3751.2542838019999</v>
      </c>
      <c r="N11" s="16"/>
      <c r="O11" s="16"/>
      <c r="P11" s="16"/>
      <c r="Q11" s="11">
        <f>SUM(Q4:Q10)</f>
        <v>3963.1315401200004</v>
      </c>
      <c r="R11" s="16"/>
      <c r="S11" s="16"/>
      <c r="T11" s="16"/>
      <c r="U11" s="11">
        <f>SUM(U4:U10)</f>
        <v>4161.9018806660006</v>
      </c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8" t="s">
        <v>90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2"/>
      <c r="B15" s="2" t="s">
        <v>29</v>
      </c>
      <c r="C15" s="2" t="s">
        <v>30</v>
      </c>
      <c r="D15" s="2" t="s">
        <v>1</v>
      </c>
      <c r="E15" s="2" t="s">
        <v>31</v>
      </c>
      <c r="F15" s="2" t="s">
        <v>32</v>
      </c>
      <c r="G15" s="2" t="s">
        <v>11</v>
      </c>
      <c r="H15" s="2" t="s">
        <v>33</v>
      </c>
      <c r="I15" s="2" t="s">
        <v>16</v>
      </c>
      <c r="J15" s="2" t="s">
        <v>35</v>
      </c>
      <c r="K15" s="2" t="s">
        <v>20</v>
      </c>
      <c r="L15" s="2" t="s">
        <v>34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 t="s">
        <v>36</v>
      </c>
      <c r="B16" s="2">
        <v>4</v>
      </c>
      <c r="C16" s="4">
        <f>(B16*F4*10)</f>
        <v>1453.86</v>
      </c>
      <c r="D16" s="4">
        <f>C4*D4</f>
        <v>36.346499999999999</v>
      </c>
      <c r="E16" s="2"/>
      <c r="F16" s="2"/>
      <c r="G16" s="2">
        <v>0.86</v>
      </c>
      <c r="H16" s="4">
        <f>(C16*G16)</f>
        <v>1250.3195999999998</v>
      </c>
      <c r="I16" s="2">
        <v>0.88</v>
      </c>
      <c r="J16" s="4">
        <f>(C16*I16)</f>
        <v>1279.3968</v>
      </c>
      <c r="K16" s="2">
        <v>0.89</v>
      </c>
      <c r="L16" s="4">
        <f>(C16*K16)</f>
        <v>1293.9353999999998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 t="s">
        <v>37</v>
      </c>
      <c r="B17" s="2">
        <v>2</v>
      </c>
      <c r="C17" s="18"/>
      <c r="D17" s="18"/>
      <c r="E17" s="2"/>
      <c r="F17" s="2">
        <v>73</v>
      </c>
      <c r="G17" s="2">
        <v>0.82</v>
      </c>
      <c r="H17" s="4">
        <f>(B17*F17*G17)</f>
        <v>119.72</v>
      </c>
      <c r="I17" s="2">
        <v>0.87</v>
      </c>
      <c r="J17" s="2">
        <f>(B17*F17*I17)</f>
        <v>127.02</v>
      </c>
      <c r="K17" s="2">
        <v>0.9</v>
      </c>
      <c r="L17" s="2">
        <f>(B17*F17*K17)</f>
        <v>131.4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 t="s">
        <v>38</v>
      </c>
      <c r="B18" s="2">
        <v>2</v>
      </c>
      <c r="C18" s="18"/>
      <c r="D18" s="18"/>
      <c r="E18" s="2">
        <v>59</v>
      </c>
      <c r="F18" s="2"/>
      <c r="G18" s="2"/>
      <c r="H18" s="2">
        <f>B18*E18</f>
        <v>118</v>
      </c>
      <c r="I18" s="2"/>
      <c r="J18" s="2">
        <f>B18*E18</f>
        <v>118</v>
      </c>
      <c r="K18" s="2"/>
      <c r="L18" s="2">
        <f>B18*E18</f>
        <v>118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5" t="s">
        <v>91</v>
      </c>
      <c r="B19" s="2">
        <v>1</v>
      </c>
      <c r="C19" s="18"/>
      <c r="D19" s="18"/>
      <c r="E19" s="2"/>
      <c r="F19" s="2">
        <v>221</v>
      </c>
      <c r="G19" s="2">
        <v>0.85</v>
      </c>
      <c r="H19" s="2">
        <f>(B19*F19*G19)</f>
        <v>187.85</v>
      </c>
      <c r="I19" s="2">
        <v>0.87</v>
      </c>
      <c r="J19" s="2">
        <f>(B19*F19*I19)</f>
        <v>192.27</v>
      </c>
      <c r="K19" s="2">
        <v>0.9</v>
      </c>
      <c r="L19" s="2">
        <f>(B19*F19*K19)</f>
        <v>198.9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 t="s">
        <v>75</v>
      </c>
      <c r="B20" s="2">
        <v>1</v>
      </c>
      <c r="C20" s="18"/>
      <c r="D20" s="18"/>
      <c r="E20" s="2"/>
      <c r="F20" s="2">
        <v>114</v>
      </c>
      <c r="G20" s="2">
        <v>0.85</v>
      </c>
      <c r="H20" s="2">
        <f t="shared" ref="H20:H24" si="0">(B20*F20*G20)</f>
        <v>96.899999999999991</v>
      </c>
      <c r="I20" s="2">
        <v>0.87</v>
      </c>
      <c r="J20" s="2">
        <f t="shared" ref="J20:J24" si="1">(B20*F20*I20)</f>
        <v>99.179999999999993</v>
      </c>
      <c r="K20" s="2">
        <v>0.9</v>
      </c>
      <c r="L20" s="2">
        <f t="shared" ref="L20:L24" si="2">(B20*F20*K20)</f>
        <v>102.60000000000001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 t="s">
        <v>92</v>
      </c>
      <c r="B21" s="2">
        <v>1</v>
      </c>
      <c r="C21" s="18"/>
      <c r="D21" s="18"/>
      <c r="E21" s="2"/>
      <c r="F21" s="2">
        <v>29</v>
      </c>
      <c r="G21" s="2">
        <v>0.23</v>
      </c>
      <c r="H21" s="2">
        <f t="shared" si="0"/>
        <v>6.67</v>
      </c>
      <c r="I21" s="2">
        <v>0.14000000000000001</v>
      </c>
      <c r="J21" s="2">
        <f t="shared" si="1"/>
        <v>4.0600000000000005</v>
      </c>
      <c r="K21" s="2">
        <v>0.1</v>
      </c>
      <c r="L21" s="2">
        <f t="shared" si="2"/>
        <v>2.9000000000000004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 t="s">
        <v>80</v>
      </c>
      <c r="B22" s="2">
        <v>1</v>
      </c>
      <c r="C22" s="18"/>
      <c r="D22" s="18"/>
      <c r="E22" s="2"/>
      <c r="F22" s="2">
        <v>50</v>
      </c>
      <c r="G22" s="2">
        <v>0.23</v>
      </c>
      <c r="H22" s="2">
        <f t="shared" si="0"/>
        <v>11.5</v>
      </c>
      <c r="I22" s="2">
        <v>0.14000000000000001</v>
      </c>
      <c r="J22" s="2">
        <f t="shared" si="1"/>
        <v>7.0000000000000009</v>
      </c>
      <c r="K22" s="2">
        <v>0.1</v>
      </c>
      <c r="L22" s="2">
        <f t="shared" si="2"/>
        <v>5</v>
      </c>
    </row>
    <row r="23" spans="1:22" x14ac:dyDescent="0.25">
      <c r="A23" s="2" t="s">
        <v>93</v>
      </c>
      <c r="B23" s="2">
        <v>1</v>
      </c>
      <c r="C23" s="18"/>
      <c r="D23" s="18"/>
      <c r="E23" s="2"/>
      <c r="F23" s="2">
        <v>20</v>
      </c>
      <c r="G23" s="2">
        <v>0.23</v>
      </c>
      <c r="H23" s="2">
        <f t="shared" si="0"/>
        <v>4.6000000000000005</v>
      </c>
      <c r="I23" s="2">
        <v>0.14000000000000001</v>
      </c>
      <c r="J23" s="2">
        <f t="shared" si="1"/>
        <v>2.8000000000000003</v>
      </c>
      <c r="K23" s="2">
        <v>0.1</v>
      </c>
      <c r="L23" s="2">
        <f t="shared" si="2"/>
        <v>2</v>
      </c>
    </row>
    <row r="24" spans="1:22" x14ac:dyDescent="0.25">
      <c r="A24" s="2" t="s">
        <v>94</v>
      </c>
      <c r="B24" s="2">
        <v>1</v>
      </c>
      <c r="C24" s="18"/>
      <c r="D24" s="18"/>
      <c r="E24" s="2"/>
      <c r="F24" s="2">
        <v>166</v>
      </c>
      <c r="G24" s="2">
        <v>0.23</v>
      </c>
      <c r="H24" s="2">
        <f t="shared" si="0"/>
        <v>38.18</v>
      </c>
      <c r="I24" s="2">
        <v>0.14000000000000001</v>
      </c>
      <c r="J24" s="2">
        <f t="shared" si="1"/>
        <v>23.240000000000002</v>
      </c>
      <c r="K24" s="2">
        <v>0.1</v>
      </c>
      <c r="L24" s="2">
        <f t="shared" si="2"/>
        <v>16.600000000000001</v>
      </c>
    </row>
    <row r="25" spans="1:22" x14ac:dyDescent="0.25">
      <c r="A25" s="2"/>
      <c r="B25" s="2"/>
      <c r="C25" s="21" t="s">
        <v>111</v>
      </c>
      <c r="D25" s="21"/>
      <c r="E25" s="16"/>
      <c r="F25" s="16"/>
      <c r="G25" s="16"/>
      <c r="H25" s="11">
        <f>SUM(H16:H17,H19:H24)</f>
        <v>1715.7395999999999</v>
      </c>
      <c r="I25" s="16"/>
      <c r="J25" s="11">
        <f>SUM(J16:J17,J19:J24)</f>
        <v>1734.9667999999999</v>
      </c>
      <c r="K25" s="16"/>
      <c r="L25" s="11">
        <f>SUM(L16:L17,L19:L24)</f>
        <v>1753.3353999999999</v>
      </c>
    </row>
    <row r="26" spans="1:2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22" x14ac:dyDescent="0.25">
      <c r="A27" s="6"/>
      <c r="B27" s="6" t="s">
        <v>104</v>
      </c>
      <c r="C27" s="6" t="s">
        <v>3</v>
      </c>
      <c r="D27" s="6" t="s">
        <v>105</v>
      </c>
      <c r="E27" s="6" t="s">
        <v>106</v>
      </c>
      <c r="F27" s="6" t="s">
        <v>107</v>
      </c>
      <c r="G27" s="6" t="s">
        <v>108</v>
      </c>
      <c r="H27" s="6" t="s">
        <v>109</v>
      </c>
      <c r="I27" s="6" t="s">
        <v>110</v>
      </c>
    </row>
    <row r="28" spans="1:22" x14ac:dyDescent="0.25">
      <c r="A28" s="6" t="s">
        <v>102</v>
      </c>
      <c r="B28" s="6">
        <v>4.5</v>
      </c>
      <c r="C28" s="6">
        <v>8.077</v>
      </c>
      <c r="D28" s="6">
        <v>3.65</v>
      </c>
      <c r="E28" s="4">
        <f>(B28*C28*D28)</f>
        <v>132.664725</v>
      </c>
      <c r="F28" s="4">
        <f>((E28*2*1000)/3600)</f>
        <v>73.702624999999998</v>
      </c>
      <c r="G28" s="6">
        <f>(45-22)</f>
        <v>23</v>
      </c>
      <c r="H28" s="6"/>
      <c r="I28" s="11">
        <f>(1.232*F28*G28)</f>
        <v>2088.437582</v>
      </c>
    </row>
    <row r="29" spans="1:22" x14ac:dyDescent="0.25">
      <c r="A29" s="6" t="s">
        <v>103</v>
      </c>
      <c r="B29" s="6">
        <v>4.5</v>
      </c>
      <c r="C29" s="6">
        <v>8.077</v>
      </c>
      <c r="D29" s="6">
        <v>3.65</v>
      </c>
      <c r="E29" s="4">
        <f>(B29*C29*D29)</f>
        <v>132.664725</v>
      </c>
      <c r="F29" s="4">
        <f>((E29*2*1000)/3600)</f>
        <v>73.702624999999998</v>
      </c>
      <c r="G29" s="6"/>
      <c r="H29" s="6">
        <f>(0.0275-0.01)</f>
        <v>1.7500000000000002E-2</v>
      </c>
      <c r="I29" s="11">
        <f>(3012*F29*H29)</f>
        <v>3884.8653637500006</v>
      </c>
    </row>
    <row r="31" spans="1:22" x14ac:dyDescent="0.25">
      <c r="B31" s="9"/>
      <c r="C31" s="9" t="s">
        <v>114</v>
      </c>
      <c r="D31" s="9" t="s">
        <v>115</v>
      </c>
      <c r="E31" s="9" t="s">
        <v>116</v>
      </c>
    </row>
    <row r="32" spans="1:22" x14ac:dyDescent="0.25">
      <c r="B32" s="9" t="s">
        <v>113</v>
      </c>
      <c r="C32" s="12">
        <f>SUM(I28,H25,M11)</f>
        <v>7555.4314658019994</v>
      </c>
      <c r="D32" s="12">
        <f>SUM(J25,I28,Q11)</f>
        <v>7786.5359221199997</v>
      </c>
      <c r="E32" s="12">
        <f>SUM(L25,I28,U11)</f>
        <v>8003.674862666001</v>
      </c>
    </row>
    <row r="33" spans="2:5" x14ac:dyDescent="0.25">
      <c r="B33" s="9" t="s">
        <v>112</v>
      </c>
      <c r="C33" s="12">
        <f>SUM(I29,H18)</f>
        <v>4002.8653637500006</v>
      </c>
      <c r="D33" s="12">
        <f>SUM(I29,J18)</f>
        <v>4002.8653637500006</v>
      </c>
      <c r="E33" s="12">
        <f>SUM(I29,L18)</f>
        <v>4002.8653637500006</v>
      </c>
    </row>
  </sheetData>
  <mergeCells count="4">
    <mergeCell ref="A1:U1"/>
    <mergeCell ref="A13:L13"/>
    <mergeCell ref="C17:D24"/>
    <mergeCell ref="C25:D25"/>
  </mergeCells>
  <pageMargins left="0.7" right="0.7" top="0.75" bottom="0.75" header="0.3" footer="0.3"/>
  <pageSetup orientation="portrait" r:id="rId1"/>
  <ignoredErrors>
    <ignoredError sqref="H18 J18 L18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7083-E1ED-4A50-BADB-869D0A232447}">
  <dimension ref="A1:V34"/>
  <sheetViews>
    <sheetView topLeftCell="C14" workbookViewId="0">
      <selection activeCell="C33" sqref="C33:E33"/>
    </sheetView>
  </sheetViews>
  <sheetFormatPr defaultRowHeight="15" x14ac:dyDescent="0.25"/>
  <cols>
    <col min="1" max="1" width="36.710937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2.140625" bestFit="1" customWidth="1"/>
    <col min="9" max="9" width="9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2" ht="27" x14ac:dyDescent="0.35">
      <c r="A1" s="19" t="s">
        <v>95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  <c r="V3" s="2"/>
    </row>
    <row r="4" spans="1:22" x14ac:dyDescent="0.25">
      <c r="A4" s="2" t="s">
        <v>5</v>
      </c>
      <c r="B4" s="2">
        <v>1.0900000000000001</v>
      </c>
      <c r="C4" s="2">
        <v>4.5</v>
      </c>
      <c r="D4" s="2">
        <v>8.077</v>
      </c>
      <c r="E4" s="2"/>
      <c r="F4" s="4">
        <f>(C4*D4)</f>
        <v>36.346499999999999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1271.7276885000001</v>
      </c>
      <c r="N4" s="2">
        <v>17</v>
      </c>
      <c r="O4" s="2">
        <v>37.1</v>
      </c>
      <c r="P4" s="2"/>
      <c r="Q4" s="4">
        <f>(B4*F4*O4)</f>
        <v>1469.8161135</v>
      </c>
      <c r="R4" s="2">
        <v>22</v>
      </c>
      <c r="S4" s="2">
        <v>42.1</v>
      </c>
      <c r="T4" s="2"/>
      <c r="U4" s="4">
        <f>(B4*F4*S4)</f>
        <v>1667.9045385000002</v>
      </c>
      <c r="V4" s="2"/>
    </row>
    <row r="5" spans="1:22" x14ac:dyDescent="0.25">
      <c r="A5" s="2" t="s">
        <v>88</v>
      </c>
      <c r="B5" s="2">
        <v>0.90590000000000004</v>
      </c>
      <c r="C5" s="2">
        <v>4.5</v>
      </c>
      <c r="D5" s="2"/>
      <c r="E5" s="2">
        <v>3.65</v>
      </c>
      <c r="F5" s="4">
        <f>((C5*E5)-(1.98*1.37))</f>
        <v>13.712400000000001</v>
      </c>
      <c r="G5" s="4">
        <v>1</v>
      </c>
      <c r="H5" s="2"/>
      <c r="I5" s="2"/>
      <c r="J5" s="4">
        <f>7/1.8</f>
        <v>3.8888888888888888</v>
      </c>
      <c r="K5" s="4">
        <f>((J5+G5)+(25.5-22)+(45-29.4))</f>
        <v>23.988888888888891</v>
      </c>
      <c r="L5" s="2"/>
      <c r="M5" s="4">
        <f>(B5*F5*K5)</f>
        <v>297.99149291600003</v>
      </c>
      <c r="N5" s="4">
        <f>10/1.8</f>
        <v>5.5555555555555554</v>
      </c>
      <c r="O5" s="4">
        <f>((N5+G5)+(25.5-22)+(45-29.4))</f>
        <v>25.655555555555559</v>
      </c>
      <c r="P5" s="2"/>
      <c r="Q5" s="4">
        <f>(B5*F5*O5)</f>
        <v>318.69493151600005</v>
      </c>
      <c r="R5" s="4">
        <f>13/1.8</f>
        <v>7.2222222222222223</v>
      </c>
      <c r="S5" s="4">
        <f>((R5+G5)+(25.5-22)+(45-29.4))</f>
        <v>27.322222222222223</v>
      </c>
      <c r="T5" s="2"/>
      <c r="U5" s="4">
        <f>(B5*F5*S5)</f>
        <v>339.39837011600002</v>
      </c>
      <c r="V5" s="2"/>
    </row>
    <row r="6" spans="1:22" x14ac:dyDescent="0.25">
      <c r="A6" s="2" t="s">
        <v>12</v>
      </c>
      <c r="B6" s="2">
        <v>1.0900000000000001</v>
      </c>
      <c r="C6" s="2">
        <v>4.5</v>
      </c>
      <c r="D6" s="2">
        <v>8.077</v>
      </c>
      <c r="E6" s="2"/>
      <c r="F6" s="4">
        <f>C6*D6</f>
        <v>36.346499999999999</v>
      </c>
      <c r="G6" s="2"/>
      <c r="H6" s="2"/>
      <c r="I6" s="2"/>
      <c r="J6" s="2">
        <f>40-22</f>
        <v>18</v>
      </c>
      <c r="K6" s="2"/>
      <c r="L6" s="2"/>
      <c r="M6" s="4">
        <f>(B6*F6*J6)</f>
        <v>713.11833000000001</v>
      </c>
      <c r="N6" s="2">
        <v>18</v>
      </c>
      <c r="O6" s="2"/>
      <c r="P6" s="2"/>
      <c r="Q6" s="4">
        <f>(B6*F6*N6)</f>
        <v>713.11833000000001</v>
      </c>
      <c r="R6" s="2">
        <v>18</v>
      </c>
      <c r="S6" s="2"/>
      <c r="T6" s="2"/>
      <c r="U6" s="4">
        <f>(B6*F6*R6)</f>
        <v>713.11833000000001</v>
      </c>
      <c r="V6" s="2"/>
    </row>
    <row r="7" spans="1:22" x14ac:dyDescent="0.25">
      <c r="A7" s="2" t="s">
        <v>25</v>
      </c>
      <c r="B7" s="2">
        <v>1.349</v>
      </c>
      <c r="C7" s="2">
        <v>4.5</v>
      </c>
      <c r="D7" s="2"/>
      <c r="E7" s="2">
        <v>3.65</v>
      </c>
      <c r="F7" s="4">
        <f>((C7*E7)-(2*2.71))</f>
        <v>11.005000000000001</v>
      </c>
      <c r="G7" s="2"/>
      <c r="H7" s="2"/>
      <c r="I7" s="2"/>
      <c r="J7" s="2">
        <f>40-22</f>
        <v>18</v>
      </c>
      <c r="K7" s="2"/>
      <c r="L7" s="2"/>
      <c r="M7" s="4">
        <f>(B7*F7*J7)</f>
        <v>267.22341</v>
      </c>
      <c r="N7" s="2">
        <v>18</v>
      </c>
      <c r="O7" s="2"/>
      <c r="P7" s="2"/>
      <c r="Q7" s="4">
        <f>(B7*F7*N7)</f>
        <v>267.22341</v>
      </c>
      <c r="R7" s="2">
        <v>18</v>
      </c>
      <c r="S7" s="2"/>
      <c r="T7" s="2"/>
      <c r="U7" s="4">
        <f>(B7*F7*R7)</f>
        <v>267.22341</v>
      </c>
      <c r="V7" s="2"/>
    </row>
    <row r="8" spans="1:22" x14ac:dyDescent="0.25">
      <c r="A8" s="2" t="s">
        <v>50</v>
      </c>
      <c r="B8" s="2">
        <v>1.349</v>
      </c>
      <c r="C8" s="2">
        <v>4.5</v>
      </c>
      <c r="D8" s="2"/>
      <c r="E8" s="2">
        <v>3.65</v>
      </c>
      <c r="F8" s="4">
        <f>((C8*E8)-(2*2.71))</f>
        <v>11.005000000000001</v>
      </c>
      <c r="G8" s="2"/>
      <c r="H8" s="2"/>
      <c r="I8" s="2"/>
      <c r="J8" s="2">
        <f>40-22</f>
        <v>18</v>
      </c>
      <c r="K8" s="2"/>
      <c r="L8" s="2"/>
      <c r="M8" s="4">
        <f>(B8*F8*J8)</f>
        <v>267.22341</v>
      </c>
      <c r="N8" s="2">
        <v>18</v>
      </c>
      <c r="O8" s="2"/>
      <c r="P8" s="2"/>
      <c r="Q8" s="4">
        <f>(B8*F8*N8)</f>
        <v>267.22341</v>
      </c>
      <c r="R8" s="2">
        <v>18</v>
      </c>
      <c r="S8" s="2"/>
      <c r="T8" s="2"/>
      <c r="U8" s="4">
        <f>(B8*F8*R8)</f>
        <v>267.22341</v>
      </c>
      <c r="V8" s="2"/>
    </row>
    <row r="9" spans="1:22" x14ac:dyDescent="0.25">
      <c r="A9" s="2" t="s">
        <v>59</v>
      </c>
      <c r="B9" s="2">
        <v>0.93179999999999996</v>
      </c>
      <c r="C9" s="2"/>
      <c r="D9" s="2"/>
      <c r="E9" s="2"/>
      <c r="F9" s="4">
        <f>8.077*3.65</f>
        <v>29.48105</v>
      </c>
      <c r="G9" s="2"/>
      <c r="H9" s="2"/>
      <c r="I9" s="2"/>
      <c r="J9" s="2">
        <f>40-22</f>
        <v>18</v>
      </c>
      <c r="K9" s="2"/>
      <c r="L9" s="2"/>
      <c r="M9" s="4">
        <f>(B9*F9*J9)</f>
        <v>494.46796301999996</v>
      </c>
      <c r="N9" s="2">
        <v>18</v>
      </c>
      <c r="O9" s="2"/>
      <c r="P9" s="2"/>
      <c r="Q9" s="4">
        <f>(B9*F9*N9)</f>
        <v>494.46796301999996</v>
      </c>
      <c r="R9" s="2">
        <v>18</v>
      </c>
      <c r="S9" s="2"/>
      <c r="T9" s="2"/>
      <c r="U9" s="4">
        <v>499.8</v>
      </c>
      <c r="V9" s="2"/>
    </row>
    <row r="10" spans="1:22" x14ac:dyDescent="0.25">
      <c r="A10" s="2" t="s">
        <v>61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45*3.147</f>
        <v>141.61499999999998</v>
      </c>
      <c r="I10" s="2">
        <v>0.6</v>
      </c>
      <c r="J10" s="2">
        <v>18</v>
      </c>
      <c r="K10" s="2"/>
      <c r="L10" s="2">
        <v>0.89</v>
      </c>
      <c r="M10" s="4">
        <f>((B10*F10*J10)+(F10*I10*H10*L10))</f>
        <v>439.50198936599998</v>
      </c>
      <c r="N10" s="2">
        <v>18</v>
      </c>
      <c r="O10" s="2"/>
      <c r="P10" s="2">
        <v>0.86</v>
      </c>
      <c r="Q10" s="4">
        <f>((B10*F10*N10)+(F10*I10*H10*P10))</f>
        <v>432.58738208400001</v>
      </c>
      <c r="R10" s="2">
        <v>18</v>
      </c>
      <c r="S10" s="2"/>
      <c r="T10" s="2">
        <v>0.75</v>
      </c>
      <c r="U10" s="4">
        <f>((B10*F10*R10)+(F10*I10*H10*T10))</f>
        <v>407.23382205000001</v>
      </c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 t="s">
        <v>89</v>
      </c>
      <c r="I11" s="2"/>
      <c r="J11" s="2"/>
      <c r="K11" s="13" t="s">
        <v>111</v>
      </c>
      <c r="L11" s="16"/>
      <c r="M11" s="11">
        <f>SUM(M4:M10)</f>
        <v>3751.2542838019999</v>
      </c>
      <c r="N11" s="16"/>
      <c r="O11" s="16"/>
      <c r="P11" s="16"/>
      <c r="Q11" s="11">
        <f>SUM(Q4:Q10)</f>
        <v>3963.1315401200004</v>
      </c>
      <c r="R11" s="16"/>
      <c r="S11" s="16"/>
      <c r="T11" s="16"/>
      <c r="U11" s="11">
        <f>SUM(U4:U10)</f>
        <v>4161.9018806660006</v>
      </c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18" t="s">
        <v>90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  <c r="V14" s="2"/>
    </row>
    <row r="16" spans="1:22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 t="s">
        <v>36</v>
      </c>
      <c r="B17" s="2">
        <v>4</v>
      </c>
      <c r="C17" s="4">
        <f>(B17*F4*10)</f>
        <v>1453.86</v>
      </c>
      <c r="D17" s="4">
        <f>C4*D4</f>
        <v>36.346499999999999</v>
      </c>
      <c r="E17" s="2"/>
      <c r="F17" s="2"/>
      <c r="G17" s="2">
        <v>0.86</v>
      </c>
      <c r="H17" s="4">
        <f>(C17*G17)</f>
        <v>1250.3195999999998</v>
      </c>
      <c r="I17" s="2">
        <v>0.88</v>
      </c>
      <c r="J17" s="4">
        <f>(C17*I17)</f>
        <v>1279.3968</v>
      </c>
      <c r="K17" s="2">
        <v>0.89</v>
      </c>
      <c r="L17" s="4">
        <f>(C17*K17)</f>
        <v>1293.9353999999998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 t="s">
        <v>37</v>
      </c>
      <c r="B18" s="2">
        <v>2</v>
      </c>
      <c r="C18" s="18"/>
      <c r="D18" s="18"/>
      <c r="E18" s="2"/>
      <c r="F18" s="2">
        <v>73</v>
      </c>
      <c r="G18" s="2">
        <v>0.82</v>
      </c>
      <c r="H18" s="4">
        <f>(B18*F18*G18)</f>
        <v>119.72</v>
      </c>
      <c r="I18" s="2">
        <v>0.87</v>
      </c>
      <c r="J18" s="2">
        <f>(B18*F18*I18)</f>
        <v>127.02</v>
      </c>
      <c r="K18" s="2">
        <v>0.9</v>
      </c>
      <c r="L18" s="2">
        <f>(B18*F18*K18)</f>
        <v>131.4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 t="s">
        <v>38</v>
      </c>
      <c r="B19" s="2">
        <v>2</v>
      </c>
      <c r="C19" s="18"/>
      <c r="D19" s="18"/>
      <c r="E19" s="2">
        <v>59</v>
      </c>
      <c r="F19" s="2"/>
      <c r="G19" s="2"/>
      <c r="H19" s="2">
        <f>B19*E19</f>
        <v>118</v>
      </c>
      <c r="I19" s="2"/>
      <c r="J19" s="2">
        <f>B19*E19</f>
        <v>118</v>
      </c>
      <c r="K19" s="2"/>
      <c r="L19" s="2">
        <f>B19*E19</f>
        <v>118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5" t="s">
        <v>91</v>
      </c>
      <c r="B20" s="2">
        <v>1</v>
      </c>
      <c r="C20" s="18"/>
      <c r="D20" s="18"/>
      <c r="E20" s="2"/>
      <c r="F20" s="2">
        <v>221</v>
      </c>
      <c r="G20" s="2">
        <v>0.85</v>
      </c>
      <c r="H20" s="2">
        <f>(B20*F20*G20)</f>
        <v>187.85</v>
      </c>
      <c r="I20" s="2">
        <v>0.87</v>
      </c>
      <c r="J20" s="2">
        <f>(B20*F20*I20)</f>
        <v>192.27</v>
      </c>
      <c r="K20" s="2">
        <v>0.9</v>
      </c>
      <c r="L20" s="2">
        <f>(B20*F20*K20)</f>
        <v>198.9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 t="s">
        <v>75</v>
      </c>
      <c r="B21" s="2">
        <v>1</v>
      </c>
      <c r="C21" s="18"/>
      <c r="D21" s="18"/>
      <c r="E21" s="2"/>
      <c r="F21" s="2">
        <v>114</v>
      </c>
      <c r="G21" s="2">
        <v>0.85</v>
      </c>
      <c r="H21" s="2">
        <f t="shared" ref="H21:H25" si="0">(B21*F21*G21)</f>
        <v>96.899999999999991</v>
      </c>
      <c r="I21" s="2">
        <v>0.87</v>
      </c>
      <c r="J21" s="2">
        <f t="shared" ref="J21:J25" si="1">(B21*F21*I21)</f>
        <v>99.179999999999993</v>
      </c>
      <c r="K21" s="2">
        <v>0.9</v>
      </c>
      <c r="L21" s="2">
        <f t="shared" ref="L21:L25" si="2">(B21*F21*K21)</f>
        <v>102.60000000000001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 t="s">
        <v>92</v>
      </c>
      <c r="B22" s="2">
        <v>1</v>
      </c>
      <c r="C22" s="18"/>
      <c r="D22" s="18"/>
      <c r="E22" s="2"/>
      <c r="F22" s="2">
        <v>29</v>
      </c>
      <c r="G22" s="2">
        <v>0.23</v>
      </c>
      <c r="H22" s="2">
        <f t="shared" si="0"/>
        <v>6.67</v>
      </c>
      <c r="I22" s="2">
        <v>0.14000000000000001</v>
      </c>
      <c r="J22" s="2">
        <f t="shared" si="1"/>
        <v>4.0600000000000005</v>
      </c>
      <c r="K22" s="2">
        <v>0.1</v>
      </c>
      <c r="L22" s="2">
        <f t="shared" si="2"/>
        <v>2.9000000000000004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0.23</v>
      </c>
      <c r="H23" s="2">
        <f t="shared" si="0"/>
        <v>11.5</v>
      </c>
      <c r="I23" s="2">
        <v>0.14000000000000001</v>
      </c>
      <c r="J23" s="2">
        <f t="shared" si="1"/>
        <v>7.0000000000000009</v>
      </c>
      <c r="K23" s="2">
        <v>0.1</v>
      </c>
      <c r="L23" s="2">
        <f t="shared" si="2"/>
        <v>5</v>
      </c>
    </row>
    <row r="24" spans="1:22" x14ac:dyDescent="0.25">
      <c r="A24" s="2" t="s">
        <v>93</v>
      </c>
      <c r="B24" s="2">
        <v>1</v>
      </c>
      <c r="C24" s="18"/>
      <c r="D24" s="18"/>
      <c r="E24" s="2"/>
      <c r="F24" s="2">
        <v>20</v>
      </c>
      <c r="G24" s="2">
        <v>0.23</v>
      </c>
      <c r="H24" s="2">
        <f t="shared" si="0"/>
        <v>4.6000000000000005</v>
      </c>
      <c r="I24" s="2">
        <v>0.14000000000000001</v>
      </c>
      <c r="J24" s="2">
        <f t="shared" si="1"/>
        <v>2.8000000000000003</v>
      </c>
      <c r="K24" s="2">
        <v>0.1</v>
      </c>
      <c r="L24" s="2">
        <f t="shared" si="2"/>
        <v>2</v>
      </c>
    </row>
    <row r="25" spans="1:22" x14ac:dyDescent="0.25">
      <c r="A25" s="2" t="s">
        <v>94</v>
      </c>
      <c r="B25" s="2">
        <v>1</v>
      </c>
      <c r="C25" s="18"/>
      <c r="D25" s="18"/>
      <c r="E25" s="2"/>
      <c r="F25" s="2">
        <v>166</v>
      </c>
      <c r="G25" s="2">
        <v>0.23</v>
      </c>
      <c r="H25" s="2">
        <f t="shared" si="0"/>
        <v>38.18</v>
      </c>
      <c r="I25" s="2">
        <v>0.14000000000000001</v>
      </c>
      <c r="J25" s="2">
        <f t="shared" si="1"/>
        <v>23.240000000000002</v>
      </c>
      <c r="K25" s="2">
        <v>0.1</v>
      </c>
      <c r="L25" s="2">
        <f t="shared" si="2"/>
        <v>16.600000000000001</v>
      </c>
    </row>
    <row r="26" spans="1:22" x14ac:dyDescent="0.25">
      <c r="A26" s="2"/>
      <c r="B26" s="2"/>
      <c r="C26" s="21" t="s">
        <v>111</v>
      </c>
      <c r="D26" s="21"/>
      <c r="E26" s="16"/>
      <c r="F26" s="16"/>
      <c r="G26" s="16"/>
      <c r="H26" s="11">
        <f>SUM(H17:H18,H20:H25)</f>
        <v>1715.7395999999999</v>
      </c>
      <c r="I26" s="16"/>
      <c r="J26" s="11">
        <f>SUM(J17:J18,J20:J25)</f>
        <v>1734.9667999999999</v>
      </c>
      <c r="K26" s="16"/>
      <c r="L26" s="11">
        <f>SUM(L17:L18,L20:L25)</f>
        <v>1753.3353999999999</v>
      </c>
    </row>
    <row r="27" spans="1:2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22" x14ac:dyDescent="0.25">
      <c r="A28" s="6"/>
      <c r="B28" s="6" t="s">
        <v>104</v>
      </c>
      <c r="C28" s="6" t="s">
        <v>3</v>
      </c>
      <c r="D28" s="6" t="s">
        <v>105</v>
      </c>
      <c r="E28" s="6" t="s">
        <v>106</v>
      </c>
      <c r="F28" s="6" t="s">
        <v>107</v>
      </c>
      <c r="G28" s="6" t="s">
        <v>108</v>
      </c>
      <c r="H28" s="6" t="s">
        <v>109</v>
      </c>
      <c r="I28" s="6" t="s">
        <v>110</v>
      </c>
    </row>
    <row r="29" spans="1:22" x14ac:dyDescent="0.25">
      <c r="A29" s="6" t="s">
        <v>102</v>
      </c>
      <c r="B29" s="6">
        <v>4.5</v>
      </c>
      <c r="C29" s="6">
        <v>8.077</v>
      </c>
      <c r="D29" s="6">
        <v>3.65</v>
      </c>
      <c r="E29" s="4">
        <f>(B29*C29*D29)</f>
        <v>132.664725</v>
      </c>
      <c r="F29" s="4">
        <f>((E29*2*1000)/3600)</f>
        <v>73.702624999999998</v>
      </c>
      <c r="G29" s="6">
        <f>(45-22)</f>
        <v>23</v>
      </c>
      <c r="H29" s="6"/>
      <c r="I29" s="11">
        <f>(1.232*F29*G29)</f>
        <v>2088.437582</v>
      </c>
    </row>
    <row r="30" spans="1:22" x14ac:dyDescent="0.25">
      <c r="A30" s="6" t="s">
        <v>103</v>
      </c>
      <c r="B30" s="6">
        <v>4.5</v>
      </c>
      <c r="C30" s="6">
        <v>8.077</v>
      </c>
      <c r="D30" s="6">
        <v>3.65</v>
      </c>
      <c r="E30" s="4">
        <f>(B30*C30*D30)</f>
        <v>132.664725</v>
      </c>
      <c r="F30" s="4">
        <f>((E30*2*1000)/3600)</f>
        <v>73.702624999999998</v>
      </c>
      <c r="G30" s="6"/>
      <c r="H30" s="6">
        <f>(0.0275-0.01)</f>
        <v>1.7500000000000002E-2</v>
      </c>
      <c r="I30" s="11">
        <f>(3012*F30*H30)</f>
        <v>3884.8653637500006</v>
      </c>
    </row>
    <row r="32" spans="1:22" x14ac:dyDescent="0.25">
      <c r="B32" s="9"/>
      <c r="C32" s="9" t="s">
        <v>114</v>
      </c>
      <c r="D32" s="9" t="s">
        <v>115</v>
      </c>
      <c r="E32" s="9" t="s">
        <v>116</v>
      </c>
    </row>
    <row r="33" spans="2:5" x14ac:dyDescent="0.25">
      <c r="B33" s="9" t="s">
        <v>113</v>
      </c>
      <c r="C33" s="12">
        <f>SUM(I29,H26,M11)</f>
        <v>7555.4314658019994</v>
      </c>
      <c r="D33" s="12">
        <f>SUM(I29,J26,Q11)</f>
        <v>7786.5359221199997</v>
      </c>
      <c r="E33" s="12">
        <f>SUM(I29,L26,U11)</f>
        <v>8003.674862666001</v>
      </c>
    </row>
    <row r="34" spans="2:5" x14ac:dyDescent="0.25">
      <c r="B34" s="9" t="s">
        <v>112</v>
      </c>
      <c r="C34" s="12">
        <f>SUM(I30,H19)</f>
        <v>4002.8653637500006</v>
      </c>
      <c r="D34" s="12">
        <f>SUM(I30,J19)</f>
        <v>4002.8653637500006</v>
      </c>
      <c r="E34" s="12">
        <f>SUM(I30,L19)</f>
        <v>4002.8653637500006</v>
      </c>
    </row>
  </sheetData>
  <mergeCells count="4">
    <mergeCell ref="A1:U1"/>
    <mergeCell ref="A14:L14"/>
    <mergeCell ref="C18:D25"/>
    <mergeCell ref="C26:D26"/>
  </mergeCells>
  <pageMargins left="0.7" right="0.7" top="0.75" bottom="0.75" header="0.3" footer="0.3"/>
  <ignoredErrors>
    <ignoredError sqref="L19 J19 H19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76BE-891D-4675-B369-95CB51E84689}">
  <dimension ref="A1:V33"/>
  <sheetViews>
    <sheetView topLeftCell="C13" workbookViewId="0">
      <selection activeCell="C32" sqref="C32:E32"/>
    </sheetView>
  </sheetViews>
  <sheetFormatPr defaultRowHeight="15" x14ac:dyDescent="0.25"/>
  <cols>
    <col min="1" max="1" width="36.710937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2.140625" bestFit="1" customWidth="1"/>
    <col min="9" max="9" width="9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2" ht="27" x14ac:dyDescent="0.35">
      <c r="A1" s="19" t="s">
        <v>96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  <c r="V3" s="2"/>
    </row>
    <row r="4" spans="1:22" x14ac:dyDescent="0.25">
      <c r="A4" s="2" t="s">
        <v>5</v>
      </c>
      <c r="B4" s="2">
        <v>1.0900000000000001</v>
      </c>
      <c r="C4" s="2">
        <v>4.5</v>
      </c>
      <c r="D4" s="2">
        <v>8.077</v>
      </c>
      <c r="E4" s="2"/>
      <c r="F4" s="4">
        <f>(C4*D4)</f>
        <v>36.346499999999999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1271.7276885000001</v>
      </c>
      <c r="N4" s="2">
        <v>17</v>
      </c>
      <c r="O4" s="2">
        <v>37.1</v>
      </c>
      <c r="P4" s="2"/>
      <c r="Q4" s="4">
        <f>(B4*F4*O4)</f>
        <v>1469.8161135</v>
      </c>
      <c r="R4" s="2">
        <v>22</v>
      </c>
      <c r="S4" s="2">
        <v>42.1</v>
      </c>
      <c r="T4" s="2"/>
      <c r="U4" s="4">
        <f>(B4*F4*S4)</f>
        <v>1667.9045385000002</v>
      </c>
      <c r="V4" s="2"/>
    </row>
    <row r="5" spans="1:22" x14ac:dyDescent="0.25">
      <c r="A5" s="2" t="s">
        <v>88</v>
      </c>
      <c r="B5" s="2">
        <v>0.90590000000000004</v>
      </c>
      <c r="C5" s="2">
        <v>4.5</v>
      </c>
      <c r="D5" s="2"/>
      <c r="E5" s="2">
        <v>3.65</v>
      </c>
      <c r="F5" s="4">
        <f>((C5*E5)-(1.98*1.37))</f>
        <v>13.712400000000001</v>
      </c>
      <c r="G5" s="4">
        <v>1</v>
      </c>
      <c r="H5" s="2"/>
      <c r="I5" s="2"/>
      <c r="J5" s="4">
        <f>7/1.8</f>
        <v>3.8888888888888888</v>
      </c>
      <c r="K5" s="4">
        <f>((J5+G5)+(25.5-22)+(45-29.4))</f>
        <v>23.988888888888891</v>
      </c>
      <c r="L5" s="2"/>
      <c r="M5" s="4">
        <f>(B5*F5*K5)</f>
        <v>297.99149291600003</v>
      </c>
      <c r="N5" s="4">
        <f>10/1.8</f>
        <v>5.5555555555555554</v>
      </c>
      <c r="O5" s="4">
        <f>((N5+G5)+(25.5-22)+(45-29.4))</f>
        <v>25.655555555555559</v>
      </c>
      <c r="P5" s="2"/>
      <c r="Q5" s="4">
        <f>(B5*F5*O5)</f>
        <v>318.69493151600005</v>
      </c>
      <c r="R5" s="4">
        <f>13/1.8</f>
        <v>7.2222222222222223</v>
      </c>
      <c r="S5" s="4">
        <f>((R5+G5)+(25.5-22)+(45-29.4))</f>
        <v>27.322222222222223</v>
      </c>
      <c r="T5" s="2"/>
      <c r="U5" s="4">
        <f>(B5*F5*S5)</f>
        <v>339.39837011600002</v>
      </c>
      <c r="V5" s="2"/>
    </row>
    <row r="6" spans="1:22" x14ac:dyDescent="0.25">
      <c r="A6" s="2" t="s">
        <v>12</v>
      </c>
      <c r="B6" s="2">
        <v>1.0900000000000001</v>
      </c>
      <c r="C6" s="2">
        <v>4.5</v>
      </c>
      <c r="D6" s="2">
        <v>8.077</v>
      </c>
      <c r="E6" s="2"/>
      <c r="F6" s="4">
        <f>C6*D6</f>
        <v>36.346499999999999</v>
      </c>
      <c r="G6" s="2"/>
      <c r="H6" s="2"/>
      <c r="I6" s="2"/>
      <c r="J6" s="2">
        <f>40-22</f>
        <v>18</v>
      </c>
      <c r="K6" s="2"/>
      <c r="L6" s="2"/>
      <c r="M6" s="4">
        <f>(B6*F6*J6)</f>
        <v>713.11833000000001</v>
      </c>
      <c r="N6" s="2">
        <v>18</v>
      </c>
      <c r="O6" s="2"/>
      <c r="P6" s="2"/>
      <c r="Q6" s="4">
        <f>(B6*F6*N6)</f>
        <v>713.11833000000001</v>
      </c>
      <c r="R6" s="2">
        <v>18</v>
      </c>
      <c r="S6" s="2"/>
      <c r="T6" s="2"/>
      <c r="U6" s="4">
        <f>(B6*F6*R6)</f>
        <v>713.11833000000001</v>
      </c>
      <c r="V6" s="2"/>
    </row>
    <row r="7" spans="1:22" x14ac:dyDescent="0.25">
      <c r="A7" s="2" t="s">
        <v>25</v>
      </c>
      <c r="B7" s="2">
        <v>1.349</v>
      </c>
      <c r="C7" s="2">
        <v>4.5</v>
      </c>
      <c r="D7" s="2"/>
      <c r="E7" s="2">
        <v>3.65</v>
      </c>
      <c r="F7" s="4">
        <f>((C7*E7)-(2*2.71))</f>
        <v>11.005000000000001</v>
      </c>
      <c r="G7" s="2"/>
      <c r="H7" s="2"/>
      <c r="I7" s="2"/>
      <c r="J7" s="2">
        <f>40-22</f>
        <v>18</v>
      </c>
      <c r="K7" s="2"/>
      <c r="L7" s="2"/>
      <c r="M7" s="4">
        <f>(B7*F7*J7)</f>
        <v>267.22341</v>
      </c>
      <c r="N7" s="2">
        <v>18</v>
      </c>
      <c r="O7" s="2"/>
      <c r="P7" s="2"/>
      <c r="Q7" s="4">
        <f>(B7*F7*N7)</f>
        <v>267.22341</v>
      </c>
      <c r="R7" s="2">
        <v>18</v>
      </c>
      <c r="S7" s="2"/>
      <c r="T7" s="2"/>
      <c r="U7" s="4">
        <f>(B7*F7*R7)</f>
        <v>267.22341</v>
      </c>
      <c r="V7" s="2"/>
    </row>
    <row r="8" spans="1:22" x14ac:dyDescent="0.25">
      <c r="A8" s="2" t="s">
        <v>50</v>
      </c>
      <c r="B8" s="2">
        <v>1.349</v>
      </c>
      <c r="C8" s="2">
        <v>4.5</v>
      </c>
      <c r="D8" s="2"/>
      <c r="E8" s="2">
        <v>3.65</v>
      </c>
      <c r="F8" s="4">
        <f>((C8*E8)-(2*2.71))</f>
        <v>11.005000000000001</v>
      </c>
      <c r="G8" s="2"/>
      <c r="H8" s="2"/>
      <c r="I8" s="2"/>
      <c r="J8" s="2">
        <f>40-22</f>
        <v>18</v>
      </c>
      <c r="K8" s="2"/>
      <c r="L8" s="2"/>
      <c r="M8" s="4">
        <f>(B8*F8*J8)</f>
        <v>267.22341</v>
      </c>
      <c r="N8" s="2">
        <v>18</v>
      </c>
      <c r="O8" s="2"/>
      <c r="P8" s="2"/>
      <c r="Q8" s="4">
        <f>(B8*F8*N8)</f>
        <v>267.22341</v>
      </c>
      <c r="R8" s="2">
        <v>18</v>
      </c>
      <c r="S8" s="2"/>
      <c r="T8" s="2"/>
      <c r="U8" s="4">
        <f>(B8*F8*R8)</f>
        <v>267.22341</v>
      </c>
      <c r="V8" s="2"/>
    </row>
    <row r="9" spans="1:22" x14ac:dyDescent="0.25">
      <c r="A9" s="2" t="s">
        <v>59</v>
      </c>
      <c r="B9" s="2">
        <v>0.93179999999999996</v>
      </c>
      <c r="C9" s="2"/>
      <c r="D9" s="2"/>
      <c r="E9" s="2"/>
      <c r="F9" s="4">
        <f>8.077*3.65</f>
        <v>29.48105</v>
      </c>
      <c r="G9" s="2"/>
      <c r="H9" s="2"/>
      <c r="I9" s="2"/>
      <c r="J9" s="2">
        <f>40-22</f>
        <v>18</v>
      </c>
      <c r="K9" s="2"/>
      <c r="L9" s="2"/>
      <c r="M9" s="4">
        <f>(B9*F9*J9)</f>
        <v>494.46796301999996</v>
      </c>
      <c r="N9" s="2">
        <v>18</v>
      </c>
      <c r="O9" s="2"/>
      <c r="P9" s="2"/>
      <c r="Q9" s="4">
        <f>(B9*F9*N9)</f>
        <v>494.46796301999996</v>
      </c>
      <c r="R9" s="2">
        <v>18</v>
      </c>
      <c r="S9" s="2"/>
      <c r="T9" s="2"/>
      <c r="U9" s="4">
        <v>499.8</v>
      </c>
      <c r="V9" s="2"/>
    </row>
    <row r="10" spans="1:22" x14ac:dyDescent="0.25">
      <c r="A10" s="2" t="s">
        <v>61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45*3.147</f>
        <v>141.61499999999998</v>
      </c>
      <c r="I10" s="2">
        <v>0.6</v>
      </c>
      <c r="J10" s="2">
        <v>18</v>
      </c>
      <c r="K10" s="2"/>
      <c r="L10" s="2">
        <v>0.89</v>
      </c>
      <c r="M10" s="4">
        <f>((B10*F10*J10)+(F10*I10*H10*L10))</f>
        <v>439.50198936599998</v>
      </c>
      <c r="N10" s="2">
        <v>18</v>
      </c>
      <c r="O10" s="2"/>
      <c r="P10" s="2">
        <v>0.86</v>
      </c>
      <c r="Q10" s="4">
        <f>((B10*F10*N10)+(F10*I10*H10*P10))</f>
        <v>432.58738208400001</v>
      </c>
      <c r="R10" s="2">
        <v>18</v>
      </c>
      <c r="S10" s="2"/>
      <c r="T10" s="2">
        <v>0.75</v>
      </c>
      <c r="U10" s="4">
        <f>((B10*F10*R10)+(F10*I10*H10*T10))</f>
        <v>407.23382205000001</v>
      </c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 t="s">
        <v>89</v>
      </c>
      <c r="I11" s="2"/>
      <c r="J11" s="13"/>
      <c r="K11" s="13" t="s">
        <v>111</v>
      </c>
      <c r="L11" s="16"/>
      <c r="M11" s="11">
        <f>SUM(M4:M10)</f>
        <v>3751.2542838019999</v>
      </c>
      <c r="N11" s="16"/>
      <c r="O11" s="16"/>
      <c r="P11" s="16"/>
      <c r="Q11" s="11">
        <f>SUM(Q4:Q10)</f>
        <v>3963.1315401200004</v>
      </c>
      <c r="R11" s="16"/>
      <c r="S11" s="16"/>
      <c r="T11" s="16"/>
      <c r="U11" s="11">
        <f>SUM(U4:U10)</f>
        <v>4161.9018806660006</v>
      </c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8" t="s">
        <v>90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2"/>
      <c r="B15" s="2" t="s">
        <v>29</v>
      </c>
      <c r="C15" s="2" t="s">
        <v>30</v>
      </c>
      <c r="D15" s="2" t="s">
        <v>1</v>
      </c>
      <c r="E15" s="2" t="s">
        <v>31</v>
      </c>
      <c r="F15" s="2" t="s">
        <v>32</v>
      </c>
      <c r="G15" s="2" t="s">
        <v>11</v>
      </c>
      <c r="H15" s="2" t="s">
        <v>33</v>
      </c>
      <c r="I15" s="2" t="s">
        <v>16</v>
      </c>
      <c r="J15" s="2" t="s">
        <v>35</v>
      </c>
      <c r="K15" s="2" t="s">
        <v>20</v>
      </c>
      <c r="L15" s="2" t="s">
        <v>34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 t="s">
        <v>36</v>
      </c>
      <c r="B16" s="2">
        <v>4</v>
      </c>
      <c r="C16" s="4">
        <f>(B16*F4*10)</f>
        <v>1453.86</v>
      </c>
      <c r="D16" s="4">
        <f>C4*D4</f>
        <v>36.346499999999999</v>
      </c>
      <c r="E16" s="2"/>
      <c r="F16" s="2"/>
      <c r="G16" s="2">
        <v>0.86</v>
      </c>
      <c r="H16" s="4">
        <f>(C16*G16)</f>
        <v>1250.3195999999998</v>
      </c>
      <c r="I16" s="2">
        <v>0.88</v>
      </c>
      <c r="J16" s="4">
        <f>(C16*I16)</f>
        <v>1279.3968</v>
      </c>
      <c r="K16" s="2">
        <v>0.89</v>
      </c>
      <c r="L16" s="4">
        <f>(C16*K16)</f>
        <v>1293.9353999999998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 t="s">
        <v>37</v>
      </c>
      <c r="B17" s="2">
        <v>4</v>
      </c>
      <c r="C17" s="18"/>
      <c r="D17" s="18"/>
      <c r="E17" s="2"/>
      <c r="F17" s="2">
        <v>73</v>
      </c>
      <c r="G17" s="2">
        <v>0.82</v>
      </c>
      <c r="H17" s="4">
        <f>(B17*F17*G17)</f>
        <v>239.44</v>
      </c>
      <c r="I17" s="2">
        <v>0.87</v>
      </c>
      <c r="J17" s="2">
        <f>(B17*F17*I17)</f>
        <v>254.04</v>
      </c>
      <c r="K17" s="2">
        <v>0.9</v>
      </c>
      <c r="L17" s="2">
        <f>(B17*F17*K17)</f>
        <v>262.8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 t="s">
        <v>38</v>
      </c>
      <c r="B18" s="2">
        <v>4</v>
      </c>
      <c r="C18" s="18"/>
      <c r="D18" s="18"/>
      <c r="E18" s="2">
        <v>59</v>
      </c>
      <c r="F18" s="2"/>
      <c r="G18" s="2"/>
      <c r="H18" s="2">
        <f>B18*E18</f>
        <v>236</v>
      </c>
      <c r="I18" s="2"/>
      <c r="J18" s="2">
        <f>B18*E18</f>
        <v>236</v>
      </c>
      <c r="K18" s="2"/>
      <c r="L18" s="2">
        <f>B18*E18</f>
        <v>236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5" t="s">
        <v>91</v>
      </c>
      <c r="B19" s="2">
        <v>1</v>
      </c>
      <c r="C19" s="18"/>
      <c r="D19" s="18"/>
      <c r="E19" s="2"/>
      <c r="F19" s="2">
        <v>221</v>
      </c>
      <c r="G19" s="2">
        <v>0.85</v>
      </c>
      <c r="H19" s="2">
        <f>(B19*F19*G19)</f>
        <v>187.85</v>
      </c>
      <c r="I19" s="2">
        <v>0.87</v>
      </c>
      <c r="J19" s="2">
        <f>(B19*F19*I19)</f>
        <v>192.27</v>
      </c>
      <c r="K19" s="2">
        <v>0.9</v>
      </c>
      <c r="L19" s="2">
        <f>(B19*F19*K19)</f>
        <v>198.9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 t="s">
        <v>75</v>
      </c>
      <c r="B20" s="2">
        <v>1</v>
      </c>
      <c r="C20" s="18"/>
      <c r="D20" s="18"/>
      <c r="E20" s="2"/>
      <c r="F20" s="2">
        <v>114</v>
      </c>
      <c r="G20" s="2">
        <v>0.85</v>
      </c>
      <c r="H20" s="2">
        <f t="shared" ref="H20:H23" si="0">(B20*F20*G20)</f>
        <v>96.899999999999991</v>
      </c>
      <c r="I20" s="2">
        <v>0.87</v>
      </c>
      <c r="J20" s="2">
        <f t="shared" ref="J20:J23" si="1">(B20*F20*I20)</f>
        <v>99.179999999999993</v>
      </c>
      <c r="K20" s="2">
        <v>0.9</v>
      </c>
      <c r="L20" s="2">
        <f t="shared" ref="L20:L23" si="2">(B20*F20*K20)</f>
        <v>102.60000000000001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 t="s">
        <v>92</v>
      </c>
      <c r="B21" s="2">
        <v>1</v>
      </c>
      <c r="C21" s="18"/>
      <c r="D21" s="18"/>
      <c r="E21" s="2"/>
      <c r="F21" s="2">
        <v>29</v>
      </c>
      <c r="G21" s="2">
        <v>0.23</v>
      </c>
      <c r="H21" s="2">
        <f t="shared" si="0"/>
        <v>6.67</v>
      </c>
      <c r="I21" s="2">
        <v>0.14000000000000001</v>
      </c>
      <c r="J21" s="2">
        <f t="shared" si="1"/>
        <v>4.0600000000000005</v>
      </c>
      <c r="K21" s="2">
        <v>0.1</v>
      </c>
      <c r="L21" s="2">
        <f t="shared" si="2"/>
        <v>2.9000000000000004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 t="s">
        <v>80</v>
      </c>
      <c r="B22" s="2">
        <v>1</v>
      </c>
      <c r="C22" s="18"/>
      <c r="D22" s="18"/>
      <c r="E22" s="2"/>
      <c r="F22" s="2">
        <v>50</v>
      </c>
      <c r="G22" s="2">
        <v>0.23</v>
      </c>
      <c r="H22" s="2">
        <f t="shared" si="0"/>
        <v>11.5</v>
      </c>
      <c r="I22" s="2">
        <v>0.14000000000000001</v>
      </c>
      <c r="J22" s="2">
        <f t="shared" si="1"/>
        <v>7.0000000000000009</v>
      </c>
      <c r="K22" s="2">
        <v>0.1</v>
      </c>
      <c r="L22" s="2">
        <f t="shared" si="2"/>
        <v>5</v>
      </c>
    </row>
    <row r="23" spans="1:22" x14ac:dyDescent="0.25">
      <c r="A23" s="2" t="s">
        <v>93</v>
      </c>
      <c r="B23" s="2">
        <v>1</v>
      </c>
      <c r="C23" s="18"/>
      <c r="D23" s="18"/>
      <c r="E23" s="2"/>
      <c r="F23" s="2">
        <v>20</v>
      </c>
      <c r="G23" s="2">
        <v>0.23</v>
      </c>
      <c r="H23" s="2">
        <f t="shared" si="0"/>
        <v>4.6000000000000005</v>
      </c>
      <c r="I23" s="2">
        <v>0.14000000000000001</v>
      </c>
      <c r="J23" s="2">
        <f t="shared" si="1"/>
        <v>2.8000000000000003</v>
      </c>
      <c r="K23" s="2">
        <v>0.1</v>
      </c>
      <c r="L23" s="2">
        <f t="shared" si="2"/>
        <v>2</v>
      </c>
    </row>
    <row r="24" spans="1:22" x14ac:dyDescent="0.25">
      <c r="A24" s="2"/>
      <c r="B24" s="2"/>
      <c r="C24" s="21" t="s">
        <v>111</v>
      </c>
      <c r="D24" s="21"/>
      <c r="E24" s="16"/>
      <c r="F24" s="16"/>
      <c r="G24" s="16"/>
      <c r="H24" s="11">
        <f>SUM(H16:H17,H19:H23)</f>
        <v>1797.2795999999998</v>
      </c>
      <c r="I24" s="16"/>
      <c r="J24" s="11">
        <f>SUM(J16:J17,J19:J23)</f>
        <v>1838.7467999999999</v>
      </c>
      <c r="K24" s="16"/>
      <c r="L24" s="11">
        <f>SUM(L16:L17,L19:L23)</f>
        <v>1868.1353999999999</v>
      </c>
    </row>
    <row r="25" spans="1:2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22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  <c r="J26" t="s">
        <v>98</v>
      </c>
    </row>
    <row r="27" spans="1:22" x14ac:dyDescent="0.25">
      <c r="A27" s="6" t="s">
        <v>102</v>
      </c>
      <c r="B27" s="6">
        <v>4.5</v>
      </c>
      <c r="C27" s="6">
        <v>8.077</v>
      </c>
      <c r="D27" s="6">
        <v>3.65</v>
      </c>
      <c r="E27" s="4">
        <f>(B27*C27*D27)</f>
        <v>132.664725</v>
      </c>
      <c r="F27" s="4">
        <f>((E27*2*1000)/3600)</f>
        <v>73.702624999999998</v>
      </c>
      <c r="G27" s="6">
        <f>(45-22)</f>
        <v>23</v>
      </c>
      <c r="H27" s="6"/>
      <c r="I27" s="11">
        <f>(1.232*F27*G27)</f>
        <v>2088.437582</v>
      </c>
    </row>
    <row r="28" spans="1:22" x14ac:dyDescent="0.25">
      <c r="A28" s="6" t="s">
        <v>103</v>
      </c>
      <c r="B28" s="6">
        <v>4.5</v>
      </c>
      <c r="C28" s="6">
        <v>8.077</v>
      </c>
      <c r="D28" s="6">
        <v>3.65</v>
      </c>
      <c r="E28" s="4">
        <f>(B28*C28*D28)</f>
        <v>132.664725</v>
      </c>
      <c r="F28" s="4">
        <f>((E28*2*1000)/3600)</f>
        <v>73.702624999999998</v>
      </c>
      <c r="G28" s="6"/>
      <c r="H28" s="6">
        <f>(0.0275-0.01)</f>
        <v>1.7500000000000002E-2</v>
      </c>
      <c r="I28" s="11">
        <f>(3012*F28*H28)</f>
        <v>3884.8653637500006</v>
      </c>
    </row>
    <row r="31" spans="1:22" x14ac:dyDescent="0.25">
      <c r="B31" s="9"/>
      <c r="C31" s="9" t="s">
        <v>114</v>
      </c>
      <c r="D31" s="9" t="s">
        <v>115</v>
      </c>
      <c r="E31" s="9" t="s">
        <v>116</v>
      </c>
    </row>
    <row r="32" spans="1:22" x14ac:dyDescent="0.25">
      <c r="B32" s="9" t="s">
        <v>113</v>
      </c>
      <c r="C32" s="12">
        <f>SUM(H24,I27,M11)</f>
        <v>7636.9714658020002</v>
      </c>
      <c r="D32" s="12">
        <f>SUM(I27,J24,Q11)</f>
        <v>7890.3159221200003</v>
      </c>
      <c r="E32" s="12">
        <f>SUM(I27,L24,U11)</f>
        <v>8118.4748626660003</v>
      </c>
    </row>
    <row r="33" spans="2:5" x14ac:dyDescent="0.25">
      <c r="B33" s="9" t="s">
        <v>112</v>
      </c>
      <c r="C33" s="12">
        <f>SUM(I28,H18)</f>
        <v>4120.8653637500011</v>
      </c>
      <c r="D33" s="12">
        <f>SUM(I28,J18)</f>
        <v>4120.8653637500011</v>
      </c>
      <c r="E33" s="12">
        <f>SUM(I28,L18)</f>
        <v>4120.8653637500011</v>
      </c>
    </row>
  </sheetData>
  <mergeCells count="4">
    <mergeCell ref="A1:U1"/>
    <mergeCell ref="A13:L13"/>
    <mergeCell ref="C17:D23"/>
    <mergeCell ref="C24:D24"/>
  </mergeCells>
  <pageMargins left="0.7" right="0.7" top="0.75" bottom="0.75" header="0.3" footer="0.3"/>
  <ignoredErrors>
    <ignoredError sqref="H18 J18 L18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8058-1D6C-468E-A1B8-11D1E260C55A}">
  <dimension ref="A1:U33"/>
  <sheetViews>
    <sheetView topLeftCell="C13" workbookViewId="0">
      <selection activeCell="F33" sqref="F33"/>
    </sheetView>
  </sheetViews>
  <sheetFormatPr defaultRowHeight="15" x14ac:dyDescent="0.25"/>
  <cols>
    <col min="1" max="1" width="36.710937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2.140625" bestFit="1" customWidth="1"/>
    <col min="10" max="10" width="22.140625" bestFit="1" customWidth="1"/>
    <col min="11" max="11" width="20.57031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4.5</v>
      </c>
      <c r="D4" s="2">
        <v>8.077</v>
      </c>
      <c r="E4" s="2"/>
      <c r="F4" s="4">
        <f>(C4*D4)</f>
        <v>36.346499999999999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1271.7276885000001</v>
      </c>
      <c r="N4" s="2">
        <v>17</v>
      </c>
      <c r="O4" s="2">
        <v>37.1</v>
      </c>
      <c r="P4" s="2"/>
      <c r="Q4" s="4">
        <f>(B4*F4*O4)</f>
        <v>1469.8161135</v>
      </c>
      <c r="R4" s="2">
        <v>22</v>
      </c>
      <c r="S4" s="2">
        <v>42.1</v>
      </c>
      <c r="T4" s="2"/>
      <c r="U4" s="4">
        <f>(B4*F4*S4)</f>
        <v>1667.9045385000002</v>
      </c>
    </row>
    <row r="5" spans="1:21" x14ac:dyDescent="0.25">
      <c r="A5" s="2" t="s">
        <v>57</v>
      </c>
      <c r="B5" s="2">
        <v>0.90590000000000004</v>
      </c>
      <c r="C5" s="2">
        <v>4.5</v>
      </c>
      <c r="D5" s="2"/>
      <c r="E5" s="2">
        <v>3.65</v>
      </c>
      <c r="F5" s="4">
        <f>(C5*E5)</f>
        <v>16.425000000000001</v>
      </c>
      <c r="G5" s="4">
        <v>0</v>
      </c>
      <c r="H5" s="2"/>
      <c r="I5" s="2"/>
      <c r="J5" s="2">
        <f>27/1.8</f>
        <v>15</v>
      </c>
      <c r="K5" s="2">
        <f>(J5+(25.5-22)+(45-29.4))</f>
        <v>34.1</v>
      </c>
      <c r="L5" s="2"/>
      <c r="M5" s="4">
        <f>(B5*F5*K5)</f>
        <v>507.38779575000007</v>
      </c>
      <c r="N5" s="4">
        <f>32/1.8</f>
        <v>17.777777777777779</v>
      </c>
      <c r="O5" s="4">
        <f>(N5+(25.5-22)+(45-29.4))</f>
        <v>36.87777777777778</v>
      </c>
      <c r="P5" s="2"/>
      <c r="Q5" s="4">
        <f>(B5*F5*O5)</f>
        <v>548.71948325000005</v>
      </c>
      <c r="R5" s="4">
        <f>33/1.8</f>
        <v>18.333333333333332</v>
      </c>
      <c r="S5" s="4">
        <f>(R5+(25.5-22)+(45-29.4))</f>
        <v>37.433333333333337</v>
      </c>
      <c r="T5" s="2"/>
      <c r="U5" s="4">
        <f>(B5*F5*S5)</f>
        <v>556.98582075000013</v>
      </c>
    </row>
    <row r="6" spans="1:21" x14ac:dyDescent="0.25">
      <c r="A6" s="2" t="s">
        <v>78</v>
      </c>
      <c r="B6" s="2">
        <v>0.90590000000000004</v>
      </c>
      <c r="C6" s="2"/>
      <c r="D6" s="2">
        <v>8.077</v>
      </c>
      <c r="E6" s="2">
        <v>3.65</v>
      </c>
      <c r="F6" s="4">
        <f>((D6*E6)-(1.98*1.37))</f>
        <v>26.768450000000001</v>
      </c>
      <c r="G6" s="4">
        <v>-6</v>
      </c>
      <c r="H6" s="2"/>
      <c r="I6" s="2"/>
      <c r="J6" s="2">
        <f>9/1.8</f>
        <v>5</v>
      </c>
      <c r="K6" s="4">
        <f>((J6+G6)+(25.5-22)+(45-29.4))</f>
        <v>18.100000000000001</v>
      </c>
      <c r="L6" s="2"/>
      <c r="M6" s="4">
        <f>(B6*F6*K6)</f>
        <v>438.91665327550004</v>
      </c>
      <c r="N6" s="4">
        <f>16/1.8</f>
        <v>8.8888888888888893</v>
      </c>
      <c r="O6" s="4">
        <f>((N6+G6)+(25.5-22)+(45-29.4))</f>
        <v>21.988888888888891</v>
      </c>
      <c r="P6" s="2"/>
      <c r="Q6" s="4">
        <f>(B6*F6*O6)</f>
        <v>533.22041548938898</v>
      </c>
      <c r="R6" s="4">
        <f>24/1.8</f>
        <v>13.333333333333332</v>
      </c>
      <c r="S6" s="4">
        <f>((R6+G6)+(25.5-22)+(45-29.4))</f>
        <v>26.433333333333334</v>
      </c>
      <c r="T6" s="2"/>
      <c r="U6" s="4">
        <f>(B6*F6*S6)</f>
        <v>640.99614373383338</v>
      </c>
    </row>
    <row r="7" spans="1:21" x14ac:dyDescent="0.25">
      <c r="A7" s="2" t="s">
        <v>12</v>
      </c>
      <c r="B7" s="2">
        <v>1.0900000000000001</v>
      </c>
      <c r="C7" s="2">
        <v>4.5</v>
      </c>
      <c r="D7" s="2">
        <v>8.077</v>
      </c>
      <c r="E7" s="2"/>
      <c r="F7" s="4">
        <f>C7*D7</f>
        <v>36.346499999999999</v>
      </c>
      <c r="G7" s="2"/>
      <c r="H7" s="2"/>
      <c r="I7" s="2"/>
      <c r="J7" s="2">
        <f>40-22</f>
        <v>18</v>
      </c>
      <c r="K7" s="2"/>
      <c r="L7" s="2"/>
      <c r="M7" s="4">
        <f>(B7*F7*J7)</f>
        <v>713.11833000000001</v>
      </c>
      <c r="N7" s="2">
        <v>18</v>
      </c>
      <c r="O7" s="2"/>
      <c r="P7" s="2"/>
      <c r="Q7" s="4">
        <f>(B7*F7*N7)</f>
        <v>713.11833000000001</v>
      </c>
      <c r="R7" s="2">
        <v>18</v>
      </c>
      <c r="S7" s="2"/>
      <c r="T7" s="2"/>
      <c r="U7" s="4">
        <f>(B7*F7*R7)</f>
        <v>713.11833000000001</v>
      </c>
    </row>
    <row r="8" spans="1:21" x14ac:dyDescent="0.25">
      <c r="A8" s="2" t="s">
        <v>50</v>
      </c>
      <c r="B8" s="2">
        <v>1.349</v>
      </c>
      <c r="C8" s="2">
        <v>4.5</v>
      </c>
      <c r="D8" s="2"/>
      <c r="E8" s="2">
        <v>3.65</v>
      </c>
      <c r="F8" s="4">
        <f>((C8*E8)-(2*2.71))</f>
        <v>11.005000000000001</v>
      </c>
      <c r="G8" s="2"/>
      <c r="H8" s="2"/>
      <c r="I8" s="2"/>
      <c r="J8" s="2">
        <f>40-22</f>
        <v>18</v>
      </c>
      <c r="K8" s="2"/>
      <c r="L8" s="2"/>
      <c r="M8" s="4">
        <f>(B8*F8*J8)</f>
        <v>267.22341</v>
      </c>
      <c r="N8" s="2">
        <v>18</v>
      </c>
      <c r="O8" s="2"/>
      <c r="P8" s="2"/>
      <c r="Q8" s="4">
        <f>(B8*F8*N8)</f>
        <v>267.22341</v>
      </c>
      <c r="R8" s="2">
        <v>18</v>
      </c>
      <c r="S8" s="2"/>
      <c r="T8" s="2"/>
      <c r="U8" s="4">
        <f>(B8*F8*R8)</f>
        <v>267.22341</v>
      </c>
    </row>
    <row r="9" spans="1:21" x14ac:dyDescent="0.25">
      <c r="A9" s="2" t="s">
        <v>59</v>
      </c>
      <c r="B9" s="2">
        <v>0.93179999999999996</v>
      </c>
      <c r="C9" s="2"/>
      <c r="D9" s="2"/>
      <c r="E9" s="2"/>
      <c r="F9" s="4">
        <f>8.077*3.65</f>
        <v>29.48105</v>
      </c>
      <c r="G9" s="2"/>
      <c r="H9" s="2"/>
      <c r="I9" s="2"/>
      <c r="J9" s="2">
        <f>40-22</f>
        <v>18</v>
      </c>
      <c r="K9" s="2"/>
      <c r="L9" s="2"/>
      <c r="M9" s="4">
        <f>(B9*F9*J9)</f>
        <v>494.46796301999996</v>
      </c>
      <c r="N9" s="2">
        <v>18</v>
      </c>
      <c r="O9" s="2"/>
      <c r="P9" s="2"/>
      <c r="Q9" s="4">
        <f>(B9*F9*N9)</f>
        <v>494.46796301999996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45*3.147</f>
        <v>141.61499999999998</v>
      </c>
      <c r="I10" s="2">
        <v>0.6</v>
      </c>
      <c r="J10" s="2">
        <v>18</v>
      </c>
      <c r="K10" s="2"/>
      <c r="L10" s="2">
        <v>0.89</v>
      </c>
      <c r="M10" s="4">
        <f>((B10*F10*J10)+(F10*I10*H10*L10))</f>
        <v>439.50198936599998</v>
      </c>
      <c r="N10" s="2">
        <v>18</v>
      </c>
      <c r="O10" s="2"/>
      <c r="P10" s="2">
        <v>0.86</v>
      </c>
      <c r="Q10" s="4">
        <f>((B10*F10*N10)+(F10*I10*H10*P10))</f>
        <v>432.58738208400001</v>
      </c>
      <c r="R10" s="2">
        <v>18</v>
      </c>
      <c r="S10" s="2"/>
      <c r="T10" s="2">
        <v>0.75</v>
      </c>
      <c r="U10" s="4">
        <f>((B10*F10*R10)+(F10*I10*H10*T10))</f>
        <v>407.23382205000001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3" t="s">
        <v>111</v>
      </c>
      <c r="L11" s="16"/>
      <c r="M11" s="11">
        <f>SUM(M4:M10)</f>
        <v>4132.3438299114996</v>
      </c>
      <c r="N11" s="16"/>
      <c r="O11" s="16"/>
      <c r="P11" s="16"/>
      <c r="Q11" s="11">
        <f>SUM(Q4:Q10)</f>
        <v>4459.1530973433892</v>
      </c>
      <c r="R11" s="16"/>
      <c r="S11" s="16"/>
      <c r="T11" s="16"/>
      <c r="U11" s="11">
        <f>SUM(U4:U10)</f>
        <v>4753.2620650338331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"/>
      <c r="N14" s="2"/>
      <c r="O14" s="2"/>
      <c r="P14" s="2"/>
      <c r="Q14" s="2"/>
      <c r="R14" s="2"/>
      <c r="S14" s="2"/>
      <c r="T14" s="2"/>
      <c r="U14" s="2"/>
    </row>
    <row r="16" spans="1:21" x14ac:dyDescent="0.25">
      <c r="A16" s="2"/>
      <c r="B16" s="2" t="s">
        <v>29</v>
      </c>
      <c r="C16" s="2" t="s">
        <v>30</v>
      </c>
      <c r="D16" s="2" t="s">
        <v>1</v>
      </c>
      <c r="E16" s="2" t="s">
        <v>31</v>
      </c>
      <c r="F16" s="2" t="s">
        <v>32</v>
      </c>
      <c r="G16" s="2" t="s">
        <v>11</v>
      </c>
      <c r="H16" s="2" t="s">
        <v>33</v>
      </c>
      <c r="I16" s="2" t="s">
        <v>16</v>
      </c>
      <c r="J16" s="2" t="s">
        <v>35</v>
      </c>
      <c r="K16" s="2" t="s">
        <v>20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36</v>
      </c>
      <c r="B17" s="2">
        <v>4</v>
      </c>
      <c r="C17" s="4">
        <f>(B17*F4*10)</f>
        <v>1453.86</v>
      </c>
      <c r="D17" s="4">
        <f>C4*D4</f>
        <v>36.346499999999999</v>
      </c>
      <c r="E17" s="2"/>
      <c r="F17" s="2"/>
      <c r="G17" s="2">
        <v>0.8</v>
      </c>
      <c r="H17" s="4">
        <f>(C17*G17)</f>
        <v>1163.088</v>
      </c>
      <c r="I17" s="2">
        <v>0.82</v>
      </c>
      <c r="J17" s="4">
        <f>(C17*I17)</f>
        <v>1192.1651999999999</v>
      </c>
      <c r="K17" s="2">
        <v>0.84</v>
      </c>
      <c r="L17" s="4">
        <f>(C17*K17)</f>
        <v>1221.2423999999999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37</v>
      </c>
      <c r="B18" s="2">
        <v>3</v>
      </c>
      <c r="C18" s="18"/>
      <c r="D18" s="18"/>
      <c r="E18" s="2"/>
      <c r="F18" s="2">
        <v>73</v>
      </c>
      <c r="G18" s="2">
        <v>0.77</v>
      </c>
      <c r="H18" s="4">
        <f>(B18*F18*G18)</f>
        <v>168.63</v>
      </c>
      <c r="I18" s="2">
        <v>0.83</v>
      </c>
      <c r="J18" s="2">
        <f>(B18*F18*I18)</f>
        <v>181.76999999999998</v>
      </c>
      <c r="K18" s="2">
        <v>0.87</v>
      </c>
      <c r="L18" s="2">
        <f>(B18*F18*K18)</f>
        <v>190.53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38</v>
      </c>
      <c r="B19" s="2">
        <v>3</v>
      </c>
      <c r="C19" s="18"/>
      <c r="D19" s="18"/>
      <c r="E19" s="2">
        <v>59</v>
      </c>
      <c r="F19" s="2"/>
      <c r="G19" s="2"/>
      <c r="H19" s="2">
        <f>B19*E19</f>
        <v>177</v>
      </c>
      <c r="I19" s="2"/>
      <c r="J19" s="2">
        <f>B19*E19</f>
        <v>177</v>
      </c>
      <c r="K19" s="2"/>
      <c r="L19" s="2">
        <f>B19*E19</f>
        <v>177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 t="s">
        <v>81</v>
      </c>
      <c r="B20" s="2">
        <v>1</v>
      </c>
      <c r="C20" s="18"/>
      <c r="D20" s="18"/>
      <c r="E20" s="2"/>
      <c r="F20" s="2">
        <v>65</v>
      </c>
      <c r="G20" s="2">
        <v>0.81</v>
      </c>
      <c r="H20" s="2">
        <f>(B20*F20*G20)</f>
        <v>52.650000000000006</v>
      </c>
      <c r="I20" s="2">
        <v>0.85</v>
      </c>
      <c r="J20" s="2">
        <f>(B20*F20*I20)</f>
        <v>55.25</v>
      </c>
      <c r="K20" s="2">
        <v>0.89</v>
      </c>
      <c r="L20" s="2">
        <f>(B20*F20*K20)</f>
        <v>57.85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46</v>
      </c>
      <c r="B21" s="2">
        <v>1</v>
      </c>
      <c r="C21" s="18"/>
      <c r="D21" s="18"/>
      <c r="E21" s="2"/>
      <c r="F21" s="2">
        <v>550</v>
      </c>
      <c r="G21" s="2">
        <v>0.81</v>
      </c>
      <c r="H21" s="2">
        <f t="shared" ref="H21:H23" si="0">(B21*F21*G21)</f>
        <v>445.50000000000006</v>
      </c>
      <c r="I21" s="2">
        <v>0.85</v>
      </c>
      <c r="J21" s="2">
        <f t="shared" ref="J21:J23" si="1">(B21*F21*I21)</f>
        <v>467.5</v>
      </c>
      <c r="K21" s="2">
        <v>0.89</v>
      </c>
      <c r="L21" s="2">
        <f t="shared" ref="L21:L23" si="2">(B21*F21*K21)</f>
        <v>489.5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74</v>
      </c>
      <c r="B22" s="2">
        <v>1</v>
      </c>
      <c r="C22" s="18"/>
      <c r="D22" s="18"/>
      <c r="E22" s="2"/>
      <c r="F22" s="2">
        <v>29</v>
      </c>
      <c r="G22" s="2">
        <v>0.81</v>
      </c>
      <c r="H22" s="2">
        <f t="shared" si="0"/>
        <v>23.490000000000002</v>
      </c>
      <c r="I22" s="2">
        <v>0.85</v>
      </c>
      <c r="J22" s="2">
        <f t="shared" si="1"/>
        <v>24.65</v>
      </c>
      <c r="K22" s="2">
        <v>0.89</v>
      </c>
      <c r="L22" s="2">
        <f t="shared" si="2"/>
        <v>25.81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80</v>
      </c>
      <c r="B23" s="2">
        <v>1</v>
      </c>
      <c r="C23" s="18"/>
      <c r="D23" s="18"/>
      <c r="E23" s="2"/>
      <c r="F23" s="2">
        <v>50</v>
      </c>
      <c r="G23" s="2">
        <v>0.81</v>
      </c>
      <c r="H23" s="2">
        <f t="shared" si="0"/>
        <v>40.5</v>
      </c>
      <c r="I23" s="2">
        <v>0.85</v>
      </c>
      <c r="J23" s="2">
        <f t="shared" si="1"/>
        <v>42.5</v>
      </c>
      <c r="K23" s="2">
        <v>0.89</v>
      </c>
      <c r="L23" s="2">
        <f t="shared" si="2"/>
        <v>44.5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C24" s="21" t="s">
        <v>111</v>
      </c>
      <c r="D24" s="21"/>
      <c r="E24" s="16"/>
      <c r="F24" s="16"/>
      <c r="G24" s="16"/>
      <c r="H24" s="11">
        <f>SUM(H17:H18,H20:H23)</f>
        <v>1893.8579999999999</v>
      </c>
      <c r="I24" s="16"/>
      <c r="J24" s="11">
        <f>SUM(J17:J18,J20:J23)</f>
        <v>1963.8352</v>
      </c>
      <c r="K24" s="16"/>
      <c r="L24" s="11">
        <f>SUM(L17:L18,L20:L23)</f>
        <v>2029.4323999999997</v>
      </c>
    </row>
    <row r="27" spans="1:21" x14ac:dyDescent="0.25">
      <c r="A27" s="6"/>
      <c r="B27" s="6" t="s">
        <v>104</v>
      </c>
      <c r="C27" s="6" t="s">
        <v>3</v>
      </c>
      <c r="D27" s="6" t="s">
        <v>105</v>
      </c>
      <c r="E27" s="6" t="s">
        <v>106</v>
      </c>
      <c r="F27" s="6" t="s">
        <v>107</v>
      </c>
      <c r="G27" s="6" t="s">
        <v>108</v>
      </c>
      <c r="H27" s="6" t="s">
        <v>109</v>
      </c>
      <c r="I27" s="6" t="s">
        <v>110</v>
      </c>
    </row>
    <row r="28" spans="1:21" x14ac:dyDescent="0.25">
      <c r="A28" s="6" t="s">
        <v>102</v>
      </c>
      <c r="B28" s="6">
        <v>4.5</v>
      </c>
      <c r="C28" s="6">
        <v>8.077</v>
      </c>
      <c r="D28" s="6">
        <v>3.65</v>
      </c>
      <c r="E28" s="4">
        <f>(B28*C28*D28)</f>
        <v>132.664725</v>
      </c>
      <c r="F28" s="4">
        <f>((E28*2*1000)/3600)</f>
        <v>73.702624999999998</v>
      </c>
      <c r="G28" s="6">
        <f>(45-22)</f>
        <v>23</v>
      </c>
      <c r="H28" s="6"/>
      <c r="I28" s="11">
        <f>(1.232*F28*G28)</f>
        <v>2088.437582</v>
      </c>
    </row>
    <row r="29" spans="1:21" x14ac:dyDescent="0.25">
      <c r="A29" s="6" t="s">
        <v>103</v>
      </c>
      <c r="B29" s="6">
        <v>4.5</v>
      </c>
      <c r="C29" s="6">
        <v>8.077</v>
      </c>
      <c r="D29" s="6">
        <v>3.65</v>
      </c>
      <c r="E29" s="4">
        <f>(B29*C29*D29)</f>
        <v>132.664725</v>
      </c>
      <c r="F29" s="4">
        <f>((E29*2*1000)/3600)</f>
        <v>73.702624999999998</v>
      </c>
      <c r="G29" s="6"/>
      <c r="H29" s="6">
        <f>(0.0275-0.01)</f>
        <v>1.7500000000000002E-2</v>
      </c>
      <c r="I29" s="11">
        <f>(3012*F29*H29)</f>
        <v>3884.8653637500006</v>
      </c>
    </row>
    <row r="31" spans="1:21" x14ac:dyDescent="0.25">
      <c r="B31" s="9"/>
      <c r="C31" s="9" t="s">
        <v>114</v>
      </c>
      <c r="D31" s="9" t="s">
        <v>115</v>
      </c>
      <c r="E31" s="9" t="s">
        <v>116</v>
      </c>
    </row>
    <row r="32" spans="1:21" x14ac:dyDescent="0.25">
      <c r="B32" s="9" t="s">
        <v>113</v>
      </c>
      <c r="C32" s="12">
        <f>SUM(H24,I28,M11)</f>
        <v>8114.6394119114993</v>
      </c>
      <c r="D32" s="12">
        <f>SUM(I28,J24,Q11)</f>
        <v>8511.4258793433892</v>
      </c>
      <c r="E32" s="12">
        <f>SUM(I28,L24,U11)</f>
        <v>8871.1320470338324</v>
      </c>
    </row>
    <row r="33" spans="2:5" x14ac:dyDescent="0.25">
      <c r="B33" s="9" t="s">
        <v>112</v>
      </c>
      <c r="C33" s="12">
        <f>SUM(I29,H19)</f>
        <v>4061.8653637500006</v>
      </c>
      <c r="D33" s="12">
        <f>SUM(I29,J19)</f>
        <v>4061.8653637500006</v>
      </c>
      <c r="E33" s="12">
        <f>SUM(I29,L19)</f>
        <v>4061.8653637500006</v>
      </c>
    </row>
  </sheetData>
  <mergeCells count="4">
    <mergeCell ref="A1:U1"/>
    <mergeCell ref="A14:L14"/>
    <mergeCell ref="C18:D23"/>
    <mergeCell ref="C24:D24"/>
  </mergeCells>
  <pageMargins left="0.7" right="0.7" top="0.75" bottom="0.75" header="0.3" footer="0.3"/>
  <ignoredErrors>
    <ignoredError sqref="H19 J19 L19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A196-AF9A-4FA1-8E68-850CF2536A73}">
  <dimension ref="A1:U29"/>
  <sheetViews>
    <sheetView tabSelected="1" topLeftCell="B10" workbookViewId="0">
      <selection activeCell="C28" sqref="C28:E28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2" t="s">
        <v>5</v>
      </c>
      <c r="B4" s="2">
        <v>1.0900000000000001</v>
      </c>
      <c r="C4" s="2">
        <v>5.45</v>
      </c>
      <c r="D4" s="2">
        <v>4.2699999999999996</v>
      </c>
      <c r="E4" s="2"/>
      <c r="F4" s="4">
        <f>(C4*D4)</f>
        <v>23.2715</v>
      </c>
      <c r="G4" s="4">
        <v>1</v>
      </c>
      <c r="H4" s="2"/>
      <c r="I4" s="2"/>
      <c r="J4" s="2">
        <v>12</v>
      </c>
      <c r="K4" s="2">
        <v>32.1</v>
      </c>
      <c r="L4" s="2"/>
      <c r="M4" s="4">
        <f>(B4*F4*K4)</f>
        <v>814.24651349999999</v>
      </c>
      <c r="N4" s="2">
        <v>17</v>
      </c>
      <c r="O4" s="2">
        <v>37.1</v>
      </c>
      <c r="P4" s="2"/>
      <c r="Q4" s="4">
        <f>(B4*F4*O4)</f>
        <v>941.07618850000006</v>
      </c>
      <c r="R4" s="2">
        <v>22</v>
      </c>
      <c r="S4" s="2">
        <v>42.1</v>
      </c>
      <c r="T4" s="2"/>
      <c r="U4" s="4">
        <f>(B4*F4*S4)</f>
        <v>1067.9058635000001</v>
      </c>
    </row>
    <row r="5" spans="1:21" x14ac:dyDescent="0.25">
      <c r="A5" s="2" t="s">
        <v>78</v>
      </c>
      <c r="B5" s="2">
        <v>0.90590000000000004</v>
      </c>
      <c r="C5" s="2"/>
      <c r="D5" s="2">
        <v>4.2699999999999996</v>
      </c>
      <c r="E5" s="2">
        <v>3.65</v>
      </c>
      <c r="F5" s="4">
        <f>((D5*E5)-(1.98*1.37))</f>
        <v>12.872899999999998</v>
      </c>
      <c r="G5" s="4">
        <v>-6</v>
      </c>
      <c r="H5" s="2"/>
      <c r="I5" s="2"/>
      <c r="J5" s="2">
        <f>9/1.8</f>
        <v>5</v>
      </c>
      <c r="K5" s="4">
        <f>((J5+G5)+(25.5-22)+(45-29.4))</f>
        <v>18.100000000000001</v>
      </c>
      <c r="L5" s="2"/>
      <c r="M5" s="4">
        <f>(B5*F5*K5)</f>
        <v>211.07423799099999</v>
      </c>
      <c r="N5" s="4">
        <f>16/1.8</f>
        <v>8.8888888888888893</v>
      </c>
      <c r="O5" s="4">
        <f>((N5+G5)+(25.5-22)+(45-29.4))</f>
        <v>21.988888888888891</v>
      </c>
      <c r="P5" s="2"/>
      <c r="Q5" s="4">
        <f>(B5*F5*O5)</f>
        <v>256.42474952988886</v>
      </c>
      <c r="R5" s="4">
        <f>24/1.8</f>
        <v>13.333333333333332</v>
      </c>
      <c r="S5" s="4">
        <f>((R5+G5)+(25.5-22)+(45-29.4))</f>
        <v>26.433333333333334</v>
      </c>
      <c r="T5" s="2"/>
      <c r="U5" s="4">
        <f>(B5*F5*S5)</f>
        <v>308.25390557433326</v>
      </c>
    </row>
    <row r="6" spans="1:21" x14ac:dyDescent="0.25">
      <c r="A6" s="2" t="s">
        <v>12</v>
      </c>
      <c r="B6" s="2">
        <v>1.0900000000000001</v>
      </c>
      <c r="C6" s="2">
        <v>5.45</v>
      </c>
      <c r="D6" s="2">
        <v>6.02</v>
      </c>
      <c r="E6" s="2"/>
      <c r="F6" s="4">
        <f>C6*D6</f>
        <v>32.808999999999997</v>
      </c>
      <c r="G6" s="2"/>
      <c r="H6" s="2"/>
      <c r="I6" s="2"/>
      <c r="J6" s="2">
        <f>40-22</f>
        <v>18</v>
      </c>
      <c r="K6" s="2"/>
      <c r="L6" s="2"/>
      <c r="M6" s="4">
        <f>(B6*F6*J6)</f>
        <v>643.71257999999989</v>
      </c>
      <c r="N6" s="2">
        <v>18</v>
      </c>
      <c r="O6" s="2"/>
      <c r="P6" s="2"/>
      <c r="Q6" s="4">
        <f>(B6*F6*N6)</f>
        <v>643.71257999999989</v>
      </c>
      <c r="R6" s="2">
        <v>18</v>
      </c>
      <c r="S6" s="2"/>
      <c r="T6" s="2"/>
      <c r="U6" s="4">
        <f>(B6*F6*R6)</f>
        <v>643.71257999999989</v>
      </c>
    </row>
    <row r="7" spans="1:21" x14ac:dyDescent="0.25">
      <c r="A7" s="2" t="s">
        <v>25</v>
      </c>
      <c r="B7" s="2">
        <v>1.349</v>
      </c>
      <c r="C7" s="2">
        <v>5.45</v>
      </c>
      <c r="D7" s="2"/>
      <c r="E7" s="2">
        <v>3.65</v>
      </c>
      <c r="F7" s="4">
        <f>((C7*E7)-(2*2.71))</f>
        <v>14.472500000000002</v>
      </c>
      <c r="G7" s="2"/>
      <c r="H7" s="2"/>
      <c r="I7" s="2"/>
      <c r="J7" s="2">
        <f>40-22</f>
        <v>18</v>
      </c>
      <c r="K7" s="2"/>
      <c r="L7" s="2"/>
      <c r="M7" s="4">
        <f>(B7*F7*J7)</f>
        <v>351.42124500000006</v>
      </c>
      <c r="N7" s="2">
        <v>18</v>
      </c>
      <c r="O7" s="2"/>
      <c r="P7" s="2"/>
      <c r="Q7" s="4">
        <f>(B7*F7*N7)</f>
        <v>351.42124500000006</v>
      </c>
      <c r="R7" s="2">
        <v>18</v>
      </c>
      <c r="S7" s="2"/>
      <c r="T7" s="2"/>
      <c r="U7" s="4">
        <f>(B7*F7*R7)</f>
        <v>351.42124500000006</v>
      </c>
    </row>
    <row r="8" spans="1:21" x14ac:dyDescent="0.25">
      <c r="A8" s="2" t="s">
        <v>50</v>
      </c>
      <c r="B8" s="2">
        <v>1.349</v>
      </c>
      <c r="C8" s="2">
        <v>5.45</v>
      </c>
      <c r="D8" s="2"/>
      <c r="E8" s="2">
        <v>3.65</v>
      </c>
      <c r="F8" s="4">
        <f>((C8*E8)-(2*2.71))</f>
        <v>14.472500000000002</v>
      </c>
      <c r="G8" s="2"/>
      <c r="H8" s="2"/>
      <c r="I8" s="2"/>
      <c r="J8" s="2">
        <f>40-22</f>
        <v>18</v>
      </c>
      <c r="K8" s="2"/>
      <c r="L8" s="2"/>
      <c r="M8" s="4">
        <f>(B8*F8*J8)</f>
        <v>351.42124500000006</v>
      </c>
      <c r="N8" s="2">
        <v>18</v>
      </c>
      <c r="O8" s="2"/>
      <c r="P8" s="2"/>
      <c r="Q8" s="4">
        <f>(B8*F8*N8)</f>
        <v>351.42124500000006</v>
      </c>
      <c r="R8" s="2">
        <v>18</v>
      </c>
      <c r="S8" s="2"/>
      <c r="T8" s="2"/>
      <c r="U8" s="4">
        <f>(B8*F8*R8)</f>
        <v>351.42124500000006</v>
      </c>
    </row>
    <row r="9" spans="1:21" x14ac:dyDescent="0.25">
      <c r="A9" s="2" t="s">
        <v>26</v>
      </c>
      <c r="B9" s="2">
        <v>1.4899</v>
      </c>
      <c r="C9" s="2"/>
      <c r="D9" s="2"/>
      <c r="E9" s="2"/>
      <c r="F9" s="4">
        <f>((6.02*3.65)+(3.962))</f>
        <v>25.934999999999999</v>
      </c>
      <c r="G9" s="2"/>
      <c r="H9" s="2"/>
      <c r="I9" s="2"/>
      <c r="J9" s="2">
        <f>40-22</f>
        <v>18</v>
      </c>
      <c r="K9" s="2"/>
      <c r="L9" s="2"/>
      <c r="M9" s="4">
        <f>(B9*F9*J9)</f>
        <v>695.53001699999993</v>
      </c>
      <c r="N9" s="2">
        <v>18</v>
      </c>
      <c r="O9" s="2"/>
      <c r="P9" s="2"/>
      <c r="Q9" s="4">
        <f>(B9*F9*N9)</f>
        <v>695.53001699999993</v>
      </c>
      <c r="R9" s="2">
        <v>18</v>
      </c>
      <c r="S9" s="2"/>
      <c r="T9" s="2"/>
      <c r="U9" s="4">
        <v>499.8</v>
      </c>
    </row>
    <row r="10" spans="1:21" x14ac:dyDescent="0.25">
      <c r="A10" s="2" t="s">
        <v>67</v>
      </c>
      <c r="B10" s="2">
        <v>4.8</v>
      </c>
      <c r="C10" s="2">
        <v>1.37</v>
      </c>
      <c r="D10" s="2">
        <v>1.98</v>
      </c>
      <c r="E10" s="2"/>
      <c r="F10" s="4">
        <f>C10*D10</f>
        <v>2.7126000000000001</v>
      </c>
      <c r="G10" s="2"/>
      <c r="H10" s="2">
        <f>46*3.147</f>
        <v>144.762</v>
      </c>
      <c r="I10" s="2">
        <v>0.6</v>
      </c>
      <c r="J10" s="2">
        <v>18</v>
      </c>
      <c r="K10" s="2"/>
      <c r="L10" s="2">
        <v>0.83</v>
      </c>
      <c r="M10" s="4">
        <f>((B10*F10*J10)+(F10*I10*H10*L10))</f>
        <v>429.92397779760006</v>
      </c>
      <c r="N10" s="2">
        <v>18</v>
      </c>
      <c r="O10" s="2"/>
      <c r="P10" s="2">
        <v>0.68</v>
      </c>
      <c r="Q10" s="4">
        <f>((B10*F10*N10)+(F10*I10*H10*P10))</f>
        <v>394.58265168960008</v>
      </c>
      <c r="R10" s="2">
        <v>18</v>
      </c>
      <c r="S10" s="2"/>
      <c r="T10" s="2">
        <v>0.35</v>
      </c>
      <c r="U10" s="4">
        <f>((B10*F10*R10)+(F10*I10*H10*T10))</f>
        <v>316.83173425200005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3" t="s">
        <v>111</v>
      </c>
      <c r="L11" s="16"/>
      <c r="M11" s="11">
        <f>SUM(M4:M10)</f>
        <v>3497.3298162885999</v>
      </c>
      <c r="N11" s="16"/>
      <c r="O11" s="16"/>
      <c r="P11" s="16"/>
      <c r="Q11" s="11">
        <f>SUM(Q4:Q10)</f>
        <v>3634.1686767194888</v>
      </c>
      <c r="R11" s="16"/>
      <c r="S11" s="16"/>
      <c r="T11" s="16"/>
      <c r="U11" s="11">
        <f>SUM(U4:U10)</f>
        <v>3539.3465733263333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8" t="s">
        <v>45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"/>
      <c r="N13" s="2"/>
      <c r="O13" s="2"/>
      <c r="P13" s="2"/>
      <c r="Q13" s="2"/>
      <c r="R13" s="2"/>
      <c r="S13" s="2"/>
      <c r="T13" s="2"/>
      <c r="U13" s="2"/>
    </row>
    <row r="15" spans="1:21" x14ac:dyDescent="0.25">
      <c r="A15" s="2"/>
      <c r="B15" s="2" t="s">
        <v>29</v>
      </c>
      <c r="C15" s="2" t="s">
        <v>30</v>
      </c>
      <c r="D15" s="2" t="s">
        <v>1</v>
      </c>
      <c r="E15" s="2" t="s">
        <v>31</v>
      </c>
      <c r="F15" s="2" t="s">
        <v>32</v>
      </c>
      <c r="G15" s="2" t="s">
        <v>11</v>
      </c>
      <c r="H15" s="2" t="s">
        <v>33</v>
      </c>
      <c r="I15" s="2" t="s">
        <v>16</v>
      </c>
      <c r="J15" s="2" t="s">
        <v>35</v>
      </c>
      <c r="K15" s="2" t="s">
        <v>20</v>
      </c>
      <c r="L15" s="2" t="s">
        <v>34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36</v>
      </c>
      <c r="B16" s="2">
        <v>4</v>
      </c>
      <c r="C16" s="4">
        <f>(B16*F4*10)</f>
        <v>930.86</v>
      </c>
      <c r="D16" s="4">
        <f>C4*D4</f>
        <v>23.2715</v>
      </c>
      <c r="E16" s="2"/>
      <c r="F16" s="2"/>
      <c r="G16" s="2">
        <v>0.8</v>
      </c>
      <c r="H16" s="4">
        <f>(C16*G16)</f>
        <v>744.6880000000001</v>
      </c>
      <c r="I16" s="2">
        <v>0.82</v>
      </c>
      <c r="J16" s="4">
        <f>(C16*I16)</f>
        <v>763.30520000000001</v>
      </c>
      <c r="K16" s="2">
        <v>0.84</v>
      </c>
      <c r="L16" s="4">
        <f>(C16*K16)</f>
        <v>781.92240000000004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37</v>
      </c>
      <c r="B17" s="2">
        <v>1</v>
      </c>
      <c r="C17" s="18"/>
      <c r="D17" s="18"/>
      <c r="E17" s="2"/>
      <c r="F17" s="2">
        <v>73</v>
      </c>
      <c r="G17" s="2">
        <v>0.77</v>
      </c>
      <c r="H17" s="4">
        <f>(B17*F17*G17)</f>
        <v>56.21</v>
      </c>
      <c r="I17" s="2">
        <v>0.83</v>
      </c>
      <c r="J17" s="2">
        <f>(B17*F17*I17)</f>
        <v>60.589999999999996</v>
      </c>
      <c r="K17" s="2">
        <v>0.87</v>
      </c>
      <c r="L17" s="2">
        <f>(B17*F17*K17)</f>
        <v>63.51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38</v>
      </c>
      <c r="B18" s="2">
        <v>1</v>
      </c>
      <c r="C18" s="18"/>
      <c r="D18" s="18"/>
      <c r="E18" s="2">
        <v>59</v>
      </c>
      <c r="F18" s="2"/>
      <c r="G18" s="2"/>
      <c r="H18" s="2">
        <f>B18*E18</f>
        <v>59</v>
      </c>
      <c r="I18" s="2"/>
      <c r="J18" s="2">
        <f>B18*E18</f>
        <v>59</v>
      </c>
      <c r="K18" s="2"/>
      <c r="L18" s="2">
        <f>B18*E18</f>
        <v>59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5" t="s">
        <v>81</v>
      </c>
      <c r="B19" s="2">
        <v>1</v>
      </c>
      <c r="C19" s="18"/>
      <c r="D19" s="18"/>
      <c r="E19" s="2"/>
      <c r="F19" s="2">
        <v>65</v>
      </c>
      <c r="G19" s="2">
        <v>0.81</v>
      </c>
      <c r="H19" s="2">
        <f>(B19*F19*G19)</f>
        <v>52.650000000000006</v>
      </c>
      <c r="I19" s="2">
        <v>0.85</v>
      </c>
      <c r="J19" s="2">
        <f>(B19*F19*I19)</f>
        <v>55.25</v>
      </c>
      <c r="K19" s="2">
        <v>0.89</v>
      </c>
      <c r="L19" s="2">
        <f>(B19*F19*K19)</f>
        <v>57.85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46</v>
      </c>
      <c r="B20" s="2">
        <v>1</v>
      </c>
      <c r="C20" s="18"/>
      <c r="D20" s="18"/>
      <c r="E20" s="2"/>
      <c r="F20" s="2">
        <v>550</v>
      </c>
      <c r="G20" s="2">
        <v>0.81</v>
      </c>
      <c r="H20" s="2">
        <f t="shared" ref="H20" si="0">(B20*F20*G20)</f>
        <v>445.50000000000006</v>
      </c>
      <c r="I20" s="2">
        <v>0.85</v>
      </c>
      <c r="J20" s="2">
        <f t="shared" ref="J20" si="1">(B20*F20*I20)</f>
        <v>467.5</v>
      </c>
      <c r="K20" s="2">
        <v>0.89</v>
      </c>
      <c r="L20" s="2">
        <f t="shared" ref="L20" si="2">(B20*F20*K20)</f>
        <v>489.5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1" t="s">
        <v>111</v>
      </c>
      <c r="D21" s="21"/>
      <c r="E21" s="16"/>
      <c r="F21" s="16"/>
      <c r="G21" s="16"/>
      <c r="H21" s="11">
        <f>SUM(H16:H17,H19:H20)</f>
        <v>1299.0480000000002</v>
      </c>
      <c r="I21" s="16"/>
      <c r="J21" s="11">
        <f>SUM(J16:J17,J19:J20)</f>
        <v>1346.6451999999999</v>
      </c>
      <c r="K21" s="16"/>
      <c r="L21" s="11">
        <f>SUM(L16:L17,L19:L20)</f>
        <v>1392.7824000000001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6"/>
      <c r="B23" s="6" t="s">
        <v>104</v>
      </c>
      <c r="C23" s="6" t="s">
        <v>3</v>
      </c>
      <c r="D23" s="6" t="s">
        <v>105</v>
      </c>
      <c r="E23" s="6" t="s">
        <v>106</v>
      </c>
      <c r="F23" s="6" t="s">
        <v>107</v>
      </c>
      <c r="G23" s="6" t="s">
        <v>108</v>
      </c>
      <c r="H23" s="6" t="s">
        <v>109</v>
      </c>
      <c r="I23" s="6" t="s">
        <v>110</v>
      </c>
    </row>
    <row r="24" spans="1:21" x14ac:dyDescent="0.25">
      <c r="A24" s="6" t="s">
        <v>102</v>
      </c>
      <c r="B24" s="6">
        <v>5.45</v>
      </c>
      <c r="C24" s="6">
        <v>4.2699999999999996</v>
      </c>
      <c r="D24" s="6">
        <v>3.65</v>
      </c>
      <c r="E24" s="4">
        <f>(B24*C24*D24)</f>
        <v>84.940974999999995</v>
      </c>
      <c r="F24" s="4">
        <f>((E24*2*1000)/3600)</f>
        <v>47.189430555555553</v>
      </c>
      <c r="G24" s="6">
        <f>(45-22)</f>
        <v>23</v>
      </c>
      <c r="H24" s="6"/>
      <c r="I24" s="11">
        <f>(1.232*F24*G24)</f>
        <v>1337.1597042222222</v>
      </c>
    </row>
    <row r="25" spans="1:21" x14ac:dyDescent="0.25">
      <c r="A25" s="6" t="s">
        <v>103</v>
      </c>
      <c r="B25" s="6">
        <v>5.45</v>
      </c>
      <c r="C25" s="6">
        <v>4.2699999999999996</v>
      </c>
      <c r="D25" s="6">
        <v>3.65</v>
      </c>
      <c r="E25" s="4">
        <f>(B25*C25*D25)</f>
        <v>84.940974999999995</v>
      </c>
      <c r="F25" s="4">
        <f>((E25*2*1000)/3600)</f>
        <v>47.189430555555553</v>
      </c>
      <c r="G25" s="6"/>
      <c r="H25" s="6">
        <f>(0.0275-0.01)</f>
        <v>1.7500000000000002E-2</v>
      </c>
      <c r="I25" s="11">
        <f>(3012*F25*H25)</f>
        <v>2487.3548845833338</v>
      </c>
    </row>
    <row r="27" spans="1:21" x14ac:dyDescent="0.25">
      <c r="B27" s="9"/>
      <c r="C27" s="9" t="s">
        <v>114</v>
      </c>
      <c r="D27" s="9" t="s">
        <v>115</v>
      </c>
      <c r="E27" s="9" t="s">
        <v>116</v>
      </c>
    </row>
    <row r="28" spans="1:21" x14ac:dyDescent="0.25">
      <c r="B28" s="9" t="s">
        <v>113</v>
      </c>
      <c r="C28" s="12">
        <f>SUM(I24,H21,M11)</f>
        <v>6133.537520510823</v>
      </c>
      <c r="D28" s="12">
        <f>SUM(I24,J21,Q11)</f>
        <v>6317.9735809417107</v>
      </c>
      <c r="E28" s="12">
        <f>SUM(I24,L21,U11)</f>
        <v>6269.2886775485549</v>
      </c>
    </row>
    <row r="29" spans="1:21" x14ac:dyDescent="0.25">
      <c r="B29" s="9" t="s">
        <v>112</v>
      </c>
      <c r="C29" s="12">
        <f>SUM(I25,H18)</f>
        <v>2546.3548845833338</v>
      </c>
      <c r="D29" s="12">
        <f>SUM(I25,J18)</f>
        <v>2546.3548845833338</v>
      </c>
      <c r="E29" s="12">
        <f>SUM(I25,L18)</f>
        <v>2546.3548845833338</v>
      </c>
    </row>
  </sheetData>
  <mergeCells count="4">
    <mergeCell ref="A1:U1"/>
    <mergeCell ref="A13:L13"/>
    <mergeCell ref="C17:D20"/>
    <mergeCell ref="C21:D21"/>
  </mergeCells>
  <pageMargins left="0.7" right="0.7" top="0.75" bottom="0.75" header="0.3" footer="0.3"/>
  <ignoredErrors>
    <ignoredError sqref="H18 J18 L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A5E1-4222-4947-AE47-15C0BAE4369E}">
  <dimension ref="A1:V32"/>
  <sheetViews>
    <sheetView topLeftCell="B19" workbookViewId="0">
      <selection activeCell="C31" sqref="C31:E31"/>
    </sheetView>
  </sheetViews>
  <sheetFormatPr defaultRowHeight="15" x14ac:dyDescent="0.25"/>
  <cols>
    <col min="1" max="1" width="49.28515625" bestFit="1" customWidth="1"/>
    <col min="2" max="2" width="51" bestFit="1" customWidth="1"/>
    <col min="3" max="3" width="10.7109375" bestFit="1" customWidth="1"/>
    <col min="4" max="4" width="8.5703125" bestFit="1" customWidth="1"/>
    <col min="5" max="5" width="9.7109375" bestFit="1" customWidth="1"/>
    <col min="6" max="6" width="20.140625" bestFit="1" customWidth="1"/>
    <col min="7" max="7" width="9.42578125" bestFit="1" customWidth="1"/>
    <col min="8" max="8" width="25.8554687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2" ht="27" x14ac:dyDescent="0.35">
      <c r="A1" s="19" t="s">
        <v>49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  <c r="V3" s="1"/>
    </row>
    <row r="4" spans="1:22" x14ac:dyDescent="0.25">
      <c r="A4" s="1" t="s">
        <v>5</v>
      </c>
      <c r="B4" s="1">
        <v>1.0900000000000001</v>
      </c>
      <c r="C4" s="1">
        <v>8.077</v>
      </c>
      <c r="D4" s="1">
        <v>5.03</v>
      </c>
      <c r="E4" s="1"/>
      <c r="F4" s="4">
        <f>(C4*D4)</f>
        <v>40.627310000000001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1421.5089495900004</v>
      </c>
      <c r="N4" s="1">
        <v>17</v>
      </c>
      <c r="O4" s="1">
        <v>37.1</v>
      </c>
      <c r="P4" s="1"/>
      <c r="Q4" s="4">
        <f>(B4*F4*O4)</f>
        <v>1642.9277890900003</v>
      </c>
      <c r="R4" s="1">
        <v>22</v>
      </c>
      <c r="S4" s="1">
        <v>42.1</v>
      </c>
      <c r="T4" s="1"/>
      <c r="U4" s="4">
        <f>(B4*F4*S4)</f>
        <v>1864.3466285900004</v>
      </c>
      <c r="V4" s="1"/>
    </row>
    <row r="5" spans="1:22" x14ac:dyDescent="0.25">
      <c r="A5" s="1" t="s">
        <v>12</v>
      </c>
      <c r="B5" s="1">
        <v>1.0900000000000001</v>
      </c>
      <c r="C5" s="1">
        <v>8.077</v>
      </c>
      <c r="D5" s="1">
        <v>5.03</v>
      </c>
      <c r="E5" s="1"/>
      <c r="F5" s="1">
        <v>40.630000000000003</v>
      </c>
      <c r="G5" s="1"/>
      <c r="H5" s="1"/>
      <c r="I5" s="1"/>
      <c r="J5" s="1">
        <f>40-22</f>
        <v>18</v>
      </c>
      <c r="K5" s="1"/>
      <c r="L5" s="1"/>
      <c r="M5" s="4">
        <f>(B5*F5*J5)</f>
        <v>797.16060000000004</v>
      </c>
      <c r="N5" s="1">
        <v>18</v>
      </c>
      <c r="O5" s="1"/>
      <c r="P5" s="1"/>
      <c r="Q5" s="4">
        <f>(B5*F5*N5)</f>
        <v>797.16060000000004</v>
      </c>
      <c r="R5" s="1">
        <v>18</v>
      </c>
      <c r="S5" s="1"/>
      <c r="T5" s="1"/>
      <c r="U5" s="4">
        <f>(B5*F5*R5)</f>
        <v>797.16060000000004</v>
      </c>
      <c r="V5" s="1"/>
    </row>
    <row r="6" spans="1:22" x14ac:dyDescent="0.25">
      <c r="A6" s="1" t="s">
        <v>50</v>
      </c>
      <c r="B6" s="1">
        <v>1.349</v>
      </c>
      <c r="C6" s="1">
        <v>8.077</v>
      </c>
      <c r="D6" s="1"/>
      <c r="E6" s="1">
        <v>3.65</v>
      </c>
      <c r="F6" s="4">
        <f>((C6*E6)-(2*2.71))</f>
        <v>24.061050000000002</v>
      </c>
      <c r="G6" s="1"/>
      <c r="H6" s="1"/>
      <c r="I6" s="1"/>
      <c r="J6" s="1">
        <f>40-22</f>
        <v>18</v>
      </c>
      <c r="K6" s="1"/>
      <c r="L6" s="1"/>
      <c r="M6" s="4">
        <f>(B6*F6*J6)</f>
        <v>584.25041610000005</v>
      </c>
      <c r="N6" s="1">
        <v>18</v>
      </c>
      <c r="O6" s="1"/>
      <c r="P6" s="1"/>
      <c r="Q6" s="4">
        <f>(B6*F6*N6)</f>
        <v>584.25041610000005</v>
      </c>
      <c r="R6" s="1">
        <v>18</v>
      </c>
      <c r="S6" s="1"/>
      <c r="T6" s="1"/>
      <c r="U6" s="4">
        <f>(B6*F6*R6)</f>
        <v>584.25041610000005</v>
      </c>
      <c r="V6" s="1"/>
    </row>
    <row r="7" spans="1:22" x14ac:dyDescent="0.25">
      <c r="A7" s="1" t="s">
        <v>51</v>
      </c>
      <c r="B7" s="1">
        <v>1.5124</v>
      </c>
      <c r="C7" s="1"/>
      <c r="D7" s="1"/>
      <c r="E7" s="1"/>
      <c r="F7" s="4">
        <f>((8.077*3.65)+(3.962))</f>
        <v>33.443049999999999</v>
      </c>
      <c r="G7" s="1"/>
      <c r="H7" s="1"/>
      <c r="I7" s="1"/>
      <c r="J7" s="1">
        <f>40-22</f>
        <v>18</v>
      </c>
      <c r="K7" s="1"/>
      <c r="L7" s="1"/>
      <c r="M7" s="4">
        <f>(B7*F7*J7)</f>
        <v>910.4268387599999</v>
      </c>
      <c r="N7" s="1">
        <v>18</v>
      </c>
      <c r="O7" s="1"/>
      <c r="P7" s="1"/>
      <c r="Q7" s="4">
        <f>(B7*F7*N7)</f>
        <v>910.4268387599999</v>
      </c>
      <c r="R7" s="1">
        <v>18</v>
      </c>
      <c r="S7" s="1"/>
      <c r="T7" s="1"/>
      <c r="U7" s="4">
        <v>499.8</v>
      </c>
      <c r="V7" s="1"/>
    </row>
    <row r="8" spans="1:22" x14ac:dyDescent="0.25">
      <c r="A8" s="1" t="s">
        <v>54</v>
      </c>
      <c r="B8" s="1">
        <v>1.349</v>
      </c>
      <c r="C8" s="1"/>
      <c r="D8" s="1">
        <v>5.03</v>
      </c>
      <c r="E8" s="1">
        <v>3.65</v>
      </c>
      <c r="F8" s="4">
        <f>(D8*E8)</f>
        <v>18.359500000000001</v>
      </c>
      <c r="G8" s="1"/>
      <c r="H8" s="1"/>
      <c r="I8" s="1"/>
      <c r="J8" s="1">
        <f>40-22</f>
        <v>18</v>
      </c>
      <c r="K8" s="1"/>
      <c r="L8" s="1"/>
      <c r="M8" s="4">
        <f>(B8*F8*J8)</f>
        <v>445.80537900000002</v>
      </c>
      <c r="N8" s="1">
        <v>18</v>
      </c>
      <c r="O8" s="1"/>
      <c r="P8" s="1"/>
      <c r="Q8" s="4">
        <f>(B8*F8*N8)</f>
        <v>445.80537900000002</v>
      </c>
      <c r="R8" s="1">
        <v>18</v>
      </c>
      <c r="S8" s="1"/>
      <c r="T8" s="1"/>
      <c r="U8" s="4">
        <f>(B8*F8*R8)</f>
        <v>445.80537900000002</v>
      </c>
      <c r="V8" s="1"/>
    </row>
    <row r="9" spans="1:22" x14ac:dyDescent="0.25">
      <c r="A9" s="1" t="s">
        <v>60</v>
      </c>
      <c r="B9" s="1">
        <v>1.349</v>
      </c>
      <c r="C9" s="1"/>
      <c r="D9" s="1">
        <v>5.03</v>
      </c>
      <c r="E9" s="1">
        <v>3.65</v>
      </c>
      <c r="F9" s="4">
        <f>(D9*E9)</f>
        <v>18.359500000000001</v>
      </c>
      <c r="G9" s="1"/>
      <c r="H9" s="1"/>
      <c r="I9" s="1"/>
      <c r="J9" s="1">
        <f>40-22</f>
        <v>18</v>
      </c>
      <c r="K9" s="1"/>
      <c r="L9" s="1"/>
      <c r="M9" s="4">
        <f>(B9*F9*J9)</f>
        <v>445.80537900000002</v>
      </c>
      <c r="N9" s="1">
        <v>18</v>
      </c>
      <c r="O9" s="1"/>
      <c r="P9" s="1"/>
      <c r="Q9" s="4">
        <f>(B9*F9*N9)</f>
        <v>445.80537900000002</v>
      </c>
      <c r="R9" s="1">
        <v>18</v>
      </c>
      <c r="S9" s="1"/>
      <c r="T9" s="1"/>
      <c r="U9" s="4">
        <f>(B9*F9*R9)</f>
        <v>445.80537900000002</v>
      </c>
      <c r="V9" s="1"/>
    </row>
    <row r="10" spans="1:22" x14ac:dyDescent="0.25">
      <c r="A10" s="1" t="s">
        <v>27</v>
      </c>
      <c r="B10" s="1">
        <v>4.8</v>
      </c>
      <c r="C10" s="1">
        <v>1.37</v>
      </c>
      <c r="D10" s="1">
        <v>1.98</v>
      </c>
      <c r="E10" s="1"/>
      <c r="F10" s="4">
        <f>C10*D10</f>
        <v>2.7126000000000001</v>
      </c>
      <c r="G10" s="1"/>
      <c r="H10" s="4">
        <f>213*3.147</f>
        <v>670.31099999999992</v>
      </c>
      <c r="I10" s="1">
        <v>0.6</v>
      </c>
      <c r="J10" s="1">
        <v>18</v>
      </c>
      <c r="K10" s="1"/>
      <c r="L10" s="1">
        <v>0.17</v>
      </c>
      <c r="M10" s="4">
        <f>2*((B10*F10*J10)+(F10*I10*H10*L10))</f>
        <v>839.66754619440007</v>
      </c>
      <c r="N10" s="1">
        <v>18</v>
      </c>
      <c r="O10" s="1"/>
      <c r="P10" s="1">
        <v>0.53</v>
      </c>
      <c r="Q10" s="4">
        <f>2*((B10*F10*N10)+(F10*I10*H10*P10))</f>
        <v>1625.1669334296</v>
      </c>
      <c r="R10" s="1">
        <v>18</v>
      </c>
      <c r="S10" s="1"/>
      <c r="T10" s="1">
        <v>0.82</v>
      </c>
      <c r="U10" s="4">
        <f>2*((B10*F10*R10)+(F10*I10*H10*T10))</f>
        <v>2257.9303287023999</v>
      </c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0" t="s">
        <v>111</v>
      </c>
      <c r="L11" s="1"/>
      <c r="M11" s="11">
        <f>SUM(M4:M10)</f>
        <v>5444.6251086444008</v>
      </c>
      <c r="N11" s="1"/>
      <c r="O11" s="1"/>
      <c r="P11" s="1"/>
      <c r="Q11" s="11">
        <f>SUM(Q4:Q10)</f>
        <v>6451.5433353796016</v>
      </c>
      <c r="R11" s="1"/>
      <c r="S11" s="1"/>
      <c r="T11" s="1"/>
      <c r="U11" s="11">
        <f>SUM(U4:U10)</f>
        <v>6895.0987313924015</v>
      </c>
      <c r="V11" s="1"/>
    </row>
    <row r="12" spans="1:22" x14ac:dyDescent="0.25">
      <c r="A12" s="1"/>
      <c r="B12" s="1"/>
      <c r="C12" s="1"/>
      <c r="D12" s="4">
        <f>SUM(D7:D8,D10:D11)</f>
        <v>7.01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8" t="s">
        <v>28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"/>
      <c r="N13" s="1"/>
      <c r="O13" s="1"/>
      <c r="P13" s="1"/>
      <c r="Q13" s="1"/>
      <c r="R13" s="1"/>
      <c r="S13" s="1"/>
      <c r="T13" s="1"/>
      <c r="U13" s="1"/>
      <c r="V13" s="1"/>
    </row>
    <row r="15" spans="1:22" x14ac:dyDescent="0.25">
      <c r="A15" s="1"/>
      <c r="B15" s="1" t="s">
        <v>29</v>
      </c>
      <c r="C15" s="1" t="s">
        <v>30</v>
      </c>
      <c r="D15" s="1" t="s">
        <v>1</v>
      </c>
      <c r="E15" s="1" t="s">
        <v>31</v>
      </c>
      <c r="F15" s="1" t="s">
        <v>32</v>
      </c>
      <c r="G15" s="1" t="s">
        <v>11</v>
      </c>
      <c r="H15" s="1" t="s">
        <v>33</v>
      </c>
      <c r="I15" s="1" t="s">
        <v>16</v>
      </c>
      <c r="J15" s="1" t="s">
        <v>35</v>
      </c>
      <c r="K15" s="1" t="s">
        <v>20</v>
      </c>
      <c r="L15" s="1" t="s">
        <v>34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 t="s">
        <v>36</v>
      </c>
      <c r="B16" s="1">
        <v>8</v>
      </c>
      <c r="C16" s="4">
        <f>(B16*F4*10)</f>
        <v>3250.1848</v>
      </c>
      <c r="D16" s="1">
        <v>40.630000000000003</v>
      </c>
      <c r="E16" s="1"/>
      <c r="F16" s="1"/>
      <c r="G16" s="1">
        <v>0.8</v>
      </c>
      <c r="H16" s="4">
        <f>(C16*G16)</f>
        <v>2600.1478400000001</v>
      </c>
      <c r="I16" s="1">
        <v>0.82</v>
      </c>
      <c r="J16" s="4">
        <f>(C16*I16)</f>
        <v>2665.1515359999999</v>
      </c>
      <c r="K16" s="1">
        <v>0.84</v>
      </c>
      <c r="L16" s="4">
        <f>(C16*K16)</f>
        <v>2730.1552320000001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 t="s">
        <v>37</v>
      </c>
      <c r="B17" s="1">
        <v>10</v>
      </c>
      <c r="C17" s="14"/>
      <c r="D17" s="14"/>
      <c r="E17" s="1"/>
      <c r="F17" s="1">
        <v>72</v>
      </c>
      <c r="G17" s="1">
        <v>0.77</v>
      </c>
      <c r="H17" s="4">
        <f>(B17*F17*G17)</f>
        <v>554.4</v>
      </c>
      <c r="I17" s="1">
        <v>0.83</v>
      </c>
      <c r="J17" s="1">
        <f>(B17*F17*I17)</f>
        <v>597.6</v>
      </c>
      <c r="K17" s="1">
        <v>0.87</v>
      </c>
      <c r="L17" s="1">
        <f>(B17*F17*K17)</f>
        <v>626.4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 t="s">
        <v>38</v>
      </c>
      <c r="B18" s="1">
        <v>10</v>
      </c>
      <c r="C18" s="14"/>
      <c r="D18" s="14"/>
      <c r="E18" s="1">
        <v>45</v>
      </c>
      <c r="F18" s="1"/>
      <c r="G18" s="1"/>
      <c r="H18" s="1">
        <f>(B18*E18)</f>
        <v>450</v>
      </c>
      <c r="I18" s="1"/>
      <c r="J18" s="1">
        <f>(B18*E18)</f>
        <v>450</v>
      </c>
      <c r="K18" s="1"/>
      <c r="L18" s="1">
        <f>B18*E18</f>
        <v>450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5" t="s">
        <v>48</v>
      </c>
      <c r="B19" s="1">
        <v>4</v>
      </c>
      <c r="C19" s="14"/>
      <c r="D19" s="14"/>
      <c r="E19" s="1"/>
      <c r="F19" s="1">
        <v>65</v>
      </c>
      <c r="G19" s="1">
        <v>0.81</v>
      </c>
      <c r="H19" s="1">
        <f>(B19*F19*G19)</f>
        <v>210.60000000000002</v>
      </c>
      <c r="I19" s="1">
        <v>0.85</v>
      </c>
      <c r="J19" s="1">
        <f>(B19*F19*I19)</f>
        <v>221</v>
      </c>
      <c r="K19" s="1">
        <v>0.89</v>
      </c>
      <c r="L19" s="1">
        <f>B19*F19*K19</f>
        <v>231.4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 t="s">
        <v>46</v>
      </c>
      <c r="B20" s="1">
        <v>4</v>
      </c>
      <c r="C20" s="14"/>
      <c r="D20" s="14"/>
      <c r="E20" s="1"/>
      <c r="F20" s="1">
        <v>550</v>
      </c>
      <c r="G20" s="1">
        <v>0.81</v>
      </c>
      <c r="H20" s="1">
        <f>B20*F20*G20</f>
        <v>1782.0000000000002</v>
      </c>
      <c r="I20" s="1">
        <v>0.85</v>
      </c>
      <c r="J20" s="1">
        <f>B20*F20*I20</f>
        <v>1870</v>
      </c>
      <c r="K20" s="1">
        <v>0.89</v>
      </c>
      <c r="L20" s="1">
        <f>B20*F20*K20</f>
        <v>1958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20" t="s">
        <v>111</v>
      </c>
      <c r="D21" s="20"/>
      <c r="E21" s="15"/>
      <c r="F21" s="1"/>
      <c r="G21" s="1"/>
      <c r="H21" s="11">
        <f>SUM(H16:H17,H19:H20)</f>
        <v>5147.1478400000005</v>
      </c>
      <c r="I21" s="1"/>
      <c r="J21" s="11">
        <f>SUM(J16:J17,J19:J20)</f>
        <v>5353.7515359999998</v>
      </c>
      <c r="K21" s="1"/>
      <c r="L21" s="11">
        <f>SUM(L16:L17,L19:L20)</f>
        <v>5545.9552320000003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6"/>
      <c r="B25" s="6" t="s">
        <v>104</v>
      </c>
      <c r="C25" s="6" t="s">
        <v>3</v>
      </c>
      <c r="D25" s="6" t="s">
        <v>105</v>
      </c>
      <c r="E25" s="6" t="s">
        <v>106</v>
      </c>
      <c r="F25" s="6" t="s">
        <v>107</v>
      </c>
      <c r="G25" s="6" t="s">
        <v>108</v>
      </c>
      <c r="H25" s="6" t="s">
        <v>109</v>
      </c>
      <c r="I25" s="6" t="s">
        <v>110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6" t="s">
        <v>102</v>
      </c>
      <c r="B26" s="6">
        <v>8.077</v>
      </c>
      <c r="C26" s="6">
        <v>5.03</v>
      </c>
      <c r="D26" s="6">
        <v>3.65</v>
      </c>
      <c r="E26" s="4">
        <f>(B26*C26*D26)</f>
        <v>148.2896815</v>
      </c>
      <c r="F26" s="4">
        <f>((E26*2*1000)/3600)</f>
        <v>82.383156388888892</v>
      </c>
      <c r="G26" s="6">
        <f>(45-22)</f>
        <v>23</v>
      </c>
      <c r="H26" s="6"/>
      <c r="I26" s="11">
        <f>(1.232*F26*G26)</f>
        <v>2334.4091194355556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6" t="s">
        <v>103</v>
      </c>
      <c r="B27" s="6">
        <v>8.077</v>
      </c>
      <c r="C27" s="6">
        <v>5.03</v>
      </c>
      <c r="D27" s="6">
        <v>3.65</v>
      </c>
      <c r="E27" s="4">
        <f>(B27*C27*D27)</f>
        <v>148.2896815</v>
      </c>
      <c r="F27" s="4">
        <f>((E27*2*1000)/3600)</f>
        <v>82.383156388888892</v>
      </c>
      <c r="G27" s="6"/>
      <c r="H27" s="6">
        <f>(0.0275-0.01)</f>
        <v>1.7500000000000002E-2</v>
      </c>
      <c r="I27" s="11">
        <f>(3012*F27*H27)</f>
        <v>4342.4161732583343</v>
      </c>
    </row>
    <row r="30" spans="1:22" x14ac:dyDescent="0.25">
      <c r="B30" s="8"/>
      <c r="C30" s="8" t="s">
        <v>114</v>
      </c>
      <c r="D30" s="8" t="s">
        <v>115</v>
      </c>
      <c r="E30" s="8" t="s">
        <v>116</v>
      </c>
    </row>
    <row r="31" spans="1:22" x14ac:dyDescent="0.25">
      <c r="B31" s="8" t="s">
        <v>113</v>
      </c>
      <c r="C31" s="12">
        <f>SUM(H21,M11,I26)</f>
        <v>12926.182068079956</v>
      </c>
      <c r="D31" s="12">
        <f>SUM(J21,Q11,I26)</f>
        <v>14139.703990815156</v>
      </c>
      <c r="E31" s="12">
        <f>SUM(L21,I26,U11)</f>
        <v>14775.463082827957</v>
      </c>
    </row>
    <row r="32" spans="1:22" x14ac:dyDescent="0.25">
      <c r="B32" s="8" t="s">
        <v>112</v>
      </c>
      <c r="C32" s="12">
        <f>SUM(I27,H18)</f>
        <v>4792.4161732583343</v>
      </c>
      <c r="D32" s="12">
        <f>SUM(I27,J18)</f>
        <v>4792.4161732583343</v>
      </c>
      <c r="E32" s="12">
        <f>SUM(I27,L18)</f>
        <v>4792.4161732583343</v>
      </c>
    </row>
  </sheetData>
  <mergeCells count="3">
    <mergeCell ref="A1:U1"/>
    <mergeCell ref="A13:L13"/>
    <mergeCell ref="C21:D21"/>
  </mergeCells>
  <pageMargins left="0.7" right="0.7" top="0.75" bottom="0.75" header="0.3" footer="0.3"/>
  <ignoredErrors>
    <ignoredError sqref="H18 J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B6C-3CE0-486F-9A2A-D8F23811C6DC}">
  <dimension ref="A1:U31"/>
  <sheetViews>
    <sheetView topLeftCell="B10" workbookViewId="0">
      <selection activeCell="C30" sqref="C30:E30"/>
    </sheetView>
  </sheetViews>
  <sheetFormatPr defaultRowHeight="15" x14ac:dyDescent="0.25"/>
  <cols>
    <col min="1" max="1" width="49.28515625" bestFit="1" customWidth="1"/>
    <col min="2" max="2" width="51" bestFit="1" customWidth="1"/>
    <col min="4" max="4" width="8.5703125" bestFit="1" customWidth="1"/>
    <col min="5" max="5" width="9.7109375" bestFit="1" customWidth="1"/>
    <col min="6" max="6" width="20.140625" bestFit="1" customWidth="1"/>
    <col min="8" max="8" width="22.140625" bestFit="1" customWidth="1"/>
    <col min="9" max="9" width="17.42578125" bestFit="1" customWidth="1"/>
    <col min="10" max="10" width="22.140625" bestFit="1" customWidth="1"/>
    <col min="11" max="11" width="20.5703125" bestFit="1" customWidth="1"/>
    <col min="12" max="12" width="22.140625" bestFit="1" customWidth="1"/>
    <col min="13" max="13" width="26" bestFit="1" customWidth="1"/>
    <col min="14" max="14" width="15.5703125" bestFit="1" customWidth="1"/>
    <col min="15" max="15" width="20.5703125" bestFit="1" customWidth="1"/>
    <col min="16" max="16" width="10.140625" bestFit="1" customWidth="1"/>
    <col min="17" max="17" width="25.28515625" bestFit="1" customWidth="1"/>
    <col min="18" max="18" width="15.5703125" bestFit="1" customWidth="1"/>
    <col min="19" max="19" width="20.5703125" bestFit="1" customWidth="1"/>
    <col min="20" max="20" width="10.140625" bestFit="1" customWidth="1"/>
    <col min="21" max="21" width="25.28515625" bestFit="1" customWidth="1"/>
  </cols>
  <sheetData>
    <row r="1" spans="1:21" ht="27" x14ac:dyDescent="0.35">
      <c r="A1" s="19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5.03</v>
      </c>
      <c r="D4" s="1">
        <v>10.06</v>
      </c>
      <c r="E4" s="1"/>
      <c r="F4" s="4">
        <f>(C4*D4)</f>
        <v>50.601800000000004</v>
      </c>
      <c r="G4" s="4">
        <v>1</v>
      </c>
      <c r="H4" s="1"/>
      <c r="I4" s="1"/>
      <c r="J4" s="1">
        <v>12</v>
      </c>
      <c r="K4" s="1">
        <v>32.1</v>
      </c>
      <c r="L4" s="1"/>
      <c r="M4" s="4">
        <f>(B4*F4*K4)</f>
        <v>1770.5063802000004</v>
      </c>
      <c r="N4" s="1">
        <v>17</v>
      </c>
      <c r="O4" s="1">
        <v>37.1</v>
      </c>
      <c r="P4" s="1"/>
      <c r="Q4" s="4">
        <f>(B4*F4*O4)</f>
        <v>2046.2861902000004</v>
      </c>
      <c r="R4" s="1">
        <v>22</v>
      </c>
      <c r="S4" s="1">
        <v>42.1</v>
      </c>
      <c r="T4" s="1"/>
      <c r="U4" s="4">
        <f>(B4*F4*S4)</f>
        <v>2322.0660002000004</v>
      </c>
    </row>
    <row r="5" spans="1:21" x14ac:dyDescent="0.25">
      <c r="A5" s="1" t="s">
        <v>24</v>
      </c>
      <c r="B5" s="1">
        <v>0.90590000000000004</v>
      </c>
      <c r="C5" s="1">
        <v>5.03</v>
      </c>
      <c r="D5" s="1"/>
      <c r="E5" s="1">
        <v>3.65</v>
      </c>
      <c r="F5" s="4">
        <f>(C5*E5)</f>
        <v>18.359500000000001</v>
      </c>
      <c r="G5" s="4">
        <v>0</v>
      </c>
      <c r="H5" s="1"/>
      <c r="I5" s="1"/>
      <c r="J5" s="1">
        <f>9/1.8</f>
        <v>5</v>
      </c>
      <c r="K5" s="1">
        <v>24.1</v>
      </c>
      <c r="L5" s="1"/>
      <c r="M5" s="4">
        <f>(B5*F5*K5)</f>
        <v>400.82809230500004</v>
      </c>
      <c r="N5" s="4">
        <f>11/1.8</f>
        <v>6.1111111111111107</v>
      </c>
      <c r="O5" s="1">
        <v>25.21</v>
      </c>
      <c r="P5" s="1"/>
      <c r="Q5" s="4">
        <f>(B5*F5*O5)</f>
        <v>419.28946917050001</v>
      </c>
      <c r="R5" s="1">
        <f>18/1.8</f>
        <v>10</v>
      </c>
      <c r="S5" s="1">
        <v>29.1</v>
      </c>
      <c r="T5" s="1"/>
      <c r="U5" s="4">
        <f>(B5*F5*S5)</f>
        <v>483.98744755500007</v>
      </c>
    </row>
    <row r="6" spans="1:21" x14ac:dyDescent="0.25">
      <c r="A6" s="1" t="s">
        <v>12</v>
      </c>
      <c r="B6" s="1">
        <v>1.0900000000000001</v>
      </c>
      <c r="C6" s="1">
        <v>5.03</v>
      </c>
      <c r="D6" s="1">
        <v>10.06</v>
      </c>
      <c r="E6" s="1"/>
      <c r="F6" s="4">
        <f>(C6*D6)</f>
        <v>50.601800000000004</v>
      </c>
      <c r="G6" s="1"/>
      <c r="H6" s="1"/>
      <c r="I6" s="1"/>
      <c r="J6" s="1">
        <f>40-22</f>
        <v>18</v>
      </c>
      <c r="K6" s="1"/>
      <c r="L6" s="1"/>
      <c r="M6" s="4">
        <f>(B6*F6*J6)</f>
        <v>992.80731600000013</v>
      </c>
      <c r="N6" s="1">
        <v>18</v>
      </c>
      <c r="O6" s="1"/>
      <c r="P6" s="1"/>
      <c r="Q6" s="4">
        <f>(B6*F6*N6)</f>
        <v>992.80731600000013</v>
      </c>
      <c r="R6" s="1">
        <v>18</v>
      </c>
      <c r="S6" s="1"/>
      <c r="T6" s="1"/>
      <c r="U6" s="4">
        <f>(B6*F6*R6)</f>
        <v>992.80731600000013</v>
      </c>
    </row>
    <row r="7" spans="1:21" x14ac:dyDescent="0.25">
      <c r="A7" s="1" t="s">
        <v>54</v>
      </c>
      <c r="B7" s="1">
        <v>1.349</v>
      </c>
      <c r="C7" s="1">
        <v>5.03</v>
      </c>
      <c r="D7" s="1"/>
      <c r="E7" s="1">
        <v>3.65</v>
      </c>
      <c r="F7" s="4">
        <f>C7*E7</f>
        <v>18.359500000000001</v>
      </c>
      <c r="G7" s="1"/>
      <c r="H7" s="1"/>
      <c r="I7" s="1"/>
      <c r="J7" s="1">
        <f>40-22</f>
        <v>18</v>
      </c>
      <c r="K7" s="1"/>
      <c r="L7" s="1"/>
      <c r="M7" s="4">
        <f>(B7*F7*J7)</f>
        <v>445.80537900000002</v>
      </c>
      <c r="N7" s="1">
        <v>18</v>
      </c>
      <c r="O7" s="1"/>
      <c r="P7" s="1"/>
      <c r="Q7" s="4">
        <f>(B7*F7*N7)</f>
        <v>445.80537900000002</v>
      </c>
      <c r="R7" s="1">
        <v>18</v>
      </c>
      <c r="S7" s="1"/>
      <c r="T7" s="1"/>
      <c r="U7" s="4">
        <f>(B7*F7*R7)</f>
        <v>445.80537900000002</v>
      </c>
    </row>
    <row r="8" spans="1:21" x14ac:dyDescent="0.25">
      <c r="A8" s="1" t="s">
        <v>51</v>
      </c>
      <c r="B8" s="1">
        <v>1.5124</v>
      </c>
      <c r="C8" s="1"/>
      <c r="D8" s="1"/>
      <c r="E8" s="1"/>
      <c r="F8" s="4">
        <f>((5.03*3.65)+(3.962))</f>
        <v>22.3215</v>
      </c>
      <c r="G8" s="1"/>
      <c r="H8" s="1"/>
      <c r="I8" s="1"/>
      <c r="J8" s="1">
        <f>40-22</f>
        <v>18</v>
      </c>
      <c r="K8" s="1"/>
      <c r="L8" s="1"/>
      <c r="M8" s="4">
        <f>(B8*F8*J8)</f>
        <v>607.66265880000003</v>
      </c>
      <c r="N8" s="1">
        <v>18</v>
      </c>
      <c r="O8" s="1"/>
      <c r="P8" s="1"/>
      <c r="Q8" s="4">
        <f>(B8*F8*N8)</f>
        <v>607.66265880000003</v>
      </c>
      <c r="R8" s="1">
        <v>18</v>
      </c>
      <c r="S8" s="1"/>
      <c r="T8" s="1"/>
      <c r="U8" s="4">
        <v>499.8</v>
      </c>
    </row>
    <row r="9" spans="1:21" x14ac:dyDescent="0.25">
      <c r="A9" s="1" t="s">
        <v>53</v>
      </c>
      <c r="B9" s="1">
        <v>4.8</v>
      </c>
      <c r="C9" s="1">
        <v>1.37</v>
      </c>
      <c r="D9" s="1">
        <v>1.98</v>
      </c>
      <c r="E9" s="1"/>
      <c r="F9" s="4">
        <f>C9*D9</f>
        <v>2.7126000000000001</v>
      </c>
      <c r="G9" s="1"/>
      <c r="H9" s="4">
        <f>213*3.147</f>
        <v>670.31099999999992</v>
      </c>
      <c r="I9" s="1">
        <v>0.6</v>
      </c>
      <c r="J9" s="1">
        <v>18</v>
      </c>
      <c r="K9" s="1"/>
      <c r="L9" s="1">
        <v>0.17</v>
      </c>
      <c r="M9" s="4">
        <f>((B9*F9*J9)+(F9*I9*H9*L9))</f>
        <v>419.83377309720004</v>
      </c>
      <c r="N9" s="1">
        <v>18</v>
      </c>
      <c r="O9" s="1"/>
      <c r="P9" s="1">
        <v>0.53</v>
      </c>
      <c r="Q9" s="4">
        <f>((B9*F9*N9)+(F9*I9*H9*P9))</f>
        <v>812.58346671480001</v>
      </c>
      <c r="R9" s="1">
        <v>18</v>
      </c>
      <c r="S9" s="1"/>
      <c r="T9" s="1">
        <v>0.82</v>
      </c>
      <c r="U9" s="4">
        <f>((B9*F9*R9)+(F9*I9*H9*T9))</f>
        <v>1128.9651643512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0" t="s">
        <v>111</v>
      </c>
      <c r="L10" s="1"/>
      <c r="M10" s="11">
        <f>SUM(M4:M9)</f>
        <v>4637.4435994022006</v>
      </c>
      <c r="N10" s="1"/>
      <c r="O10" s="1"/>
      <c r="P10" s="1"/>
      <c r="Q10" s="11">
        <f>SUM(Q4:Q9)</f>
        <v>5324.4344798853008</v>
      </c>
      <c r="R10" s="1"/>
      <c r="S10" s="1"/>
      <c r="T10" s="1"/>
      <c r="U10" s="11">
        <f>SUM(U4:U9)</f>
        <v>5873.4313071062006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18" t="s">
        <v>45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"/>
      <c r="N13" s="1"/>
      <c r="O13" s="1"/>
      <c r="P13" s="1"/>
      <c r="Q13" s="1"/>
      <c r="R13" s="1"/>
      <c r="S13" s="1"/>
      <c r="T13" s="1"/>
      <c r="U13" s="1"/>
    </row>
    <row r="15" spans="1:21" x14ac:dyDescent="0.25">
      <c r="A15" s="1"/>
      <c r="B15" s="1" t="s">
        <v>29</v>
      </c>
      <c r="C15" s="1" t="s">
        <v>30</v>
      </c>
      <c r="D15" s="1" t="s">
        <v>1</v>
      </c>
      <c r="E15" s="1" t="s">
        <v>31</v>
      </c>
      <c r="F15" s="1" t="s">
        <v>32</v>
      </c>
      <c r="G15" s="1" t="s">
        <v>11</v>
      </c>
      <c r="H15" s="1" t="s">
        <v>33</v>
      </c>
      <c r="I15" s="1" t="s">
        <v>16</v>
      </c>
      <c r="J15" s="1" t="s">
        <v>35</v>
      </c>
      <c r="K15" s="1" t="s">
        <v>20</v>
      </c>
      <c r="L15" s="1" t="s">
        <v>34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36</v>
      </c>
      <c r="B16" s="1">
        <v>8</v>
      </c>
      <c r="C16" s="4">
        <f>(B16*F4*10)</f>
        <v>4048.1440000000002</v>
      </c>
      <c r="D16" s="4">
        <f>C4*D4</f>
        <v>50.601800000000004</v>
      </c>
      <c r="E16" s="1"/>
      <c r="F16" s="1"/>
      <c r="G16" s="1">
        <v>0.8</v>
      </c>
      <c r="H16" s="4">
        <f>(C16*G16)</f>
        <v>3238.5152000000003</v>
      </c>
      <c r="I16" s="1">
        <v>0.82</v>
      </c>
      <c r="J16" s="4">
        <f>(C16*I16)</f>
        <v>3319.4780799999999</v>
      </c>
      <c r="K16" s="1">
        <v>0.84</v>
      </c>
      <c r="L16" s="4">
        <f>(C16*K16)</f>
        <v>3400.4409599999999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37</v>
      </c>
      <c r="B17" s="1">
        <v>10</v>
      </c>
      <c r="C17" s="18"/>
      <c r="D17" s="18"/>
      <c r="E17" s="1"/>
      <c r="F17" s="1">
        <v>73</v>
      </c>
      <c r="G17" s="1">
        <v>0.77</v>
      </c>
      <c r="H17" s="4">
        <f>(B17*F17*G17)</f>
        <v>562.1</v>
      </c>
      <c r="I17" s="1">
        <v>0.83</v>
      </c>
      <c r="J17" s="1">
        <f>(B17*F17*I17)</f>
        <v>605.9</v>
      </c>
      <c r="K17" s="1">
        <v>0.87</v>
      </c>
      <c r="L17" s="1">
        <f>(B17*F17*K17)</f>
        <v>635.1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38</v>
      </c>
      <c r="B18" s="1">
        <v>10</v>
      </c>
      <c r="C18" s="18"/>
      <c r="D18" s="18"/>
      <c r="E18" s="1">
        <v>59</v>
      </c>
      <c r="F18" s="1"/>
      <c r="G18" s="1"/>
      <c r="H18" s="1">
        <v>590</v>
      </c>
      <c r="I18" s="1"/>
      <c r="J18" s="1">
        <v>590</v>
      </c>
      <c r="K18" s="1"/>
      <c r="L18" s="1">
        <v>590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5" t="s">
        <v>48</v>
      </c>
      <c r="B19" s="1">
        <v>4</v>
      </c>
      <c r="C19" s="18"/>
      <c r="D19" s="18"/>
      <c r="E19" s="1"/>
      <c r="F19" s="1">
        <v>65</v>
      </c>
      <c r="G19" s="1">
        <v>0.81</v>
      </c>
      <c r="H19" s="1">
        <f>(B19*F19*G19)</f>
        <v>210.60000000000002</v>
      </c>
      <c r="I19" s="1">
        <v>0.85</v>
      </c>
      <c r="J19" s="1">
        <f>(B19*F19*I19)</f>
        <v>221</v>
      </c>
      <c r="K19" s="1">
        <v>0.89</v>
      </c>
      <c r="L19" s="1">
        <f>B19*F19*K19</f>
        <v>231.4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21" t="s">
        <v>111</v>
      </c>
      <c r="D20" s="18"/>
      <c r="E20" s="1"/>
      <c r="F20" s="1"/>
      <c r="G20" s="1"/>
      <c r="H20" s="11">
        <f>SUM(H16:H17,H19)</f>
        <v>4011.2152000000001</v>
      </c>
      <c r="I20" s="1"/>
      <c r="J20" s="11">
        <f>SUM(J16:J17,J19)</f>
        <v>4146.3780800000004</v>
      </c>
      <c r="K20" s="1"/>
      <c r="L20" s="11">
        <f>SUM(L16:L17,L19)</f>
        <v>4266.9409599999999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6"/>
      <c r="B24" s="6" t="s">
        <v>104</v>
      </c>
      <c r="C24" s="6" t="s">
        <v>3</v>
      </c>
      <c r="D24" s="6" t="s">
        <v>105</v>
      </c>
      <c r="E24" s="6" t="s">
        <v>106</v>
      </c>
      <c r="F24" s="6" t="s">
        <v>107</v>
      </c>
      <c r="G24" s="6" t="s">
        <v>108</v>
      </c>
      <c r="H24" s="6" t="s">
        <v>109</v>
      </c>
      <c r="I24" s="6" t="s">
        <v>110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6" t="s">
        <v>102</v>
      </c>
      <c r="B25" s="6">
        <v>5.03</v>
      </c>
      <c r="C25" s="6">
        <v>10.06</v>
      </c>
      <c r="D25" s="6">
        <v>3.65</v>
      </c>
      <c r="E25" s="4">
        <f>(B25*C25*D25)</f>
        <v>184.69657000000001</v>
      </c>
      <c r="F25" s="4">
        <f>((E25*2*1000)/3600)</f>
        <v>102.60920555555556</v>
      </c>
      <c r="G25" s="6">
        <f>(45-22)</f>
        <v>23</v>
      </c>
      <c r="H25" s="6"/>
      <c r="I25" s="11">
        <f>(1.232*F25*G25)</f>
        <v>2907.5344486222225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6" t="s">
        <v>103</v>
      </c>
      <c r="B26" s="6">
        <v>5.03</v>
      </c>
      <c r="C26" s="6">
        <v>10.06</v>
      </c>
      <c r="D26" s="6">
        <v>3.65</v>
      </c>
      <c r="E26" s="4">
        <f>(B26*C26*D26)</f>
        <v>184.69657000000001</v>
      </c>
      <c r="F26" s="4">
        <f>((E26*2*1000)/3600)</f>
        <v>102.60920555555556</v>
      </c>
      <c r="G26" s="6"/>
      <c r="H26" s="6">
        <f>(0.0275-0.01)</f>
        <v>1.7500000000000002E-2</v>
      </c>
      <c r="I26" s="11">
        <f>(3012*F26*H26)</f>
        <v>5408.5312248333339</v>
      </c>
    </row>
    <row r="29" spans="1:21" x14ac:dyDescent="0.25">
      <c r="B29" s="8"/>
      <c r="C29" s="8" t="s">
        <v>114</v>
      </c>
      <c r="D29" s="8" t="s">
        <v>115</v>
      </c>
      <c r="E29" s="8" t="s">
        <v>116</v>
      </c>
    </row>
    <row r="30" spans="1:21" x14ac:dyDescent="0.25">
      <c r="B30" s="8" t="s">
        <v>113</v>
      </c>
      <c r="C30" s="12">
        <f>SUM(M10,H20,I25)</f>
        <v>11556.193248024423</v>
      </c>
      <c r="D30" s="12">
        <f>SUM(J20,Q10,I25)</f>
        <v>12378.347008507522</v>
      </c>
      <c r="E30" s="12">
        <f>SUM(L20,I25,U10)</f>
        <v>13047.906715728423</v>
      </c>
    </row>
    <row r="31" spans="1:21" x14ac:dyDescent="0.25">
      <c r="B31" s="8" t="s">
        <v>112</v>
      </c>
      <c r="C31" s="12">
        <f>SUM(H18,I26)</f>
        <v>5998.5312248333339</v>
      </c>
      <c r="D31" s="12">
        <f>SUM(I26,J18)</f>
        <v>5998.5312248333339</v>
      </c>
      <c r="E31" s="12">
        <f>SUM(L18,I26)</f>
        <v>5998.5312248333339</v>
      </c>
    </row>
  </sheetData>
  <mergeCells count="4">
    <mergeCell ref="A1:U1"/>
    <mergeCell ref="A13:L13"/>
    <mergeCell ref="C17:D19"/>
    <mergeCell ref="C20:D20"/>
  </mergeCells>
  <pageMargins left="0.7" right="0.7" top="0.75" bottom="0.75" header="0.3" footer="0.3"/>
  <ignoredErrors>
    <ignoredError sqref="F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1C44-A230-4941-800C-63A4F34FF8C0}">
  <dimension ref="A1:U33"/>
  <sheetViews>
    <sheetView topLeftCell="B13" workbookViewId="0">
      <selection activeCell="B34" sqref="B34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8.5703125" style="1" bestFit="1" customWidth="1"/>
    <col min="5" max="5" width="9.710937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8.077</v>
      </c>
      <c r="D4" s="1">
        <v>5.03</v>
      </c>
      <c r="F4" s="4">
        <f>(C4*D4)</f>
        <v>40.627310000000001</v>
      </c>
      <c r="G4" s="4">
        <v>1</v>
      </c>
      <c r="J4" s="1">
        <v>12</v>
      </c>
      <c r="K4" s="1">
        <v>32.1</v>
      </c>
      <c r="M4" s="4">
        <f>(B4*F4*K4)</f>
        <v>1421.5089495900004</v>
      </c>
      <c r="N4" s="1">
        <v>17</v>
      </c>
      <c r="O4" s="1">
        <v>37.1</v>
      </c>
      <c r="Q4" s="4">
        <f>(B4*F4*O4)</f>
        <v>1642.9277890900003</v>
      </c>
      <c r="R4" s="1">
        <v>22</v>
      </c>
      <c r="S4" s="1">
        <v>42.1</v>
      </c>
      <c r="U4" s="4">
        <f>(B4*F4*S4)</f>
        <v>1864.3466285900004</v>
      </c>
    </row>
    <row r="5" spans="1:21" x14ac:dyDescent="0.25">
      <c r="A5" s="1" t="s">
        <v>57</v>
      </c>
      <c r="B5" s="1">
        <v>0.90590000000000004</v>
      </c>
      <c r="C5" s="1">
        <v>8.077</v>
      </c>
      <c r="E5" s="1">
        <v>3.65</v>
      </c>
      <c r="F5" s="4">
        <f>(C5*E5)</f>
        <v>29.48105</v>
      </c>
      <c r="G5" s="4">
        <v>-3</v>
      </c>
      <c r="J5" s="1">
        <f>27/1.8</f>
        <v>15</v>
      </c>
      <c r="K5" s="4">
        <f>((J5+G5)+(25.5-22)+(45-29.4))</f>
        <v>31.1</v>
      </c>
      <c r="M5" s="4">
        <f>(B5*F5*K5)</f>
        <v>830.58406736450002</v>
      </c>
      <c r="N5" s="4">
        <f>32/1.8</f>
        <v>17.777777777777779</v>
      </c>
      <c r="O5" s="4">
        <f>((N5+G5)+(25.5-22)+(45-29.4))</f>
        <v>33.87777777777778</v>
      </c>
      <c r="Q5" s="4">
        <f>(B5*F5*O5)</f>
        <v>904.76985401727779</v>
      </c>
      <c r="R5" s="4">
        <f>33/1.8</f>
        <v>18.333333333333332</v>
      </c>
      <c r="S5" s="4">
        <f>((R5+G5)+(25.5-22)+(45-29.4))</f>
        <v>34.433333333333337</v>
      </c>
      <c r="U5" s="4">
        <f>(B5*F5*S5)</f>
        <v>919.60701134783346</v>
      </c>
    </row>
    <row r="6" spans="1:21" x14ac:dyDescent="0.25">
      <c r="A6" s="1" t="s">
        <v>12</v>
      </c>
      <c r="B6" s="1">
        <v>1.0900000000000001</v>
      </c>
      <c r="C6" s="1">
        <v>8.077</v>
      </c>
      <c r="D6" s="1">
        <v>5.03</v>
      </c>
      <c r="F6" s="4">
        <f>C6*D6</f>
        <v>40.627310000000001</v>
      </c>
      <c r="J6" s="1">
        <f>40-22</f>
        <v>18</v>
      </c>
      <c r="M6" s="4">
        <f>(B6*F6*J6)</f>
        <v>797.1078222000001</v>
      </c>
      <c r="N6" s="1">
        <v>18</v>
      </c>
      <c r="Q6" s="4">
        <f>(B6*F6*N6)</f>
        <v>797.1078222000001</v>
      </c>
      <c r="R6" s="1">
        <v>18</v>
      </c>
      <c r="U6" s="4">
        <f>(B6*F6*R6)</f>
        <v>797.1078222000001</v>
      </c>
    </row>
    <row r="7" spans="1:21" x14ac:dyDescent="0.25">
      <c r="A7" s="1" t="s">
        <v>50</v>
      </c>
      <c r="B7" s="1">
        <v>1.349</v>
      </c>
      <c r="C7" s="1">
        <v>8.077</v>
      </c>
      <c r="E7" s="1">
        <v>3.65</v>
      </c>
      <c r="F7" s="4">
        <f>C7*E7</f>
        <v>29.48105</v>
      </c>
      <c r="J7" s="1">
        <f>40-22</f>
        <v>18</v>
      </c>
      <c r="M7" s="4">
        <f>(B7*F7*J7)</f>
        <v>715.85885609999991</v>
      </c>
      <c r="N7" s="1">
        <v>18</v>
      </c>
      <c r="Q7" s="4">
        <f>(B7*F7*N7)</f>
        <v>715.85885609999991</v>
      </c>
      <c r="R7" s="1">
        <v>18</v>
      </c>
      <c r="U7" s="4">
        <f>(B7*F7*R7)</f>
        <v>715.85885609999991</v>
      </c>
    </row>
    <row r="8" spans="1:21" x14ac:dyDescent="0.25">
      <c r="A8" s="1" t="s">
        <v>26</v>
      </c>
      <c r="B8" s="1">
        <v>1.5124</v>
      </c>
      <c r="F8" s="4">
        <f>((5.03*3.65)+(3.962))</f>
        <v>22.3215</v>
      </c>
      <c r="J8" s="1">
        <f>40-22</f>
        <v>18</v>
      </c>
      <c r="M8" s="4">
        <f>(B8*F8*J8)</f>
        <v>607.66265880000003</v>
      </c>
      <c r="N8" s="1">
        <v>18</v>
      </c>
      <c r="Q8" s="4">
        <f>(B8*F8*N8)</f>
        <v>607.66265880000003</v>
      </c>
      <c r="R8" s="1">
        <v>18</v>
      </c>
      <c r="U8" s="4">
        <v>499.8</v>
      </c>
    </row>
    <row r="9" spans="1:21" x14ac:dyDescent="0.25">
      <c r="A9" s="1" t="s">
        <v>52</v>
      </c>
      <c r="B9" s="1">
        <v>4.8</v>
      </c>
      <c r="C9" s="1">
        <v>1.37</v>
      </c>
      <c r="D9" s="1">
        <v>1.98</v>
      </c>
      <c r="F9" s="4">
        <f>C9*D9</f>
        <v>2.7126000000000001</v>
      </c>
      <c r="H9" s="1">
        <f>213*3.147</f>
        <v>670.31099999999992</v>
      </c>
      <c r="I9" s="1">
        <v>0.6</v>
      </c>
      <c r="J9" s="1">
        <v>18</v>
      </c>
      <c r="L9" s="1">
        <v>0.27</v>
      </c>
      <c r="M9" s="4">
        <f>2*((B9*F9*J9)+(F9*I9*H9*L9))</f>
        <v>1057.8618204264001</v>
      </c>
      <c r="N9" s="1">
        <v>18</v>
      </c>
      <c r="P9" s="1">
        <v>0.22</v>
      </c>
      <c r="Q9" s="4">
        <f>2*((B9*F9*N9)+(F9*I9*H9*P9))</f>
        <v>948.76468331040007</v>
      </c>
      <c r="R9" s="1">
        <v>18</v>
      </c>
      <c r="T9" s="1">
        <v>0.17</v>
      </c>
      <c r="U9" s="4">
        <f>2*((B9*F9*R9)+(F9*I9*H9*T9))</f>
        <v>839.66754619440007</v>
      </c>
    </row>
    <row r="10" spans="1:21" x14ac:dyDescent="0.25">
      <c r="K10" s="10" t="s">
        <v>111</v>
      </c>
      <c r="M10" s="11">
        <f>SUM(M4:M9)</f>
        <v>5430.5841744809004</v>
      </c>
      <c r="Q10" s="11">
        <f>SUM(Q4:Q9)</f>
        <v>5617.0916635176782</v>
      </c>
      <c r="U10" s="11">
        <f>SUM(U4:U9)</f>
        <v>5636.387864432234</v>
      </c>
    </row>
    <row r="12" spans="1:21" s="8" customFormat="1" x14ac:dyDescent="0.25"/>
    <row r="13" spans="1:21" x14ac:dyDescent="0.25">
      <c r="A13" s="18" t="s">
        <v>58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21" customFormat="1" x14ac:dyDescent="0.25"/>
    <row r="15" spans="1:21" x14ac:dyDescent="0.25">
      <c r="B15" s="1" t="s">
        <v>29</v>
      </c>
      <c r="C15" s="1" t="s">
        <v>30</v>
      </c>
      <c r="D15" s="1" t="s">
        <v>1</v>
      </c>
      <c r="E15" s="1" t="s">
        <v>31</v>
      </c>
      <c r="F15" s="1" t="s">
        <v>32</v>
      </c>
      <c r="G15" s="1" t="s">
        <v>11</v>
      </c>
      <c r="H15" s="1" t="s">
        <v>33</v>
      </c>
      <c r="I15" s="1" t="s">
        <v>16</v>
      </c>
      <c r="J15" s="1" t="s">
        <v>35</v>
      </c>
      <c r="K15" s="1" t="s">
        <v>20</v>
      </c>
      <c r="L15" s="1" t="s">
        <v>34</v>
      </c>
    </row>
    <row r="16" spans="1:21" x14ac:dyDescent="0.25">
      <c r="A16" s="1" t="s">
        <v>36</v>
      </c>
      <c r="B16" s="1">
        <v>8</v>
      </c>
      <c r="C16" s="4">
        <f>(B16*F4*10)</f>
        <v>3250.1848</v>
      </c>
      <c r="D16" s="1">
        <v>40.630000000000003</v>
      </c>
      <c r="G16" s="1">
        <v>0.81</v>
      </c>
      <c r="H16" s="4">
        <f>(C16*G16)</f>
        <v>2632.649688</v>
      </c>
      <c r="I16" s="1">
        <v>0.84</v>
      </c>
      <c r="J16" s="4">
        <f>(C16*I16)</f>
        <v>2730.1552320000001</v>
      </c>
      <c r="K16" s="1">
        <v>0.86</v>
      </c>
      <c r="L16" s="4">
        <f>(C16*K16)</f>
        <v>2795.1589279999998</v>
      </c>
    </row>
    <row r="17" spans="1:12" x14ac:dyDescent="0.25">
      <c r="A17" s="1" t="s">
        <v>37</v>
      </c>
      <c r="B17" s="1">
        <v>8</v>
      </c>
      <c r="C17" s="18"/>
      <c r="D17" s="18"/>
      <c r="F17" s="1">
        <v>73</v>
      </c>
      <c r="G17" s="1">
        <v>0.79</v>
      </c>
      <c r="H17" s="4">
        <f>(B17*F17*G17)</f>
        <v>461.36</v>
      </c>
      <c r="I17" s="1">
        <v>0.84</v>
      </c>
      <c r="J17" s="1">
        <f>(B17*F17*I17)</f>
        <v>490.56</v>
      </c>
      <c r="K17" s="1">
        <v>0.88</v>
      </c>
      <c r="L17" s="1">
        <f>(B17*F17*K17)</f>
        <v>513.91999999999996</v>
      </c>
    </row>
    <row r="18" spans="1:12" x14ac:dyDescent="0.25">
      <c r="A18" s="1" t="s">
        <v>38</v>
      </c>
      <c r="B18" s="1">
        <v>8</v>
      </c>
      <c r="C18" s="18"/>
      <c r="D18" s="18"/>
      <c r="E18" s="1">
        <v>59</v>
      </c>
      <c r="H18" s="1">
        <f>B18*E18</f>
        <v>472</v>
      </c>
      <c r="J18" s="1">
        <f>B18*E18</f>
        <v>472</v>
      </c>
      <c r="L18" s="1">
        <f>B18*E18</f>
        <v>472</v>
      </c>
    </row>
    <row r="19" spans="1:12" x14ac:dyDescent="0.25">
      <c r="A19" s="5" t="s">
        <v>48</v>
      </c>
      <c r="B19" s="1">
        <v>4</v>
      </c>
      <c r="C19" s="18"/>
      <c r="D19" s="18"/>
      <c r="F19" s="1">
        <v>65</v>
      </c>
      <c r="G19" s="1">
        <v>0.82</v>
      </c>
      <c r="H19" s="1">
        <f>(B19*F19*G19)</f>
        <v>213.2</v>
      </c>
      <c r="I19" s="1">
        <v>0.86</v>
      </c>
      <c r="J19" s="1">
        <f>(B19*F19*I19)</f>
        <v>223.6</v>
      </c>
      <c r="K19" s="1">
        <v>0.89</v>
      </c>
      <c r="L19" s="1">
        <f>B19*F19*K19</f>
        <v>231.4</v>
      </c>
    </row>
    <row r="20" spans="1:12" x14ac:dyDescent="0.25">
      <c r="A20" s="1" t="s">
        <v>46</v>
      </c>
      <c r="B20" s="1">
        <v>4</v>
      </c>
      <c r="C20" s="18"/>
      <c r="D20" s="18"/>
      <c r="F20" s="1">
        <v>550</v>
      </c>
      <c r="G20" s="1">
        <v>0.82</v>
      </c>
      <c r="H20" s="1">
        <f>B20*F20*G20</f>
        <v>1804</v>
      </c>
      <c r="I20" s="1">
        <v>0.86</v>
      </c>
      <c r="J20" s="1">
        <f>B20*F20*I20</f>
        <v>1892</v>
      </c>
      <c r="K20" s="1">
        <v>0.89</v>
      </c>
      <c r="L20" s="1">
        <f>B20*F20*K20</f>
        <v>1958</v>
      </c>
    </row>
    <row r="21" spans="1:12" x14ac:dyDescent="0.25">
      <c r="A21" s="1" t="s">
        <v>47</v>
      </c>
      <c r="B21" s="1">
        <v>3</v>
      </c>
      <c r="C21" s="18"/>
      <c r="D21" s="18"/>
      <c r="F21" s="1">
        <v>20</v>
      </c>
      <c r="G21" s="1">
        <v>0.69</v>
      </c>
      <c r="H21" s="1">
        <f>B21*F21*G21</f>
        <v>41.4</v>
      </c>
      <c r="I21" s="1">
        <v>0.77</v>
      </c>
      <c r="J21" s="1">
        <f>B21*F21*I21</f>
        <v>46.2</v>
      </c>
      <c r="K21" s="1">
        <v>0.82</v>
      </c>
      <c r="L21" s="1">
        <f>B21*F21*K21</f>
        <v>49.199999999999996</v>
      </c>
    </row>
    <row r="22" spans="1:12" x14ac:dyDescent="0.25">
      <c r="C22" s="21" t="s">
        <v>111</v>
      </c>
      <c r="D22" s="21"/>
      <c r="H22" s="11">
        <f>SUM(H16:H17,H19:H21)</f>
        <v>5152.6096879999996</v>
      </c>
      <c r="J22" s="11">
        <f>SUM(J16:J17,J19:J21)</f>
        <v>5382.5152319999997</v>
      </c>
      <c r="L22" s="11">
        <f>SUM(L16:L17,L19:L21)</f>
        <v>5547.6789280000003</v>
      </c>
    </row>
    <row r="24" spans="1:12" s="8" customFormat="1" x14ac:dyDescent="0.25"/>
    <row r="25" spans="1:12" s="8" customFormat="1" x14ac:dyDescent="0.25"/>
    <row r="26" spans="1:12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12" x14ac:dyDescent="0.25">
      <c r="A27" s="6" t="s">
        <v>102</v>
      </c>
      <c r="B27" s="6">
        <v>8.077</v>
      </c>
      <c r="C27" s="6">
        <v>5.03</v>
      </c>
      <c r="D27" s="6">
        <v>3.65</v>
      </c>
      <c r="E27" s="4">
        <f>(B27*C27*D27)</f>
        <v>148.2896815</v>
      </c>
      <c r="F27" s="4">
        <f>((E27*2*1000)/3600)</f>
        <v>82.383156388888892</v>
      </c>
      <c r="G27" s="6">
        <f>(45-22)</f>
        <v>23</v>
      </c>
      <c r="H27" s="6"/>
      <c r="I27" s="11">
        <f>(1.232*F27*G27)</f>
        <v>2334.4091194355556</v>
      </c>
    </row>
    <row r="28" spans="1:12" x14ac:dyDescent="0.25">
      <c r="A28" s="6" t="s">
        <v>103</v>
      </c>
      <c r="B28" s="6">
        <v>8.077</v>
      </c>
      <c r="C28" s="6">
        <v>5.03</v>
      </c>
      <c r="D28" s="6">
        <v>3.65</v>
      </c>
      <c r="E28" s="4">
        <f>(B28*C28*D28)</f>
        <v>148.2896815</v>
      </c>
      <c r="F28" s="4">
        <f>((E28*2*1000)/3600)</f>
        <v>82.383156388888892</v>
      </c>
      <c r="G28" s="6"/>
      <c r="H28" s="6">
        <f>(0.0275-0.01)</f>
        <v>1.7500000000000002E-2</v>
      </c>
      <c r="I28" s="11">
        <f>(3012*F28*H28)</f>
        <v>4342.4161732583343</v>
      </c>
    </row>
    <row r="31" spans="1:12" x14ac:dyDescent="0.25">
      <c r="B31" s="8"/>
      <c r="C31" s="8" t="s">
        <v>114</v>
      </c>
      <c r="D31" s="8" t="s">
        <v>115</v>
      </c>
      <c r="E31" s="8" t="s">
        <v>116</v>
      </c>
    </row>
    <row r="32" spans="1:12" x14ac:dyDescent="0.25">
      <c r="B32" s="8" t="s">
        <v>113</v>
      </c>
      <c r="C32" s="12">
        <f>SUM(H22,M10,I27)</f>
        <v>12917.602981916456</v>
      </c>
      <c r="D32" s="12">
        <f>SUM(J22,Q10,I27)</f>
        <v>13334.016014953233</v>
      </c>
      <c r="E32" s="12">
        <f>SUM(I27,L22,U10)</f>
        <v>13518.47591186779</v>
      </c>
    </row>
    <row r="33" spans="2:5" x14ac:dyDescent="0.25">
      <c r="B33" s="8" t="s">
        <v>112</v>
      </c>
      <c r="C33" s="12">
        <f>SUM(I28,H18)</f>
        <v>4814.4161732583343</v>
      </c>
      <c r="D33" s="12">
        <f>SUM(I28,J18)</f>
        <v>4814.4161732583343</v>
      </c>
      <c r="E33" s="12">
        <f>SUM(I28,L18)</f>
        <v>4814.4161732583343</v>
      </c>
    </row>
  </sheetData>
  <mergeCells count="4">
    <mergeCell ref="A1:U1"/>
    <mergeCell ref="A13:L13"/>
    <mergeCell ref="C17:D21"/>
    <mergeCell ref="C22:D22"/>
  </mergeCells>
  <pageMargins left="0.7" right="0.7" top="0.75" bottom="0.75" header="0.3" footer="0.3"/>
  <ignoredErrors>
    <ignoredError sqref="J18 H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A24F-73E0-481F-974D-8BCBCEC572FA}">
  <dimension ref="A1:U33"/>
  <sheetViews>
    <sheetView topLeftCell="C22" workbookViewId="0">
      <selection activeCell="C32" sqref="C32:E32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8.5703125" style="1" bestFit="1" customWidth="1"/>
    <col min="5" max="5" width="9.710937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3.23</v>
      </c>
      <c r="D4" s="1">
        <v>5.03</v>
      </c>
      <c r="F4" s="4">
        <f>(C4*D4)</f>
        <v>16.2469</v>
      </c>
      <c r="G4" s="4">
        <v>1</v>
      </c>
      <c r="J4" s="1">
        <v>12</v>
      </c>
      <c r="K4" s="1">
        <v>32.1</v>
      </c>
      <c r="M4" s="4">
        <f>(B4*F4*K4)</f>
        <v>568.46278410000002</v>
      </c>
      <c r="N4" s="1">
        <v>17</v>
      </c>
      <c r="O4" s="1">
        <v>37.1</v>
      </c>
      <c r="Q4" s="4">
        <f>(B4*F4*O4)</f>
        <v>657.00838910000004</v>
      </c>
      <c r="R4" s="1">
        <v>22</v>
      </c>
      <c r="S4" s="1">
        <v>42.1</v>
      </c>
      <c r="U4" s="4">
        <f>(B4*F4*S4)</f>
        <v>745.55399409999995</v>
      </c>
    </row>
    <row r="5" spans="1:21" x14ac:dyDescent="0.25">
      <c r="A5" s="1" t="s">
        <v>12</v>
      </c>
      <c r="B5" s="1">
        <v>1.0900000000000001</v>
      </c>
      <c r="C5" s="1">
        <v>3.23</v>
      </c>
      <c r="D5" s="1">
        <v>5.03</v>
      </c>
      <c r="F5" s="1">
        <v>40.630000000000003</v>
      </c>
      <c r="J5" s="1">
        <f>40-22</f>
        <v>18</v>
      </c>
      <c r="M5" s="4">
        <f>(B5*F5*J5)</f>
        <v>797.16060000000004</v>
      </c>
      <c r="N5" s="1">
        <v>18</v>
      </c>
      <c r="Q5" s="4">
        <f>(B5*F5*N5)</f>
        <v>797.16060000000004</v>
      </c>
      <c r="R5" s="1">
        <v>18</v>
      </c>
      <c r="U5" s="4">
        <f>(B5*F5*R5)</f>
        <v>797.16060000000004</v>
      </c>
    </row>
    <row r="6" spans="1:21" x14ac:dyDescent="0.25">
      <c r="A6" s="1" t="s">
        <v>50</v>
      </c>
      <c r="B6" s="1">
        <v>1.349</v>
      </c>
      <c r="C6" s="1">
        <v>3.23</v>
      </c>
      <c r="E6" s="1">
        <v>3.65</v>
      </c>
      <c r="F6" s="4">
        <f>C6*E6</f>
        <v>11.7895</v>
      </c>
      <c r="J6" s="1">
        <f>40-22</f>
        <v>18</v>
      </c>
      <c r="M6" s="4">
        <f>(B6*F6*J6)</f>
        <v>286.27263900000003</v>
      </c>
      <c r="N6" s="1">
        <v>18</v>
      </c>
      <c r="Q6" s="4">
        <f>(B6*F6*N6)</f>
        <v>286.27263900000003</v>
      </c>
      <c r="R6" s="1">
        <v>18</v>
      </c>
      <c r="U6" s="4">
        <f>(B6*F6*R6)</f>
        <v>286.27263900000003</v>
      </c>
    </row>
    <row r="7" spans="1:21" x14ac:dyDescent="0.25">
      <c r="A7" s="1" t="s">
        <v>51</v>
      </c>
      <c r="B7" s="1">
        <v>1.5124</v>
      </c>
      <c r="F7" s="4">
        <f>((3.65*3.23)+(3.962))</f>
        <v>15.7515</v>
      </c>
      <c r="J7" s="1">
        <f>40-22</f>
        <v>18</v>
      </c>
      <c r="M7" s="4">
        <f>(B7*F7*J7)</f>
        <v>428.80623480000003</v>
      </c>
      <c r="N7" s="1">
        <v>18</v>
      </c>
      <c r="Q7" s="4">
        <f>(B7*F7*N7)</f>
        <v>428.80623480000003</v>
      </c>
      <c r="R7" s="1">
        <v>18</v>
      </c>
      <c r="U7" s="4">
        <v>499.8</v>
      </c>
    </row>
    <row r="8" spans="1:21" x14ac:dyDescent="0.25">
      <c r="A8" s="1" t="s">
        <v>60</v>
      </c>
      <c r="B8" s="1">
        <v>1.349</v>
      </c>
      <c r="C8" s="1">
        <v>3.23</v>
      </c>
      <c r="E8" s="1">
        <v>3.65</v>
      </c>
      <c r="F8" s="4">
        <f>C8*E8</f>
        <v>11.7895</v>
      </c>
      <c r="J8" s="1">
        <f>40-22</f>
        <v>18</v>
      </c>
      <c r="M8" s="4">
        <f>(B8*F8*J8)</f>
        <v>286.27263900000003</v>
      </c>
      <c r="N8" s="1">
        <v>18</v>
      </c>
      <c r="Q8" s="4">
        <f>(B8*F8*N8)</f>
        <v>286.27263900000003</v>
      </c>
      <c r="R8" s="1">
        <v>18</v>
      </c>
      <c r="U8" s="4">
        <v>499.8</v>
      </c>
    </row>
    <row r="9" spans="1:21" x14ac:dyDescent="0.25">
      <c r="A9" s="1" t="s">
        <v>62</v>
      </c>
      <c r="B9" s="1">
        <v>1.7935000000000001</v>
      </c>
      <c r="F9" s="4">
        <f>21.07</f>
        <v>21.07</v>
      </c>
      <c r="J9" s="1">
        <f>40-22</f>
        <v>18</v>
      </c>
      <c r="M9" s="4">
        <f>(B9*F9*J9)</f>
        <v>680.20281</v>
      </c>
      <c r="N9" s="1">
        <v>18</v>
      </c>
      <c r="Q9" s="4">
        <f>(B9*F9*N9)</f>
        <v>680.20281</v>
      </c>
      <c r="R9" s="1">
        <v>18</v>
      </c>
      <c r="U9" s="4">
        <v>499.8</v>
      </c>
    </row>
    <row r="10" spans="1:21" x14ac:dyDescent="0.25">
      <c r="A10" s="1" t="s">
        <v>61</v>
      </c>
      <c r="B10" s="1">
        <v>4.8</v>
      </c>
      <c r="C10" s="1">
        <v>1.37</v>
      </c>
      <c r="D10" s="1">
        <v>1.98</v>
      </c>
      <c r="F10" s="4">
        <f>C10*D10</f>
        <v>2.7126000000000001</v>
      </c>
      <c r="H10" s="1">
        <f>45*3.147</f>
        <v>141.61499999999998</v>
      </c>
      <c r="I10" s="1">
        <v>0.6</v>
      </c>
      <c r="J10" s="1">
        <v>18</v>
      </c>
      <c r="L10" s="1">
        <v>0.89</v>
      </c>
      <c r="M10" s="4">
        <f>((B10*F10*J10)+(F10*I10*H10*L10))</f>
        <v>439.50198936599998</v>
      </c>
      <c r="N10" s="1">
        <v>18</v>
      </c>
      <c r="P10" s="1">
        <v>0.86</v>
      </c>
      <c r="Q10" s="4">
        <f>((B10*F10*N10)+(F10*I10*H10*P10))</f>
        <v>432.58738208400001</v>
      </c>
      <c r="R10" s="1">
        <v>18</v>
      </c>
      <c r="T10" s="1">
        <v>0.75</v>
      </c>
      <c r="U10" s="4">
        <f>((B10*F10*R10)+(F10*I10*H10*T10))</f>
        <v>407.23382205000001</v>
      </c>
    </row>
    <row r="11" spans="1:21" x14ac:dyDescent="0.25">
      <c r="K11" s="10" t="s">
        <v>111</v>
      </c>
      <c r="M11" s="11">
        <f>SUM(M4:M10)</f>
        <v>3486.6796962660001</v>
      </c>
      <c r="Q11" s="11">
        <f>SUM(Q4:Q10)</f>
        <v>3568.3106939840004</v>
      </c>
      <c r="U11" s="11">
        <f>SUM(U4:U10)</f>
        <v>3735.6210551500003</v>
      </c>
    </row>
    <row r="13" spans="1:21" s="8" customFormat="1" x14ac:dyDescent="0.25"/>
    <row r="14" spans="1:21" x14ac:dyDescent="0.25">
      <c r="A14" s="18" t="s">
        <v>64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21" customFormat="1" x14ac:dyDescent="0.25"/>
    <row r="16" spans="1:21" x14ac:dyDescent="0.25"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</row>
    <row r="17" spans="1:12" x14ac:dyDescent="0.25">
      <c r="A17" s="1" t="s">
        <v>36</v>
      </c>
      <c r="B17" s="1">
        <v>2</v>
      </c>
      <c r="C17" s="4">
        <f>(B17*F4*10)</f>
        <v>324.93799999999999</v>
      </c>
      <c r="D17" s="4">
        <f>C4*D4</f>
        <v>16.2469</v>
      </c>
      <c r="G17" s="1">
        <v>0.86</v>
      </c>
      <c r="H17" s="4">
        <f>(C17*G17)</f>
        <v>279.44667999999996</v>
      </c>
      <c r="I17" s="1">
        <v>0.88</v>
      </c>
      <c r="J17" s="4">
        <f>(C17*I17)</f>
        <v>285.94544000000002</v>
      </c>
      <c r="K17" s="1">
        <v>0.89</v>
      </c>
      <c r="L17" s="4">
        <f>(C17*K17)</f>
        <v>289.19481999999999</v>
      </c>
    </row>
    <row r="18" spans="1:12" x14ac:dyDescent="0.25">
      <c r="A18" s="1" t="s">
        <v>37</v>
      </c>
      <c r="B18" s="1">
        <v>3</v>
      </c>
      <c r="C18" s="18"/>
      <c r="D18" s="18"/>
      <c r="F18" s="1">
        <v>72</v>
      </c>
      <c r="G18" s="1">
        <v>0.82</v>
      </c>
      <c r="H18" s="4">
        <f>(B18*F18*G18)</f>
        <v>177.11999999999998</v>
      </c>
      <c r="I18" s="1">
        <v>0.87</v>
      </c>
      <c r="J18" s="1">
        <f>(B18*F18*I18)</f>
        <v>187.92</v>
      </c>
      <c r="K18" s="1">
        <v>0.9</v>
      </c>
      <c r="L18" s="1">
        <f>(B18*F18*K18)</f>
        <v>194.4</v>
      </c>
    </row>
    <row r="19" spans="1:12" x14ac:dyDescent="0.25">
      <c r="A19" s="1" t="s">
        <v>38</v>
      </c>
      <c r="B19" s="1">
        <v>3</v>
      </c>
      <c r="C19" s="18"/>
      <c r="D19" s="18"/>
      <c r="E19" s="1">
        <v>45</v>
      </c>
      <c r="H19" s="1">
        <f>B19*E19</f>
        <v>135</v>
      </c>
      <c r="J19" s="1">
        <f>B19*E19</f>
        <v>135</v>
      </c>
      <c r="L19" s="1">
        <f>B19*E19</f>
        <v>135</v>
      </c>
    </row>
    <row r="20" spans="1:12" x14ac:dyDescent="0.25">
      <c r="A20" s="5" t="s">
        <v>48</v>
      </c>
      <c r="B20" s="1">
        <v>3</v>
      </c>
      <c r="C20" s="18"/>
      <c r="D20" s="18"/>
      <c r="F20" s="1">
        <v>65</v>
      </c>
      <c r="G20" s="1">
        <v>0.85</v>
      </c>
      <c r="H20" s="1">
        <f>(B20*F20*G20)</f>
        <v>165.75</v>
      </c>
      <c r="I20" s="1">
        <v>0.89</v>
      </c>
      <c r="J20" s="1">
        <f>(B20*F20*I20)</f>
        <v>173.55</v>
      </c>
      <c r="K20" s="1">
        <v>0.91</v>
      </c>
      <c r="L20" s="1">
        <f>B20*F20*K20</f>
        <v>177.45000000000002</v>
      </c>
    </row>
    <row r="21" spans="1:12" x14ac:dyDescent="0.25">
      <c r="A21" s="1" t="s">
        <v>46</v>
      </c>
      <c r="B21" s="1">
        <v>3</v>
      </c>
      <c r="C21" s="18"/>
      <c r="D21" s="18"/>
      <c r="F21" s="1">
        <v>550</v>
      </c>
      <c r="G21" s="1">
        <v>0.85</v>
      </c>
      <c r="H21" s="1">
        <f>B21*F21*G21</f>
        <v>1402.5</v>
      </c>
      <c r="I21" s="1">
        <v>0.89</v>
      </c>
      <c r="J21" s="1">
        <f>B21*F21*I21</f>
        <v>1468.5</v>
      </c>
      <c r="K21" s="1">
        <v>0.91</v>
      </c>
      <c r="L21" s="1">
        <f>B21*F21*K21</f>
        <v>1501.5</v>
      </c>
    </row>
    <row r="22" spans="1:12" x14ac:dyDescent="0.25">
      <c r="C22" s="21" t="s">
        <v>111</v>
      </c>
      <c r="D22" s="21"/>
      <c r="H22" s="11">
        <f>SUM(H17:H18,H20:H21)</f>
        <v>2024.8166799999999</v>
      </c>
      <c r="J22" s="11">
        <f>SUM(J17:J18,J20:J21)</f>
        <v>2115.9154399999998</v>
      </c>
      <c r="L22" s="11">
        <f>SUM(L17:L18,L20:L21)</f>
        <v>2162.5448200000001</v>
      </c>
    </row>
    <row r="24" spans="1:12" s="8" customFormat="1" x14ac:dyDescent="0.25"/>
    <row r="25" spans="1:12" s="8" customFormat="1" x14ac:dyDescent="0.25"/>
    <row r="26" spans="1:12" x14ac:dyDescent="0.25">
      <c r="A26" s="6"/>
      <c r="B26" s="6" t="s">
        <v>104</v>
      </c>
      <c r="C26" s="6" t="s">
        <v>3</v>
      </c>
      <c r="D26" s="6" t="s">
        <v>105</v>
      </c>
      <c r="E26" s="6" t="s">
        <v>106</v>
      </c>
      <c r="F26" s="6" t="s">
        <v>107</v>
      </c>
      <c r="G26" s="6" t="s">
        <v>108</v>
      </c>
      <c r="H26" s="6" t="s">
        <v>109</v>
      </c>
      <c r="I26" s="6" t="s">
        <v>110</v>
      </c>
    </row>
    <row r="27" spans="1:12" x14ac:dyDescent="0.25">
      <c r="A27" s="6" t="s">
        <v>102</v>
      </c>
      <c r="B27" s="6">
        <v>3.23</v>
      </c>
      <c r="C27" s="6">
        <v>5.03</v>
      </c>
      <c r="D27" s="6">
        <v>3.65</v>
      </c>
      <c r="E27" s="4">
        <f>(B27*C27*D27)</f>
        <v>59.301184999999997</v>
      </c>
      <c r="F27" s="4">
        <f>((E27*2*1000)/3600)</f>
        <v>32.945102777777777</v>
      </c>
      <c r="G27" s="6">
        <f>(45-22)</f>
        <v>23</v>
      </c>
      <c r="H27" s="6"/>
      <c r="I27" s="11">
        <f>(1.232*F27*G27)</f>
        <v>933.53243231111105</v>
      </c>
    </row>
    <row r="28" spans="1:12" x14ac:dyDescent="0.25">
      <c r="A28" s="6" t="s">
        <v>103</v>
      </c>
      <c r="B28" s="6">
        <v>3.23</v>
      </c>
      <c r="C28" s="6">
        <v>5.03</v>
      </c>
      <c r="D28" s="6">
        <v>3.65</v>
      </c>
      <c r="E28" s="4">
        <f>(B28*C28*D28)</f>
        <v>59.301184999999997</v>
      </c>
      <c r="F28" s="4">
        <f>((E28*2*1000)/3600)</f>
        <v>32.945102777777777</v>
      </c>
      <c r="G28" s="6"/>
      <c r="H28" s="6">
        <f>(0.0275-0.01)</f>
        <v>1.7500000000000002E-2</v>
      </c>
      <c r="I28" s="11">
        <f>(3012*F28*H28)</f>
        <v>1736.5363674166667</v>
      </c>
    </row>
    <row r="31" spans="1:12" x14ac:dyDescent="0.25">
      <c r="B31" s="8"/>
      <c r="C31" s="8" t="s">
        <v>114</v>
      </c>
      <c r="D31" s="8" t="s">
        <v>115</v>
      </c>
      <c r="E31" s="8" t="s">
        <v>116</v>
      </c>
    </row>
    <row r="32" spans="1:12" x14ac:dyDescent="0.25">
      <c r="B32" s="8" t="s">
        <v>113</v>
      </c>
      <c r="C32" s="12">
        <f>SUM(H22,M11,I27)</f>
        <v>6445.0288085771108</v>
      </c>
      <c r="D32" s="12">
        <f>SUM(J22,Q11,I27)</f>
        <v>6617.7585662951115</v>
      </c>
      <c r="E32" s="12">
        <f>SUM(I27,L22,U11)</f>
        <v>6831.6983074611107</v>
      </c>
    </row>
    <row r="33" spans="2:5" x14ac:dyDescent="0.25">
      <c r="B33" s="8" t="s">
        <v>112</v>
      </c>
      <c r="C33" s="12">
        <f>SUM(I28,H19)</f>
        <v>1871.5363674166667</v>
      </c>
      <c r="D33" s="12">
        <f>SUM(I28,J19)</f>
        <v>1871.5363674166667</v>
      </c>
      <c r="E33" s="12">
        <f>SUM(I28,L19)</f>
        <v>1871.5363674166667</v>
      </c>
    </row>
  </sheetData>
  <mergeCells count="4">
    <mergeCell ref="A1:U1"/>
    <mergeCell ref="A14:L14"/>
    <mergeCell ref="C18:D21"/>
    <mergeCell ref="C22:D22"/>
  </mergeCells>
  <pageMargins left="0.7" right="0.7" top="0.75" bottom="0.75" header="0.3" footer="0.3"/>
  <ignoredErrors>
    <ignoredError sqref="F9 F7 H19 J1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A1CB-7FB2-427F-973E-40EBDD6EEE53}">
  <dimension ref="A1:U32"/>
  <sheetViews>
    <sheetView topLeftCell="B16" workbookViewId="0">
      <selection activeCell="C31" sqref="C31:E31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8.5703125" style="1" bestFit="1" customWidth="1"/>
    <col min="5" max="5" width="9.710937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4.0389999999999997</v>
      </c>
      <c r="D4" s="1">
        <v>5.03</v>
      </c>
      <c r="F4" s="4">
        <f>(C4*D4)</f>
        <v>20.31617</v>
      </c>
      <c r="G4" s="4">
        <v>1</v>
      </c>
      <c r="J4" s="1">
        <v>12</v>
      </c>
      <c r="K4" s="1">
        <v>32.1</v>
      </c>
      <c r="M4" s="4">
        <f>(B4*F4*K4)</f>
        <v>710.84247213000003</v>
      </c>
      <c r="N4" s="1">
        <v>17</v>
      </c>
      <c r="O4" s="1">
        <v>37.1</v>
      </c>
      <c r="Q4" s="4">
        <f>(B4*F4*O4)</f>
        <v>821.56559863000007</v>
      </c>
      <c r="R4" s="1">
        <v>22</v>
      </c>
      <c r="S4" s="1">
        <v>42.1</v>
      </c>
      <c r="U4" s="4">
        <f>(B4*F4*S4)</f>
        <v>932.2887251300001</v>
      </c>
    </row>
    <row r="5" spans="1:21" x14ac:dyDescent="0.25">
      <c r="A5" s="1" t="s">
        <v>12</v>
      </c>
      <c r="B5" s="1">
        <v>1.0900000000000001</v>
      </c>
      <c r="C5" s="1">
        <v>4.0389999999999997</v>
      </c>
      <c r="D5" s="1">
        <v>5.03</v>
      </c>
      <c r="F5" s="1">
        <v>40.630000000000003</v>
      </c>
      <c r="J5" s="1">
        <f>40-22</f>
        <v>18</v>
      </c>
      <c r="M5" s="4">
        <f>(B5*F5*J5)</f>
        <v>797.16060000000004</v>
      </c>
      <c r="N5" s="1">
        <v>18</v>
      </c>
      <c r="Q5" s="4">
        <f>(B5*F5*N5)</f>
        <v>797.16060000000004</v>
      </c>
      <c r="R5" s="1">
        <v>18</v>
      </c>
      <c r="U5" s="4">
        <f>(B5*F5*R5)</f>
        <v>797.16060000000004</v>
      </c>
    </row>
    <row r="6" spans="1:21" x14ac:dyDescent="0.25">
      <c r="A6" s="1" t="s">
        <v>50</v>
      </c>
      <c r="B6" s="1">
        <v>1.349</v>
      </c>
      <c r="C6" s="1">
        <v>4.0389999999999997</v>
      </c>
      <c r="E6" s="1">
        <v>3.65</v>
      </c>
      <c r="F6" s="4">
        <f>C6*E6</f>
        <v>14.742349999999998</v>
      </c>
      <c r="J6" s="1">
        <f>40-22</f>
        <v>18</v>
      </c>
      <c r="M6" s="4">
        <f>(B6*F6*J6)</f>
        <v>357.97374269999995</v>
      </c>
      <c r="N6" s="1">
        <v>18</v>
      </c>
      <c r="Q6" s="4">
        <f>(B6*F6*N6)</f>
        <v>357.97374269999995</v>
      </c>
      <c r="R6" s="1">
        <v>18</v>
      </c>
      <c r="U6" s="4">
        <f>(B6*F6*R6)</f>
        <v>357.97374269999995</v>
      </c>
    </row>
    <row r="7" spans="1:21" x14ac:dyDescent="0.25">
      <c r="A7" s="1" t="s">
        <v>51</v>
      </c>
      <c r="B7" s="1">
        <v>1.5124</v>
      </c>
      <c r="F7" s="4">
        <f>((3.65*3.23)+(3.962))</f>
        <v>15.7515</v>
      </c>
      <c r="J7" s="1">
        <f>40-22</f>
        <v>18</v>
      </c>
      <c r="M7" s="4">
        <f>(B7*F7*J7)</f>
        <v>428.80623480000003</v>
      </c>
      <c r="N7" s="1">
        <v>18</v>
      </c>
      <c r="Q7" s="4">
        <f>(B7*F7*N7)</f>
        <v>428.80623480000003</v>
      </c>
      <c r="R7" s="1">
        <v>18</v>
      </c>
      <c r="U7" s="4">
        <v>499.8</v>
      </c>
    </row>
    <row r="8" spans="1:21" x14ac:dyDescent="0.25">
      <c r="A8" s="1" t="s">
        <v>54</v>
      </c>
      <c r="B8" s="1">
        <v>1.349</v>
      </c>
      <c r="C8" s="1">
        <v>3.23</v>
      </c>
      <c r="E8" s="1">
        <v>3.65</v>
      </c>
      <c r="F8" s="4">
        <f>C8*E8</f>
        <v>11.7895</v>
      </c>
      <c r="J8" s="1">
        <f>40-22</f>
        <v>18</v>
      </c>
      <c r="M8" s="4">
        <f>(B8*F8*J8)</f>
        <v>286.27263900000003</v>
      </c>
      <c r="N8" s="1">
        <v>18</v>
      </c>
      <c r="Q8" s="4">
        <f>(B8*F8*N8)</f>
        <v>286.27263900000003</v>
      </c>
      <c r="R8" s="1">
        <v>18</v>
      </c>
      <c r="U8" s="4">
        <v>499.8</v>
      </c>
    </row>
    <row r="9" spans="1:21" x14ac:dyDescent="0.25">
      <c r="A9" s="1" t="s">
        <v>66</v>
      </c>
      <c r="B9" s="1">
        <v>1.7935000000000001</v>
      </c>
      <c r="F9" s="4">
        <f>21.07</f>
        <v>21.07</v>
      </c>
      <c r="J9" s="1">
        <f>40-22</f>
        <v>18</v>
      </c>
      <c r="M9" s="4">
        <f>(B9*F9*J9)</f>
        <v>680.20281</v>
      </c>
      <c r="N9" s="1">
        <v>18</v>
      </c>
      <c r="Q9" s="4">
        <f>(B9*F9*N9)</f>
        <v>680.20281</v>
      </c>
      <c r="R9" s="1">
        <v>18</v>
      </c>
      <c r="U9" s="4">
        <v>499.8</v>
      </c>
    </row>
    <row r="10" spans="1:21" x14ac:dyDescent="0.25">
      <c r="A10" s="1" t="s">
        <v>67</v>
      </c>
      <c r="B10" s="1">
        <v>4.8</v>
      </c>
      <c r="C10" s="1">
        <v>1.37</v>
      </c>
      <c r="D10" s="1">
        <v>1.98</v>
      </c>
      <c r="F10" s="4">
        <f>C10*D10</f>
        <v>2.7126000000000001</v>
      </c>
      <c r="H10" s="1">
        <f>46*3.147</f>
        <v>144.762</v>
      </c>
      <c r="I10" s="1">
        <v>0.6</v>
      </c>
      <c r="J10" s="1">
        <v>18</v>
      </c>
      <c r="L10" s="1">
        <v>0.83</v>
      </c>
      <c r="M10" s="4">
        <f>((B10*F10*J10)+(F10*I10*H10*L10))</f>
        <v>429.92397779760006</v>
      </c>
      <c r="N10" s="1">
        <v>18</v>
      </c>
      <c r="P10" s="1">
        <v>0.68</v>
      </c>
      <c r="Q10" s="4">
        <f>((B10*F10*N10)+(F10*I10*H10*P10))</f>
        <v>394.58265168960008</v>
      </c>
      <c r="R10" s="1">
        <v>18</v>
      </c>
      <c r="T10" s="1">
        <v>0.35</v>
      </c>
      <c r="U10" s="4">
        <f>((B10*F10*R10)+(F10*I10*H10*T10))</f>
        <v>316.83173425200005</v>
      </c>
    </row>
    <row r="11" spans="1:21" x14ac:dyDescent="0.25">
      <c r="L11" s="10" t="s">
        <v>111</v>
      </c>
      <c r="M11" s="11">
        <f>SUM(M4:M10)</f>
        <v>3691.1824764275998</v>
      </c>
      <c r="Q11" s="11">
        <f>SUM(Q4:Q10)</f>
        <v>3766.5642768195999</v>
      </c>
      <c r="U11" s="11">
        <f>SUM(U4:U10)</f>
        <v>3903.6548020820005</v>
      </c>
    </row>
    <row r="13" spans="1:21" s="8" customFormat="1" x14ac:dyDescent="0.25"/>
    <row r="14" spans="1:21" x14ac:dyDescent="0.25">
      <c r="A14" s="18" t="s">
        <v>45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21" customFormat="1" x14ac:dyDescent="0.25"/>
    <row r="16" spans="1:21" x14ac:dyDescent="0.25">
      <c r="B16" s="1" t="s">
        <v>29</v>
      </c>
      <c r="C16" s="1" t="s">
        <v>30</v>
      </c>
      <c r="D16" s="1" t="s">
        <v>1</v>
      </c>
      <c r="E16" s="1" t="s">
        <v>31</v>
      </c>
      <c r="F16" s="1" t="s">
        <v>32</v>
      </c>
      <c r="G16" s="1" t="s">
        <v>11</v>
      </c>
      <c r="H16" s="1" t="s">
        <v>33</v>
      </c>
      <c r="I16" s="1" t="s">
        <v>16</v>
      </c>
      <c r="J16" s="1" t="s">
        <v>35</v>
      </c>
      <c r="K16" s="1" t="s">
        <v>20</v>
      </c>
      <c r="L16" s="1" t="s">
        <v>34</v>
      </c>
    </row>
    <row r="17" spans="1:12" x14ac:dyDescent="0.25">
      <c r="A17" s="1" t="s">
        <v>36</v>
      </c>
      <c r="B17" s="1">
        <v>2</v>
      </c>
      <c r="C17" s="4">
        <f>(B17*F4*10)</f>
        <v>406.32339999999999</v>
      </c>
      <c r="D17" s="4">
        <f>C4*D4</f>
        <v>20.31617</v>
      </c>
      <c r="G17" s="1">
        <v>0.8</v>
      </c>
      <c r="H17" s="4">
        <f>(C17*G17)</f>
        <v>325.05871999999999</v>
      </c>
      <c r="I17" s="1">
        <v>0.82</v>
      </c>
      <c r="J17" s="4">
        <f>(C17*I17)</f>
        <v>333.18518799999998</v>
      </c>
      <c r="K17" s="1">
        <v>0.84</v>
      </c>
      <c r="L17" s="4">
        <f>(C17*K17)</f>
        <v>341.31165599999997</v>
      </c>
    </row>
    <row r="18" spans="1:12" x14ac:dyDescent="0.25">
      <c r="A18" s="1" t="s">
        <v>37</v>
      </c>
      <c r="B18" s="1">
        <v>1</v>
      </c>
      <c r="C18" s="18"/>
      <c r="D18" s="18"/>
      <c r="F18" s="1">
        <v>72</v>
      </c>
      <c r="G18" s="1">
        <v>0.77</v>
      </c>
      <c r="H18" s="4">
        <f>(B18*F18*G18)</f>
        <v>55.44</v>
      </c>
      <c r="I18" s="1">
        <v>0.83</v>
      </c>
      <c r="J18" s="1">
        <f>(B18*F18*I18)</f>
        <v>59.76</v>
      </c>
      <c r="K18" s="1">
        <v>0.87</v>
      </c>
      <c r="L18" s="1">
        <f>(B18*F18*K18)</f>
        <v>62.64</v>
      </c>
    </row>
    <row r="19" spans="1:12" x14ac:dyDescent="0.25">
      <c r="A19" s="1" t="s">
        <v>38</v>
      </c>
      <c r="B19" s="1">
        <v>1</v>
      </c>
      <c r="C19" s="18"/>
      <c r="D19" s="18"/>
      <c r="E19" s="1">
        <v>45</v>
      </c>
      <c r="H19" s="1">
        <f>B19*E19</f>
        <v>45</v>
      </c>
      <c r="J19" s="1">
        <f>B19*E19</f>
        <v>45</v>
      </c>
      <c r="L19" s="1">
        <f>B19*E19</f>
        <v>45</v>
      </c>
    </row>
    <row r="20" spans="1:12" x14ac:dyDescent="0.25">
      <c r="A20" s="5" t="s">
        <v>48</v>
      </c>
      <c r="B20" s="1">
        <v>3</v>
      </c>
      <c r="C20" s="18"/>
      <c r="D20" s="18"/>
      <c r="F20" s="1">
        <v>65</v>
      </c>
      <c r="G20" s="1">
        <v>0.81</v>
      </c>
      <c r="H20" s="1">
        <f>(B20*F20*G20)</f>
        <v>157.95000000000002</v>
      </c>
      <c r="I20" s="1">
        <v>0.85</v>
      </c>
      <c r="J20" s="1">
        <f>(B20*F20*I20)</f>
        <v>165.75</v>
      </c>
      <c r="K20" s="1">
        <v>0.89</v>
      </c>
      <c r="L20" s="1">
        <f>B20*F20*K20</f>
        <v>173.55</v>
      </c>
    </row>
    <row r="21" spans="1:12" x14ac:dyDescent="0.25">
      <c r="C21" s="21" t="s">
        <v>111</v>
      </c>
      <c r="D21" s="21"/>
      <c r="H21" s="11">
        <f>SUM(H17:H18,H20)</f>
        <v>538.44871999999998</v>
      </c>
      <c r="J21" s="11">
        <f>SUM(J17:J18,J20)</f>
        <v>558.69518799999992</v>
      </c>
      <c r="L21" s="11">
        <f>SUM(L17:L18,L20)</f>
        <v>577.50165599999991</v>
      </c>
    </row>
    <row r="23" spans="1:12" s="8" customFormat="1" x14ac:dyDescent="0.25"/>
    <row r="24" spans="1:12" s="8" customFormat="1" x14ac:dyDescent="0.25"/>
    <row r="25" spans="1:12" x14ac:dyDescent="0.25">
      <c r="A25" s="6"/>
      <c r="B25" s="6" t="s">
        <v>104</v>
      </c>
      <c r="C25" s="6" t="s">
        <v>3</v>
      </c>
      <c r="D25" s="6" t="s">
        <v>105</v>
      </c>
      <c r="E25" s="6" t="s">
        <v>106</v>
      </c>
      <c r="F25" s="6" t="s">
        <v>107</v>
      </c>
      <c r="G25" s="6" t="s">
        <v>108</v>
      </c>
      <c r="H25" s="6" t="s">
        <v>109</v>
      </c>
      <c r="I25" s="6" t="s">
        <v>110</v>
      </c>
    </row>
    <row r="26" spans="1:12" x14ac:dyDescent="0.25">
      <c r="A26" s="6" t="s">
        <v>102</v>
      </c>
      <c r="B26" s="6">
        <v>4.0389999999999997</v>
      </c>
      <c r="C26" s="6">
        <v>5.03</v>
      </c>
      <c r="D26" s="6">
        <v>3.65</v>
      </c>
      <c r="E26" s="4">
        <f>(B26*C26*D26)</f>
        <v>74.154020500000001</v>
      </c>
      <c r="F26" s="4">
        <f>((E26*2*1000)/3600)</f>
        <v>41.196678055555552</v>
      </c>
      <c r="G26" s="6">
        <f>(45-22)</f>
        <v>23</v>
      </c>
      <c r="H26" s="6"/>
      <c r="I26" s="11">
        <f>(1.232*F26*G26)</f>
        <v>1167.3490693822221</v>
      </c>
    </row>
    <row r="27" spans="1:12" x14ac:dyDescent="0.25">
      <c r="A27" s="6" t="s">
        <v>103</v>
      </c>
      <c r="B27" s="6">
        <v>4.0389999999999997</v>
      </c>
      <c r="C27" s="6">
        <v>5.03</v>
      </c>
      <c r="D27" s="6">
        <v>3.65</v>
      </c>
      <c r="E27" s="4">
        <f>(B27*C27*D27)</f>
        <v>74.154020500000001</v>
      </c>
      <c r="F27" s="4">
        <f>((E27*2*1000)/3600)</f>
        <v>41.196678055555552</v>
      </c>
      <c r="G27" s="6"/>
      <c r="H27" s="6">
        <f>(0.0275-0.01)</f>
        <v>1.7500000000000002E-2</v>
      </c>
      <c r="I27" s="11">
        <f>(3012*F27*H27)</f>
        <v>2171.4769003083334</v>
      </c>
    </row>
    <row r="30" spans="1:12" x14ac:dyDescent="0.25">
      <c r="B30" s="8"/>
      <c r="C30" s="8" t="s">
        <v>114</v>
      </c>
      <c r="D30" s="8" t="s">
        <v>115</v>
      </c>
      <c r="E30" s="8" t="s">
        <v>116</v>
      </c>
    </row>
    <row r="31" spans="1:12" x14ac:dyDescent="0.25">
      <c r="B31" s="8" t="s">
        <v>113</v>
      </c>
      <c r="C31" s="12">
        <f>SUM(I26,H21,M11)</f>
        <v>5396.9802658098215</v>
      </c>
      <c r="D31" s="12">
        <f>SUM(I26,J21,Q11)</f>
        <v>5492.6085342018214</v>
      </c>
      <c r="E31" s="12">
        <f>SUM(I26,L21,U11)</f>
        <v>5648.5055274642227</v>
      </c>
    </row>
    <row r="32" spans="1:12" x14ac:dyDescent="0.25">
      <c r="B32" s="8" t="s">
        <v>112</v>
      </c>
      <c r="C32" s="12">
        <f>SUM(I27,H19)</f>
        <v>2216.4769003083334</v>
      </c>
      <c r="D32" s="12">
        <f>SUM(I27,J19)</f>
        <v>2216.4769003083334</v>
      </c>
      <c r="E32" s="12">
        <f>SUM(I27,L19)</f>
        <v>2216.4769003083334</v>
      </c>
    </row>
  </sheetData>
  <mergeCells count="4">
    <mergeCell ref="A1:U1"/>
    <mergeCell ref="A14:L14"/>
    <mergeCell ref="C18:D20"/>
    <mergeCell ref="C21:D21"/>
  </mergeCells>
  <pageMargins left="0.7" right="0.7" top="0.75" bottom="0.75" header="0.3" footer="0.3"/>
  <ignoredErrors>
    <ignoredError sqref="F7 H19 J1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097C-07AF-466A-83E2-44CBA66DE4F6}">
  <dimension ref="A1:U30"/>
  <sheetViews>
    <sheetView topLeftCell="C11" workbookViewId="0">
      <selection activeCell="C29" sqref="C29:E29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8.5703125" style="1" bestFit="1" customWidth="1"/>
    <col min="5" max="5" width="9.710937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3.96</v>
      </c>
      <c r="F4" s="4">
        <f>(C4*D4)</f>
        <v>15.9984</v>
      </c>
      <c r="G4" s="4">
        <v>1</v>
      </c>
      <c r="J4" s="1">
        <v>12</v>
      </c>
      <c r="K4" s="1">
        <v>32.1</v>
      </c>
      <c r="M4" s="4">
        <f>(B4*F4*K4)</f>
        <v>559.76801760000012</v>
      </c>
      <c r="N4" s="1">
        <v>17</v>
      </c>
      <c r="O4" s="1">
        <v>37.1</v>
      </c>
      <c r="Q4" s="4">
        <f>(B4*F4*O4)</f>
        <v>646.95929760000013</v>
      </c>
      <c r="R4" s="1">
        <v>22</v>
      </c>
      <c r="S4" s="1">
        <v>42.1</v>
      </c>
      <c r="U4" s="4">
        <f>(B4*F4*S4)</f>
        <v>734.15057760000013</v>
      </c>
    </row>
    <row r="5" spans="1:21" x14ac:dyDescent="0.25">
      <c r="A5" s="1" t="s">
        <v>12</v>
      </c>
      <c r="B5" s="1">
        <v>1.0900000000000001</v>
      </c>
      <c r="C5" s="1">
        <v>4.04</v>
      </c>
      <c r="D5" s="1">
        <v>3.96</v>
      </c>
      <c r="F5" s="4">
        <f>C5*D5</f>
        <v>15.9984</v>
      </c>
      <c r="J5" s="1">
        <f>40-22</f>
        <v>18</v>
      </c>
      <c r="M5" s="4">
        <f>(B5*F5*J5)</f>
        <v>313.88860800000003</v>
      </c>
      <c r="N5" s="1">
        <v>18</v>
      </c>
      <c r="Q5" s="4">
        <f>(B5*F5*N5)</f>
        <v>313.88860800000003</v>
      </c>
      <c r="R5" s="1">
        <v>18</v>
      </c>
      <c r="U5" s="4">
        <f>(B5*F5*R5)</f>
        <v>313.88860800000003</v>
      </c>
    </row>
    <row r="6" spans="1:21" x14ac:dyDescent="0.25">
      <c r="A6" s="1" t="s">
        <v>60</v>
      </c>
      <c r="B6" s="1">
        <v>1.349</v>
      </c>
      <c r="D6" s="1">
        <v>3.96</v>
      </c>
      <c r="E6" s="1">
        <v>3.65</v>
      </c>
      <c r="F6" s="4">
        <f>D6*E6</f>
        <v>14.453999999999999</v>
      </c>
      <c r="J6" s="1">
        <f>40-22</f>
        <v>18</v>
      </c>
      <c r="M6" s="4">
        <f>(B6*F6*J6)</f>
        <v>350.97202799999997</v>
      </c>
      <c r="N6" s="1">
        <v>18</v>
      </c>
      <c r="Q6" s="4">
        <f>(B6*F6*N6)</f>
        <v>350.97202799999997</v>
      </c>
      <c r="R6" s="1">
        <v>18</v>
      </c>
      <c r="U6" s="4">
        <f>(B6*F6*R6)</f>
        <v>350.97202799999997</v>
      </c>
    </row>
    <row r="7" spans="1:21" x14ac:dyDescent="0.25">
      <c r="A7" s="1" t="s">
        <v>26</v>
      </c>
      <c r="B7" s="1">
        <v>1.5467</v>
      </c>
      <c r="F7" s="4">
        <v>18.420000000000002</v>
      </c>
      <c r="J7" s="1">
        <f>40-22</f>
        <v>18</v>
      </c>
      <c r="M7" s="4">
        <f>(B7*F7*J7)</f>
        <v>512.82385199999999</v>
      </c>
      <c r="N7" s="1">
        <v>18</v>
      </c>
      <c r="Q7" s="4">
        <f>(B7*F7*N7)</f>
        <v>512.82385199999999</v>
      </c>
      <c r="R7" s="1">
        <v>18</v>
      </c>
      <c r="U7" s="4">
        <v>499.8</v>
      </c>
    </row>
    <row r="8" spans="1:21" x14ac:dyDescent="0.25">
      <c r="A8" s="1" t="s">
        <v>50</v>
      </c>
      <c r="B8" s="1">
        <v>1.4339</v>
      </c>
      <c r="F8" s="4">
        <v>1.4339</v>
      </c>
      <c r="J8" s="1">
        <f>40-22</f>
        <v>18</v>
      </c>
      <c r="M8" s="4">
        <f>(B8*F8*J8)</f>
        <v>37.009245780000001</v>
      </c>
      <c r="N8" s="1">
        <v>18</v>
      </c>
      <c r="Q8" s="4">
        <f>(B8*F8*N8)</f>
        <v>37.009245780000001</v>
      </c>
      <c r="R8" s="1">
        <v>18</v>
      </c>
      <c r="U8" s="4">
        <v>499.8</v>
      </c>
    </row>
    <row r="9" spans="1:21" x14ac:dyDescent="0.25">
      <c r="A9" s="1" t="s">
        <v>25</v>
      </c>
      <c r="B9" s="1">
        <v>1.349</v>
      </c>
      <c r="C9" s="1">
        <v>4.04</v>
      </c>
      <c r="E9" s="1">
        <v>3.65</v>
      </c>
      <c r="F9" s="4">
        <f>C9*E9</f>
        <v>14.746</v>
      </c>
      <c r="J9" s="1">
        <f>40-22</f>
        <v>18</v>
      </c>
      <c r="M9" s="4">
        <f>(B9*F9*J9)</f>
        <v>358.06237200000004</v>
      </c>
      <c r="N9" s="1">
        <v>18</v>
      </c>
      <c r="Q9" s="4">
        <f>(B9*F9*N9)</f>
        <v>358.06237200000004</v>
      </c>
      <c r="R9" s="1">
        <v>18</v>
      </c>
      <c r="U9" s="4">
        <v>499.8</v>
      </c>
    </row>
    <row r="10" spans="1:21" x14ac:dyDescent="0.25">
      <c r="A10" s="1" t="s">
        <v>53</v>
      </c>
      <c r="B10" s="1">
        <v>4.8</v>
      </c>
      <c r="C10" s="1">
        <v>0.61</v>
      </c>
      <c r="D10" s="1">
        <v>0.61</v>
      </c>
      <c r="F10" s="4">
        <f>C10*D10</f>
        <v>0.37209999999999999</v>
      </c>
      <c r="H10" s="1">
        <f>213*3.147</f>
        <v>670.31099999999992</v>
      </c>
      <c r="I10" s="1">
        <v>0.6</v>
      </c>
      <c r="J10" s="1">
        <v>18</v>
      </c>
      <c r="L10" s="1">
        <v>0.17</v>
      </c>
      <c r="M10" s="4">
        <f>((B10*F10*J10)+(F10*I10*H10*L10))</f>
        <v>57.590557756199999</v>
      </c>
      <c r="N10" s="1">
        <v>18</v>
      </c>
      <c r="P10" s="1">
        <v>0.53</v>
      </c>
      <c r="Q10" s="4">
        <f>((B10*F10*N10)+(F10*I10*H10*P10))</f>
        <v>111.46586594579999</v>
      </c>
      <c r="R10" s="1">
        <v>18</v>
      </c>
      <c r="T10" s="1">
        <v>0.82</v>
      </c>
      <c r="U10" s="4">
        <f>((B10*F10*R10)+(F10*I10*H10*T10))</f>
        <v>154.86541976519999</v>
      </c>
    </row>
    <row r="11" spans="1:21" x14ac:dyDescent="0.25">
      <c r="K11" s="13" t="s">
        <v>111</v>
      </c>
      <c r="M11" s="11">
        <f>SUM(M4:M10)</f>
        <v>2190.1146811361996</v>
      </c>
      <c r="Q11" s="11">
        <f>SUM(Q4:Q10)</f>
        <v>2331.1812693257998</v>
      </c>
      <c r="U11" s="11">
        <f>SUM(U4:U10)</f>
        <v>3053.2766333652003</v>
      </c>
    </row>
    <row r="13" spans="1:21" s="9" customFormat="1" x14ac:dyDescent="0.25"/>
    <row r="14" spans="1:21" s="9" customFormat="1" x14ac:dyDescent="0.25"/>
    <row r="15" spans="1:21" x14ac:dyDescent="0.25">
      <c r="A15" s="18" t="s">
        <v>28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21" customFormat="1" x14ac:dyDescent="0.25"/>
    <row r="17" spans="1:12" x14ac:dyDescent="0.25">
      <c r="B17" s="1" t="s">
        <v>29</v>
      </c>
      <c r="C17" s="1" t="s">
        <v>30</v>
      </c>
      <c r="D17" s="1" t="s">
        <v>1</v>
      </c>
      <c r="E17" s="1" t="s">
        <v>31</v>
      </c>
      <c r="F17" s="1" t="s">
        <v>32</v>
      </c>
      <c r="G17" s="1" t="s">
        <v>11</v>
      </c>
      <c r="H17" s="1" t="s">
        <v>33</v>
      </c>
      <c r="I17" s="1" t="s">
        <v>16</v>
      </c>
      <c r="J17" s="1" t="s">
        <v>35</v>
      </c>
      <c r="K17" s="1" t="s">
        <v>20</v>
      </c>
      <c r="L17" s="1" t="s">
        <v>34</v>
      </c>
    </row>
    <row r="18" spans="1:12" x14ac:dyDescent="0.25">
      <c r="A18" s="1" t="s">
        <v>36</v>
      </c>
      <c r="B18" s="1">
        <v>2</v>
      </c>
      <c r="C18" s="4">
        <f>(B18*F4*10)</f>
        <v>319.96800000000002</v>
      </c>
      <c r="D18" s="4">
        <f>C4*D4</f>
        <v>15.9984</v>
      </c>
      <c r="G18" s="1">
        <v>0.86</v>
      </c>
      <c r="H18" s="4">
        <f>(C18*G18)</f>
        <v>275.17248000000001</v>
      </c>
      <c r="I18" s="1">
        <v>0.88</v>
      </c>
      <c r="J18" s="4">
        <f>(C18*I18)</f>
        <v>281.57184000000001</v>
      </c>
      <c r="K18" s="1">
        <v>0.89</v>
      </c>
      <c r="L18" s="4">
        <f>(C18*K18)</f>
        <v>284.77152000000001</v>
      </c>
    </row>
    <row r="19" spans="1:12" x14ac:dyDescent="0.25">
      <c r="A19" s="1" t="s">
        <v>37</v>
      </c>
      <c r="B19" s="1">
        <v>3</v>
      </c>
      <c r="C19" s="18"/>
      <c r="D19" s="18"/>
      <c r="F19" s="1">
        <v>73</v>
      </c>
      <c r="G19" s="1">
        <v>0.82</v>
      </c>
      <c r="H19" s="4">
        <f>(B19*F19*G19)</f>
        <v>179.57999999999998</v>
      </c>
      <c r="I19" s="1">
        <v>0.87</v>
      </c>
      <c r="J19" s="1">
        <f>(B19*F19*I19)</f>
        <v>190.53</v>
      </c>
      <c r="K19" s="1">
        <v>0.9</v>
      </c>
      <c r="L19" s="1">
        <f>(B19*F19*K19)</f>
        <v>197.1</v>
      </c>
    </row>
    <row r="20" spans="1:12" x14ac:dyDescent="0.25">
      <c r="A20" s="1" t="s">
        <v>38</v>
      </c>
      <c r="B20" s="1">
        <v>3</v>
      </c>
      <c r="C20" s="18"/>
      <c r="D20" s="18"/>
      <c r="E20" s="1">
        <v>59</v>
      </c>
      <c r="H20" s="1">
        <f>B20*E20</f>
        <v>177</v>
      </c>
      <c r="J20" s="1">
        <f>B20*E20</f>
        <v>177</v>
      </c>
      <c r="L20" s="1">
        <f>B20*E20</f>
        <v>177</v>
      </c>
    </row>
    <row r="21" spans="1:12" x14ac:dyDescent="0.25">
      <c r="A21" s="5"/>
      <c r="C21" s="21" t="s">
        <v>111</v>
      </c>
      <c r="D21" s="21"/>
      <c r="H21" s="11">
        <f>SUM(H18,H19)</f>
        <v>454.75247999999999</v>
      </c>
      <c r="J21" s="11">
        <f>SUM(H21)</f>
        <v>454.75247999999999</v>
      </c>
      <c r="L21" s="11">
        <f>SUM(L18:L19)</f>
        <v>481.87152000000003</v>
      </c>
    </row>
    <row r="23" spans="1:12" s="9" customFormat="1" x14ac:dyDescent="0.25"/>
    <row r="24" spans="1:12" x14ac:dyDescent="0.25">
      <c r="A24" s="6"/>
      <c r="B24" s="6" t="s">
        <v>104</v>
      </c>
      <c r="C24" s="6" t="s">
        <v>3</v>
      </c>
      <c r="D24" s="6" t="s">
        <v>105</v>
      </c>
      <c r="E24" s="6" t="s">
        <v>106</v>
      </c>
      <c r="F24" s="6" t="s">
        <v>107</v>
      </c>
      <c r="G24" s="6" t="s">
        <v>108</v>
      </c>
      <c r="H24" s="6" t="s">
        <v>109</v>
      </c>
      <c r="I24" s="6" t="s">
        <v>110</v>
      </c>
    </row>
    <row r="25" spans="1:12" x14ac:dyDescent="0.25">
      <c r="A25" s="6" t="s">
        <v>102</v>
      </c>
      <c r="B25" s="6">
        <v>4.04</v>
      </c>
      <c r="C25" s="6">
        <v>3.96</v>
      </c>
      <c r="D25" s="6">
        <v>3.65</v>
      </c>
      <c r="E25" s="4">
        <f>(B25*C25*D25)</f>
        <v>58.394159999999999</v>
      </c>
      <c r="F25" s="4">
        <f>((E25*2*1000)/3600)</f>
        <v>32.441199999999995</v>
      </c>
      <c r="G25" s="6">
        <f>(45-22)</f>
        <v>23</v>
      </c>
      <c r="H25" s="6"/>
      <c r="I25" s="11">
        <f>(1.232*F25*G25)</f>
        <v>919.25384319999989</v>
      </c>
    </row>
    <row r="26" spans="1:12" x14ac:dyDescent="0.25">
      <c r="A26" s="6" t="s">
        <v>103</v>
      </c>
      <c r="B26" s="6">
        <v>4.04</v>
      </c>
      <c r="C26" s="6">
        <v>3.96</v>
      </c>
      <c r="D26" s="6">
        <v>3.65</v>
      </c>
      <c r="E26" s="4">
        <f>(B26*C26*D26)</f>
        <v>58.394159999999999</v>
      </c>
      <c r="F26" s="4">
        <f>((E26*2*1000)/3600)</f>
        <v>32.441199999999995</v>
      </c>
      <c r="G26" s="6"/>
      <c r="H26" s="6">
        <f>(0.0275-0.01)</f>
        <v>1.7500000000000002E-2</v>
      </c>
      <c r="I26" s="11">
        <f>(3012*F26*H26)</f>
        <v>1709.9756520000001</v>
      </c>
    </row>
    <row r="28" spans="1:12" x14ac:dyDescent="0.25">
      <c r="B28" s="9"/>
      <c r="C28" s="9" t="s">
        <v>114</v>
      </c>
      <c r="D28" s="9" t="s">
        <v>115</v>
      </c>
      <c r="E28" s="9" t="s">
        <v>116</v>
      </c>
    </row>
    <row r="29" spans="1:12" x14ac:dyDescent="0.25">
      <c r="B29" s="9" t="s">
        <v>113</v>
      </c>
      <c r="C29" s="12">
        <f>SUM(M11,H21,I25)</f>
        <v>3564.1210043361998</v>
      </c>
      <c r="D29" s="12">
        <f>SUM(Q11,J21,I25)</f>
        <v>3705.1875925258</v>
      </c>
      <c r="E29" s="12">
        <f>SUM(U11,L21,I25)</f>
        <v>4454.4019965652005</v>
      </c>
    </row>
    <row r="30" spans="1:12" x14ac:dyDescent="0.25">
      <c r="B30" s="9" t="s">
        <v>112</v>
      </c>
      <c r="C30" s="12">
        <f>SUM(H20,I26)</f>
        <v>1886.9756520000001</v>
      </c>
      <c r="D30" s="12">
        <f>SUM(J20,I26)</f>
        <v>1886.9756520000001</v>
      </c>
      <c r="E30" s="12">
        <f>SUM(I26,L20)</f>
        <v>1886.9756520000001</v>
      </c>
    </row>
  </sheetData>
  <mergeCells count="4">
    <mergeCell ref="A1:U1"/>
    <mergeCell ref="A15:L15"/>
    <mergeCell ref="C19:D20"/>
    <mergeCell ref="C21:D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C349-61D9-4BEA-8810-4AC4F7B4E398}">
  <dimension ref="A1:U29"/>
  <sheetViews>
    <sheetView topLeftCell="C9" workbookViewId="0">
      <selection activeCell="C28" sqref="C28:E28"/>
    </sheetView>
  </sheetViews>
  <sheetFormatPr defaultRowHeight="15" x14ac:dyDescent="0.25"/>
  <cols>
    <col min="1" max="1" width="49.28515625" style="1" bestFit="1" customWidth="1"/>
    <col min="2" max="2" width="51" style="1" bestFit="1" customWidth="1"/>
    <col min="3" max="3" width="10.7109375" style="1" bestFit="1" customWidth="1"/>
    <col min="4" max="4" width="8.5703125" style="1" bestFit="1" customWidth="1"/>
    <col min="5" max="5" width="9.7109375" style="1" bestFit="1" customWidth="1"/>
    <col min="6" max="6" width="20.140625" style="1" bestFit="1" customWidth="1"/>
    <col min="7" max="7" width="9.42578125" style="1" bestFit="1" customWidth="1"/>
    <col min="8" max="8" width="25.85546875" style="1" bestFit="1" customWidth="1"/>
    <col min="9" max="9" width="17.42578125" style="1" bestFit="1" customWidth="1"/>
    <col min="10" max="10" width="22.140625" style="1" bestFit="1" customWidth="1"/>
    <col min="11" max="11" width="20.5703125" style="1" bestFit="1" customWidth="1"/>
    <col min="12" max="12" width="22.140625" style="1" bestFit="1" customWidth="1"/>
    <col min="13" max="13" width="26" style="1" bestFit="1" customWidth="1"/>
    <col min="14" max="14" width="15.5703125" style="1" bestFit="1" customWidth="1"/>
    <col min="15" max="15" width="20.5703125" style="1" bestFit="1" customWidth="1"/>
    <col min="16" max="16" width="10.140625" style="1" bestFit="1" customWidth="1"/>
    <col min="17" max="17" width="25.28515625" style="1" bestFit="1" customWidth="1"/>
    <col min="18" max="18" width="15.5703125" style="1" bestFit="1" customWidth="1"/>
    <col min="19" max="19" width="20.5703125" style="1" bestFit="1" customWidth="1"/>
    <col min="20" max="20" width="10.140625" style="1" bestFit="1" customWidth="1"/>
    <col min="21" max="21" width="25.28515625" style="1" bestFit="1" customWidth="1"/>
    <col min="22" max="16384" width="9.140625" style="1"/>
  </cols>
  <sheetData>
    <row r="1" spans="1:21" ht="27" x14ac:dyDescent="0.35">
      <c r="A1" s="19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25">
      <c r="B3" s="3" t="s">
        <v>6</v>
      </c>
      <c r="C3" s="3" t="s">
        <v>2</v>
      </c>
      <c r="D3" s="3" t="s">
        <v>3</v>
      </c>
      <c r="E3" s="3" t="s">
        <v>4</v>
      </c>
      <c r="F3" s="3" t="s">
        <v>7</v>
      </c>
      <c r="G3" s="3" t="s">
        <v>14</v>
      </c>
      <c r="H3" s="3" t="s">
        <v>8</v>
      </c>
      <c r="I3" s="3" t="s">
        <v>13</v>
      </c>
      <c r="J3" s="3" t="s">
        <v>9</v>
      </c>
      <c r="K3" s="3" t="s">
        <v>10</v>
      </c>
      <c r="L3" s="3" t="s">
        <v>11</v>
      </c>
      <c r="M3" s="3" t="s">
        <v>21</v>
      </c>
      <c r="N3" s="3" t="s">
        <v>15</v>
      </c>
      <c r="O3" s="3" t="s">
        <v>17</v>
      </c>
      <c r="P3" s="3" t="s">
        <v>16</v>
      </c>
      <c r="Q3" s="3" t="s">
        <v>22</v>
      </c>
      <c r="R3" s="3" t="s">
        <v>18</v>
      </c>
      <c r="S3" s="3" t="s">
        <v>19</v>
      </c>
      <c r="T3" s="3" t="s">
        <v>20</v>
      </c>
      <c r="U3" s="3" t="s">
        <v>23</v>
      </c>
    </row>
    <row r="4" spans="1:21" x14ac:dyDescent="0.25">
      <c r="A4" s="1" t="s">
        <v>5</v>
      </c>
      <c r="B4" s="1">
        <v>1.0900000000000001</v>
      </c>
      <c r="C4" s="1">
        <v>4.04</v>
      </c>
      <c r="D4" s="1">
        <v>3.96</v>
      </c>
      <c r="F4" s="4">
        <f>(C4*D4)</f>
        <v>15.9984</v>
      </c>
      <c r="G4" s="4">
        <v>1</v>
      </c>
      <c r="J4" s="1">
        <v>12</v>
      </c>
      <c r="K4" s="1">
        <v>32.1</v>
      </c>
      <c r="M4" s="4">
        <f>(B4*F4*K4)</f>
        <v>559.76801760000012</v>
      </c>
      <c r="N4" s="1">
        <v>17</v>
      </c>
      <c r="O4" s="1">
        <v>37.1</v>
      </c>
      <c r="Q4" s="4">
        <f>(B4*F4*O4)</f>
        <v>646.95929760000013</v>
      </c>
      <c r="R4" s="1">
        <v>22</v>
      </c>
      <c r="S4" s="1">
        <v>42.1</v>
      </c>
      <c r="U4" s="4">
        <f>(B4*F4*S4)</f>
        <v>734.15057760000013</v>
      </c>
    </row>
    <row r="5" spans="1:21" x14ac:dyDescent="0.25">
      <c r="A5" s="1" t="s">
        <v>12</v>
      </c>
      <c r="B5" s="1">
        <v>1.0900000000000001</v>
      </c>
      <c r="C5" s="1">
        <v>4.04</v>
      </c>
      <c r="D5" s="1">
        <v>3.96</v>
      </c>
      <c r="F5" s="4">
        <f>C5*D5</f>
        <v>15.9984</v>
      </c>
      <c r="J5" s="1">
        <f>40-22</f>
        <v>18</v>
      </c>
      <c r="M5" s="4">
        <f>(B5*F5*J5)</f>
        <v>313.88860800000003</v>
      </c>
      <c r="N5" s="1">
        <v>18</v>
      </c>
      <c r="Q5" s="4">
        <f>(B5*F5*N5)</f>
        <v>313.88860800000003</v>
      </c>
      <c r="R5" s="1">
        <v>18</v>
      </c>
      <c r="U5" s="4">
        <f>(B5*F5*R5)</f>
        <v>313.88860800000003</v>
      </c>
    </row>
    <row r="6" spans="1:21" x14ac:dyDescent="0.25">
      <c r="A6" s="1" t="s">
        <v>54</v>
      </c>
      <c r="B6" s="1">
        <v>1.349</v>
      </c>
      <c r="D6" s="1">
        <v>3.96</v>
      </c>
      <c r="E6" s="1">
        <v>3.65</v>
      </c>
      <c r="F6" s="4">
        <f>D6*E6</f>
        <v>14.453999999999999</v>
      </c>
      <c r="J6" s="1">
        <f>40-22</f>
        <v>18</v>
      </c>
      <c r="M6" s="4">
        <f>(B6*F6*J6)</f>
        <v>350.97202799999997</v>
      </c>
      <c r="N6" s="1">
        <v>18</v>
      </c>
      <c r="Q6" s="4">
        <f>(B6*F6*N6)</f>
        <v>350.97202799999997</v>
      </c>
      <c r="R6" s="1">
        <v>18</v>
      </c>
      <c r="U6" s="4">
        <f>(B6*F6*R6)</f>
        <v>350.97202799999997</v>
      </c>
    </row>
    <row r="7" spans="1:21" x14ac:dyDescent="0.25">
      <c r="A7" s="1" t="s">
        <v>59</v>
      </c>
      <c r="B7" s="1">
        <v>1.5467</v>
      </c>
      <c r="F7" s="4">
        <v>18.420000000000002</v>
      </c>
      <c r="J7" s="1">
        <f>40-22</f>
        <v>18</v>
      </c>
      <c r="M7" s="4">
        <f>(B7*F7*J7)</f>
        <v>512.82385199999999</v>
      </c>
      <c r="N7" s="1">
        <v>18</v>
      </c>
      <c r="Q7" s="4">
        <f>(B7*F7*N7)</f>
        <v>512.82385199999999</v>
      </c>
      <c r="R7" s="1">
        <v>18</v>
      </c>
      <c r="U7" s="4">
        <v>499.8</v>
      </c>
    </row>
    <row r="8" spans="1:21" x14ac:dyDescent="0.25">
      <c r="A8" s="1" t="s">
        <v>50</v>
      </c>
      <c r="B8" s="1">
        <v>1.4339</v>
      </c>
      <c r="F8" s="4">
        <v>1.4339</v>
      </c>
      <c r="J8" s="1">
        <f>40-22</f>
        <v>18</v>
      </c>
      <c r="M8" s="4">
        <f>(B8*F8*J8)</f>
        <v>37.009245780000001</v>
      </c>
      <c r="N8" s="1">
        <v>18</v>
      </c>
      <c r="Q8" s="4">
        <f>(B8*F8*N8)</f>
        <v>37.009245780000001</v>
      </c>
      <c r="R8" s="1">
        <v>18</v>
      </c>
      <c r="U8" s="4">
        <v>499.8</v>
      </c>
    </row>
    <row r="9" spans="1:21" x14ac:dyDescent="0.25">
      <c r="A9" s="1" t="s">
        <v>25</v>
      </c>
      <c r="B9" s="1">
        <v>1.349</v>
      </c>
      <c r="C9" s="1">
        <v>4.04</v>
      </c>
      <c r="E9" s="1">
        <v>3.65</v>
      </c>
      <c r="F9" s="4">
        <f>C9*E9</f>
        <v>14.746</v>
      </c>
      <c r="J9" s="1">
        <f>40-22</f>
        <v>18</v>
      </c>
      <c r="M9" s="4">
        <f>(B9*F9*J9)</f>
        <v>358.06237200000004</v>
      </c>
      <c r="N9" s="1">
        <v>18</v>
      </c>
      <c r="Q9" s="4">
        <f>(B9*F9*N9)</f>
        <v>358.06237200000004</v>
      </c>
      <c r="R9" s="1">
        <v>18</v>
      </c>
      <c r="U9" s="4">
        <v>499.8</v>
      </c>
    </row>
    <row r="10" spans="1:21" x14ac:dyDescent="0.25">
      <c r="A10" s="1" t="s">
        <v>53</v>
      </c>
      <c r="B10" s="1">
        <v>4.8</v>
      </c>
      <c r="C10" s="1">
        <v>0.61</v>
      </c>
      <c r="D10" s="1">
        <v>0.61</v>
      </c>
      <c r="F10" s="4">
        <f>C10*D10</f>
        <v>0.37209999999999999</v>
      </c>
      <c r="H10" s="1">
        <f>213*3.147</f>
        <v>670.31099999999992</v>
      </c>
      <c r="I10" s="1">
        <v>0.6</v>
      </c>
      <c r="J10" s="1">
        <v>18</v>
      </c>
      <c r="L10" s="1">
        <v>0.17</v>
      </c>
      <c r="M10" s="4">
        <f>((B10*F10*J10)+(F10*I10*H10*L10))</f>
        <v>57.590557756199999</v>
      </c>
      <c r="N10" s="1">
        <v>18</v>
      </c>
      <c r="P10" s="1">
        <v>0.53</v>
      </c>
      <c r="Q10" s="4">
        <f>((B10*F10*N10)+(F10*I10*H10*P10))</f>
        <v>111.46586594579999</v>
      </c>
      <c r="R10" s="1">
        <v>18</v>
      </c>
      <c r="T10" s="1">
        <v>0.82</v>
      </c>
      <c r="U10" s="4">
        <f>((B10*F10*R10)+(F10*I10*H10*T10))</f>
        <v>154.86541976519999</v>
      </c>
    </row>
    <row r="11" spans="1:21" x14ac:dyDescent="0.25">
      <c r="K11" s="13" t="s">
        <v>111</v>
      </c>
      <c r="M11" s="11">
        <f>SUM(M4:M10)</f>
        <v>2190.1146811361996</v>
      </c>
      <c r="Q11" s="11">
        <f>SUM(Q4:Q10)</f>
        <v>2331.1812693257998</v>
      </c>
      <c r="U11" s="11">
        <f>SUM(U4:U10)</f>
        <v>3053.2766333652003</v>
      </c>
    </row>
    <row r="13" spans="1:21" x14ac:dyDescent="0.25">
      <c r="A13" s="18" t="s">
        <v>28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21" customFormat="1" x14ac:dyDescent="0.25"/>
    <row r="15" spans="1:21" x14ac:dyDescent="0.25">
      <c r="B15" s="1" t="s">
        <v>29</v>
      </c>
      <c r="C15" s="1" t="s">
        <v>30</v>
      </c>
      <c r="D15" s="1" t="s">
        <v>1</v>
      </c>
      <c r="E15" s="1" t="s">
        <v>31</v>
      </c>
      <c r="F15" s="1" t="s">
        <v>32</v>
      </c>
      <c r="G15" s="1" t="s">
        <v>11</v>
      </c>
      <c r="H15" s="1" t="s">
        <v>33</v>
      </c>
      <c r="I15" s="1" t="s">
        <v>16</v>
      </c>
      <c r="J15" s="1" t="s">
        <v>35</v>
      </c>
      <c r="K15" s="1" t="s">
        <v>20</v>
      </c>
      <c r="L15" s="1" t="s">
        <v>34</v>
      </c>
    </row>
    <row r="16" spans="1:21" x14ac:dyDescent="0.25">
      <c r="A16" s="1" t="s">
        <v>36</v>
      </c>
      <c r="B16" s="1">
        <v>2</v>
      </c>
      <c r="C16" s="4">
        <f>(B16*F4*10)</f>
        <v>319.96800000000002</v>
      </c>
      <c r="D16" s="4">
        <f>C4*D4</f>
        <v>15.9984</v>
      </c>
      <c r="G16" s="1">
        <v>0.86</v>
      </c>
      <c r="H16" s="4">
        <f>(C16*G16)</f>
        <v>275.17248000000001</v>
      </c>
      <c r="I16" s="1">
        <v>0.88</v>
      </c>
      <c r="J16" s="4">
        <f>(C16*I16)</f>
        <v>281.57184000000001</v>
      </c>
      <c r="K16" s="1">
        <v>0.89</v>
      </c>
      <c r="L16" s="4">
        <f>(C16*K16)</f>
        <v>284.77152000000001</v>
      </c>
    </row>
    <row r="17" spans="1:12" x14ac:dyDescent="0.25">
      <c r="A17" s="1" t="s">
        <v>37</v>
      </c>
      <c r="B17" s="1">
        <v>3</v>
      </c>
      <c r="C17" s="18"/>
      <c r="D17" s="18"/>
      <c r="F17" s="1">
        <v>73</v>
      </c>
      <c r="G17" s="1">
        <v>0.82</v>
      </c>
      <c r="H17" s="4">
        <f>(B17*F17*G17)</f>
        <v>179.57999999999998</v>
      </c>
      <c r="I17" s="1">
        <v>0.87</v>
      </c>
      <c r="J17" s="1">
        <f>(B17*F17*I17)</f>
        <v>190.53</v>
      </c>
      <c r="K17" s="1">
        <v>0.9</v>
      </c>
      <c r="L17" s="1">
        <f>(B17*F17*K17)</f>
        <v>197.1</v>
      </c>
    </row>
    <row r="18" spans="1:12" x14ac:dyDescent="0.25">
      <c r="A18" s="1" t="s">
        <v>38</v>
      </c>
      <c r="B18" s="1">
        <v>3</v>
      </c>
      <c r="C18" s="18"/>
      <c r="D18" s="18"/>
      <c r="E18" s="1">
        <v>59</v>
      </c>
      <c r="H18" s="1">
        <f>B18*E18</f>
        <v>177</v>
      </c>
      <c r="J18" s="1">
        <f>B18*E18</f>
        <v>177</v>
      </c>
      <c r="L18" s="1">
        <f>B18*E18</f>
        <v>177</v>
      </c>
    </row>
    <row r="19" spans="1:12" x14ac:dyDescent="0.25">
      <c r="A19" s="5"/>
      <c r="C19" s="20" t="s">
        <v>111</v>
      </c>
      <c r="D19" s="22"/>
      <c r="H19" s="11">
        <f>SUM(H16:H17)</f>
        <v>454.75247999999999</v>
      </c>
      <c r="J19" s="11">
        <f>SUM(J16:J17)</f>
        <v>472.10184000000004</v>
      </c>
      <c r="L19" s="11">
        <f>SUM(L16:L17)</f>
        <v>481.87152000000003</v>
      </c>
    </row>
    <row r="21" spans="1:12" s="9" customFormat="1" x14ac:dyDescent="0.25"/>
    <row r="22" spans="1:12" x14ac:dyDescent="0.25">
      <c r="A22" s="6"/>
      <c r="B22" s="6" t="s">
        <v>104</v>
      </c>
      <c r="C22" s="6" t="s">
        <v>3</v>
      </c>
      <c r="D22" s="6" t="s">
        <v>105</v>
      </c>
      <c r="E22" s="6" t="s">
        <v>106</v>
      </c>
      <c r="F22" s="6" t="s">
        <v>107</v>
      </c>
      <c r="G22" s="6" t="s">
        <v>108</v>
      </c>
      <c r="H22" s="6" t="s">
        <v>109</v>
      </c>
      <c r="I22" s="6" t="s">
        <v>110</v>
      </c>
    </row>
    <row r="23" spans="1:12" x14ac:dyDescent="0.25">
      <c r="A23" s="6" t="s">
        <v>102</v>
      </c>
      <c r="B23" s="6">
        <v>4.04</v>
      </c>
      <c r="C23" s="6">
        <v>3.96</v>
      </c>
      <c r="D23" s="6">
        <v>3.65</v>
      </c>
      <c r="E23" s="4">
        <f>(B23*C23*D23)</f>
        <v>58.394159999999999</v>
      </c>
      <c r="F23" s="4">
        <f>((E23*2*1000)/3600)</f>
        <v>32.441199999999995</v>
      </c>
      <c r="G23" s="6">
        <f>(45-22)</f>
        <v>23</v>
      </c>
      <c r="H23" s="6"/>
      <c r="I23" s="11">
        <f>(1.232*F23*G23)</f>
        <v>919.25384319999989</v>
      </c>
    </row>
    <row r="24" spans="1:12" x14ac:dyDescent="0.25">
      <c r="A24" s="6" t="s">
        <v>103</v>
      </c>
      <c r="B24" s="6">
        <v>4.04</v>
      </c>
      <c r="C24" s="6">
        <v>3.96</v>
      </c>
      <c r="D24" s="6">
        <v>3.65</v>
      </c>
      <c r="E24" s="4">
        <f>(B24*C24*D24)</f>
        <v>58.394159999999999</v>
      </c>
      <c r="F24" s="4">
        <f>((E24*2*1000)/3600)</f>
        <v>32.441199999999995</v>
      </c>
      <c r="G24" s="6"/>
      <c r="H24" s="6">
        <f>(0.0275-0.01)</f>
        <v>1.7500000000000002E-2</v>
      </c>
      <c r="I24" s="11">
        <f>(3012*F24*H24)</f>
        <v>1709.9756520000001</v>
      </c>
    </row>
    <row r="27" spans="1:12" x14ac:dyDescent="0.25">
      <c r="B27" s="9"/>
      <c r="C27" s="9" t="s">
        <v>114</v>
      </c>
      <c r="D27" s="9" t="s">
        <v>115</v>
      </c>
      <c r="E27" s="9" t="s">
        <v>116</v>
      </c>
    </row>
    <row r="28" spans="1:12" x14ac:dyDescent="0.25">
      <c r="B28" s="9" t="s">
        <v>113</v>
      </c>
      <c r="C28" s="12">
        <f>SUM(M11,H19,I23)</f>
        <v>3564.1210043361998</v>
      </c>
      <c r="D28" s="12">
        <f>SUM(Q11,J19,I23)</f>
        <v>3722.5369525258002</v>
      </c>
      <c r="E28" s="12">
        <f>SUM(I23,L19,U11)</f>
        <v>4454.4019965652005</v>
      </c>
    </row>
    <row r="29" spans="1:12" x14ac:dyDescent="0.25">
      <c r="B29" s="9" t="s">
        <v>112</v>
      </c>
      <c r="C29" s="12">
        <f>SUM(I24,H18)</f>
        <v>1886.9756520000001</v>
      </c>
      <c r="D29" s="12">
        <f>SUM(I24,J18)</f>
        <v>1886.9756520000001</v>
      </c>
      <c r="E29" s="12">
        <f>SUM(L18,I24)</f>
        <v>1886.9756520000001</v>
      </c>
    </row>
  </sheetData>
  <mergeCells count="4">
    <mergeCell ref="A1:U1"/>
    <mergeCell ref="A13:L13"/>
    <mergeCell ref="C17:D18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LAB</vt:lpstr>
      <vt:lpstr>C-8</vt:lpstr>
      <vt:lpstr>P-2+STORE</vt:lpstr>
      <vt:lpstr>P-1</vt:lpstr>
      <vt:lpstr>ROUTINE CHECK UP ROOM</vt:lpstr>
      <vt:lpstr>HELP DESK</vt:lpstr>
      <vt:lpstr>STORE-2</vt:lpstr>
      <vt:lpstr>FEMALE TOILET</vt:lpstr>
      <vt:lpstr>MALE TOILET</vt:lpstr>
      <vt:lpstr>MEDICAL STORE-1</vt:lpstr>
      <vt:lpstr>STAFF ROOM</vt:lpstr>
      <vt:lpstr>FIRST AID ROOM</vt:lpstr>
      <vt:lpstr>CLERK ROOM</vt:lpstr>
      <vt:lpstr>C-1</vt:lpstr>
      <vt:lpstr>C-2</vt:lpstr>
      <vt:lpstr>C-3</vt:lpstr>
      <vt:lpstr>C-4</vt:lpstr>
      <vt:lpstr>C-6</vt:lpstr>
      <vt:lpstr>C-7</vt:lpstr>
      <vt:lpstr>E-2</vt:lpstr>
      <vt:lpstr>E-3</vt:lpstr>
      <vt:lpstr>E-4</vt:lpstr>
      <vt:lpstr>E-5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Lakdawala</dc:creator>
  <cp:lastModifiedBy>Smit Lakdawala</cp:lastModifiedBy>
  <dcterms:created xsi:type="dcterms:W3CDTF">2022-04-16T20:03:58Z</dcterms:created>
  <dcterms:modified xsi:type="dcterms:W3CDTF">2022-04-24T00:24:39Z</dcterms:modified>
</cp:coreProperties>
</file>