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8" documentId="11_A86C6C7070909563E1E15BB5C12528E350C6E377" xr6:coauthVersionLast="47" xr6:coauthVersionMax="47" xr10:uidLastSave="{B1365F22-685B-4317-9B54-6E82283D180F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1" l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<sst xmlns="http://schemas.openxmlformats.org/spreadsheetml/2006/main" count="1307" uniqueCount="644">
  <si>
    <t>Ticker</t>
  </si>
  <si>
    <t>Marketcap ($MM)</t>
  </si>
  <si>
    <t>Timing</t>
  </si>
  <si>
    <t>Detailed Timing</t>
  </si>
  <si>
    <t>Event</t>
  </si>
  <si>
    <t>Notes</t>
  </si>
  <si>
    <t>ACRS</t>
  </si>
  <si>
    <t>1H 2025</t>
  </si>
  <si>
    <t>Ph2a open-label ATI-2138 (ITK) AD data</t>
  </si>
  <si>
    <t>ACRV</t>
  </si>
  <si>
    <t>Ph2b ACR-368 gynecological cancers program updates</t>
  </si>
  <si>
    <t>ALXO</t>
  </si>
  <si>
    <t>Ph2 ASPEN-03 of evorpacept + keytruda for HNSCC topline data</t>
  </si>
  <si>
    <t>Ph2 ASPEN-04 of evorpacept + keytruda + chemo for HNSCC topline data</t>
  </si>
  <si>
    <t>Ph2 ASPEN-06 of evorpacept updated gastric cancer data</t>
  </si>
  <si>
    <t>Ph1 ASPEN-07 of evorpacept + padcev urothelial cancer data</t>
  </si>
  <si>
    <t>ANNX</t>
  </si>
  <si>
    <t>ANX005 GBS BLA submission</t>
  </si>
  <si>
    <t>ANRO</t>
  </si>
  <si>
    <t>Ph2b for ANRO-300 in MDD data</t>
  </si>
  <si>
    <t>Ph2 ALTO-203 for MDD with anhedonia POC data</t>
  </si>
  <si>
    <t>ANTX</t>
  </si>
  <si>
    <t>End of Ph2 meeting for epetraborole next steps</t>
  </si>
  <si>
    <t>APRE</t>
  </si>
  <si>
    <t>Ph1 APR-1051 (oral WEE1 inh.) open label safety/efficacy data</t>
  </si>
  <si>
    <t>ARTV</t>
  </si>
  <si>
    <t>At least one of Ph1 AlloNK LN and/or basket IIT data</t>
  </si>
  <si>
    <t>ASMB</t>
  </si>
  <si>
    <t>Ph1b ABI-5366 for recurrent genital herpes interim data</t>
  </si>
  <si>
    <t>AVXL</t>
  </si>
  <si>
    <t>Ph2 Part B pbo controlled schizophrenia data</t>
  </si>
  <si>
    <t>BHVN</t>
  </si>
  <si>
    <t>Ph3 of troriluzole for OCD topline data</t>
  </si>
  <si>
    <t>BHV-7000 bipolar data</t>
  </si>
  <si>
    <t>CELC</t>
  </si>
  <si>
    <t>Late Q1 or Q2</t>
  </si>
  <si>
    <t>Ph3 breast cancer PIK3CA WT data</t>
  </si>
  <si>
    <t>CoE Q4</t>
  </si>
  <si>
    <t>CHRS</t>
  </si>
  <si>
    <t>Ph1 casdozokitug combo in 2-4L NSCLC data</t>
  </si>
  <si>
    <t>Ph1 CHS-114 mono and combo HNSCC data</t>
  </si>
  <si>
    <t>CMRX</t>
  </si>
  <si>
    <t>Ph1 ONC206 CNS tumor basket dose escalation data</t>
  </si>
  <si>
    <t>CRDF</t>
  </si>
  <si>
    <t>Onvansertib additional CRC RCT data</t>
  </si>
  <si>
    <t>CRGX</t>
  </si>
  <si>
    <t>Ph2 FIRCE-1 of firi-cel interim analysis</t>
  </si>
  <si>
    <t>CTMX</t>
  </si>
  <si>
    <t>Ph1a CX-2051 (EpCAM) data</t>
  </si>
  <si>
    <t>CTNM</t>
  </si>
  <si>
    <t>Ph1b open label PIPE-791 data</t>
  </si>
  <si>
    <t>CYTK</t>
  </si>
  <si>
    <t>MAPLE-HCM data</t>
  </si>
  <si>
    <t>DMAC</t>
  </si>
  <si>
    <t>Ph2 DM199 preeclampsia POC data</t>
  </si>
  <si>
    <t>DSGN</t>
  </si>
  <si>
    <t>DT-168 HV data</t>
  </si>
  <si>
    <t>ELEV</t>
  </si>
  <si>
    <t>Ph1 EO-3021 (CLDN 18.2 ADC) additional monotherapy data</t>
  </si>
  <si>
    <t>EWTX</t>
  </si>
  <si>
    <t>FDA EoP2 feedback on CANYON data</t>
  </si>
  <si>
    <t>FGEN</t>
  </si>
  <si>
    <t>Ph2 FG-3246 + enzalutamid topline data</t>
  </si>
  <si>
    <t>JSPR</t>
  </si>
  <si>
    <t>SPOTLIGHT full data incl. 180 mg cohort</t>
  </si>
  <si>
    <t>KZR</t>
  </si>
  <si>
    <t>Ph2a PORTOLA for zetomipzomib (LN death tx) vs pbo in AIH PoC data</t>
  </si>
  <si>
    <t>LXEO</t>
  </si>
  <si>
    <t>PKP2 data</t>
  </si>
  <si>
    <t>MGNX</t>
  </si>
  <si>
    <t>Ph2 RCT lorigerlimab + docetaxel vs docetaxel in 2L mCRPC rPFS data</t>
  </si>
  <si>
    <t>MLYS</t>
  </si>
  <si>
    <t>Ph2 Explore-CKD data</t>
  </si>
  <si>
    <t>Mid 1H</t>
  </si>
  <si>
    <t>Ph3 Launch-HTN trial of lorundrostat for uHTN or rHTN data</t>
  </si>
  <si>
    <t>MURA</t>
  </si>
  <si>
    <t>Nemvaleukin alfa in PROC and mucosal melanoma data (ALKS spinout)</t>
  </si>
  <si>
    <t>NGNE</t>
  </si>
  <si>
    <t>Rett syndrome gene tx registrational trial design update</t>
  </si>
  <si>
    <t>NMRA</t>
  </si>
  <si>
    <t>Ph3 KOASTAL-2 and 3 of NMRA-140 in MDD data</t>
  </si>
  <si>
    <t>NUVL</t>
  </si>
  <si>
    <t xml:space="preserve">Ph1/2 pivotal ARROS-1 data of zidesamtinib in TKI pre-treated ROS1+ NSCLC </t>
  </si>
  <si>
    <t>ONCY</t>
  </si>
  <si>
    <t>Ph2 GOBLET cohort 4 efficacy and cohort 5 safety data, maybe reg. RCT info</t>
  </si>
  <si>
    <t>ORIC</t>
  </si>
  <si>
    <t>Ph1b ORIC-114 updated data</t>
  </si>
  <si>
    <t>OVID</t>
  </si>
  <si>
    <t>TAK soticlestat filing acceptance?</t>
  </si>
  <si>
    <t>PRAX</t>
  </si>
  <si>
    <t>Ph2 RADIANT FOS data</t>
  </si>
  <si>
    <t>PRTA</t>
  </si>
  <si>
    <t>Q4 24 to Q2 25</t>
  </si>
  <si>
    <t>Ph3 confirmatory AFFIRM-AL birtamimab data</t>
  </si>
  <si>
    <t>Ph2 coramitug ATTR cardiomyopathy data</t>
  </si>
  <si>
    <t>RGLS</t>
  </si>
  <si>
    <t>Ph1b final data</t>
  </si>
  <si>
    <t>RYTM</t>
  </si>
  <si>
    <t>Ph3 for setmelanotide for hypothalamic obesity data</t>
  </si>
  <si>
    <t>SAVA</t>
  </si>
  <si>
    <t>La. Q1/ Early Q2</t>
  </si>
  <si>
    <t>Ph3 REFOCUS-ALZ (discontinued) data</t>
  </si>
  <si>
    <t>SUPN</t>
  </si>
  <si>
    <t>Ph2b SPN-820 TRD data</t>
  </si>
  <si>
    <t>SWTX</t>
  </si>
  <si>
    <t>Ph2 nirogacestat/Ogsiveo mono tx ovarian granulosa cell tumor data</t>
  </si>
  <si>
    <t>SYRE</t>
  </si>
  <si>
    <t>Ph1 SPY002 (YTE anti-TL1A) HV interim data</t>
  </si>
  <si>
    <t>TRVI</t>
  </si>
  <si>
    <t>Ph2b CORAL for haduvio for chronic cough in IPF data</t>
  </si>
  <si>
    <t>TSHA</t>
  </si>
  <si>
    <t>Ph1/2 TSHA-102 cohort 2 data + cohort 1 updates in all age groups</t>
  </si>
  <si>
    <t>TSHA-102 Rett gene tx data</t>
  </si>
  <si>
    <t>VALN</t>
  </si>
  <si>
    <t>Ph1 VLA1601 (zika vaccine) topline safety + immunogenicity data</t>
  </si>
  <si>
    <t>VERV</t>
  </si>
  <si>
    <t>Ph1 Heart-2 VERVE-102 initial data + PCSK9 update</t>
  </si>
  <si>
    <t>VIGL</t>
  </si>
  <si>
    <t>IGNITE for iluzanebart in ALSP final analysis</t>
  </si>
  <si>
    <t>VOR</t>
  </si>
  <si>
    <t>VBP301 data</t>
  </si>
  <si>
    <t>VTYX</t>
  </si>
  <si>
    <t>Ph2a VTX3232 (NLRP3) parkinson's data</t>
  </si>
  <si>
    <t>VYGR</t>
  </si>
  <si>
    <t>VY7523 SAD initial safety and PK data</t>
  </si>
  <si>
    <t>XENE</t>
  </si>
  <si>
    <t>Investigator-led MDD data</t>
  </si>
  <si>
    <t>AKRO</t>
  </si>
  <si>
    <t>1Q 2025</t>
  </si>
  <si>
    <t>Feb</t>
  </si>
  <si>
    <t>Ph2b EFX F4 NASH 96 wk data</t>
  </si>
  <si>
    <t>ALLK</t>
  </si>
  <si>
    <t>Early Q1</t>
  </si>
  <si>
    <t>Ph1 AK006 in CSU pbo controlled data</t>
  </si>
  <si>
    <t>ALMS</t>
  </si>
  <si>
    <t>Ph2 ESK-001 52 week psoriasis OLE data</t>
  </si>
  <si>
    <t>ANAB</t>
  </si>
  <si>
    <t>Ph2b for rosnilimab in RA data</t>
  </si>
  <si>
    <t>ANX1502 CAD POC data</t>
  </si>
  <si>
    <t>APLT</t>
  </si>
  <si>
    <t>Govorestat MAA decision</t>
  </si>
  <si>
    <t>Govorestat for SORD NDA submission</t>
  </si>
  <si>
    <t>ARVN</t>
  </si>
  <si>
    <t>If not Q4</t>
  </si>
  <si>
    <t>Ph3 VERITAC-2 data</t>
  </si>
  <si>
    <t>ATRA</t>
  </si>
  <si>
    <t>Tab-cel PDUFA</t>
  </si>
  <si>
    <t>AUTL</t>
  </si>
  <si>
    <t>Ph1 obe-cel for SLE data</t>
  </si>
  <si>
    <t>Alz OLE data @ JPM (company presents Thurs)</t>
  </si>
  <si>
    <t>AXSM</t>
  </si>
  <si>
    <t>PDUFA</t>
  </si>
  <si>
    <t>Ph3 solriamfetol ADHD data</t>
  </si>
  <si>
    <t>Ph3 solriamfetol MDD data</t>
  </si>
  <si>
    <t>BDTX</t>
  </si>
  <si>
    <t>Ph2 BDTX-1535 non-classical EGFRm NSCLC data</t>
  </si>
  <si>
    <t>BIOA</t>
  </si>
  <si>
    <t>Share updated plans for azelaprag</t>
  </si>
  <si>
    <t>BLTE</t>
  </si>
  <si>
    <t>Ph3 STGD1 IA</t>
  </si>
  <si>
    <t>BPMC</t>
  </si>
  <si>
    <t>Early</t>
  </si>
  <si>
    <t>BLU-808 HV data</t>
  </si>
  <si>
    <t>CAMP</t>
  </si>
  <si>
    <t>Ph1 CMP-CPS-001 SAD data</t>
  </si>
  <si>
    <t>Ph2 casdozokitug combo 1L HCC final data</t>
  </si>
  <si>
    <t>CMMB</t>
  </si>
  <si>
    <t>Ph2 SPRING of CM-101 in PSC OLE data</t>
  </si>
  <si>
    <t>CMPX</t>
  </si>
  <si>
    <t>End</t>
  </si>
  <si>
    <t>Ph2/3 CTX-009+Pac combo in advanced BTC data</t>
  </si>
  <si>
    <t>CRBP</t>
  </si>
  <si>
    <t>CRB-701 dose escalation data</t>
  </si>
  <si>
    <t>CRNX</t>
  </si>
  <si>
    <t>Ph2 atumelnant for CAH data</t>
  </si>
  <si>
    <t>CRVO</t>
  </si>
  <si>
    <t>Ph2b RewinD-LB detailed safety &amp; efficacy data @ ILBDC</t>
  </si>
  <si>
    <t>CRVS</t>
  </si>
  <si>
    <t>Early 2025</t>
  </si>
  <si>
    <t>Ph1 RCT soquelitinib (ITK) vs pbo for AD final data</t>
  </si>
  <si>
    <t>DYN</t>
  </si>
  <si>
    <t>Early Jan</t>
  </si>
  <si>
    <t>Ph1/2 ACHIEVE of DYN-101 in DM1 updated data</t>
  </si>
  <si>
    <t>ETON</t>
  </si>
  <si>
    <t>ET-400 PDUFA</t>
  </si>
  <si>
    <t>CIRRUS-HCM 28 day data</t>
  </si>
  <si>
    <t>EYPT</t>
  </si>
  <si>
    <t>Ph2 VERONA of Duravyu in DME data</t>
  </si>
  <si>
    <t>GHRS</t>
  </si>
  <si>
    <t>Toad psychedelic RCT data</t>
  </si>
  <si>
    <t>GLUE</t>
  </si>
  <si>
    <t>Ph1 MRT-6160 (VAV-1 degrader) SAD/MAD data</t>
  </si>
  <si>
    <t>GRCE</t>
  </si>
  <si>
    <t>Ph3 STRIVE-ON of GTX-104 in aSAH data + NDA submission 1H (ACST)</t>
  </si>
  <si>
    <t>IBIO</t>
  </si>
  <si>
    <t>Myostatin collab NHP data</t>
  </si>
  <si>
    <t>IKT</t>
  </si>
  <si>
    <t>From Q4</t>
  </si>
  <si>
    <t>Ph2 Parkinson's data</t>
  </si>
  <si>
    <t>IMVT</t>
  </si>
  <si>
    <t>Batoclimab MG and CIDP data</t>
  </si>
  <si>
    <t>INCY</t>
  </si>
  <si>
    <t>Ph3 povorcitinib HS data</t>
  </si>
  <si>
    <t>IRON</t>
  </si>
  <si>
    <t>Bitopertin AA regulatory update</t>
  </si>
  <si>
    <t>Week of Jan 6</t>
  </si>
  <si>
    <t>BEACON data</t>
  </si>
  <si>
    <t>KROS</t>
  </si>
  <si>
    <t>Ph1 KER-065 data</t>
  </si>
  <si>
    <t>KURA</t>
  </si>
  <si>
    <t>Registrational ziftometinib R/R NPM1-mutant AML topline data</t>
  </si>
  <si>
    <t>LPTX</t>
  </si>
  <si>
    <t>Ph2 RCT Part C 1L GEJ and gastric cancer data</t>
  </si>
  <si>
    <t>DEFIANCE Part B for DKN-01 CRC data</t>
  </si>
  <si>
    <t>LSTA</t>
  </si>
  <si>
    <t>ASCO GI</t>
  </si>
  <si>
    <t>Ph2b ASCEND mPDAC RCT interim data, abstracts Jan 21</t>
  </si>
  <si>
    <t>LXRX</t>
  </si>
  <si>
    <t>Ph2b PROGRESS of LX9211 in DPNP data</t>
  </si>
  <si>
    <t>MBX</t>
  </si>
  <si>
    <t>Ph1 MBX 1416 MAD HV data</t>
  </si>
  <si>
    <t>MIRM</t>
  </si>
  <si>
    <t>Chenodiol for CTX PDUFA</t>
  </si>
  <si>
    <t>MIST</t>
  </si>
  <si>
    <t>CARDAMYST (etripamil) in PSVT PDUFA</t>
  </si>
  <si>
    <t>March</t>
  </si>
  <si>
    <t>Ph2 Advance-HTN data</t>
  </si>
  <si>
    <t>MRNA</t>
  </si>
  <si>
    <t>Ph3 CMV interim</t>
  </si>
  <si>
    <t>MRSN</t>
  </si>
  <si>
    <t>B7H4 ADC ORR data</t>
  </si>
  <si>
    <t>MRUS</t>
  </si>
  <si>
    <t>Zenocutuzumab PDUFA</t>
  </si>
  <si>
    <t>Ph3 navacaprant KOASTAL-1 data</t>
  </si>
  <si>
    <t>NWBO</t>
  </si>
  <si>
    <t>My est</t>
  </si>
  <si>
    <t>MHRA rejection</t>
  </si>
  <si>
    <t>PFE EZH2 oral LBA at ASCO GI, abstracts out at 10 am EST</t>
  </si>
  <si>
    <t>TAK FY24</t>
  </si>
  <si>
    <t>TAK soticlestat filing?</t>
  </si>
  <si>
    <t>PCVX</t>
  </si>
  <si>
    <t>Ph2 VAX-24 infant topline data from primary immunization series</t>
  </si>
  <si>
    <t>PEPG</t>
  </si>
  <si>
    <t>Open label DM1 data</t>
  </si>
  <si>
    <t>PHGE</t>
  </si>
  <si>
    <t>Ph2 BX211 in DFO topline data</t>
  </si>
  <si>
    <t>Ph3 ET IA</t>
  </si>
  <si>
    <t>PTGX</t>
  </si>
  <si>
    <t>Ph3 VERIFY rusfertide in PV 32 wk data</t>
  </si>
  <si>
    <t>Ph2 ANTHEM trial of JNJ-2113 in UC data</t>
  </si>
  <si>
    <t>RAPP</t>
  </si>
  <si>
    <t>RAP-219 MAD-2 and PET data</t>
  </si>
  <si>
    <t>RARE</t>
  </si>
  <si>
    <t>ORBIT for setrusumab in OI first interim data (also MREO)</t>
  </si>
  <si>
    <t>RGLS8429 open label fixed dose data update</t>
  </si>
  <si>
    <t>RLAY</t>
  </si>
  <si>
    <t>FGFR2 PDUFA</t>
  </si>
  <si>
    <t>RVPH</t>
  </si>
  <si>
    <t>OLE full data</t>
  </si>
  <si>
    <t>SLDB</t>
  </si>
  <si>
    <t>n=3 DMD data</t>
  </si>
  <si>
    <t>SLNO</t>
  </si>
  <si>
    <t>PWS PDUFA</t>
  </si>
  <si>
    <t>SLRN</t>
  </si>
  <si>
    <t>TED ph3 design &amp; program webcast update</t>
  </si>
  <si>
    <t>SLS</t>
  </si>
  <si>
    <t>January</t>
  </si>
  <si>
    <t>Ph3 interim analysis, therapeutic cancer vaccine for AML</t>
  </si>
  <si>
    <t>SRRK</t>
  </si>
  <si>
    <t>Med conf</t>
  </si>
  <si>
    <t>SAPPHIRE full data + submit applications to FDA and EMA</t>
  </si>
  <si>
    <t>Mirdametinib PDUFA</t>
  </si>
  <si>
    <t>Ph1 SPY001 pbo controlled SAD/MAD interim PoC data</t>
  </si>
  <si>
    <t>TECX</t>
  </si>
  <si>
    <t>Ph1b for TX45 in PH-HFpEF data</t>
  </si>
  <si>
    <t>THRD</t>
  </si>
  <si>
    <t>THB335 SAD/MAD data</t>
  </si>
  <si>
    <t>Ph2a RCC PoC data</t>
  </si>
  <si>
    <t>TVTX</t>
  </si>
  <si>
    <t>By earnings call</t>
  </si>
  <si>
    <t>FSGS regulatory update</t>
  </si>
  <si>
    <t>VERU</t>
  </si>
  <si>
    <t>Ph2b Enobosarm GLP-1 combo for obesity data</t>
  </si>
  <si>
    <t>VIR</t>
  </si>
  <si>
    <t>Assorted Ph1 data for masked TCE's</t>
  </si>
  <si>
    <t>VRTX</t>
  </si>
  <si>
    <t>Vanzacaftor triple age &gt;6 PDUFA</t>
  </si>
  <si>
    <t>Suzetrigine pain PDUFA</t>
  </si>
  <si>
    <t>VSTM</t>
  </si>
  <si>
    <t>RAMP-205 1L panc updated data</t>
  </si>
  <si>
    <t>WVE</t>
  </si>
  <si>
    <t>Complete 48-week FORWARD-53 data plus feedback on AA path</t>
  </si>
  <si>
    <t>XLO</t>
  </si>
  <si>
    <t>Ph2 XTX101 data</t>
  </si>
  <si>
    <t>ZNTL</t>
  </si>
  <si>
    <t>Azenosertib data and development update</t>
  </si>
  <si>
    <t>2H 2025</t>
  </si>
  <si>
    <t>Ph1 ACR-2316 data</t>
  </si>
  <si>
    <t>Ph1b I-SPY TRIAL of evorpacept + enhertu breast cancer data</t>
  </si>
  <si>
    <t>Ph2 ALTO-101 for CIAS POC data</t>
  </si>
  <si>
    <t>APGE</t>
  </si>
  <si>
    <t>Ph2 APG777 Part A 16 wk POC induction data</t>
  </si>
  <si>
    <t>APLS</t>
  </si>
  <si>
    <t>Empalevi C3G PDUFA</t>
  </si>
  <si>
    <t>Ph1 ABOYA-119 data</t>
  </si>
  <si>
    <t>Obe-cel EMA and MHRA regulatory decisions</t>
  </si>
  <si>
    <t>Ph1 obe-cel for SLE full data presentation</t>
  </si>
  <si>
    <t>PY01 trial of obe-cel in pediatric ALL</t>
  </si>
  <si>
    <t>My est, or '26</t>
  </si>
  <si>
    <t>Blarcamesine for alz EMA rejection</t>
  </si>
  <si>
    <t>BCYC</t>
  </si>
  <si>
    <t>Ph1 Duravelo-1 mono late line and combo 1L mUC addtl data</t>
  </si>
  <si>
    <t>Ph 2/3 Duravelo-2 cohort 1 and 2 dose selection data</t>
  </si>
  <si>
    <t>EpaH2 initial human imaging data</t>
  </si>
  <si>
    <t>BHV-7000 depression data</t>
  </si>
  <si>
    <t>Azelaprag mono tx for insulin sensitivity POC data</t>
  </si>
  <si>
    <t>BMEA</t>
  </si>
  <si>
    <t>Ph2 T2D 52 wk spin job</t>
  </si>
  <si>
    <t>BOLD</t>
  </si>
  <si>
    <t>POTENTIATE trial of BBI-355 initial POC data</t>
  </si>
  <si>
    <t>Ph1 CMP-CPS-001 MAD data</t>
  </si>
  <si>
    <t>CAPR</t>
  </si>
  <si>
    <t>Deramiocel (CAP-1002) anticipated PDUFA for DMD cardiomyopathy</t>
  </si>
  <si>
    <t>CARA</t>
  </si>
  <si>
    <t>Ph2 TTI-101 blinded RCT IPF data (TVRD)</t>
  </si>
  <si>
    <t>Ph1b/2 TTI-101 open label HCC data (TVRD)</t>
  </si>
  <si>
    <t xml:space="preserve">Ph3 breast cancer PIK3CA mut data </t>
  </si>
  <si>
    <t>CLDX</t>
  </si>
  <si>
    <t>Ph2 Barzo in EoE data</t>
  </si>
  <si>
    <t>Ph1 PD-1 x PD-L1 solid tumor data</t>
  </si>
  <si>
    <t>COGT</t>
  </si>
  <si>
    <t>SUMMIT data</t>
  </si>
  <si>
    <t>Ph1 soquelitinib (ITK) for solid tumors mono tx data</t>
  </si>
  <si>
    <t>Ph1a CX-801 (IFNa2b) melanoma data</t>
  </si>
  <si>
    <t>DNTH</t>
  </si>
  <si>
    <t>Ph2 MaGic trial of DNTH103 in AChR+ MG data</t>
  </si>
  <si>
    <t>DVAX</t>
  </si>
  <si>
    <t>Ph1/2 trial of Z-1018 vs Shingrix immunogenicity data</t>
  </si>
  <si>
    <t>CIRRUS-HCM 12 wk data</t>
  </si>
  <si>
    <t>GNLX</t>
  </si>
  <si>
    <t>Ph3 for Olvi-vec in PROC data</t>
  </si>
  <si>
    <t>https://afailuretocommunicate.substack.com/p/genelux-gnlx-there-probably-was-a?r=2q9xn9&amp;utm_campaign=post&amp;utm_medium=web&amp;triedRedirect=true</t>
  </si>
  <si>
    <t>IMNM</t>
  </si>
  <si>
    <t>Ph3 RINGSIDE Part B of AL102 for desmoid tumors topline data</t>
  </si>
  <si>
    <t>Batoclimab TED data</t>
  </si>
  <si>
    <t>INSM</t>
  </si>
  <si>
    <t>Ph2b BiRCh for brensocatib in CRS w/o polyps data</t>
  </si>
  <si>
    <t>Ph2 for TPIP in PAH data</t>
  </si>
  <si>
    <t>IONS</t>
  </si>
  <si>
    <t>3 registrational olezarsen readouts</t>
  </si>
  <si>
    <t>Bitopertin NDA submission</t>
  </si>
  <si>
    <t>Asthma challenge study data</t>
  </si>
  <si>
    <t>KPTI</t>
  </si>
  <si>
    <t>Ph3 for selinexor+rux in treatment naive MF data</t>
  </si>
  <si>
    <t>KRRO</t>
  </si>
  <si>
    <t>Ph1/2 of KRRO-110 in ZZ AATD interim data (FREQ reverse merger)</t>
  </si>
  <si>
    <t>LRMR</t>
  </si>
  <si>
    <t>FA BLA submission</t>
  </si>
  <si>
    <t>Ph1 additional B7H4 ADC data</t>
  </si>
  <si>
    <t>Ph1/2 Rett syndrome gene tx cohort 2 interim data</t>
  </si>
  <si>
    <t>NKTR</t>
  </si>
  <si>
    <t>Ph2b rezpeg for AA data</t>
  </si>
  <si>
    <t>Ph2 RCT of NMRA-140 for bipolar depression data</t>
  </si>
  <si>
    <t>Ph2 NMRA-511 for alz agitation data</t>
  </si>
  <si>
    <t>Ph2 GOBLET cohort 5 efficacy data</t>
  </si>
  <si>
    <t>ORKA</t>
  </si>
  <si>
    <t>Ph1 ORKA-001 HV interim data</t>
  </si>
  <si>
    <t>PASG</t>
  </si>
  <si>
    <t>PBFT02 dose 1 12 mo data, dose 2 interim data</t>
  </si>
  <si>
    <t>By the end of</t>
  </si>
  <si>
    <t>Ph2 VAX-24 infant booster topline data</t>
  </si>
  <si>
    <t>PGEN</t>
  </si>
  <si>
    <t>PRGN-2012 gene therapy for HPV anticipated PDUFA</t>
  </si>
  <si>
    <t>Ph2/3 POWER1 FOS 12 wk data</t>
  </si>
  <si>
    <t>QTTB</t>
  </si>
  <si>
    <t>Ph2 ADX-097 basket trial of complement mediated renal disease topline data</t>
  </si>
  <si>
    <t>Ph2 ADX-097 AAV topline data</t>
  </si>
  <si>
    <t>RCKT</t>
  </si>
  <si>
    <t>Ph2 pivotal RP-A501 danon trial data</t>
  </si>
  <si>
    <t>Primary comp. Sept</t>
  </si>
  <si>
    <t>REGN</t>
  </si>
  <si>
    <t>Ph3 AERIFY itepekimab (IL-33) for COPD data</t>
  </si>
  <si>
    <t>Ph3 of fianlimab (LAG3) in 1L metastatic melanoma data</t>
  </si>
  <si>
    <t>Ph2 multiple obesity combo datasets</t>
  </si>
  <si>
    <t>Ph3 C5 combo in gMG data</t>
  </si>
  <si>
    <t>RGNX</t>
  </si>
  <si>
    <t>RGX-121 AA PDUFA w/ PRV</t>
  </si>
  <si>
    <t>RNAC</t>
  </si>
  <si>
    <t>Ph2 Descartes-08 open label SLE data</t>
  </si>
  <si>
    <t>RZLT</t>
  </si>
  <si>
    <t>Potentially registrational Ph3 for RZ358 in cHI data</t>
  </si>
  <si>
    <t>MapKure brimarafenib mono tx additional data</t>
  </si>
  <si>
    <t>SPY003 (IL-23) first-in-human interim data</t>
  </si>
  <si>
    <t>Ph1b for TX45 in PH-HFrEF hemodynamic data</t>
  </si>
  <si>
    <t>TRML</t>
  </si>
  <si>
    <t>Ph2b TED data</t>
  </si>
  <si>
    <t>Renalys pharma Ph3 sparsentan IgAN trial in Japan data</t>
  </si>
  <si>
    <t>UPB</t>
  </si>
  <si>
    <t>Ph2 for verekitug in CRSwNP data</t>
  </si>
  <si>
    <t>VBP101 data</t>
  </si>
  <si>
    <t>Ph2 VTX3232 (NLRP3) obesity data</t>
  </si>
  <si>
    <t>Ph2 VTX2835 (peripheral NLRP3) recurrent pericarditis data</t>
  </si>
  <si>
    <t>VYNE</t>
  </si>
  <si>
    <t>Ph1b for VYN202 in plaque psoriasis and RA data</t>
  </si>
  <si>
    <t>Ph3 for XEN1101 in epilepsy (FOS) data</t>
  </si>
  <si>
    <t>CoE expected EOY 24 ish</t>
  </si>
  <si>
    <t>ABEO</t>
  </si>
  <si>
    <t>2Q 2025</t>
  </si>
  <si>
    <t>Pz-cel for RDEB PDUFA</t>
  </si>
  <si>
    <t>ALDX</t>
  </si>
  <si>
    <t>Reproxalap dry eye disease PDUFA</t>
  </si>
  <si>
    <t>ALT</t>
  </si>
  <si>
    <t>Ph2b IMPACT for pemvidutide in NASH data</t>
  </si>
  <si>
    <t>ARQT</t>
  </si>
  <si>
    <t>Zoryve (roflumilast) PDUFA for ages 12+ scalp and body psoriasis</t>
  </si>
  <si>
    <t>ATYR</t>
  </si>
  <si>
    <t>Ph2 efzofitimod 24 wk SSc-ILD data</t>
  </si>
  <si>
    <t>R&amp;D investor event</t>
  </si>
  <si>
    <t>BIOR</t>
  </si>
  <si>
    <t>Ph1b BT-600 UC data</t>
  </si>
  <si>
    <t>CGEM</t>
  </si>
  <si>
    <t>CLN-619 endometrial and cervical cancer expansion cohort data</t>
  </si>
  <si>
    <t>CMPS</t>
  </si>
  <si>
    <t>Ph3 COMP005 TRD pivotal trial data (also ATAI?)</t>
  </si>
  <si>
    <t>Late</t>
  </si>
  <si>
    <t>Neflamapimod 16 wk OLE data</t>
  </si>
  <si>
    <t>Ph1 soquelitinib (ITK inh.) final data from all cohorts</t>
  </si>
  <si>
    <t>Ph2 LYNX and FOX DMD data</t>
  </si>
  <si>
    <t>FBRX</t>
  </si>
  <si>
    <t>FB102 celiac disease data</t>
  </si>
  <si>
    <t>GUTS</t>
  </si>
  <si>
    <t>REMAIN-1 RCT of Revita in obesity midpoint data analysis</t>
  </si>
  <si>
    <t>HRMY</t>
  </si>
  <si>
    <t>SLEEP conf</t>
  </si>
  <si>
    <t>BP1.15205 (OX2R agonist) preclinical data presentation</t>
  </si>
  <si>
    <t>IFRX</t>
  </si>
  <si>
    <t>Ph3 for vilobelimab in PG interim analysis</t>
  </si>
  <si>
    <t>IMUX</t>
  </si>
  <si>
    <t>April</t>
  </si>
  <si>
    <t>Ph2 for IMU-838 in progressive MS data</t>
  </si>
  <si>
    <t>Futility analysis EOY 24</t>
  </si>
  <si>
    <t>INMB</t>
  </si>
  <si>
    <t>~6 mo from CoE</t>
  </si>
  <si>
    <t>Ph2 Alz RCT vs pbo data -- CoE announced Sept 30 2024, early Q2?</t>
  </si>
  <si>
    <t>KALA</t>
  </si>
  <si>
    <t>Ph2b KPI-012 for PCED data</t>
  </si>
  <si>
    <t>KALV</t>
  </si>
  <si>
    <t>Sebetralstat HAE PDUFA</t>
  </si>
  <si>
    <t>Ph2 for KER-012 (next gen sotatercept) in PAH data</t>
  </si>
  <si>
    <t>KYMR</t>
  </si>
  <si>
    <t>Ph1 KT-621 (oral STAT6 degrader) data</t>
  </si>
  <si>
    <t>LYRA</t>
  </si>
  <si>
    <t>Ph3 ENLIGHTEN-2 for LYR-210 in CRS data</t>
  </si>
  <si>
    <t>Ph2b rezpeg for AD data</t>
  </si>
  <si>
    <t>NUVB</t>
  </si>
  <si>
    <t>Taletrectinib NSCLC PDUFA</t>
  </si>
  <si>
    <t>NVAX</t>
  </si>
  <si>
    <t>Covid vaccine PDUFA</t>
  </si>
  <si>
    <t>OPT</t>
  </si>
  <si>
    <t>Early Q2</t>
  </si>
  <si>
    <t>Ph3 COAST of sozinibercept in wAMD data</t>
  </si>
  <si>
    <t>Ph3 JNJ-2113 psoriasis readouts</t>
  </si>
  <si>
    <t>PYPD</t>
  </si>
  <si>
    <t>Ph3 SHIELD II of D-PLEX100 + SOC data</t>
  </si>
  <si>
    <t>RNA</t>
  </si>
  <si>
    <t>Del-brax FSHD data and regulatory updates</t>
  </si>
  <si>
    <t>SKYE</t>
  </si>
  <si>
    <t>Nimacimab (CB1 mAb) for obesity interim data</t>
  </si>
  <si>
    <t>Ph2 SRK-439 (myostatin inh.) GLP1 combo for obesity data</t>
  </si>
  <si>
    <t>Ph2 TRANQUILITY for TOUR006 data</t>
  </si>
  <si>
    <t>UNCY</t>
  </si>
  <si>
    <t>OLC for hyperphosphatemia in CKD pts on dialysis PDUFA</t>
  </si>
  <si>
    <t>URGN</t>
  </si>
  <si>
    <t>UGN-102 PDUFA</t>
  </si>
  <si>
    <t>Anticipated UGN-102 adcom</t>
  </si>
  <si>
    <t>VERA</t>
  </si>
  <si>
    <t>Ph3 ORIGIN 3 for atacicept in IgAN data</t>
  </si>
  <si>
    <t>Ph2b Enobasarm for obesity, blinded extension after d/c GLP1 data</t>
  </si>
  <si>
    <t>HBV functional cure data</t>
  </si>
  <si>
    <t>LGSOC PDUFA</t>
  </si>
  <si>
    <t>ABVX</t>
  </si>
  <si>
    <t>3Q 2025</t>
  </si>
  <si>
    <t>Ph3 ABTECT for obefazimod in UC 8 wk induction data (delayed)</t>
  </si>
  <si>
    <t>CoE expected early Q1</t>
  </si>
  <si>
    <t>AGIO</t>
  </si>
  <si>
    <t>Sept 7</t>
  </si>
  <si>
    <t>ALVR</t>
  </si>
  <si>
    <t>Ph1 trial of TH103 in nAMD data (KLRS)</t>
  </si>
  <si>
    <t>ASND</t>
  </si>
  <si>
    <t>ATXS</t>
  </si>
  <si>
    <t>Ph1a STAR-0310 (YTE OX40 agonist) HV data</t>
  </si>
  <si>
    <t>Ph3 EFZO-FIT for efzofitimod in pulmonary sarcoidosis data (formerly LIFE)</t>
  </si>
  <si>
    <t>BIIB</t>
  </si>
  <si>
    <t>Leqembi subq maintenace dosing for early alz PDUFA</t>
  </si>
  <si>
    <t>Ph3 ACTION for ONC201 in mutant glioma interim OS data</t>
  </si>
  <si>
    <t>ONC201 (dordaviprone) AA PDUFA</t>
  </si>
  <si>
    <t>Sept 25</t>
  </si>
  <si>
    <t>Paltusotine for acromegaly PDUFA</t>
  </si>
  <si>
    <t>Sept 26</t>
  </si>
  <si>
    <t>Aficamten HCM PDUFA</t>
  </si>
  <si>
    <t>Ph3 RECONNECT of ZYN002 in FXS data (Zynerba CVR)</t>
  </si>
  <si>
    <t>Pivotal Pitolisant-GR bioequivalence study data</t>
  </si>
  <si>
    <t>Donidalorsen HAE PDUFA</t>
  </si>
  <si>
    <t>LENZ</t>
  </si>
  <si>
    <t>LNZ100 presbyopia PDUFA</t>
  </si>
  <si>
    <t>Ph2 of MBX 2109 for PTH data</t>
  </si>
  <si>
    <t>Ph2b BX004 in CF pts w/ chronic pulmonary infection data</t>
  </si>
  <si>
    <t>REPL</t>
  </si>
  <si>
    <t>Melanoma AA PDUFA</t>
  </si>
  <si>
    <t>RPTX</t>
  </si>
  <si>
    <t>Ph1 POLAR RP-3467 (Pol0 ATPase inh.) initial data</t>
  </si>
  <si>
    <t>TNXP</t>
  </si>
  <si>
    <t>Fibromyalgia PDUFA</t>
  </si>
  <si>
    <t>Filspari for IgAN sNDA for liver monitoring modification PDUFA</t>
  </si>
  <si>
    <t>ZBIO</t>
  </si>
  <si>
    <t>By Q3</t>
  </si>
  <si>
    <t>Ph2 RMS obexelimab 12 wk RCT data</t>
  </si>
  <si>
    <t>ALEC</t>
  </si>
  <si>
    <t>4Q 2025</t>
  </si>
  <si>
    <t>Ph3 INFRONT-3 trial of latozinemab in FTD-GRN</t>
  </si>
  <si>
    <t>CoE Oct 2023, 96 wk trial</t>
  </si>
  <si>
    <t>ALLO</t>
  </si>
  <si>
    <t>By EOY</t>
  </si>
  <si>
    <t>ALLO-329 for AID POC data</t>
  </si>
  <si>
    <t>BCRX</t>
  </si>
  <si>
    <t>Ph1 BCX17725 open label netherton syndrome SAD/MAD data</t>
  </si>
  <si>
    <t>Ph1 BT5528 + nipo combo data</t>
  </si>
  <si>
    <t>Ph1 BT7480 + nipo combo data</t>
  </si>
  <si>
    <t>Ph1 CLN-978 (CD19 x CD3 TCE) SLE data</t>
  </si>
  <si>
    <t>PEAK data</t>
  </si>
  <si>
    <t>DBVT</t>
  </si>
  <si>
    <t>By Q4</t>
  </si>
  <si>
    <t>Ph3 VITESSE peanut allergy patch (ages 4-7) data</t>
  </si>
  <si>
    <t>Ph 2/3 REMEDY 2 for DM199 in acute ischemic stroke IA</t>
  </si>
  <si>
    <t>Late 2025</t>
  </si>
  <si>
    <t>DELIVER data</t>
  </si>
  <si>
    <t>ELDN</t>
  </si>
  <si>
    <t>Ph2 BESTOW for tegoprubart in kidney transplant pts H2H EGFR data</t>
  </si>
  <si>
    <t>CoE Sept 4 2024</t>
  </si>
  <si>
    <t>FULC</t>
  </si>
  <si>
    <t>Year end</t>
  </si>
  <si>
    <t>PIONEER SCD 20mg data</t>
  </si>
  <si>
    <t>GOSS</t>
  </si>
  <si>
    <t>Ph3 PROSERA for seralutinib in PAH data</t>
  </si>
  <si>
    <t>GPCR</t>
  </si>
  <si>
    <t>Ph2b ACCESS program GSBR-1290 (oral GLP1) data</t>
  </si>
  <si>
    <t>Ph1b KT-621 (oral STAT6 degrader) AD data</t>
  </si>
  <si>
    <t>Ph1 KT-294 (oral TYK2 degrader) data</t>
  </si>
  <si>
    <t>LLY</t>
  </si>
  <si>
    <t>Ph2 bimagrumab + tirzepatide weight loss data, primary comp. Oct</t>
  </si>
  <si>
    <t xml:space="preserve">Ph1/2 pivotal ALKOVE-1 data of NVL-655 in TKI pre-treated ALK+ NSCLC </t>
  </si>
  <si>
    <t>OCUL</t>
  </si>
  <si>
    <t>Ph3 SOL-1 OTX-TKI data</t>
  </si>
  <si>
    <t>By year end</t>
  </si>
  <si>
    <t>Ph2 DMD 10 mg/kg cohort data</t>
  </si>
  <si>
    <t>QNCX</t>
  </si>
  <si>
    <t>Ph3 NEAT of EryDex in A-T data (rebranded Cortexyme)</t>
  </si>
  <si>
    <t>ORBIT for setrusumab in OI final data (also MREO)</t>
  </si>
  <si>
    <t>Del-zota for DMD44 BLA submission, various OLE updates</t>
  </si>
  <si>
    <t>Ph1 LIONS RP-1664 (oral PLK4 inh.) initial data</t>
  </si>
  <si>
    <t>Nimacimab (CB1 mAb) for obesity topline data</t>
  </si>
  <si>
    <t>Anticipated apitegromab PDUFA</t>
  </si>
  <si>
    <t>Ph3 VALOR for VLA15 vaccination for lyme disease data</t>
  </si>
  <si>
    <t>Ph3 INDIGO IgG4-RD obexelimab data</t>
  </si>
  <si>
    <t>AMLX</t>
  </si>
  <si>
    <t>Mid 2025</t>
  </si>
  <si>
    <t>Ph2b ORION trial of AMX0035 in PSP IA</t>
  </si>
  <si>
    <t>Ph3 epetraborole data, partial data from prior to halting trial</t>
  </si>
  <si>
    <t>ATAI</t>
  </si>
  <si>
    <t>Ph2b RL-007 in CIAS data</t>
  </si>
  <si>
    <t>ALPHA-SOLAR STAR-0215 open label q3m and q6m data</t>
  </si>
  <si>
    <t>MT1-MMP human imaging data</t>
  </si>
  <si>
    <t>Ph2b zipalertinib data</t>
  </si>
  <si>
    <t>CLNN</t>
  </si>
  <si>
    <t>NDA submission for ALS</t>
  </si>
  <si>
    <t>APEX data</t>
  </si>
  <si>
    <t>DRUG</t>
  </si>
  <si>
    <t>Sell side est</t>
  </si>
  <si>
    <t>Ph2 BMB-101 open label epilepsy data</t>
  </si>
  <si>
    <t>Ph1b for tegoprubart in kidney transplant pts updated interim data</t>
  </si>
  <si>
    <t>FDMT</t>
  </si>
  <si>
    <t>DME 52 wk data</t>
  </si>
  <si>
    <t>PIONEER SCD 12mg data</t>
  </si>
  <si>
    <t>Ph2 RCT VIRO-25 of Olvi-vec in recurrent NSCLC interim data</t>
  </si>
  <si>
    <t>REVITALIZE-1 RCT of Revita in T2D topline data</t>
  </si>
  <si>
    <t>Summer</t>
  </si>
  <si>
    <t>Ph2a INF904 (next gen avacopan) in CSU and HS data</t>
  </si>
  <si>
    <t>Anticipated brensocatib PDUFA</t>
  </si>
  <si>
    <t>Ph3 orforglipron obesity data, primary comp. April</t>
  </si>
  <si>
    <t>Nomlabofusp 50 mg FA data</t>
  </si>
  <si>
    <t>Ph2b ASCEND mPDAC RCT Cohort B data</t>
  </si>
  <si>
    <t>Ph2a BOLSTER CCA data</t>
  </si>
  <si>
    <t>MLTX</t>
  </si>
  <si>
    <t>Ph3 VELA program for sonelokimab in HS wk 16 data</t>
  </si>
  <si>
    <t>Submit zidesamtinib NDA</t>
  </si>
  <si>
    <t>Ph3 ShORe of sozinibercept in wAMD</t>
  </si>
  <si>
    <t>Ph1 AFFIRM trial of PRX012 for alz data</t>
  </si>
  <si>
    <t>Nominate oral peptide-based obesity candidate</t>
  </si>
  <si>
    <t>Ph2a focal epilepsy POC data</t>
  </si>
  <si>
    <t>ORBIT for setrusumab in OI second interim data (also MREO)</t>
  </si>
  <si>
    <t>RFL</t>
  </si>
  <si>
    <t>Ph3 TransportNPC Trappsol Cyclo for NPC1 data (CYTH merger)</t>
  </si>
  <si>
    <t>SEPN</t>
  </si>
  <si>
    <t>Ph1 SEP-786 SAD/MAD HV data</t>
  </si>
  <si>
    <t>TBPH</t>
  </si>
  <si>
    <t>CYPRESS for ampreloxetine in nOH w/ MSA open label CoE (data + 6mo)</t>
  </si>
  <si>
    <t>Ph2b for VYN201 for vitiligo data</t>
  </si>
  <si>
    <t>TBD 2025</t>
  </si>
  <si>
    <t>Ph1 APG990 HV interim data</t>
  </si>
  <si>
    <t>AVBP</t>
  </si>
  <si>
    <t>Ph3 FURVENT for firmonertinib in 1L NSCLC w/ EGFR exon 20 mut data</t>
  </si>
  <si>
    <t>BBIO</t>
  </si>
  <si>
    <t>Ph3 FORTIFY of BBP-418 in LgMD interim data</t>
  </si>
  <si>
    <t>BCAX</t>
  </si>
  <si>
    <t>Med meeting</t>
  </si>
  <si>
    <t>Ph1 ficerafusp alfa + pembro 1L HNSCC excl. HPV+ updated interim data</t>
  </si>
  <si>
    <t>BEAM</t>
  </si>
  <si>
    <t>Ph1/2 BEAM-302 (in vivo base editing) for AATD data</t>
  </si>
  <si>
    <t>SCA PDUFA?</t>
  </si>
  <si>
    <t>Ph2 T2D full data presentation at med conf</t>
  </si>
  <si>
    <t>Ph2 T1D data update, only 10% of pts completed dosing</t>
  </si>
  <si>
    <t>CRB-913 (peripheral CB1) obesity data</t>
  </si>
  <si>
    <t>ERAS</t>
  </si>
  <si>
    <t xml:space="preserve">Stage 1 of SEACRAFT-2 Ph3 randomized dose optimization data </t>
  </si>
  <si>
    <t>ETNB</t>
  </si>
  <si>
    <t>Ph3 ENTRUST of pegozafermin for SHTG data</t>
  </si>
  <si>
    <t>~EOY?</t>
  </si>
  <si>
    <t>Ph3 ENCORE for arikayce frontline MAC lung disease data</t>
  </si>
  <si>
    <t>JANX</t>
  </si>
  <si>
    <t>JANX008 solid tumor data update</t>
  </si>
  <si>
    <t>NMRA-266 (M4) clinical hold update?</t>
  </si>
  <si>
    <t>OCGN</t>
  </si>
  <si>
    <t>Ph3 for OCU400 in RP data</t>
  </si>
  <si>
    <t>OMER</t>
  </si>
  <si>
    <t>Potential narsoplimab in TA-TMA PDUFA</t>
  </si>
  <si>
    <t>Ph1 OV329 HV data</t>
  </si>
  <si>
    <t>Ph3 ET RWS data?</t>
  </si>
  <si>
    <t>SPRO</t>
  </si>
  <si>
    <t>EOY or 2026</t>
  </si>
  <si>
    <t>Ph3 tebipenem data? Enrollment completes 2H, short duration trial</t>
  </si>
  <si>
    <t>VTGN</t>
  </si>
  <si>
    <t>Ph3 PALISADE-3 for fasedienol in SAD data</t>
  </si>
  <si>
    <t>Primary comp. June</t>
  </si>
  <si>
    <t>Ph3 PALISADE-4 fasedienol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</si>
</sst>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\ d"/>
    <numFmt numFmtId="166" formatCode="mmmm\ d"/>
  </numFmts>
  <fonts count="5" x14ac:knownFonts="1">
    <font>
      <sz val="10"/>
      <color rgb="FF000000"/>
      <name val="Arial"/>
      <scheme val="minor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ailuretocommunicate.substack.com/p/genelux-gnlx-there-probably-was-a?r=2q9xn9&amp;utm_campaign=post&amp;utm_medium=web&amp;tried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01"/>
  <sheetViews>
    <sheetView tabSelected="1" topLeftCell="A348" workbookViewId="0">
      <selection activeCell="G356" sqref="G356"/>
    </sheetView>
  </sheetViews>
  <sheetFormatPr defaultColWidth="12.59765625" defaultRowHeight="15.75" customHeight="1" x14ac:dyDescent="0.35"/>
  <cols>
    <col min="2" max="2" width="13.86328125" bestFit="1" customWidth="1"/>
    <col min="4" max="4" width="13.3984375" customWidth="1"/>
    <col min="5" max="5" width="59.73046875" customWidth="1"/>
  </cols>
  <sheetData>
    <row r="1" spans="1:6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3" t="s">
        <v>6</v>
      </c>
      <c r="B2" s="4">
        <f ca="1">IFERROR(__xludf.DUMMYFUNCTION("googlefinance(A2,""marketcap"")/10^6"),268.616935)</f>
        <v>268.61693500000001</v>
      </c>
      <c r="C2" s="2" t="s">
        <v>7</v>
      </c>
      <c r="D2" s="3"/>
      <c r="E2" s="3" t="s">
        <v>8</v>
      </c>
      <c r="F2" s="3"/>
    </row>
    <row r="3" spans="1:6" x14ac:dyDescent="0.35">
      <c r="A3" s="3" t="s">
        <v>9</v>
      </c>
      <c r="B3" s="4">
        <f ca="1">IFERROR(__xludf.DUMMYFUNCTION("googlefinance(A3,""marketcap"")/10^6"),169.692774)</f>
        <v>169.69277399999999</v>
      </c>
      <c r="C3" s="2" t="s">
        <v>7</v>
      </c>
      <c r="D3" s="3"/>
      <c r="E3" s="3" t="s">
        <v>10</v>
      </c>
      <c r="F3" s="3"/>
    </row>
    <row r="4" spans="1:6" x14ac:dyDescent="0.35">
      <c r="A4" s="3" t="s">
        <v>11</v>
      </c>
      <c r="B4" s="4">
        <f ca="1">IFERROR(__xludf.DUMMYFUNCTION("googlefinance(A4,""marketcap"")/10^6"),79.905795)</f>
        <v>79.905794999999998</v>
      </c>
      <c r="C4" s="2" t="s">
        <v>7</v>
      </c>
      <c r="D4" s="3"/>
      <c r="E4" s="3" t="s">
        <v>12</v>
      </c>
      <c r="F4" s="3"/>
    </row>
    <row r="5" spans="1:6" x14ac:dyDescent="0.35">
      <c r="A5" s="3" t="s">
        <v>11</v>
      </c>
      <c r="B5" s="4">
        <f ca="1">IFERROR(__xludf.DUMMYFUNCTION("googlefinance(A5,""marketcap"")/10^6"),79.905795)</f>
        <v>79.905794999999998</v>
      </c>
      <c r="C5" s="2" t="s">
        <v>7</v>
      </c>
      <c r="D5" s="3"/>
      <c r="E5" s="3" t="s">
        <v>13</v>
      </c>
      <c r="F5" s="3"/>
    </row>
    <row r="6" spans="1:6" x14ac:dyDescent="0.35">
      <c r="A6" s="3" t="s">
        <v>11</v>
      </c>
      <c r="B6" s="4">
        <f ca="1">IFERROR(__xludf.DUMMYFUNCTION("googlefinance(A6,""marketcap"")/10^6"),79.905795)</f>
        <v>79.905794999999998</v>
      </c>
      <c r="C6" s="2" t="s">
        <v>7</v>
      </c>
      <c r="D6" s="3"/>
      <c r="E6" s="3" t="s">
        <v>14</v>
      </c>
      <c r="F6" s="3"/>
    </row>
    <row r="7" spans="1:6" x14ac:dyDescent="0.35">
      <c r="A7" s="3" t="s">
        <v>11</v>
      </c>
      <c r="B7" s="4">
        <f ca="1">IFERROR(__xludf.DUMMYFUNCTION("googlefinance(A7,""marketcap"")/10^6"),79.905795)</f>
        <v>79.905794999999998</v>
      </c>
      <c r="C7" s="2" t="s">
        <v>7</v>
      </c>
      <c r="D7" s="3"/>
      <c r="E7" s="3" t="s">
        <v>15</v>
      </c>
      <c r="F7" s="3"/>
    </row>
    <row r="8" spans="1:6" x14ac:dyDescent="0.35">
      <c r="A8" s="3" t="s">
        <v>16</v>
      </c>
      <c r="B8" s="4">
        <f ca="1">IFERROR(__xludf.DUMMYFUNCTION("googlefinance(A8,""marketcap"")/10^6"),258.494677)</f>
        <v>258.49467700000002</v>
      </c>
      <c r="C8" s="2" t="s">
        <v>7</v>
      </c>
      <c r="D8" s="3"/>
      <c r="E8" s="3" t="s">
        <v>17</v>
      </c>
      <c r="F8" s="3"/>
    </row>
    <row r="9" spans="1:6" x14ac:dyDescent="0.35">
      <c r="A9" s="3" t="s">
        <v>18</v>
      </c>
      <c r="B9" s="4">
        <f ca="1">IFERROR(__xludf.DUMMYFUNCTION("googlefinance(A9,""marketcap"")/10^6"),126.759746)</f>
        <v>126.75974600000001</v>
      </c>
      <c r="C9" s="2" t="s">
        <v>7</v>
      </c>
      <c r="D9" s="3"/>
      <c r="E9" s="3" t="s">
        <v>19</v>
      </c>
      <c r="F9" s="3"/>
    </row>
    <row r="10" spans="1:6" x14ac:dyDescent="0.35">
      <c r="A10" s="3" t="s">
        <v>18</v>
      </c>
      <c r="B10" s="4">
        <f ca="1">IFERROR(__xludf.DUMMYFUNCTION("googlefinance(A10,""marketcap"")/10^6"),126.759746)</f>
        <v>126.75974600000001</v>
      </c>
      <c r="C10" s="2" t="s">
        <v>7</v>
      </c>
      <c r="D10" s="3"/>
      <c r="E10" s="3" t="s">
        <v>20</v>
      </c>
      <c r="F10" s="3"/>
    </row>
    <row r="11" spans="1:6" x14ac:dyDescent="0.35">
      <c r="A11" s="3" t="s">
        <v>21</v>
      </c>
      <c r="B11" s="4">
        <f ca="1">IFERROR(__xludf.DUMMYFUNCTION("googlefinance(A11,""marketcap"")/10^6"),37.3486)</f>
        <v>37.348599999999998</v>
      </c>
      <c r="C11" s="2" t="s">
        <v>7</v>
      </c>
      <c r="D11" s="3"/>
      <c r="E11" s="3" t="s">
        <v>22</v>
      </c>
      <c r="F11" s="3"/>
    </row>
    <row r="12" spans="1:6" x14ac:dyDescent="0.35">
      <c r="A12" s="3" t="s">
        <v>23</v>
      </c>
      <c r="B12" s="4">
        <f ca="1">IFERROR(__xludf.DUMMYFUNCTION("googlefinance(A12,""marketcap"")/10^6"),22.823879)</f>
        <v>22.823879000000002</v>
      </c>
      <c r="C12" s="2" t="s">
        <v>7</v>
      </c>
      <c r="D12" s="3"/>
      <c r="E12" s="3" t="s">
        <v>24</v>
      </c>
      <c r="F12" s="3"/>
    </row>
    <row r="13" spans="1:6" x14ac:dyDescent="0.35">
      <c r="A13" s="3" t="s">
        <v>25</v>
      </c>
      <c r="B13" s="4">
        <f ca="1">IFERROR(__xludf.DUMMYFUNCTION("googlefinance(A13,""marketcap"")/10^6"),144.035663)</f>
        <v>144.035663</v>
      </c>
      <c r="C13" s="2" t="s">
        <v>7</v>
      </c>
      <c r="D13" s="3"/>
      <c r="E13" s="3" t="s">
        <v>26</v>
      </c>
      <c r="F13" s="3"/>
    </row>
    <row r="14" spans="1:6" x14ac:dyDescent="0.35">
      <c r="A14" s="3" t="s">
        <v>27</v>
      </c>
      <c r="B14" s="4">
        <f ca="1">IFERROR(__xludf.DUMMYFUNCTION("googlefinance(A14,""marketcap"")/10^6"),93.882332)</f>
        <v>93.882332000000005</v>
      </c>
      <c r="C14" s="2" t="s">
        <v>7</v>
      </c>
      <c r="D14" s="3"/>
      <c r="E14" s="3" t="s">
        <v>28</v>
      </c>
      <c r="F14" s="3"/>
    </row>
    <row r="15" spans="1:6" x14ac:dyDescent="0.35">
      <c r="A15" s="3" t="s">
        <v>29</v>
      </c>
      <c r="B15" s="4">
        <f ca="1">IFERROR(__xludf.DUMMYFUNCTION("googlefinance(A15,""marketcap"")/10^6"),889.71468)</f>
        <v>889.71468000000004</v>
      </c>
      <c r="C15" s="2" t="s">
        <v>7</v>
      </c>
      <c r="D15" s="3"/>
      <c r="E15" s="3" t="s">
        <v>30</v>
      </c>
      <c r="F15" s="3"/>
    </row>
    <row r="16" spans="1:6" x14ac:dyDescent="0.35">
      <c r="A16" s="3" t="s">
        <v>31</v>
      </c>
      <c r="B16" s="4">
        <f ca="1">IFERROR(__xludf.DUMMYFUNCTION("googlefinance(A16,""marketcap"")/10^6"),3977.136311)</f>
        <v>3977.1363110000002</v>
      </c>
      <c r="C16" s="2" t="s">
        <v>7</v>
      </c>
      <c r="D16" s="3"/>
      <c r="E16" s="3" t="s">
        <v>32</v>
      </c>
      <c r="F16" s="3"/>
    </row>
    <row r="17" spans="1:6" x14ac:dyDescent="0.35">
      <c r="A17" s="3" t="s">
        <v>31</v>
      </c>
      <c r="B17" s="4">
        <f ca="1">IFERROR(__xludf.DUMMYFUNCTION("googlefinance(A17,""marketcap"")/10^6"),3977.136311)</f>
        <v>3977.1363110000002</v>
      </c>
      <c r="C17" s="2" t="s">
        <v>7</v>
      </c>
      <c r="D17" s="3"/>
      <c r="E17" s="3" t="s">
        <v>33</v>
      </c>
      <c r="F17" s="3"/>
    </row>
    <row r="18" spans="1:6" x14ac:dyDescent="0.35">
      <c r="A18" s="3" t="s">
        <v>34</v>
      </c>
      <c r="B18" s="4">
        <f ca="1">IFERROR(__xludf.DUMMYFUNCTION("googlefinance(A18,""marketcap"")/10^6"),424.019463)</f>
        <v>424.01946299999997</v>
      </c>
      <c r="C18" s="2" t="s">
        <v>7</v>
      </c>
      <c r="D18" s="3" t="s">
        <v>35</v>
      </c>
      <c r="E18" s="3" t="s">
        <v>36</v>
      </c>
      <c r="F18" s="3" t="s">
        <v>37</v>
      </c>
    </row>
    <row r="19" spans="1:6" x14ac:dyDescent="0.35">
      <c r="A19" s="3" t="s">
        <v>38</v>
      </c>
      <c r="B19" s="4">
        <f ca="1">IFERROR(__xludf.DUMMYFUNCTION("googlefinance(A19,""marketcap"")/10^6"),142.864617)</f>
        <v>142.86461700000001</v>
      </c>
      <c r="C19" s="2" t="s">
        <v>7</v>
      </c>
      <c r="D19" s="3"/>
      <c r="E19" s="3" t="s">
        <v>39</v>
      </c>
      <c r="F19" s="3"/>
    </row>
    <row r="20" spans="1:6" x14ac:dyDescent="0.35">
      <c r="A20" s="3" t="s">
        <v>38</v>
      </c>
      <c r="B20" s="4">
        <f ca="1">IFERROR(__xludf.DUMMYFUNCTION("googlefinance(A20,""marketcap"")/10^6"),142.864617)</f>
        <v>142.86461700000001</v>
      </c>
      <c r="C20" s="2" t="s">
        <v>7</v>
      </c>
      <c r="D20" s="3"/>
      <c r="E20" s="3" t="s">
        <v>40</v>
      </c>
      <c r="F20" s="3"/>
    </row>
    <row r="21" spans="1:6" x14ac:dyDescent="0.35">
      <c r="A21" s="3" t="s">
        <v>41</v>
      </c>
      <c r="B21" s="4">
        <f ca="1">IFERROR(__xludf.DUMMYFUNCTION("googlefinance(A21,""marketcap"")/10^6"),356.146761)</f>
        <v>356.14676100000003</v>
      </c>
      <c r="C21" s="2" t="s">
        <v>7</v>
      </c>
      <c r="D21" s="3"/>
      <c r="E21" s="3" t="s">
        <v>42</v>
      </c>
      <c r="F21" s="3"/>
    </row>
    <row r="22" spans="1:6" x14ac:dyDescent="0.35">
      <c r="A22" s="3" t="s">
        <v>43</v>
      </c>
      <c r="B22" s="4">
        <f ca="1">IFERROR(__xludf.DUMMYFUNCTION("googlefinance(A22,""marketcap"")/10^6"),226.847425)</f>
        <v>226.84742499999999</v>
      </c>
      <c r="C22" s="2" t="s">
        <v>7</v>
      </c>
      <c r="D22" s="3"/>
      <c r="E22" s="3" t="s">
        <v>44</v>
      </c>
      <c r="F22" s="3"/>
    </row>
    <row r="23" spans="1:6" x14ac:dyDescent="0.35">
      <c r="A23" s="3" t="s">
        <v>45</v>
      </c>
      <c r="B23" s="4">
        <f ca="1">IFERROR(__xludf.DUMMYFUNCTION("googlefinance(A23,""marketcap"")/10^6"),619.533112)</f>
        <v>619.53311199999996</v>
      </c>
      <c r="C23" s="2" t="s">
        <v>7</v>
      </c>
      <c r="D23" s="3"/>
      <c r="E23" s="3" t="s">
        <v>46</v>
      </c>
      <c r="F23" s="3"/>
    </row>
    <row r="24" spans="1:6" x14ac:dyDescent="0.35">
      <c r="A24" s="3" t="s">
        <v>47</v>
      </c>
      <c r="B24" s="4">
        <f ca="1">IFERROR(__xludf.DUMMYFUNCTION("googlefinance(A24,""marketcap"")/10^6"),69.560138)</f>
        <v>69.560137999999995</v>
      </c>
      <c r="C24" s="2" t="s">
        <v>7</v>
      </c>
      <c r="D24" s="3"/>
      <c r="E24" s="3" t="s">
        <v>48</v>
      </c>
      <c r="F24" s="3"/>
    </row>
    <row r="25" spans="1:6" x14ac:dyDescent="0.35">
      <c r="A25" s="3" t="s">
        <v>49</v>
      </c>
      <c r="B25" s="4">
        <f ca="1">IFERROR(__xludf.DUMMYFUNCTION("googlefinance(A25,""marketcap"")/10^6"),288.1957)</f>
        <v>288.19569999999999</v>
      </c>
      <c r="C25" s="2" t="s">
        <v>7</v>
      </c>
      <c r="D25" s="3"/>
      <c r="E25" s="3" t="s">
        <v>50</v>
      </c>
      <c r="F25" s="3"/>
    </row>
    <row r="26" spans="1:6" x14ac:dyDescent="0.35">
      <c r="A26" s="3" t="s">
        <v>51</v>
      </c>
      <c r="B26" s="4">
        <f ca="1">IFERROR(__xludf.DUMMYFUNCTION("googlefinance(A26,""marketcap"")/10^6"),5989.22065)</f>
        <v>5989.2206500000002</v>
      </c>
      <c r="C26" s="2" t="s">
        <v>7</v>
      </c>
      <c r="D26" s="3"/>
      <c r="E26" s="3" t="s">
        <v>52</v>
      </c>
      <c r="F26" s="3"/>
    </row>
    <row r="27" spans="1:6" x14ac:dyDescent="0.35">
      <c r="A27" s="3" t="s">
        <v>53</v>
      </c>
      <c r="B27" s="4">
        <f ca="1">IFERROR(__xludf.DUMMYFUNCTION("googlefinance(A27,""marketcap"")/10^6"),269.391599)</f>
        <v>269.39159899999999</v>
      </c>
      <c r="C27" s="2" t="s">
        <v>7</v>
      </c>
      <c r="D27" s="3"/>
      <c r="E27" s="3" t="s">
        <v>54</v>
      </c>
      <c r="F27" s="3"/>
    </row>
    <row r="28" spans="1:6" x14ac:dyDescent="0.35">
      <c r="A28" s="3" t="s">
        <v>55</v>
      </c>
      <c r="B28" s="4">
        <f ca="1">IFERROR(__xludf.DUMMYFUNCTION("googlefinance(A28,""marketcap"")/10^6"),281.406507)</f>
        <v>281.40650699999998</v>
      </c>
      <c r="C28" s="2" t="s">
        <v>7</v>
      </c>
      <c r="D28" s="3"/>
      <c r="E28" s="3" t="s">
        <v>56</v>
      </c>
      <c r="F28" s="3"/>
    </row>
    <row r="29" spans="1:6" x14ac:dyDescent="0.35">
      <c r="A29" s="3" t="s">
        <v>57</v>
      </c>
      <c r="B29" s="4">
        <f ca="1">IFERROR(__xludf.DUMMYFUNCTION("googlefinance(A29,""marketcap"")/10^6"),39.279117)</f>
        <v>39.279116999999999</v>
      </c>
      <c r="C29" s="2" t="s">
        <v>7</v>
      </c>
      <c r="D29" s="3"/>
      <c r="E29" s="3" t="s">
        <v>58</v>
      </c>
      <c r="F29" s="3"/>
    </row>
    <row r="30" spans="1:6" x14ac:dyDescent="0.35">
      <c r="A30" s="3" t="s">
        <v>59</v>
      </c>
      <c r="B30" s="4">
        <f ca="1">IFERROR(__xludf.DUMMYFUNCTION("googlefinance(A30,""marketcap"")/10^6"),2679.68476)</f>
        <v>2679.6847600000001</v>
      </c>
      <c r="C30" s="2" t="s">
        <v>7</v>
      </c>
      <c r="D30" s="3"/>
      <c r="E30" s="3" t="s">
        <v>60</v>
      </c>
      <c r="F30" s="3"/>
    </row>
    <row r="31" spans="1:6" x14ac:dyDescent="0.35">
      <c r="A31" s="3" t="s">
        <v>61</v>
      </c>
      <c r="B31" s="4">
        <f ca="1">IFERROR(__xludf.DUMMYFUNCTION("googlefinance(A31,""marketcap"")/10^6"),50.909824)</f>
        <v>50.909824</v>
      </c>
      <c r="C31" s="2" t="s">
        <v>7</v>
      </c>
      <c r="D31" s="3"/>
      <c r="E31" s="3" t="s">
        <v>62</v>
      </c>
      <c r="F31" s="3"/>
    </row>
    <row r="32" spans="1:6" x14ac:dyDescent="0.35">
      <c r="A32" s="3" t="s">
        <v>63</v>
      </c>
      <c r="B32" s="4">
        <f ca="1">IFERROR(__xludf.DUMMYFUNCTION("googlefinance(A32,""marketcap"")/10^6"),85.507692)</f>
        <v>85.507692000000006</v>
      </c>
      <c r="C32" s="2" t="s">
        <v>7</v>
      </c>
      <c r="D32" s="3"/>
      <c r="E32" s="3" t="s">
        <v>64</v>
      </c>
      <c r="F32" s="3"/>
    </row>
    <row r="33" spans="1:6" x14ac:dyDescent="0.35">
      <c r="A33" s="3" t="s">
        <v>65</v>
      </c>
      <c r="B33" s="4">
        <f ca="1">IFERROR(__xludf.DUMMYFUNCTION("googlefinance(A33,""marketcap"")/10^6"),46.282001)</f>
        <v>46.282001000000001</v>
      </c>
      <c r="C33" s="2" t="s">
        <v>7</v>
      </c>
      <c r="D33" s="3"/>
      <c r="E33" s="3" t="s">
        <v>66</v>
      </c>
      <c r="F33" s="3"/>
    </row>
    <row r="34" spans="1:6" x14ac:dyDescent="0.35">
      <c r="A34" s="3" t="s">
        <v>67</v>
      </c>
      <c r="B34" s="4">
        <f ca="1">IFERROR(__xludf.DUMMYFUNCTION("googlefinance(A34,""marketcap"")/10^6"),184.507998)</f>
        <v>184.50799799999999</v>
      </c>
      <c r="C34" s="2" t="s">
        <v>7</v>
      </c>
      <c r="D34" s="3" t="s">
        <v>35</v>
      </c>
      <c r="E34" s="3" t="s">
        <v>68</v>
      </c>
      <c r="F34" s="3"/>
    </row>
    <row r="35" spans="1:6" x14ac:dyDescent="0.35">
      <c r="A35" s="3" t="s">
        <v>69</v>
      </c>
      <c r="B35" s="4">
        <f ca="1">IFERROR(__xludf.DUMMYFUNCTION("googlefinance(A35,""marketcap"")/10^6"),202.725912)</f>
        <v>202.72591199999999</v>
      </c>
      <c r="C35" s="2" t="s">
        <v>7</v>
      </c>
      <c r="D35" s="3"/>
      <c r="E35" s="3" t="s">
        <v>70</v>
      </c>
      <c r="F35" s="3"/>
    </row>
    <row r="36" spans="1:6" x14ac:dyDescent="0.35">
      <c r="A36" s="3" t="s">
        <v>71</v>
      </c>
      <c r="B36" s="4">
        <f ca="1">IFERROR(__xludf.DUMMYFUNCTION("googlefinance(A36,""marketcap"")/10^6"),496.193553)</f>
        <v>496.19355300000001</v>
      </c>
      <c r="C36" s="2" t="s">
        <v>7</v>
      </c>
      <c r="D36" s="3"/>
      <c r="E36" s="3" t="s">
        <v>72</v>
      </c>
      <c r="F36" s="3"/>
    </row>
    <row r="37" spans="1:6" x14ac:dyDescent="0.35">
      <c r="A37" s="3" t="s">
        <v>71</v>
      </c>
      <c r="B37" s="4">
        <f ca="1">IFERROR(__xludf.DUMMYFUNCTION("googlefinance(A37,""marketcap"")/10^6"),496.193553)</f>
        <v>496.19355300000001</v>
      </c>
      <c r="C37" s="2" t="s">
        <v>7</v>
      </c>
      <c r="D37" s="3" t="s">
        <v>73</v>
      </c>
      <c r="E37" s="3" t="s">
        <v>74</v>
      </c>
      <c r="F37" s="3"/>
    </row>
    <row r="38" spans="1:6" x14ac:dyDescent="0.35">
      <c r="A38" s="3" t="s">
        <v>75</v>
      </c>
      <c r="B38" s="4">
        <f ca="1">IFERROR(__xludf.DUMMYFUNCTION("googlefinance(A38,""marketcap"")/10^6"),67.388225)</f>
        <v>67.388225000000006</v>
      </c>
      <c r="C38" s="2" t="s">
        <v>7</v>
      </c>
      <c r="D38" s="3"/>
      <c r="E38" s="3" t="s">
        <v>76</v>
      </c>
      <c r="F38" s="3"/>
    </row>
    <row r="39" spans="1:6" x14ac:dyDescent="0.35">
      <c r="A39" s="3" t="s">
        <v>77</v>
      </c>
      <c r="B39" s="4">
        <f ca="1">IFERROR(__xludf.DUMMYFUNCTION("googlefinance(A39,""marketcap"")/10^6"),223.712089)</f>
        <v>223.71208899999999</v>
      </c>
      <c r="C39" s="2" t="s">
        <v>7</v>
      </c>
      <c r="D39" s="3"/>
      <c r="E39" s="3" t="s">
        <v>78</v>
      </c>
      <c r="F39" s="3"/>
    </row>
    <row r="40" spans="1:6" x14ac:dyDescent="0.35">
      <c r="A40" s="3" t="s">
        <v>79</v>
      </c>
      <c r="B40" s="4">
        <f ca="1">IFERROR(__xludf.DUMMYFUNCTION("googlefinance(A40,""marketcap"")/10^6"),342.509301)</f>
        <v>342.50930099999999</v>
      </c>
      <c r="C40" s="2" t="s">
        <v>7</v>
      </c>
      <c r="D40" s="3"/>
      <c r="E40" s="3" t="s">
        <v>80</v>
      </c>
      <c r="F40" s="3"/>
    </row>
    <row r="41" spans="1:6" x14ac:dyDescent="0.35">
      <c r="A41" s="3" t="s">
        <v>81</v>
      </c>
      <c r="B41" s="4">
        <f ca="1">IFERROR(__xludf.DUMMYFUNCTION("googlefinance(A41,""marketcap"")/10^6"),5842.651425)</f>
        <v>5842.651425</v>
      </c>
      <c r="C41" s="2" t="s">
        <v>7</v>
      </c>
      <c r="D41" s="3"/>
      <c r="E41" s="3" t="s">
        <v>82</v>
      </c>
      <c r="F41" s="3"/>
    </row>
    <row r="42" spans="1:6" x14ac:dyDescent="0.35">
      <c r="A42" s="3" t="s">
        <v>83</v>
      </c>
      <c r="B42" s="4">
        <f ca="1">IFERROR(__xludf.DUMMYFUNCTION("googlefinance(A42,""marketcap"")/10^6"),90.422735)</f>
        <v>90.422735000000003</v>
      </c>
      <c r="C42" s="2" t="s">
        <v>7</v>
      </c>
      <c r="D42" s="3"/>
      <c r="E42" s="3" t="s">
        <v>84</v>
      </c>
      <c r="F42" s="3"/>
    </row>
    <row r="43" spans="1:6" x14ac:dyDescent="0.35">
      <c r="A43" s="3" t="s">
        <v>85</v>
      </c>
      <c r="B43" s="4">
        <f ca="1">IFERROR(__xludf.DUMMYFUNCTION("googlefinance(A43,""marketcap"")/10^6"),728.956484)</f>
        <v>728.95648400000005</v>
      </c>
      <c r="C43" s="2" t="s">
        <v>7</v>
      </c>
      <c r="D43" s="3"/>
      <c r="E43" s="3" t="s">
        <v>86</v>
      </c>
      <c r="F43" s="3"/>
    </row>
    <row r="44" spans="1:6" x14ac:dyDescent="0.35">
      <c r="A44" s="3" t="s">
        <v>87</v>
      </c>
      <c r="B44" s="4">
        <f ca="1">IFERROR(__xludf.DUMMYFUNCTION("googlefinance(A44,""marketcap"")/10^6"),52.113647)</f>
        <v>52.113647</v>
      </c>
      <c r="C44" s="2" t="s">
        <v>7</v>
      </c>
      <c r="D44" s="3"/>
      <c r="E44" s="3" t="s">
        <v>88</v>
      </c>
      <c r="F44" s="3"/>
    </row>
    <row r="45" spans="1:6" x14ac:dyDescent="0.35">
      <c r="A45" s="3" t="s">
        <v>89</v>
      </c>
      <c r="B45" s="4">
        <f ca="1">IFERROR(__xludf.DUMMYFUNCTION("googlefinance(A45,""marketcap"")/10^6"),1437.159227)</f>
        <v>1437.1592270000001</v>
      </c>
      <c r="C45" s="2" t="s">
        <v>7</v>
      </c>
      <c r="D45" s="3"/>
      <c r="E45" s="3" t="s">
        <v>90</v>
      </c>
      <c r="F45" s="3"/>
    </row>
    <row r="46" spans="1:6" x14ac:dyDescent="0.35">
      <c r="A46" s="3" t="s">
        <v>91</v>
      </c>
      <c r="B46" s="4">
        <f ca="1">IFERROR(__xludf.DUMMYFUNCTION("googlefinance(A46,""marketcap"")/10^6"),840.492356)</f>
        <v>840.49235599999997</v>
      </c>
      <c r="C46" s="2" t="s">
        <v>7</v>
      </c>
      <c r="D46" s="3" t="s">
        <v>92</v>
      </c>
      <c r="E46" s="3" t="s">
        <v>93</v>
      </c>
      <c r="F46" s="3"/>
    </row>
    <row r="47" spans="1:6" x14ac:dyDescent="0.35">
      <c r="A47" s="3" t="s">
        <v>91</v>
      </c>
      <c r="B47" s="4">
        <f ca="1">IFERROR(__xludf.DUMMYFUNCTION("googlefinance(A47,""marketcap"")/10^6"),840.492356)</f>
        <v>840.49235599999997</v>
      </c>
      <c r="C47" s="2" t="s">
        <v>7</v>
      </c>
      <c r="D47" s="3"/>
      <c r="E47" s="3" t="s">
        <v>94</v>
      </c>
      <c r="F47" s="3"/>
    </row>
    <row r="48" spans="1:6" x14ac:dyDescent="0.35">
      <c r="A48" s="3" t="s">
        <v>95</v>
      </c>
      <c r="B48" s="4">
        <f ca="1">IFERROR(__xludf.DUMMYFUNCTION("googlefinance(A48,""marketcap"")/10^6"),81.220161)</f>
        <v>81.220161000000004</v>
      </c>
      <c r="C48" s="2" t="s">
        <v>7</v>
      </c>
      <c r="D48" s="3"/>
      <c r="E48" s="3" t="s">
        <v>96</v>
      </c>
      <c r="F48" s="3"/>
    </row>
    <row r="49" spans="1:6" x14ac:dyDescent="0.35">
      <c r="A49" s="3" t="s">
        <v>97</v>
      </c>
      <c r="B49" s="4">
        <f ca="1">IFERROR(__xludf.DUMMYFUNCTION("googlefinance(A49,""marketcap"")/10^6"),3550.989429)</f>
        <v>3550.9894290000002</v>
      </c>
      <c r="C49" s="2" t="s">
        <v>7</v>
      </c>
      <c r="D49" s="3"/>
      <c r="E49" s="3" t="s">
        <v>98</v>
      </c>
      <c r="F49" s="3"/>
    </row>
    <row r="50" spans="1:6" x14ac:dyDescent="0.35">
      <c r="A50" s="3" t="s">
        <v>99</v>
      </c>
      <c r="B50" s="4">
        <f ca="1">IFERROR(__xludf.DUMMYFUNCTION("googlefinance(A50,""marketcap"")/10^6"),121.238383)</f>
        <v>121.238383</v>
      </c>
      <c r="C50" s="2" t="s">
        <v>7</v>
      </c>
      <c r="D50" s="3" t="s">
        <v>100</v>
      </c>
      <c r="E50" s="3" t="s">
        <v>101</v>
      </c>
      <c r="F50" s="3"/>
    </row>
    <row r="51" spans="1:6" x14ac:dyDescent="0.35">
      <c r="A51" s="3" t="s">
        <v>102</v>
      </c>
      <c r="B51" s="4">
        <f ca="1">IFERROR(__xludf.DUMMYFUNCTION("googlefinance(A51,""marketcap"")/10^6"),2128.703201)</f>
        <v>2128.7032009999998</v>
      </c>
      <c r="C51" s="2" t="s">
        <v>7</v>
      </c>
      <c r="D51" s="3"/>
      <c r="E51" s="3" t="s">
        <v>103</v>
      </c>
      <c r="F51" s="3"/>
    </row>
    <row r="52" spans="1:6" x14ac:dyDescent="0.35">
      <c r="A52" s="3" t="s">
        <v>104</v>
      </c>
      <c r="B52" s="4">
        <f ca="1">IFERROR(__xludf.DUMMYFUNCTION("googlefinance(A52,""marketcap"")/10^6"),2689.812574)</f>
        <v>2689.812574</v>
      </c>
      <c r="C52" s="2" t="s">
        <v>7</v>
      </c>
      <c r="D52" s="3"/>
      <c r="E52" s="3" t="s">
        <v>105</v>
      </c>
      <c r="F52" s="3"/>
    </row>
    <row r="53" spans="1:6" x14ac:dyDescent="0.35">
      <c r="A53" s="3" t="s">
        <v>106</v>
      </c>
      <c r="B53" s="4">
        <f ca="1">IFERROR(__xludf.DUMMYFUNCTION("googlefinance(A53,""marketcap"")/10^6"),1267.284982)</f>
        <v>1267.2849819999999</v>
      </c>
      <c r="C53" s="2" t="s">
        <v>7</v>
      </c>
      <c r="D53" s="3"/>
      <c r="E53" s="3" t="s">
        <v>107</v>
      </c>
      <c r="F53" s="3"/>
    </row>
    <row r="54" spans="1:6" x14ac:dyDescent="0.35">
      <c r="A54" s="3" t="s">
        <v>108</v>
      </c>
      <c r="B54" s="4">
        <f ca="1">IFERROR(__xludf.DUMMYFUNCTION("googlefinance(A54,""marketcap"")/10^6"),343.901633)</f>
        <v>343.901633</v>
      </c>
      <c r="C54" s="2" t="s">
        <v>7</v>
      </c>
      <c r="D54" s="3"/>
      <c r="E54" s="3" t="s">
        <v>109</v>
      </c>
      <c r="F54" s="3"/>
    </row>
    <row r="55" spans="1:6" x14ac:dyDescent="0.35">
      <c r="A55" s="3" t="s">
        <v>110</v>
      </c>
      <c r="B55" s="4">
        <f ca="1">IFERROR(__xludf.DUMMYFUNCTION("googlefinance(A55,""marketcap"")/10^6"),311.513812)</f>
        <v>311.51381199999997</v>
      </c>
      <c r="C55" s="2" t="s">
        <v>7</v>
      </c>
      <c r="D55" s="3"/>
      <c r="E55" s="3" t="s">
        <v>111</v>
      </c>
      <c r="F55" s="3"/>
    </row>
    <row r="56" spans="1:6" x14ac:dyDescent="0.35">
      <c r="A56" s="3" t="s">
        <v>110</v>
      </c>
      <c r="B56" s="4">
        <f ca="1">IFERROR(__xludf.DUMMYFUNCTION("googlefinance(A56,""marketcap"")/10^6"),311.513812)</f>
        <v>311.51381199999997</v>
      </c>
      <c r="C56" s="2" t="s">
        <v>7</v>
      </c>
      <c r="D56" s="3"/>
      <c r="E56" s="3" t="s">
        <v>112</v>
      </c>
      <c r="F56" s="3"/>
    </row>
    <row r="57" spans="1:6" x14ac:dyDescent="0.35">
      <c r="A57" s="3" t="s">
        <v>113</v>
      </c>
      <c r="B57" s="4">
        <f ca="1">IFERROR(__xludf.DUMMYFUNCTION("googlefinance(A57,""marketcap"")/10^6"),400.396647)</f>
        <v>400.39664699999997</v>
      </c>
      <c r="C57" s="2" t="s">
        <v>7</v>
      </c>
      <c r="D57" s="3"/>
      <c r="E57" s="3" t="s">
        <v>114</v>
      </c>
      <c r="F57" s="3"/>
    </row>
    <row r="58" spans="1:6" x14ac:dyDescent="0.35">
      <c r="A58" s="3" t="s">
        <v>115</v>
      </c>
      <c r="B58" s="4">
        <f ca="1">IFERROR(__xludf.DUMMYFUNCTION("googlefinance(A58,""marketcap"")/10^6"),669.690961)</f>
        <v>669.69096100000002</v>
      </c>
      <c r="C58" s="2" t="s">
        <v>7</v>
      </c>
      <c r="D58" s="3"/>
      <c r="E58" s="3" t="s">
        <v>116</v>
      </c>
      <c r="F58" s="3"/>
    </row>
    <row r="59" spans="1:6" x14ac:dyDescent="0.35">
      <c r="A59" s="3" t="s">
        <v>117</v>
      </c>
      <c r="B59" s="4">
        <f ca="1">IFERROR(__xludf.DUMMYFUNCTION("googlefinance(A59,""marketcap"")/10^6"),89.934857)</f>
        <v>89.934856999999994</v>
      </c>
      <c r="C59" s="2" t="s">
        <v>7</v>
      </c>
      <c r="D59" s="3"/>
      <c r="E59" s="3" t="s">
        <v>118</v>
      </c>
      <c r="F59" s="3"/>
    </row>
    <row r="60" spans="1:6" x14ac:dyDescent="0.35">
      <c r="A60" s="3" t="s">
        <v>119</v>
      </c>
      <c r="B60" s="4">
        <f ca="1">IFERROR(__xludf.DUMMYFUNCTION("googlefinance(A60,""marketcap"")/10^6"),100.606811)</f>
        <v>100.60681099999999</v>
      </c>
      <c r="C60" s="2" t="s">
        <v>7</v>
      </c>
      <c r="D60" s="3"/>
      <c r="E60" s="3" t="s">
        <v>120</v>
      </c>
      <c r="F60" s="3"/>
    </row>
    <row r="61" spans="1:6" x14ac:dyDescent="0.35">
      <c r="A61" s="3" t="s">
        <v>121</v>
      </c>
      <c r="B61" s="4">
        <f ca="1">IFERROR(__xludf.DUMMYFUNCTION("googlefinance(A61,""marketcap"")/10^6"),159.09894)</f>
        <v>159.09894</v>
      </c>
      <c r="C61" s="2" t="s">
        <v>7</v>
      </c>
      <c r="D61" s="3"/>
      <c r="E61" s="3" t="s">
        <v>122</v>
      </c>
      <c r="F61" s="3"/>
    </row>
    <row r="62" spans="1:6" x14ac:dyDescent="0.35">
      <c r="A62" s="3" t="s">
        <v>123</v>
      </c>
      <c r="B62" s="4">
        <f ca="1">IFERROR(__xludf.DUMMYFUNCTION("googlefinance(A62,""marketcap"")/10^6"),306.995753)</f>
        <v>306.99575299999998</v>
      </c>
      <c r="C62" s="2" t="s">
        <v>7</v>
      </c>
      <c r="D62" s="3"/>
      <c r="E62" s="3" t="s">
        <v>124</v>
      </c>
      <c r="F62" s="3"/>
    </row>
    <row r="63" spans="1:6" x14ac:dyDescent="0.35">
      <c r="A63" s="3" t="s">
        <v>125</v>
      </c>
      <c r="B63" s="4">
        <f ca="1">IFERROR(__xludf.DUMMYFUNCTION("googlefinance(A63,""marketcap"")/10^6"),3045.771678)</f>
        <v>3045.7716780000001</v>
      </c>
      <c r="C63" s="2" t="s">
        <v>7</v>
      </c>
      <c r="D63" s="3"/>
      <c r="E63" s="3" t="s">
        <v>126</v>
      </c>
      <c r="F63" s="3"/>
    </row>
    <row r="64" spans="1:6" x14ac:dyDescent="0.35">
      <c r="A64" s="3" t="s">
        <v>127</v>
      </c>
      <c r="B64" s="4">
        <f ca="1">IFERROR(__xludf.DUMMYFUNCTION("googlefinance(A64,""marketcap"")/10^6"),1827.341768)</f>
        <v>1827.341768</v>
      </c>
      <c r="C64" s="2" t="s">
        <v>128</v>
      </c>
      <c r="D64" s="3" t="s">
        <v>129</v>
      </c>
      <c r="E64" s="3" t="s">
        <v>130</v>
      </c>
      <c r="F64" s="3"/>
    </row>
    <row r="65" spans="1:6" x14ac:dyDescent="0.35">
      <c r="A65" s="3" t="s">
        <v>131</v>
      </c>
      <c r="B65" s="4">
        <f ca="1">IFERROR(__xludf.DUMMYFUNCTION("googlefinance(A65,""marketcap"")/10^6"),108.105795)</f>
        <v>108.105795</v>
      </c>
      <c r="C65" s="2" t="s">
        <v>128</v>
      </c>
      <c r="D65" s="3" t="s">
        <v>132</v>
      </c>
      <c r="E65" s="3" t="s">
        <v>133</v>
      </c>
      <c r="F65" s="3"/>
    </row>
    <row r="66" spans="1:6" x14ac:dyDescent="0.35">
      <c r="A66" s="3" t="s">
        <v>134</v>
      </c>
      <c r="B66" s="4">
        <f ca="1">IFERROR(__xludf.DUMMYFUNCTION("googlefinance(A66,""marketcap"")/10^6"),363.440888)</f>
        <v>363.44088799999997</v>
      </c>
      <c r="C66" s="2" t="s">
        <v>128</v>
      </c>
      <c r="D66" s="3"/>
      <c r="E66" s="3" t="s">
        <v>135</v>
      </c>
      <c r="F66" s="3"/>
    </row>
    <row r="67" spans="1:6" x14ac:dyDescent="0.35">
      <c r="A67" s="3" t="s">
        <v>136</v>
      </c>
      <c r="B67" s="4">
        <f ca="1">IFERROR(__xludf.DUMMYFUNCTION("googlefinance(A67,""marketcap"")/10^6"),512.723269)</f>
        <v>512.72326899999996</v>
      </c>
      <c r="C67" s="2" t="s">
        <v>128</v>
      </c>
      <c r="D67" s="3" t="s">
        <v>129</v>
      </c>
      <c r="E67" s="3" t="s">
        <v>137</v>
      </c>
      <c r="F67" s="3"/>
    </row>
    <row r="68" spans="1:6" x14ac:dyDescent="0.35">
      <c r="A68" s="3" t="s">
        <v>16</v>
      </c>
      <c r="B68" s="4">
        <f ca="1">IFERROR(__xludf.DUMMYFUNCTION("googlefinance(A68,""marketcap"")/10^6"),258.494677)</f>
        <v>258.49467700000002</v>
      </c>
      <c r="C68" s="2" t="s">
        <v>128</v>
      </c>
      <c r="D68" s="3"/>
      <c r="E68" s="3" t="s">
        <v>138</v>
      </c>
      <c r="F68" s="3"/>
    </row>
    <row r="69" spans="1:6" x14ac:dyDescent="0.35">
      <c r="A69" s="3" t="s">
        <v>139</v>
      </c>
      <c r="B69" s="4">
        <f ca="1">IFERROR(__xludf.DUMMYFUNCTION("googlefinance(A69,""marketcap"")/10^6"),74.303556)</f>
        <v>74.303556</v>
      </c>
      <c r="C69" s="2" t="s">
        <v>128</v>
      </c>
      <c r="D69" s="3"/>
      <c r="E69" s="3" t="s">
        <v>140</v>
      </c>
      <c r="F69" s="3"/>
    </row>
    <row r="70" spans="1:6" x14ac:dyDescent="0.35">
      <c r="A70" s="3" t="s">
        <v>139</v>
      </c>
      <c r="B70" s="4">
        <f ca="1">IFERROR(__xludf.DUMMYFUNCTION("googlefinance(A70,""marketcap"")/10^6"),74.303556)</f>
        <v>74.303556</v>
      </c>
      <c r="C70" s="2" t="s">
        <v>128</v>
      </c>
      <c r="D70" s="3" t="s">
        <v>132</v>
      </c>
      <c r="E70" s="3" t="s">
        <v>141</v>
      </c>
      <c r="F70" s="3"/>
    </row>
    <row r="71" spans="1:6" x14ac:dyDescent="0.35">
      <c r="A71" s="3" t="s">
        <v>142</v>
      </c>
      <c r="B71" s="4">
        <f ca="1">IFERROR(__xludf.DUMMYFUNCTION("googlefinance(A71,""marketcap"")/10^6"),1246.455773)</f>
        <v>1246.4557729999999</v>
      </c>
      <c r="C71" s="2" t="s">
        <v>128</v>
      </c>
      <c r="D71" s="3" t="s">
        <v>143</v>
      </c>
      <c r="E71" s="3" t="s">
        <v>144</v>
      </c>
      <c r="F71" s="3"/>
    </row>
    <row r="72" spans="1:6" x14ac:dyDescent="0.35">
      <c r="A72" s="3" t="s">
        <v>145</v>
      </c>
      <c r="B72" s="4">
        <f ca="1">IFERROR(__xludf.DUMMYFUNCTION("googlefinance(A72,""marketcap"")/10^6"),47.345146)</f>
        <v>47.345146</v>
      </c>
      <c r="C72" s="2" t="s">
        <v>128</v>
      </c>
      <c r="D72" s="5">
        <v>45306</v>
      </c>
      <c r="E72" s="3" t="s">
        <v>146</v>
      </c>
      <c r="F72" s="3"/>
    </row>
    <row r="73" spans="1:6" x14ac:dyDescent="0.35">
      <c r="A73" s="3" t="s">
        <v>147</v>
      </c>
      <c r="B73" s="4">
        <f ca="1">IFERROR(__xludf.DUMMYFUNCTION("googlefinance(A73,""marketcap"")/10^6"),630.708161)</f>
        <v>630.70816100000002</v>
      </c>
      <c r="C73" s="2" t="s">
        <v>128</v>
      </c>
      <c r="D73" s="3"/>
      <c r="E73" s="3" t="s">
        <v>148</v>
      </c>
      <c r="F73" s="3"/>
    </row>
    <row r="74" spans="1:6" x14ac:dyDescent="0.35">
      <c r="A74" s="3" t="s">
        <v>29</v>
      </c>
      <c r="B74" s="4">
        <f ca="1">IFERROR(__xludf.DUMMYFUNCTION("googlefinance(A74,""marketcap"")/10^6"),889.71468)</f>
        <v>889.71468000000004</v>
      </c>
      <c r="C74" s="2" t="s">
        <v>128</v>
      </c>
      <c r="D74" s="3"/>
      <c r="E74" s="3" t="s">
        <v>149</v>
      </c>
      <c r="F74" s="3"/>
    </row>
    <row r="75" spans="1:6" x14ac:dyDescent="0.35">
      <c r="A75" s="3" t="s">
        <v>150</v>
      </c>
      <c r="B75" s="4">
        <f ca="1">IFERROR(__xludf.DUMMYFUNCTION("googlefinance(A75,""marketcap"")/10^6"),4996.955)</f>
        <v>4996.9549999999999</v>
      </c>
      <c r="C75" s="2" t="s">
        <v>128</v>
      </c>
      <c r="D75" s="5">
        <v>45322</v>
      </c>
      <c r="E75" s="3" t="s">
        <v>151</v>
      </c>
      <c r="F75" s="3"/>
    </row>
    <row r="76" spans="1:6" x14ac:dyDescent="0.35">
      <c r="A76" s="3" t="s">
        <v>150</v>
      </c>
      <c r="B76" s="4">
        <f ca="1">IFERROR(__xludf.DUMMYFUNCTION("googlefinance(A76,""marketcap"")/10^6"),4996.955)</f>
        <v>4996.9549999999999</v>
      </c>
      <c r="C76" s="2" t="s">
        <v>128</v>
      </c>
      <c r="D76" s="3"/>
      <c r="E76" s="3" t="s">
        <v>152</v>
      </c>
      <c r="F76" s="3"/>
    </row>
    <row r="77" spans="1:6" x14ac:dyDescent="0.35">
      <c r="A77" s="3" t="s">
        <v>150</v>
      </c>
      <c r="B77" s="4">
        <f ca="1">IFERROR(__xludf.DUMMYFUNCTION("googlefinance(A77,""marketcap"")/10^6"),4996.955)</f>
        <v>4996.9549999999999</v>
      </c>
      <c r="C77" s="2" t="s">
        <v>128</v>
      </c>
      <c r="D77" s="3"/>
      <c r="E77" s="3" t="s">
        <v>153</v>
      </c>
      <c r="F77" s="3"/>
    </row>
    <row r="78" spans="1:6" x14ac:dyDescent="0.35">
      <c r="A78" s="3" t="s">
        <v>154</v>
      </c>
      <c r="B78" s="4">
        <f ca="1">IFERROR(__xludf.DUMMYFUNCTION("googlefinance(A78,""marketcap"")/10^6"),140.330999)</f>
        <v>140.33099899999999</v>
      </c>
      <c r="C78" s="2" t="s">
        <v>128</v>
      </c>
      <c r="D78" s="3"/>
      <c r="E78" s="3" t="s">
        <v>155</v>
      </c>
      <c r="F78" s="3"/>
    </row>
    <row r="79" spans="1:6" x14ac:dyDescent="0.35">
      <c r="A79" s="3" t="s">
        <v>156</v>
      </c>
      <c r="B79" s="4">
        <f ca="1">IFERROR(__xludf.DUMMYFUNCTION("googlefinance(A79,""marketcap"")/10^6"),193.583145)</f>
        <v>193.583145</v>
      </c>
      <c r="C79" s="2" t="s">
        <v>128</v>
      </c>
      <c r="D79" s="3"/>
      <c r="E79" s="3" t="s">
        <v>157</v>
      </c>
      <c r="F79" s="3"/>
    </row>
    <row r="80" spans="1:6" x14ac:dyDescent="0.35">
      <c r="A80" s="3" t="s">
        <v>158</v>
      </c>
      <c r="B80" s="4">
        <f ca="1">IFERROR(__xludf.DUMMYFUNCTION("googlefinance(A80,""marketcap"")/10^6"),1818.98578)</f>
        <v>1818.98578</v>
      </c>
      <c r="C80" s="2" t="s">
        <v>128</v>
      </c>
      <c r="D80" s="3" t="s">
        <v>143</v>
      </c>
      <c r="E80" s="3" t="s">
        <v>159</v>
      </c>
      <c r="F80" s="3"/>
    </row>
    <row r="81" spans="1:6" x14ac:dyDescent="0.35">
      <c r="A81" s="3" t="s">
        <v>160</v>
      </c>
      <c r="B81" s="4">
        <f ca="1">IFERROR(__xludf.DUMMYFUNCTION("googlefinance(A81,""marketcap"")/10^6"),7299.754507)</f>
        <v>7299.7545069999996</v>
      </c>
      <c r="C81" s="2" t="s">
        <v>128</v>
      </c>
      <c r="D81" s="3" t="s">
        <v>161</v>
      </c>
      <c r="E81" s="3" t="s">
        <v>162</v>
      </c>
      <c r="F81" s="3"/>
    </row>
    <row r="82" spans="1:6" x14ac:dyDescent="0.35">
      <c r="A82" s="3" t="s">
        <v>163</v>
      </c>
      <c r="B82" s="4">
        <f ca="1">IFERROR(__xludf.DUMMYFUNCTION("googlefinance(A82,""marketcap"")/10^6"),103.023019)</f>
        <v>103.02301900000001</v>
      </c>
      <c r="C82" s="2" t="s">
        <v>128</v>
      </c>
      <c r="D82" s="3"/>
      <c r="E82" s="3" t="s">
        <v>164</v>
      </c>
      <c r="F82" s="3"/>
    </row>
    <row r="83" spans="1:6" x14ac:dyDescent="0.35">
      <c r="A83" s="3" t="s">
        <v>38</v>
      </c>
      <c r="B83" s="4">
        <f ca="1">IFERROR(__xludf.DUMMYFUNCTION("googlefinance(A83,""marketcap"")/10^6"),142.864617)</f>
        <v>142.86461700000001</v>
      </c>
      <c r="C83" s="2" t="s">
        <v>128</v>
      </c>
      <c r="D83" s="3"/>
      <c r="E83" s="3" t="s">
        <v>165</v>
      </c>
      <c r="F83" s="3"/>
    </row>
    <row r="84" spans="1:6" x14ac:dyDescent="0.35">
      <c r="A84" s="3" t="s">
        <v>166</v>
      </c>
      <c r="B84" s="4" t="str">
        <f ca="1">IFERROR(__xludf.DUMMYFUNCTION("googlefinance(A84,""marketcap"")/10^6"),"#N/A")</f>
        <v>#N/A</v>
      </c>
      <c r="C84" s="2" t="s">
        <v>128</v>
      </c>
      <c r="D84" s="3"/>
      <c r="E84" s="3" t="s">
        <v>167</v>
      </c>
      <c r="F84" s="3"/>
    </row>
    <row r="85" spans="1:6" x14ac:dyDescent="0.35">
      <c r="A85" s="3" t="s">
        <v>168</v>
      </c>
      <c r="B85" s="4">
        <f ca="1">IFERROR(__xludf.DUMMYFUNCTION("googlefinance(A85,""marketcap"")/10^6"),364.611128)</f>
        <v>364.61112800000001</v>
      </c>
      <c r="C85" s="2" t="s">
        <v>128</v>
      </c>
      <c r="D85" s="3" t="s">
        <v>169</v>
      </c>
      <c r="E85" s="3" t="s">
        <v>170</v>
      </c>
      <c r="F85" s="3"/>
    </row>
    <row r="86" spans="1:6" x14ac:dyDescent="0.35">
      <c r="A86" s="3" t="s">
        <v>171</v>
      </c>
      <c r="B86" s="4" t="str">
        <f ca="1">IFERROR(__xludf.DUMMYFUNCTION("googlefinance(A86,""marketcap"")/10^6"),"#N/A")</f>
        <v>#N/A</v>
      </c>
      <c r="C86" s="2" t="s">
        <v>128</v>
      </c>
      <c r="D86" s="3"/>
      <c r="E86" s="3" t="s">
        <v>172</v>
      </c>
      <c r="F86" s="3"/>
    </row>
    <row r="87" spans="1:6" x14ac:dyDescent="0.35">
      <c r="A87" s="3" t="s">
        <v>173</v>
      </c>
      <c r="B87" s="4">
        <f ca="1">IFERROR(__xludf.DUMMYFUNCTION("googlefinance(A87,""marketcap"")/10^6"),3597.292364)</f>
        <v>3597.2923639999999</v>
      </c>
      <c r="C87" s="2" t="s">
        <v>128</v>
      </c>
      <c r="D87" s="3"/>
      <c r="E87" s="3" t="s">
        <v>174</v>
      </c>
      <c r="F87" s="3"/>
    </row>
    <row r="88" spans="1:6" x14ac:dyDescent="0.35">
      <c r="A88" s="3" t="s">
        <v>175</v>
      </c>
      <c r="B88" s="4">
        <f ca="1">IFERROR(__xludf.DUMMYFUNCTION("googlefinance(A88,""marketcap"")/10^6"),19.066138)</f>
        <v>19.066137999999999</v>
      </c>
      <c r="C88" s="2" t="s">
        <v>128</v>
      </c>
      <c r="D88" s="5">
        <v>45322</v>
      </c>
      <c r="E88" s="3" t="s">
        <v>176</v>
      </c>
      <c r="F88" s="3"/>
    </row>
    <row r="89" spans="1:6" x14ac:dyDescent="0.35">
      <c r="A89" s="3" t="s">
        <v>177</v>
      </c>
      <c r="B89" s="4">
        <f ca="1">IFERROR(__xludf.DUMMYFUNCTION("googlefinance(A89,""marketcap"")/10^6"),339.27824)</f>
        <v>339.27823999999998</v>
      </c>
      <c r="C89" s="2" t="s">
        <v>128</v>
      </c>
      <c r="D89" s="3" t="s">
        <v>178</v>
      </c>
      <c r="E89" s="3" t="s">
        <v>179</v>
      </c>
      <c r="F89" s="3"/>
    </row>
    <row r="90" spans="1:6" x14ac:dyDescent="0.35">
      <c r="A90" s="3" t="s">
        <v>180</v>
      </c>
      <c r="B90" s="4">
        <f ca="1">IFERROR(__xludf.DUMMYFUNCTION("googlefinance(A90,""marketcap"")/10^6"),1396.228175)</f>
        <v>1396.228175</v>
      </c>
      <c r="C90" s="2" t="s">
        <v>128</v>
      </c>
      <c r="D90" s="3" t="s">
        <v>181</v>
      </c>
      <c r="E90" s="3" t="s">
        <v>182</v>
      </c>
      <c r="F90" s="3"/>
    </row>
    <row r="91" spans="1:6" x14ac:dyDescent="0.35">
      <c r="A91" s="3" t="s">
        <v>183</v>
      </c>
      <c r="B91" s="4">
        <f ca="1">IFERROR(__xludf.DUMMYFUNCTION("googlefinance(A91,""marketcap"")/10^6"),444.001951)</f>
        <v>444.00195100000002</v>
      </c>
      <c r="C91" s="2" t="s">
        <v>128</v>
      </c>
      <c r="D91" s="5">
        <v>45350</v>
      </c>
      <c r="E91" s="3" t="s">
        <v>184</v>
      </c>
      <c r="F91" s="3"/>
    </row>
    <row r="92" spans="1:6" x14ac:dyDescent="0.35">
      <c r="A92" s="3" t="s">
        <v>59</v>
      </c>
      <c r="B92" s="4">
        <f ca="1">IFERROR(__xludf.DUMMYFUNCTION("googlefinance(A92,""marketcap"")/10^6"),2679.68476)</f>
        <v>2679.6847600000001</v>
      </c>
      <c r="C92" s="2" t="s">
        <v>128</v>
      </c>
      <c r="D92" s="3"/>
      <c r="E92" s="3" t="s">
        <v>185</v>
      </c>
      <c r="F92" s="3"/>
    </row>
    <row r="93" spans="1:6" x14ac:dyDescent="0.35">
      <c r="A93" s="3" t="s">
        <v>186</v>
      </c>
      <c r="B93" s="4">
        <f ca="1">IFERROR(__xludf.DUMMYFUNCTION("googlefinance(A93,""marketcap"")/10^6"),580.860311)</f>
        <v>580.86031100000002</v>
      </c>
      <c r="C93" s="2" t="s">
        <v>128</v>
      </c>
      <c r="D93" s="3"/>
      <c r="E93" s="3" t="s">
        <v>187</v>
      </c>
      <c r="F93" s="3"/>
    </row>
    <row r="94" spans="1:6" x14ac:dyDescent="0.35">
      <c r="A94" s="3" t="s">
        <v>188</v>
      </c>
      <c r="B94" s="4">
        <f ca="1">IFERROR(__xludf.DUMMYFUNCTION("googlefinance(A94,""marketcap"")/10^6"),459.408472)</f>
        <v>459.40847200000002</v>
      </c>
      <c r="C94" s="2" t="s">
        <v>128</v>
      </c>
      <c r="D94" s="3" t="s">
        <v>143</v>
      </c>
      <c r="E94" s="3" t="s">
        <v>189</v>
      </c>
      <c r="F94" s="3"/>
    </row>
    <row r="95" spans="1:6" x14ac:dyDescent="0.35">
      <c r="A95" s="3" t="s">
        <v>190</v>
      </c>
      <c r="B95" s="4">
        <f ca="1">IFERROR(__xludf.DUMMYFUNCTION("googlefinance(A95,""marketcap"")/10^6"),339.130803)</f>
        <v>339.13080300000001</v>
      </c>
      <c r="C95" s="2" t="s">
        <v>128</v>
      </c>
      <c r="D95" s="3"/>
      <c r="E95" s="3" t="s">
        <v>191</v>
      </c>
      <c r="F95" s="3"/>
    </row>
    <row r="96" spans="1:6" x14ac:dyDescent="0.35">
      <c r="A96" s="3" t="s">
        <v>192</v>
      </c>
      <c r="B96" s="4">
        <f ca="1">IFERROR(__xludf.DUMMYFUNCTION("googlefinance(A96,""marketcap"")/10^6"),39.495261)</f>
        <v>39.495260999999999</v>
      </c>
      <c r="C96" s="2" t="s">
        <v>128</v>
      </c>
      <c r="D96" s="3" t="s">
        <v>178</v>
      </c>
      <c r="E96" s="3" t="s">
        <v>193</v>
      </c>
      <c r="F96" s="3"/>
    </row>
    <row r="97" spans="1:6" x14ac:dyDescent="0.35">
      <c r="A97" s="3" t="s">
        <v>194</v>
      </c>
      <c r="B97" s="4">
        <f ca="1">IFERROR(__xludf.DUMMYFUNCTION("googlefinance(A97,""marketcap"")/10^6"),28.828143)</f>
        <v>28.828143000000001</v>
      </c>
      <c r="C97" s="2" t="s">
        <v>128</v>
      </c>
      <c r="D97" s="3" t="s">
        <v>178</v>
      </c>
      <c r="E97" s="3" t="s">
        <v>195</v>
      </c>
      <c r="F97" s="3"/>
    </row>
    <row r="98" spans="1:6" x14ac:dyDescent="0.35">
      <c r="A98" s="3" t="s">
        <v>196</v>
      </c>
      <c r="B98" s="4">
        <f ca="1">IFERROR(__xludf.DUMMYFUNCTION("googlefinance(A98,""marketcap"")/10^6"),188.811117)</f>
        <v>188.811117</v>
      </c>
      <c r="C98" s="2" t="s">
        <v>128</v>
      </c>
      <c r="D98" s="3" t="s">
        <v>197</v>
      </c>
      <c r="E98" s="3" t="s">
        <v>198</v>
      </c>
      <c r="F98" s="3"/>
    </row>
    <row r="99" spans="1:6" x14ac:dyDescent="0.35">
      <c r="A99" s="3" t="s">
        <v>199</v>
      </c>
      <c r="B99" s="4">
        <f ca="1">IFERROR(__xludf.DUMMYFUNCTION("googlefinance(A99,""marketcap"")/10^6"),3383.384918)</f>
        <v>3383.3849180000002</v>
      </c>
      <c r="C99" s="2" t="s">
        <v>128</v>
      </c>
      <c r="D99" s="3"/>
      <c r="E99" s="3" t="s">
        <v>200</v>
      </c>
      <c r="F99" s="3"/>
    </row>
    <row r="100" spans="1:6" x14ac:dyDescent="0.35">
      <c r="A100" s="3" t="s">
        <v>201</v>
      </c>
      <c r="B100" s="4">
        <f ca="1">IFERROR(__xludf.DUMMYFUNCTION("googlefinance(A100,""marketcap"")/10^6"),13984.477312)</f>
        <v>13984.477312000001</v>
      </c>
      <c r="C100" s="2" t="s">
        <v>128</v>
      </c>
      <c r="D100" s="3" t="s">
        <v>161</v>
      </c>
      <c r="E100" s="3" t="s">
        <v>202</v>
      </c>
      <c r="F100" s="3"/>
    </row>
    <row r="101" spans="1:6" x14ac:dyDescent="0.35">
      <c r="A101" s="3" t="s">
        <v>203</v>
      </c>
      <c r="B101" s="4">
        <f ca="1">IFERROR(__xludf.DUMMYFUNCTION("googlefinance(A101,""marketcap"")/10^6"),1709.581036)</f>
        <v>1709.581036</v>
      </c>
      <c r="C101" s="2" t="s">
        <v>128</v>
      </c>
      <c r="D101" s="3"/>
      <c r="E101" s="3" t="s">
        <v>204</v>
      </c>
      <c r="F101" s="3"/>
    </row>
    <row r="102" spans="1:6" x14ac:dyDescent="0.35">
      <c r="A102" s="3" t="s">
        <v>63</v>
      </c>
      <c r="B102" s="4">
        <f ca="1">IFERROR(__xludf.DUMMYFUNCTION("googlefinance(A102,""marketcap"")/10^6"),85.507692)</f>
        <v>85.507692000000006</v>
      </c>
      <c r="C102" s="2" t="s">
        <v>128</v>
      </c>
      <c r="D102" s="3" t="s">
        <v>205</v>
      </c>
      <c r="E102" s="3" t="s">
        <v>206</v>
      </c>
      <c r="F102" s="3"/>
    </row>
    <row r="103" spans="1:6" x14ac:dyDescent="0.35">
      <c r="A103" s="3" t="s">
        <v>207</v>
      </c>
      <c r="B103" s="4">
        <f ca="1">IFERROR(__xludf.DUMMYFUNCTION("googlefinance(A103,""marketcap"")/10^6"),479.607622)</f>
        <v>479.60762199999999</v>
      </c>
      <c r="C103" s="2" t="s">
        <v>128</v>
      </c>
      <c r="D103" s="3"/>
      <c r="E103" s="3" t="s">
        <v>208</v>
      </c>
      <c r="F103" s="3"/>
    </row>
    <row r="104" spans="1:6" x14ac:dyDescent="0.35">
      <c r="A104" s="3" t="s">
        <v>209</v>
      </c>
      <c r="B104" s="4">
        <f ca="1">IFERROR(__xludf.DUMMYFUNCTION("googlefinance(A104,""marketcap"")/10^6"),620.554726)</f>
        <v>620.55472599999996</v>
      </c>
      <c r="C104" s="2" t="s">
        <v>128</v>
      </c>
      <c r="D104" s="3" t="s">
        <v>178</v>
      </c>
      <c r="E104" s="3" t="s">
        <v>210</v>
      </c>
      <c r="F104" s="3"/>
    </row>
    <row r="105" spans="1:6" x14ac:dyDescent="0.35">
      <c r="A105" s="3" t="s">
        <v>211</v>
      </c>
      <c r="B105" s="4">
        <f ca="1">IFERROR(__xludf.DUMMYFUNCTION("googlefinance(A105,""marketcap"")/10^6"),82.383467)</f>
        <v>82.383466999999996</v>
      </c>
      <c r="C105" s="2" t="s">
        <v>128</v>
      </c>
      <c r="D105" s="3" t="s">
        <v>143</v>
      </c>
      <c r="E105" s="3" t="s">
        <v>212</v>
      </c>
      <c r="F105" s="3"/>
    </row>
    <row r="106" spans="1:6" x14ac:dyDescent="0.35">
      <c r="A106" s="3" t="s">
        <v>211</v>
      </c>
      <c r="B106" s="4">
        <f ca="1">IFERROR(__xludf.DUMMYFUNCTION("googlefinance(A106,""marketcap"")/10^6"),82.383467)</f>
        <v>82.383466999999996</v>
      </c>
      <c r="C106" s="2" t="s">
        <v>128</v>
      </c>
      <c r="D106" s="3"/>
      <c r="E106" s="3" t="s">
        <v>213</v>
      </c>
      <c r="F106" s="3"/>
    </row>
    <row r="107" spans="1:6" x14ac:dyDescent="0.35">
      <c r="A107" s="3" t="s">
        <v>214</v>
      </c>
      <c r="B107" s="4">
        <f ca="1">IFERROR(__xludf.DUMMYFUNCTION("googlefinance(A107,""marketcap"")/10^6"),22.498335)</f>
        <v>22.498335000000001</v>
      </c>
      <c r="C107" s="2" t="s">
        <v>128</v>
      </c>
      <c r="D107" s="3" t="s">
        <v>215</v>
      </c>
      <c r="E107" s="3" t="s">
        <v>216</v>
      </c>
      <c r="F107" s="3"/>
    </row>
    <row r="108" spans="1:6" x14ac:dyDescent="0.35">
      <c r="A108" s="3" t="s">
        <v>217</v>
      </c>
      <c r="B108" s="4">
        <f ca="1">IFERROR(__xludf.DUMMYFUNCTION("googlefinance(A108,""marketcap"")/10^6"),355.947177)</f>
        <v>355.94717700000001</v>
      </c>
      <c r="C108" s="2" t="s">
        <v>128</v>
      </c>
      <c r="D108" s="3"/>
      <c r="E108" s="3" t="s">
        <v>218</v>
      </c>
      <c r="F108" s="3"/>
    </row>
    <row r="109" spans="1:6" x14ac:dyDescent="0.35">
      <c r="A109" s="3" t="s">
        <v>219</v>
      </c>
      <c r="B109" s="4">
        <f ca="1">IFERROR(__xludf.DUMMYFUNCTION("googlefinance(A109,""marketcap"")/10^6"),359.237157)</f>
        <v>359.23715700000002</v>
      </c>
      <c r="C109" s="2" t="s">
        <v>128</v>
      </c>
      <c r="D109" s="3" t="s">
        <v>181</v>
      </c>
      <c r="E109" s="3" t="s">
        <v>220</v>
      </c>
      <c r="F109" s="3"/>
    </row>
    <row r="110" spans="1:6" x14ac:dyDescent="0.35">
      <c r="A110" s="3" t="s">
        <v>221</v>
      </c>
      <c r="B110" s="4">
        <f ca="1">IFERROR(__xludf.DUMMYFUNCTION("googlefinance(A110,""marketcap"")/10^6"),2281.657628)</f>
        <v>2281.6576279999999</v>
      </c>
      <c r="C110" s="2" t="s">
        <v>128</v>
      </c>
      <c r="D110" s="6">
        <v>45744</v>
      </c>
      <c r="E110" s="3" t="s">
        <v>222</v>
      </c>
      <c r="F110" s="3"/>
    </row>
    <row r="111" spans="1:6" x14ac:dyDescent="0.35">
      <c r="A111" s="3" t="s">
        <v>223</v>
      </c>
      <c r="B111" s="4">
        <f ca="1">IFERROR(__xludf.DUMMYFUNCTION("googlefinance(A111,""marketcap"")/10^6"),109.322192)</f>
        <v>109.322192</v>
      </c>
      <c r="C111" s="2" t="s">
        <v>128</v>
      </c>
      <c r="D111" s="6">
        <v>45378</v>
      </c>
      <c r="E111" s="3" t="s">
        <v>224</v>
      </c>
      <c r="F111" s="3"/>
    </row>
    <row r="112" spans="1:6" x14ac:dyDescent="0.35">
      <c r="A112" s="3" t="s">
        <v>71</v>
      </c>
      <c r="B112" s="4">
        <f ca="1">IFERROR(__xludf.DUMMYFUNCTION("googlefinance(A112,""marketcap"")/10^6"),496.193553)</f>
        <v>496.19355300000001</v>
      </c>
      <c r="C112" s="2" t="s">
        <v>128</v>
      </c>
      <c r="D112" s="3" t="s">
        <v>225</v>
      </c>
      <c r="E112" s="3" t="s">
        <v>226</v>
      </c>
      <c r="F112" s="3"/>
    </row>
    <row r="113" spans="1:6" x14ac:dyDescent="0.35">
      <c r="A113" s="3" t="s">
        <v>227</v>
      </c>
      <c r="B113" s="4">
        <f ca="1">IFERROR(__xludf.DUMMYFUNCTION("googlefinance(A113,""marketcap"")/10^6"),15935.305039)</f>
        <v>15935.305039000001</v>
      </c>
      <c r="C113" s="2" t="s">
        <v>128</v>
      </c>
      <c r="D113" s="3" t="s">
        <v>161</v>
      </c>
      <c r="E113" s="3" t="s">
        <v>228</v>
      </c>
      <c r="F113" s="3"/>
    </row>
    <row r="114" spans="1:6" x14ac:dyDescent="0.35">
      <c r="A114" s="3" t="s">
        <v>229</v>
      </c>
      <c r="B114" s="4">
        <f ca="1">IFERROR(__xludf.DUMMYFUNCTION("googlefinance(A114,""marketcap"")/10^6"),74.454769)</f>
        <v>74.454768999999999</v>
      </c>
      <c r="C114" s="2" t="s">
        <v>128</v>
      </c>
      <c r="D114" s="3" t="s">
        <v>197</v>
      </c>
      <c r="E114" s="3" t="s">
        <v>230</v>
      </c>
      <c r="F114" s="3"/>
    </row>
    <row r="115" spans="1:6" x14ac:dyDescent="0.35">
      <c r="A115" s="3" t="s">
        <v>231</v>
      </c>
      <c r="B115" s="4">
        <f ca="1">IFERROR(__xludf.DUMMYFUNCTION("googlefinance(A115,""marketcap"")/10^6"),2827.549931)</f>
        <v>2827.549931</v>
      </c>
      <c r="C115" s="2" t="s">
        <v>128</v>
      </c>
      <c r="D115" s="5">
        <v>45326</v>
      </c>
      <c r="E115" s="3" t="s">
        <v>232</v>
      </c>
      <c r="F115" s="3"/>
    </row>
    <row r="116" spans="1:6" x14ac:dyDescent="0.35">
      <c r="A116" s="3" t="s">
        <v>79</v>
      </c>
      <c r="B116" s="4">
        <f ca="1">IFERROR(__xludf.DUMMYFUNCTION("googlefinance(A116,""marketcap"")/10^6"),342.509301)</f>
        <v>342.50930099999999</v>
      </c>
      <c r="C116" s="2" t="s">
        <v>128</v>
      </c>
      <c r="D116" s="3" t="s">
        <v>143</v>
      </c>
      <c r="E116" s="3" t="s">
        <v>233</v>
      </c>
      <c r="F116" s="3"/>
    </row>
    <row r="117" spans="1:6" x14ac:dyDescent="0.35">
      <c r="A117" s="3" t="s">
        <v>234</v>
      </c>
      <c r="B117" s="4">
        <f ca="1">IFERROR(__xludf.DUMMYFUNCTION("googlefinance(A117,""marketcap"")/10^6"),415.03603)</f>
        <v>415.03602999999998</v>
      </c>
      <c r="C117" s="2" t="s">
        <v>128</v>
      </c>
      <c r="D117" s="3" t="s">
        <v>235</v>
      </c>
      <c r="E117" s="3" t="s">
        <v>236</v>
      </c>
      <c r="F117" s="3"/>
    </row>
    <row r="118" spans="1:6" x14ac:dyDescent="0.35">
      <c r="A118" s="3" t="s">
        <v>85</v>
      </c>
      <c r="B118" s="4">
        <f ca="1">IFERROR(__xludf.DUMMYFUNCTION("googlefinance(A118,""marketcap"")/10^6"),728.956484)</f>
        <v>728.95648400000005</v>
      </c>
      <c r="C118" s="2" t="s">
        <v>128</v>
      </c>
      <c r="D118" s="5">
        <v>45701</v>
      </c>
      <c r="E118" s="3" t="s">
        <v>237</v>
      </c>
      <c r="F118" s="3"/>
    </row>
    <row r="119" spans="1:6" x14ac:dyDescent="0.35">
      <c r="A119" s="3" t="s">
        <v>87</v>
      </c>
      <c r="B119" s="4">
        <f ca="1">IFERROR(__xludf.DUMMYFUNCTION("googlefinance(A119,""marketcap"")/10^6"),52.113647)</f>
        <v>52.113647</v>
      </c>
      <c r="C119" s="2" t="s">
        <v>128</v>
      </c>
      <c r="D119" s="3" t="s">
        <v>238</v>
      </c>
      <c r="E119" s="3" t="s">
        <v>239</v>
      </c>
      <c r="F119" s="3"/>
    </row>
    <row r="120" spans="1:6" x14ac:dyDescent="0.35">
      <c r="A120" s="3" t="s">
        <v>240</v>
      </c>
      <c r="B120" s="4">
        <f ca="1">IFERROR(__xludf.DUMMYFUNCTION("googlefinance(A120,""marketcap"")/10^6"),11171.788303)</f>
        <v>11171.788302999999</v>
      </c>
      <c r="C120" s="2" t="s">
        <v>128</v>
      </c>
      <c r="D120" s="3"/>
      <c r="E120" s="3" t="s">
        <v>241</v>
      </c>
      <c r="F120" s="3"/>
    </row>
    <row r="121" spans="1:6" x14ac:dyDescent="0.35">
      <c r="A121" s="3" t="s">
        <v>242</v>
      </c>
      <c r="B121" s="4">
        <f ca="1">IFERROR(__xludf.DUMMYFUNCTION("googlefinance(A121,""marketcap"")/10^6"),63.235718)</f>
        <v>63.235717999999999</v>
      </c>
      <c r="C121" s="2" t="s">
        <v>128</v>
      </c>
      <c r="D121" s="3"/>
      <c r="E121" s="3" t="s">
        <v>243</v>
      </c>
      <c r="F121" s="3"/>
    </row>
    <row r="122" spans="1:6" x14ac:dyDescent="0.35">
      <c r="A122" s="3" t="s">
        <v>244</v>
      </c>
      <c r="B122" s="4">
        <f ca="1">IFERROR(__xludf.DUMMYFUNCTION("googlefinance(A122,""marketcap"")/10^6"),14.904811)</f>
        <v>14.904811</v>
      </c>
      <c r="C122" s="2" t="s">
        <v>128</v>
      </c>
      <c r="D122" s="3"/>
      <c r="E122" s="3" t="s">
        <v>245</v>
      </c>
      <c r="F122" s="3"/>
    </row>
    <row r="123" spans="1:6" x14ac:dyDescent="0.35">
      <c r="A123" s="3" t="s">
        <v>89</v>
      </c>
      <c r="B123" s="4">
        <f ca="1">IFERROR(__xludf.DUMMYFUNCTION("googlefinance(A123,""marketcap"")/10^6"),1437.159227)</f>
        <v>1437.1592270000001</v>
      </c>
      <c r="C123" s="2" t="s">
        <v>128</v>
      </c>
      <c r="D123" s="3"/>
      <c r="E123" s="3" t="s">
        <v>246</v>
      </c>
      <c r="F123" s="3"/>
    </row>
    <row r="124" spans="1:6" x14ac:dyDescent="0.35">
      <c r="A124" s="3" t="s">
        <v>247</v>
      </c>
      <c r="B124" s="4">
        <f ca="1">IFERROR(__xludf.DUMMYFUNCTION("googlefinance(A124,""marketcap"")/10^6"),2246.248915)</f>
        <v>2246.2489150000001</v>
      </c>
      <c r="C124" s="2" t="s">
        <v>128</v>
      </c>
      <c r="D124" s="3"/>
      <c r="E124" s="3" t="s">
        <v>248</v>
      </c>
      <c r="F124" s="3"/>
    </row>
    <row r="125" spans="1:6" x14ac:dyDescent="0.35">
      <c r="A125" s="3" t="s">
        <v>247</v>
      </c>
      <c r="B125" s="4">
        <f ca="1">IFERROR(__xludf.DUMMYFUNCTION("googlefinance(A125,""marketcap"")/10^6"),2246.248915)</f>
        <v>2246.2489150000001</v>
      </c>
      <c r="C125" s="2" t="s">
        <v>128</v>
      </c>
      <c r="D125" s="3"/>
      <c r="E125" s="3" t="s">
        <v>249</v>
      </c>
      <c r="F125" s="3"/>
    </row>
    <row r="126" spans="1:6" x14ac:dyDescent="0.35">
      <c r="A126" s="3" t="s">
        <v>250</v>
      </c>
      <c r="B126" s="4">
        <f ca="1">IFERROR(__xludf.DUMMYFUNCTION("googlefinance(A126,""marketcap"")/10^6"),508.412641)</f>
        <v>508.41264100000001</v>
      </c>
      <c r="C126" s="2" t="s">
        <v>128</v>
      </c>
      <c r="D126" s="3"/>
      <c r="E126" s="3" t="s">
        <v>251</v>
      </c>
      <c r="F126" s="3"/>
    </row>
    <row r="127" spans="1:6" x14ac:dyDescent="0.35">
      <c r="A127" s="3" t="s">
        <v>252</v>
      </c>
      <c r="B127" s="4">
        <f ca="1">IFERROR(__xludf.DUMMYFUNCTION("googlefinance(A127,""marketcap"")/10^6"),4067.765463)</f>
        <v>4067.7654630000002</v>
      </c>
      <c r="C127" s="2" t="s">
        <v>128</v>
      </c>
      <c r="D127" s="3" t="s">
        <v>143</v>
      </c>
      <c r="E127" s="3" t="s">
        <v>253</v>
      </c>
      <c r="F127" s="3"/>
    </row>
    <row r="128" spans="1:6" x14ac:dyDescent="0.35">
      <c r="A128" s="3" t="s">
        <v>95</v>
      </c>
      <c r="B128" s="4">
        <f ca="1">IFERROR(__xludf.DUMMYFUNCTION("googlefinance(A128,""marketcap"")/10^6"),81.220161)</f>
        <v>81.220161000000004</v>
      </c>
      <c r="C128" s="2" t="s">
        <v>128</v>
      </c>
      <c r="D128" s="3" t="s">
        <v>178</v>
      </c>
      <c r="E128" s="3" t="s">
        <v>254</v>
      </c>
      <c r="F128" s="3"/>
    </row>
    <row r="129" spans="1:6" x14ac:dyDescent="0.35">
      <c r="A129" s="3" t="s">
        <v>255</v>
      </c>
      <c r="B129" s="4">
        <f ca="1">IFERROR(__xludf.DUMMYFUNCTION("googlefinance(A129,""marketcap"")/10^6"),811.807049)</f>
        <v>811.80704900000001</v>
      </c>
      <c r="C129" s="2" t="s">
        <v>128</v>
      </c>
      <c r="D129" s="6">
        <v>45371</v>
      </c>
      <c r="E129" s="3" t="s">
        <v>256</v>
      </c>
      <c r="F129" s="3"/>
    </row>
    <row r="130" spans="1:6" x14ac:dyDescent="0.35">
      <c r="A130" s="3" t="s">
        <v>257</v>
      </c>
      <c r="B130" s="4">
        <f ca="1">IFERROR(__xludf.DUMMYFUNCTION("googlefinance(A130,""marketcap"")/10^6"),66.04627)</f>
        <v>66.046270000000007</v>
      </c>
      <c r="C130" s="2" t="s">
        <v>128</v>
      </c>
      <c r="D130" s="3"/>
      <c r="E130" s="3" t="s">
        <v>258</v>
      </c>
      <c r="F130" s="3"/>
    </row>
    <row r="131" spans="1:6" x14ac:dyDescent="0.35">
      <c r="A131" s="3" t="s">
        <v>259</v>
      </c>
      <c r="B131" s="4">
        <f ca="1">IFERROR(__xludf.DUMMYFUNCTION("googlefinance(A131,""marketcap"")/10^6"),128.254267)</f>
        <v>128.254267</v>
      </c>
      <c r="C131" s="2" t="s">
        <v>128</v>
      </c>
      <c r="D131" s="3"/>
      <c r="E131" s="3" t="s">
        <v>260</v>
      </c>
      <c r="F131" s="3"/>
    </row>
    <row r="132" spans="1:6" x14ac:dyDescent="0.35">
      <c r="A132" s="3" t="s">
        <v>261</v>
      </c>
      <c r="B132" s="4">
        <f ca="1">IFERROR(__xludf.DUMMYFUNCTION("googlefinance(A132,""marketcap"")/10^6"),2072.223745)</f>
        <v>2072.2237449999998</v>
      </c>
      <c r="C132" s="2" t="s">
        <v>128</v>
      </c>
      <c r="D132" s="6">
        <v>45378</v>
      </c>
      <c r="E132" s="3" t="s">
        <v>262</v>
      </c>
      <c r="F132" s="3"/>
    </row>
    <row r="133" spans="1:6" x14ac:dyDescent="0.35">
      <c r="A133" s="3" t="s">
        <v>263</v>
      </c>
      <c r="B133" s="4">
        <f ca="1">IFERROR(__xludf.DUMMYFUNCTION("googlefinance(A133,""marketcap"")/10^6"),198.644491)</f>
        <v>198.64449099999999</v>
      </c>
      <c r="C133" s="2" t="s">
        <v>128</v>
      </c>
      <c r="D133" s="3" t="s">
        <v>161</v>
      </c>
      <c r="E133" s="3" t="s">
        <v>264</v>
      </c>
      <c r="F133" s="3"/>
    </row>
    <row r="134" spans="1:6" x14ac:dyDescent="0.35">
      <c r="A134" s="3" t="s">
        <v>265</v>
      </c>
      <c r="B134" s="4">
        <f ca="1">IFERROR(__xludf.DUMMYFUNCTION("googlefinance(A134,""marketcap"")/10^6"),71.006807)</f>
        <v>71.006806999999995</v>
      </c>
      <c r="C134" s="2" t="s">
        <v>128</v>
      </c>
      <c r="D134" s="3" t="s">
        <v>266</v>
      </c>
      <c r="E134" s="3" t="s">
        <v>267</v>
      </c>
      <c r="F134" s="3"/>
    </row>
    <row r="135" spans="1:6" x14ac:dyDescent="0.35">
      <c r="A135" s="3" t="s">
        <v>268</v>
      </c>
      <c r="B135" s="4">
        <f ca="1">IFERROR(__xludf.DUMMYFUNCTION("googlefinance(A135,""marketcap"")/10^6"),4095.654062)</f>
        <v>4095.6540620000001</v>
      </c>
      <c r="C135" s="2" t="s">
        <v>128</v>
      </c>
      <c r="D135" s="3" t="s">
        <v>269</v>
      </c>
      <c r="E135" s="3" t="s">
        <v>270</v>
      </c>
      <c r="F135" s="3"/>
    </row>
    <row r="136" spans="1:6" x14ac:dyDescent="0.35">
      <c r="A136" s="3" t="s">
        <v>104</v>
      </c>
      <c r="B136" s="4">
        <f ca="1">IFERROR(__xludf.DUMMYFUNCTION("googlefinance(A136,""marketcap"")/10^6"),2689.812574)</f>
        <v>2689.812574</v>
      </c>
      <c r="C136" s="2" t="s">
        <v>128</v>
      </c>
      <c r="D136" s="5">
        <v>45350</v>
      </c>
      <c r="E136" s="3" t="s">
        <v>271</v>
      </c>
      <c r="F136" s="3"/>
    </row>
    <row r="137" spans="1:6" x14ac:dyDescent="0.35">
      <c r="A137" s="3" t="s">
        <v>106</v>
      </c>
      <c r="B137" s="4">
        <f ca="1">IFERROR(__xludf.DUMMYFUNCTION("googlefinance(A137,""marketcap"")/10^6"),1267.284982)</f>
        <v>1267.2849819999999</v>
      </c>
      <c r="C137" s="2" t="s">
        <v>128</v>
      </c>
      <c r="D137" s="3" t="s">
        <v>143</v>
      </c>
      <c r="E137" s="3" t="s">
        <v>272</v>
      </c>
      <c r="F137" s="3"/>
    </row>
    <row r="138" spans="1:6" x14ac:dyDescent="0.35">
      <c r="A138" s="3" t="s">
        <v>273</v>
      </c>
      <c r="B138" s="4">
        <f ca="1">IFERROR(__xludf.DUMMYFUNCTION("googlefinance(A138,""marketcap"")/10^6"),689.540287)</f>
        <v>689.54028700000003</v>
      </c>
      <c r="C138" s="2" t="s">
        <v>128</v>
      </c>
      <c r="D138" s="3"/>
      <c r="E138" s="3" t="s">
        <v>274</v>
      </c>
      <c r="F138" s="3"/>
    </row>
    <row r="139" spans="1:6" x14ac:dyDescent="0.35">
      <c r="A139" s="3" t="s">
        <v>275</v>
      </c>
      <c r="B139" s="4">
        <f ca="1">IFERROR(__xludf.DUMMYFUNCTION("googlefinance(A139,""marketcap"")/10^6"),244.216585)</f>
        <v>244.21658500000001</v>
      </c>
      <c r="C139" s="2" t="s">
        <v>128</v>
      </c>
      <c r="D139" s="3"/>
      <c r="E139" s="3" t="s">
        <v>276</v>
      </c>
      <c r="F139" s="3"/>
    </row>
    <row r="140" spans="1:6" x14ac:dyDescent="0.35">
      <c r="A140" s="3" t="s">
        <v>108</v>
      </c>
      <c r="B140" s="4">
        <f ca="1">IFERROR(__xludf.DUMMYFUNCTION("googlefinance(A140,""marketcap"")/10^6"),343.901633)</f>
        <v>343.901633</v>
      </c>
      <c r="C140" s="2" t="s">
        <v>128</v>
      </c>
      <c r="D140" s="3"/>
      <c r="E140" s="3" t="s">
        <v>277</v>
      </c>
      <c r="F140" s="3"/>
    </row>
    <row r="141" spans="1:6" x14ac:dyDescent="0.35">
      <c r="A141" s="3" t="s">
        <v>278</v>
      </c>
      <c r="B141" s="4">
        <f ca="1">IFERROR(__xludf.DUMMYFUNCTION("googlefinance(A141,""marketcap"")/10^6"),1741.004025)</f>
        <v>1741.004025</v>
      </c>
      <c r="C141" s="2" t="s">
        <v>128</v>
      </c>
      <c r="D141" s="3" t="s">
        <v>279</v>
      </c>
      <c r="E141" s="3" t="s">
        <v>280</v>
      </c>
      <c r="F141" s="3"/>
    </row>
    <row r="142" spans="1:6" x14ac:dyDescent="0.35">
      <c r="A142" s="3" t="s">
        <v>281</v>
      </c>
      <c r="B142" s="4">
        <f ca="1">IFERROR(__xludf.DUMMYFUNCTION("googlefinance(A142,""marketcap"")/10^6"),177.124524)</f>
        <v>177.12452400000001</v>
      </c>
      <c r="C142" s="2" t="s">
        <v>128</v>
      </c>
      <c r="D142" s="3" t="s">
        <v>266</v>
      </c>
      <c r="E142" s="3" t="s">
        <v>282</v>
      </c>
      <c r="F142" s="3"/>
    </row>
    <row r="143" spans="1:6" x14ac:dyDescent="0.35">
      <c r="A143" s="3" t="s">
        <v>283</v>
      </c>
      <c r="B143" s="4">
        <f ca="1">IFERROR(__xludf.DUMMYFUNCTION("googlefinance(A143,""marketcap"")/10^6"),1463.963615)</f>
        <v>1463.9636149999999</v>
      </c>
      <c r="C143" s="2" t="s">
        <v>128</v>
      </c>
      <c r="D143" s="5">
        <v>45665</v>
      </c>
      <c r="E143" s="3" t="s">
        <v>284</v>
      </c>
      <c r="F143" s="3"/>
    </row>
    <row r="144" spans="1:6" x14ac:dyDescent="0.35">
      <c r="A144" s="3" t="s">
        <v>285</v>
      </c>
      <c r="B144" s="4">
        <f ca="1">IFERROR(__xludf.DUMMYFUNCTION("googlefinance(A144,""marketcap"")/10^6"),113215.029608)</f>
        <v>113215.029608</v>
      </c>
      <c r="C144" s="2" t="s">
        <v>128</v>
      </c>
      <c r="D144" s="5">
        <v>45293</v>
      </c>
      <c r="E144" s="3" t="s">
        <v>286</v>
      </c>
      <c r="F144" s="3"/>
    </row>
    <row r="145" spans="1:6" x14ac:dyDescent="0.35">
      <c r="A145" s="3" t="s">
        <v>285</v>
      </c>
      <c r="B145" s="4">
        <f ca="1">IFERROR(__xludf.DUMMYFUNCTION("googlefinance(A145,""marketcap"")/10^6"),113215.029608)</f>
        <v>113215.029608</v>
      </c>
      <c r="C145" s="2" t="s">
        <v>128</v>
      </c>
      <c r="D145" s="5">
        <v>45321</v>
      </c>
      <c r="E145" s="3" t="s">
        <v>287</v>
      </c>
      <c r="F145" s="3"/>
    </row>
    <row r="146" spans="1:6" x14ac:dyDescent="0.35">
      <c r="A146" s="3" t="s">
        <v>288</v>
      </c>
      <c r="B146" s="4">
        <f ca="1">IFERROR(__xludf.DUMMYFUNCTION("googlefinance(A146,""marketcap"")/10^6"),263.478601)</f>
        <v>263.47860100000003</v>
      </c>
      <c r="C146" s="2" t="s">
        <v>128</v>
      </c>
      <c r="D146" s="3"/>
      <c r="E146" s="3" t="s">
        <v>289</v>
      </c>
      <c r="F146" s="3"/>
    </row>
    <row r="147" spans="1:6" x14ac:dyDescent="0.35">
      <c r="A147" s="3" t="s">
        <v>290</v>
      </c>
      <c r="B147" s="4">
        <f ca="1">IFERROR(__xludf.DUMMYFUNCTION("googlefinance(A147,""marketcap"")/10^6"),1831.761631)</f>
        <v>1831.7616310000001</v>
      </c>
      <c r="C147" s="2" t="s">
        <v>128</v>
      </c>
      <c r="D147" s="3"/>
      <c r="E147" s="3" t="s">
        <v>291</v>
      </c>
      <c r="F147" s="3"/>
    </row>
    <row r="148" spans="1:6" x14ac:dyDescent="0.35">
      <c r="A148" s="3" t="s">
        <v>292</v>
      </c>
      <c r="B148" s="4">
        <f ca="1">IFERROR(__xludf.DUMMYFUNCTION("googlefinance(A148,""marketcap"")/10^6"),37.479825)</f>
        <v>37.479824999999998</v>
      </c>
      <c r="C148" s="2" t="s">
        <v>128</v>
      </c>
      <c r="D148" s="3" t="s">
        <v>215</v>
      </c>
      <c r="E148" s="3" t="s">
        <v>293</v>
      </c>
      <c r="F148" s="3"/>
    </row>
    <row r="149" spans="1:6" x14ac:dyDescent="0.35">
      <c r="A149" s="3" t="s">
        <v>294</v>
      </c>
      <c r="B149" s="4">
        <f ca="1">IFERROR(__xludf.DUMMYFUNCTION("googlefinance(A149,""marketcap"")/10^6"),158.209167)</f>
        <v>158.20916700000001</v>
      </c>
      <c r="C149" s="2" t="s">
        <v>128</v>
      </c>
      <c r="D149" s="5">
        <v>45686</v>
      </c>
      <c r="E149" s="3" t="s">
        <v>295</v>
      </c>
      <c r="F149" s="3"/>
    </row>
    <row r="150" spans="1:6" x14ac:dyDescent="0.35">
      <c r="A150" s="3"/>
      <c r="B150" s="4"/>
      <c r="C150" s="2"/>
      <c r="D150" s="5"/>
      <c r="E150" s="3"/>
      <c r="F150" s="3"/>
    </row>
    <row r="151" spans="1:6" x14ac:dyDescent="0.35">
      <c r="A151" s="3" t="s">
        <v>9</v>
      </c>
      <c r="B151" s="4">
        <f ca="1">IFERROR(__xludf.DUMMYFUNCTION("googlefinance(A150,""marketcap"")/10^6"),169.692774)</f>
        <v>169.69277399999999</v>
      </c>
      <c r="C151" s="2" t="s">
        <v>296</v>
      </c>
      <c r="D151" s="3"/>
      <c r="E151" s="3" t="s">
        <v>297</v>
      </c>
      <c r="F151" s="3"/>
    </row>
    <row r="152" spans="1:6" x14ac:dyDescent="0.35">
      <c r="A152" s="3" t="s">
        <v>11</v>
      </c>
      <c r="B152" s="4">
        <f ca="1">IFERROR(__xludf.DUMMYFUNCTION("googlefinance(A151,""marketcap"")/10^6"),79.905795)</f>
        <v>79.905794999999998</v>
      </c>
      <c r="C152" s="2" t="s">
        <v>296</v>
      </c>
      <c r="D152" s="3"/>
      <c r="E152" s="3" t="s">
        <v>298</v>
      </c>
      <c r="F152" s="3"/>
    </row>
    <row r="153" spans="1:6" x14ac:dyDescent="0.35">
      <c r="A153" s="3" t="s">
        <v>18</v>
      </c>
      <c r="B153" s="4">
        <f ca="1">IFERROR(__xludf.DUMMYFUNCTION("googlefinance(A152,""marketcap"")/10^6"),126.759746)</f>
        <v>126.75974600000001</v>
      </c>
      <c r="C153" s="2" t="s">
        <v>296</v>
      </c>
      <c r="D153" s="3"/>
      <c r="E153" s="3" t="s">
        <v>299</v>
      </c>
      <c r="F153" s="3"/>
    </row>
    <row r="154" spans="1:6" x14ac:dyDescent="0.35">
      <c r="A154" s="3" t="s">
        <v>300</v>
      </c>
      <c r="B154" s="4">
        <f ca="1">IFERROR(__xludf.DUMMYFUNCTION("googlefinance(A153,""marketcap"")/10^6"),2356.911624)</f>
        <v>2356.9116239999998</v>
      </c>
      <c r="C154" s="2" t="s">
        <v>296</v>
      </c>
      <c r="D154" s="3"/>
      <c r="E154" s="3" t="s">
        <v>301</v>
      </c>
      <c r="F154" s="3"/>
    </row>
    <row r="155" spans="1:6" x14ac:dyDescent="0.35">
      <c r="A155" s="3" t="s">
        <v>302</v>
      </c>
      <c r="B155" s="4">
        <f ca="1">IFERROR(__xludf.DUMMYFUNCTION("googlefinance(A154,""marketcap"")/10^6"),3731.79)</f>
        <v>3731.79</v>
      </c>
      <c r="C155" s="2" t="s">
        <v>296</v>
      </c>
      <c r="D155" s="3"/>
      <c r="E155" s="3" t="s">
        <v>303</v>
      </c>
      <c r="F155" s="3"/>
    </row>
    <row r="156" spans="1:6" x14ac:dyDescent="0.35">
      <c r="A156" s="3" t="s">
        <v>23</v>
      </c>
      <c r="B156" s="4">
        <f ca="1">IFERROR(__xludf.DUMMYFUNCTION("googlefinance(A155,""marketcap"")/10^6"),22.823879)</f>
        <v>22.823879000000002</v>
      </c>
      <c r="C156" s="2" t="s">
        <v>296</v>
      </c>
      <c r="D156" s="3"/>
      <c r="E156" s="3" t="s">
        <v>304</v>
      </c>
      <c r="F156" s="3"/>
    </row>
    <row r="157" spans="1:6" x14ac:dyDescent="0.35">
      <c r="A157" s="3" t="s">
        <v>147</v>
      </c>
      <c r="B157" s="4">
        <f ca="1">IFERROR(__xludf.DUMMYFUNCTION("googlefinance(A156,""marketcap"")/10^6"),630.708161)</f>
        <v>630.70816100000002</v>
      </c>
      <c r="C157" s="2" t="s">
        <v>296</v>
      </c>
      <c r="D157" s="3"/>
      <c r="E157" s="3" t="s">
        <v>305</v>
      </c>
      <c r="F157" s="3"/>
    </row>
    <row r="158" spans="1:6" x14ac:dyDescent="0.35">
      <c r="A158" s="3" t="s">
        <v>147</v>
      </c>
      <c r="B158" s="4">
        <f ca="1">IFERROR(__xludf.DUMMYFUNCTION("googlefinance(A157,""marketcap"")/10^6"),630.708161)</f>
        <v>630.70816100000002</v>
      </c>
      <c r="C158" s="2" t="s">
        <v>296</v>
      </c>
      <c r="D158" s="3"/>
      <c r="E158" s="3" t="s">
        <v>306</v>
      </c>
      <c r="F158" s="3"/>
    </row>
    <row r="159" spans="1:6" x14ac:dyDescent="0.35">
      <c r="A159" s="3" t="s">
        <v>147</v>
      </c>
      <c r="B159" s="4">
        <f ca="1">IFERROR(__xludf.DUMMYFUNCTION("googlefinance(A158,""marketcap"")/10^6"),630.708161)</f>
        <v>630.70816100000002</v>
      </c>
      <c r="C159" s="2" t="s">
        <v>296</v>
      </c>
      <c r="D159" s="3"/>
      <c r="E159" s="3" t="s">
        <v>307</v>
      </c>
      <c r="F159" s="3"/>
    </row>
    <row r="160" spans="1:6" x14ac:dyDescent="0.35">
      <c r="A160" s="3" t="s">
        <v>29</v>
      </c>
      <c r="B160" s="4">
        <f ca="1">IFERROR(__xludf.DUMMYFUNCTION("googlefinance(A159,""marketcap"")/10^6"),889.71468)</f>
        <v>889.71468000000004</v>
      </c>
      <c r="C160" s="2" t="s">
        <v>296</v>
      </c>
      <c r="D160" s="3" t="s">
        <v>308</v>
      </c>
      <c r="E160" s="3" t="s">
        <v>309</v>
      </c>
      <c r="F160" s="3"/>
    </row>
    <row r="161" spans="1:6" x14ac:dyDescent="0.35">
      <c r="A161" s="3" t="s">
        <v>310</v>
      </c>
      <c r="B161" s="4">
        <f ca="1">IFERROR(__xludf.DUMMYFUNCTION("googlefinance(A160,""marketcap"")/10^6"),896.217307)</f>
        <v>896.21730700000001</v>
      </c>
      <c r="C161" s="2" t="s">
        <v>296</v>
      </c>
      <c r="D161" s="3"/>
      <c r="E161" s="3" t="s">
        <v>311</v>
      </c>
      <c r="F161" s="3"/>
    </row>
    <row r="162" spans="1:6" x14ac:dyDescent="0.35">
      <c r="A162" s="3" t="s">
        <v>310</v>
      </c>
      <c r="B162" s="4">
        <f ca="1">IFERROR(__xludf.DUMMYFUNCTION("googlefinance(A161,""marketcap"")/10^6"),896.217307)</f>
        <v>896.21730700000001</v>
      </c>
      <c r="C162" s="2" t="s">
        <v>296</v>
      </c>
      <c r="D162" s="3"/>
      <c r="E162" s="3" t="s">
        <v>312</v>
      </c>
      <c r="F162" s="3"/>
    </row>
    <row r="163" spans="1:6" x14ac:dyDescent="0.35">
      <c r="A163" s="3" t="s">
        <v>310</v>
      </c>
      <c r="B163" s="4">
        <f ca="1">IFERROR(__xludf.DUMMYFUNCTION("googlefinance(A162,""marketcap"")/10^6"),896.217307)</f>
        <v>896.21730700000001</v>
      </c>
      <c r="C163" s="2" t="s">
        <v>296</v>
      </c>
      <c r="D163" s="3"/>
      <c r="E163" s="3" t="s">
        <v>313</v>
      </c>
      <c r="F163" s="3"/>
    </row>
    <row r="164" spans="1:6" x14ac:dyDescent="0.35">
      <c r="A164" s="3" t="s">
        <v>31</v>
      </c>
      <c r="B164" s="4">
        <f ca="1">IFERROR(__xludf.DUMMYFUNCTION("googlefinance(A163,""marketcap"")/10^6"),3977.136311)</f>
        <v>3977.1363110000002</v>
      </c>
      <c r="C164" s="2" t="s">
        <v>296</v>
      </c>
      <c r="D164" s="3"/>
      <c r="E164" s="3" t="s">
        <v>314</v>
      </c>
      <c r="F164" s="3"/>
    </row>
    <row r="165" spans="1:6" x14ac:dyDescent="0.35">
      <c r="A165" s="3" t="s">
        <v>156</v>
      </c>
      <c r="B165" s="4">
        <f ca="1">IFERROR(__xludf.DUMMYFUNCTION("googlefinance(A164,""marketcap"")/10^6"),193.583145)</f>
        <v>193.583145</v>
      </c>
      <c r="C165" s="2" t="s">
        <v>296</v>
      </c>
      <c r="D165" s="3"/>
      <c r="E165" s="3" t="s">
        <v>315</v>
      </c>
      <c r="F165" s="3"/>
    </row>
    <row r="166" spans="1:6" x14ac:dyDescent="0.35">
      <c r="A166" s="3" t="s">
        <v>316</v>
      </c>
      <c r="B166" s="4">
        <f ca="1">IFERROR(__xludf.DUMMYFUNCTION("googlefinance(A165,""marketcap"")/10^6"),159.812573)</f>
        <v>159.81257299999999</v>
      </c>
      <c r="C166" s="2" t="s">
        <v>296</v>
      </c>
      <c r="D166" s="3"/>
      <c r="E166" s="3" t="s">
        <v>317</v>
      </c>
      <c r="F166" s="3"/>
    </row>
    <row r="167" spans="1:6" x14ac:dyDescent="0.35">
      <c r="A167" s="3" t="s">
        <v>318</v>
      </c>
      <c r="B167" s="4">
        <f ca="1">IFERROR(__xludf.DUMMYFUNCTION("googlefinance(A166,""marketcap"")/10^6"),53.743098)</f>
        <v>53.743098000000003</v>
      </c>
      <c r="C167" s="2" t="s">
        <v>296</v>
      </c>
      <c r="D167" s="3"/>
      <c r="E167" s="3" t="s">
        <v>319</v>
      </c>
      <c r="F167" s="3"/>
    </row>
    <row r="168" spans="1:6" x14ac:dyDescent="0.35">
      <c r="A168" s="3" t="s">
        <v>163</v>
      </c>
      <c r="B168" s="4">
        <f ca="1">IFERROR(__xludf.DUMMYFUNCTION("googlefinance(A167,""marketcap"")/10^6"),103.023019)</f>
        <v>103.02301900000001</v>
      </c>
      <c r="C168" s="2" t="s">
        <v>296</v>
      </c>
      <c r="D168" s="3"/>
      <c r="E168" s="3" t="s">
        <v>320</v>
      </c>
      <c r="F168" s="3"/>
    </row>
    <row r="169" spans="1:6" x14ac:dyDescent="0.35">
      <c r="A169" s="3" t="s">
        <v>321</v>
      </c>
      <c r="B169" s="4">
        <f ca="1">IFERROR(__xludf.DUMMYFUNCTION("googlefinance(A168,""marketcap"")/10^6"),672.954528)</f>
        <v>672.95452799999998</v>
      </c>
      <c r="C169" s="2" t="s">
        <v>296</v>
      </c>
      <c r="D169" s="3"/>
      <c r="E169" s="3" t="s">
        <v>322</v>
      </c>
      <c r="F169" s="3"/>
    </row>
    <row r="170" spans="1:6" x14ac:dyDescent="0.35">
      <c r="A170" s="3" t="s">
        <v>323</v>
      </c>
      <c r="B170" s="4">
        <f ca="1">IFERROR(__xludf.DUMMYFUNCTION("googlefinance(A169,""marketcap"")/10^6"),27.382038)</f>
        <v>27.382038000000001</v>
      </c>
      <c r="C170" s="2" t="s">
        <v>296</v>
      </c>
      <c r="D170" s="3"/>
      <c r="E170" s="3" t="s">
        <v>324</v>
      </c>
      <c r="F170" s="3"/>
    </row>
    <row r="171" spans="1:6" x14ac:dyDescent="0.35">
      <c r="A171" s="3" t="s">
        <v>323</v>
      </c>
      <c r="B171" s="4">
        <f ca="1">IFERROR(__xludf.DUMMYFUNCTION("googlefinance(A170,""marketcap"")/10^6"),27.382038)</f>
        <v>27.382038000000001</v>
      </c>
      <c r="C171" s="2" t="s">
        <v>296</v>
      </c>
      <c r="D171" s="3"/>
      <c r="E171" s="3" t="s">
        <v>325</v>
      </c>
      <c r="F171" s="3"/>
    </row>
    <row r="172" spans="1:6" x14ac:dyDescent="0.35">
      <c r="A172" s="3" t="s">
        <v>34</v>
      </c>
      <c r="B172" s="4">
        <f ca="1">IFERROR(__xludf.DUMMYFUNCTION("googlefinance(A171,""marketcap"")/10^6"),424.019463)</f>
        <v>424.01946299999997</v>
      </c>
      <c r="C172" s="2" t="s">
        <v>296</v>
      </c>
      <c r="D172" s="3"/>
      <c r="E172" s="3" t="s">
        <v>326</v>
      </c>
      <c r="F172" s="3"/>
    </row>
    <row r="173" spans="1:6" x14ac:dyDescent="0.35">
      <c r="A173" s="3" t="s">
        <v>327</v>
      </c>
      <c r="B173" s="4">
        <f ca="1">IFERROR(__xludf.DUMMYFUNCTION("googlefinance(A172,""marketcap"")/10^6"),1593.588675)</f>
        <v>1593.588675</v>
      </c>
      <c r="C173" s="2" t="s">
        <v>296</v>
      </c>
      <c r="D173" s="3"/>
      <c r="E173" s="3" t="s">
        <v>328</v>
      </c>
      <c r="F173" s="3"/>
    </row>
    <row r="174" spans="1:6" x14ac:dyDescent="0.35">
      <c r="A174" s="3" t="s">
        <v>168</v>
      </c>
      <c r="B174" s="4">
        <f ca="1">IFERROR(__xludf.DUMMYFUNCTION("googlefinance(A173,""marketcap"")/10^6"),364.611128)</f>
        <v>364.61112800000001</v>
      </c>
      <c r="C174" s="2" t="s">
        <v>296</v>
      </c>
      <c r="D174" s="3"/>
      <c r="E174" s="3" t="s">
        <v>329</v>
      </c>
      <c r="F174" s="3"/>
    </row>
    <row r="175" spans="1:6" x14ac:dyDescent="0.35">
      <c r="A175" s="3" t="s">
        <v>330</v>
      </c>
      <c r="B175" s="4">
        <f ca="1">IFERROR(__xludf.DUMMYFUNCTION("googlefinance(A174,""marketcap"")/10^6"),922.355237)</f>
        <v>922.35523699999999</v>
      </c>
      <c r="C175" s="2" t="s">
        <v>296</v>
      </c>
      <c r="D175" s="3"/>
      <c r="E175" s="3" t="s">
        <v>331</v>
      </c>
      <c r="F175" s="3"/>
    </row>
    <row r="176" spans="1:6" x14ac:dyDescent="0.35">
      <c r="A176" s="3" t="s">
        <v>177</v>
      </c>
      <c r="B176" s="4">
        <f ca="1">IFERROR(__xludf.DUMMYFUNCTION("googlefinance(A175,""marketcap"")/10^6"),339.27824)</f>
        <v>339.27823999999998</v>
      </c>
      <c r="C176" s="2" t="s">
        <v>296</v>
      </c>
      <c r="D176" s="3"/>
      <c r="E176" s="3" t="s">
        <v>332</v>
      </c>
      <c r="F176" s="3"/>
    </row>
    <row r="177" spans="1:6" x14ac:dyDescent="0.35">
      <c r="A177" s="3" t="s">
        <v>47</v>
      </c>
      <c r="B177" s="4">
        <f ca="1">IFERROR(__xludf.DUMMYFUNCTION("googlefinance(A176,""marketcap"")/10^6"),69.560138)</f>
        <v>69.560137999999995</v>
      </c>
      <c r="C177" s="2" t="s">
        <v>296</v>
      </c>
      <c r="D177" s="3"/>
      <c r="E177" s="3" t="s">
        <v>333</v>
      </c>
      <c r="F177" s="3"/>
    </row>
    <row r="178" spans="1:6" x14ac:dyDescent="0.35">
      <c r="A178" s="3" t="s">
        <v>334</v>
      </c>
      <c r="B178" s="4">
        <f ca="1">IFERROR(__xludf.DUMMYFUNCTION("googlefinance(A177,""marketcap"")/10^6"),627.751494)</f>
        <v>627.75149399999998</v>
      </c>
      <c r="C178" s="2" t="s">
        <v>296</v>
      </c>
      <c r="D178" s="3"/>
      <c r="E178" s="3" t="s">
        <v>335</v>
      </c>
      <c r="F178" s="3"/>
    </row>
    <row r="179" spans="1:6" x14ac:dyDescent="0.35">
      <c r="A179" s="3" t="s">
        <v>336</v>
      </c>
      <c r="B179" s="4">
        <f ca="1">IFERROR(__xludf.DUMMYFUNCTION("googlefinance(A178,""marketcap"")/10^6"),1674.730299)</f>
        <v>1674.7302990000001</v>
      </c>
      <c r="C179" s="2" t="s">
        <v>296</v>
      </c>
      <c r="D179" s="3"/>
      <c r="E179" s="3" t="s">
        <v>337</v>
      </c>
      <c r="F179" s="3"/>
    </row>
    <row r="180" spans="1:6" x14ac:dyDescent="0.35">
      <c r="A180" s="3" t="s">
        <v>59</v>
      </c>
      <c r="B180" s="4">
        <f ca="1">IFERROR(__xludf.DUMMYFUNCTION("googlefinance(A179,""marketcap"")/10^6"),2679.68476)</f>
        <v>2679.6847600000001</v>
      </c>
      <c r="C180" s="2" t="s">
        <v>296</v>
      </c>
      <c r="D180" s="3"/>
      <c r="E180" s="3" t="s">
        <v>338</v>
      </c>
      <c r="F180" s="3"/>
    </row>
    <row r="181" spans="1:6" x14ac:dyDescent="0.35">
      <c r="A181" s="3" t="s">
        <v>339</v>
      </c>
      <c r="B181" s="4">
        <f ca="1">IFERROR(__xludf.DUMMYFUNCTION("googlefinance(A180,""marketcap"")/10^6"),136.771194)</f>
        <v>136.77119400000001</v>
      </c>
      <c r="C181" s="2" t="s">
        <v>296</v>
      </c>
      <c r="D181" s="3"/>
      <c r="E181" s="3" t="s">
        <v>340</v>
      </c>
      <c r="F181" s="7" t="s">
        <v>341</v>
      </c>
    </row>
    <row r="182" spans="1:6" x14ac:dyDescent="0.35">
      <c r="A182" s="3" t="s">
        <v>342</v>
      </c>
      <c r="B182" s="4">
        <f ca="1">IFERROR(__xludf.DUMMYFUNCTION("googlefinance(A181,""marketcap"")/10^6"),621.047446)</f>
        <v>621.04744600000004</v>
      </c>
      <c r="C182" s="2" t="s">
        <v>296</v>
      </c>
      <c r="D182" s="3"/>
      <c r="E182" s="3" t="s">
        <v>343</v>
      </c>
      <c r="F182" s="3"/>
    </row>
    <row r="183" spans="1:6" x14ac:dyDescent="0.35">
      <c r="A183" s="3" t="s">
        <v>199</v>
      </c>
      <c r="B183" s="4">
        <f ca="1">IFERROR(__xludf.DUMMYFUNCTION("googlefinance(A182,""marketcap"")/10^6"),3383.384918)</f>
        <v>3383.3849180000002</v>
      </c>
      <c r="C183" s="2" t="s">
        <v>296</v>
      </c>
      <c r="D183" s="3"/>
      <c r="E183" s="3" t="s">
        <v>344</v>
      </c>
      <c r="F183" s="3"/>
    </row>
    <row r="184" spans="1:6" x14ac:dyDescent="0.35">
      <c r="A184" s="3" t="s">
        <v>345</v>
      </c>
      <c r="B184" s="4">
        <f ca="1">IFERROR(__xludf.DUMMYFUNCTION("googlefinance(A183,""marketcap"")/10^6"),14040.284496)</f>
        <v>14040.284496</v>
      </c>
      <c r="C184" s="2" t="s">
        <v>296</v>
      </c>
      <c r="D184" s="3"/>
      <c r="E184" s="3" t="s">
        <v>346</v>
      </c>
      <c r="F184" s="3"/>
    </row>
    <row r="185" spans="1:6" x14ac:dyDescent="0.35">
      <c r="A185" s="3" t="s">
        <v>345</v>
      </c>
      <c r="B185" s="4">
        <f ca="1">IFERROR(__xludf.DUMMYFUNCTION("googlefinance(A184,""marketcap"")/10^6"),14040.284496)</f>
        <v>14040.284496</v>
      </c>
      <c r="C185" s="2" t="s">
        <v>296</v>
      </c>
      <c r="D185" s="3"/>
      <c r="E185" s="3" t="s">
        <v>347</v>
      </c>
      <c r="F185" s="3"/>
    </row>
    <row r="186" spans="1:6" x14ac:dyDescent="0.35">
      <c r="A186" s="3" t="s">
        <v>348</v>
      </c>
      <c r="B186" s="4">
        <f ca="1">IFERROR(__xludf.DUMMYFUNCTION("googlefinance(A185,""marketcap"")/10^6"),5486.931175)</f>
        <v>5486.9311749999997</v>
      </c>
      <c r="C186" s="2" t="s">
        <v>296</v>
      </c>
      <c r="D186" s="3"/>
      <c r="E186" s="3" t="s">
        <v>349</v>
      </c>
      <c r="F186" s="3"/>
    </row>
    <row r="187" spans="1:6" x14ac:dyDescent="0.35">
      <c r="A187" s="3" t="s">
        <v>203</v>
      </c>
      <c r="B187" s="4">
        <f ca="1">IFERROR(__xludf.DUMMYFUNCTION("googlefinance(A186,""marketcap"")/10^6"),1709.581036)</f>
        <v>1709.581036</v>
      </c>
      <c r="C187" s="2" t="s">
        <v>296</v>
      </c>
      <c r="D187" s="3"/>
      <c r="E187" s="3" t="s">
        <v>350</v>
      </c>
      <c r="F187" s="3"/>
    </row>
    <row r="188" spans="1:6" x14ac:dyDescent="0.35">
      <c r="A188" s="3" t="s">
        <v>63</v>
      </c>
      <c r="B188" s="4">
        <f ca="1">IFERROR(__xludf.DUMMYFUNCTION("googlefinance(A187,""marketcap"")/10^6"),85.507692)</f>
        <v>85.507692000000006</v>
      </c>
      <c r="C188" s="2" t="s">
        <v>296</v>
      </c>
      <c r="D188" s="3"/>
      <c r="E188" s="3" t="s">
        <v>351</v>
      </c>
      <c r="F188" s="3"/>
    </row>
    <row r="189" spans="1:6" x14ac:dyDescent="0.35">
      <c r="A189" s="3" t="s">
        <v>352</v>
      </c>
      <c r="B189" s="4">
        <f ca="1">IFERROR(__xludf.DUMMYFUNCTION("googlefinance(A188,""marketcap"")/10^6"),88.09046)</f>
        <v>88.090459999999993</v>
      </c>
      <c r="C189" s="2" t="s">
        <v>296</v>
      </c>
      <c r="D189" s="3"/>
      <c r="E189" s="3" t="s">
        <v>353</v>
      </c>
      <c r="F189" s="3"/>
    </row>
    <row r="190" spans="1:6" x14ac:dyDescent="0.35">
      <c r="A190" s="3" t="s">
        <v>354</v>
      </c>
      <c r="B190" s="4">
        <f ca="1">IFERROR(__xludf.DUMMYFUNCTION("googlefinance(A189,""marketcap"")/10^6"),349.436128)</f>
        <v>349.436128</v>
      </c>
      <c r="C190" s="2" t="s">
        <v>296</v>
      </c>
      <c r="D190" s="3"/>
      <c r="E190" s="3" t="s">
        <v>355</v>
      </c>
      <c r="F190" s="3"/>
    </row>
    <row r="191" spans="1:6" x14ac:dyDescent="0.35">
      <c r="A191" s="3" t="s">
        <v>356</v>
      </c>
      <c r="B191" s="4">
        <f ca="1">IFERROR(__xludf.DUMMYFUNCTION("googlefinance(A190,""marketcap"")/10^6"),228.42773)</f>
        <v>228.42773</v>
      </c>
      <c r="C191" s="2" t="s">
        <v>296</v>
      </c>
      <c r="D191" s="3"/>
      <c r="E191" s="3" t="s">
        <v>357</v>
      </c>
      <c r="F191" s="3"/>
    </row>
    <row r="192" spans="1:6" x14ac:dyDescent="0.35">
      <c r="A192" s="3" t="s">
        <v>229</v>
      </c>
      <c r="B192" s="4">
        <f ca="1">IFERROR(__xludf.DUMMYFUNCTION("googlefinance(A191,""marketcap"")/10^6"),74.454769)</f>
        <v>74.454768999999999</v>
      </c>
      <c r="C192" s="2" t="s">
        <v>296</v>
      </c>
      <c r="D192" s="3"/>
      <c r="E192" s="3" t="s">
        <v>358</v>
      </c>
      <c r="F192" s="3"/>
    </row>
    <row r="193" spans="1:6" x14ac:dyDescent="0.35">
      <c r="A193" s="3" t="s">
        <v>77</v>
      </c>
      <c r="B193" s="4">
        <f ca="1">IFERROR(__xludf.DUMMYFUNCTION("googlefinance(A192,""marketcap"")/10^6"),223.712089)</f>
        <v>223.71208899999999</v>
      </c>
      <c r="C193" s="2" t="s">
        <v>296</v>
      </c>
      <c r="D193" s="3"/>
      <c r="E193" s="3" t="s">
        <v>359</v>
      </c>
      <c r="F193" s="3"/>
    </row>
    <row r="194" spans="1:6" x14ac:dyDescent="0.35">
      <c r="A194" s="3" t="s">
        <v>360</v>
      </c>
      <c r="B194" s="4">
        <f ca="1">IFERROR(__xludf.DUMMYFUNCTION("googlefinance(A193,""marketcap"")/10^6"),164.070719)</f>
        <v>164.070719</v>
      </c>
      <c r="C194" s="2" t="s">
        <v>296</v>
      </c>
      <c r="D194" s="3"/>
      <c r="E194" s="3" t="s">
        <v>361</v>
      </c>
      <c r="F194" s="3"/>
    </row>
    <row r="195" spans="1:6" x14ac:dyDescent="0.35">
      <c r="A195" s="3" t="s">
        <v>79</v>
      </c>
      <c r="B195" s="4">
        <f ca="1">IFERROR(__xludf.DUMMYFUNCTION("googlefinance(A194,""marketcap"")/10^6"),342.509301)</f>
        <v>342.50930099999999</v>
      </c>
      <c r="C195" s="2" t="s">
        <v>296</v>
      </c>
      <c r="D195" s="3"/>
      <c r="E195" s="3" t="s">
        <v>362</v>
      </c>
      <c r="F195" s="3"/>
    </row>
    <row r="196" spans="1:6" x14ac:dyDescent="0.35">
      <c r="A196" s="3" t="s">
        <v>79</v>
      </c>
      <c r="B196" s="4">
        <f ca="1">IFERROR(__xludf.DUMMYFUNCTION("googlefinance(A195,""marketcap"")/10^6"),342.509301)</f>
        <v>342.50930099999999</v>
      </c>
      <c r="C196" s="2" t="s">
        <v>296</v>
      </c>
      <c r="D196" s="3"/>
      <c r="E196" s="3" t="s">
        <v>363</v>
      </c>
      <c r="F196" s="3"/>
    </row>
    <row r="197" spans="1:6" x14ac:dyDescent="0.35">
      <c r="A197" s="3" t="s">
        <v>83</v>
      </c>
      <c r="B197" s="4">
        <f ca="1">IFERROR(__xludf.DUMMYFUNCTION("googlefinance(A196,""marketcap"")/10^6"),90.422735)</f>
        <v>90.422735000000003</v>
      </c>
      <c r="C197" s="2" t="s">
        <v>296</v>
      </c>
      <c r="D197" s="3"/>
      <c r="E197" s="3" t="s">
        <v>364</v>
      </c>
      <c r="F197" s="3"/>
    </row>
    <row r="198" spans="1:6" x14ac:dyDescent="0.35">
      <c r="A198" s="3" t="s">
        <v>365</v>
      </c>
      <c r="B198" s="4">
        <f ca="1">IFERROR(__xludf.DUMMYFUNCTION("googlefinance(A197,""marketcap"")/10^6"),426.632187)</f>
        <v>426.63218699999999</v>
      </c>
      <c r="C198" s="2" t="s">
        <v>296</v>
      </c>
      <c r="D198" s="3"/>
      <c r="E198" s="3" t="s">
        <v>366</v>
      </c>
      <c r="F198" s="3"/>
    </row>
    <row r="199" spans="1:6" x14ac:dyDescent="0.35">
      <c r="A199" s="3" t="s">
        <v>367</v>
      </c>
      <c r="B199" s="4">
        <f ca="1">IFERROR(__xludf.DUMMYFUNCTION("googlefinance(A198,""marketcap"")/10^6"),37.273999)</f>
        <v>37.273999000000003</v>
      </c>
      <c r="C199" s="2" t="s">
        <v>296</v>
      </c>
      <c r="D199" s="3"/>
      <c r="E199" s="3" t="s">
        <v>368</v>
      </c>
      <c r="F199" s="3"/>
    </row>
    <row r="200" spans="1:6" x14ac:dyDescent="0.35">
      <c r="A200" s="3" t="s">
        <v>240</v>
      </c>
      <c r="B200" s="4">
        <f ca="1">IFERROR(__xludf.DUMMYFUNCTION("googlefinance(A199,""marketcap"")/10^6"),11171.788303)</f>
        <v>11171.788302999999</v>
      </c>
      <c r="C200" s="2" t="s">
        <v>296</v>
      </c>
      <c r="D200" s="3" t="s">
        <v>369</v>
      </c>
      <c r="E200" s="3" t="s">
        <v>370</v>
      </c>
      <c r="F200" s="3"/>
    </row>
    <row r="201" spans="1:6" x14ac:dyDescent="0.35">
      <c r="A201" s="3" t="s">
        <v>371</v>
      </c>
      <c r="B201" s="4">
        <f ca="1">IFERROR(__xludf.DUMMYFUNCTION("googlefinance(A200,""marketcap"")/10^6"),407.088044)</f>
        <v>407.08804400000002</v>
      </c>
      <c r="C201" s="2" t="s">
        <v>296</v>
      </c>
      <c r="D201" s="3"/>
      <c r="E201" s="3" t="s">
        <v>372</v>
      </c>
      <c r="F201" s="3"/>
    </row>
    <row r="202" spans="1:6" x14ac:dyDescent="0.35">
      <c r="A202" s="3" t="s">
        <v>89</v>
      </c>
      <c r="B202" s="4">
        <f ca="1">IFERROR(__xludf.DUMMYFUNCTION("googlefinance(A201,""marketcap"")/10^6"),1437.159227)</f>
        <v>1437.1592270000001</v>
      </c>
      <c r="C202" s="2" t="s">
        <v>296</v>
      </c>
      <c r="D202" s="3"/>
      <c r="E202" s="3" t="s">
        <v>373</v>
      </c>
      <c r="F202" s="3"/>
    </row>
    <row r="203" spans="1:6" x14ac:dyDescent="0.35">
      <c r="A203" s="3" t="s">
        <v>374</v>
      </c>
      <c r="B203" s="4">
        <f ca="1">IFERROR(__xludf.DUMMYFUNCTION("googlefinance(A202,""marketcap"")/10^6"),42.876063)</f>
        <v>42.876063000000002</v>
      </c>
      <c r="C203" s="2" t="s">
        <v>296</v>
      </c>
      <c r="D203" s="3"/>
      <c r="E203" s="3" t="s">
        <v>375</v>
      </c>
      <c r="F203" s="3"/>
    </row>
    <row r="204" spans="1:6" x14ac:dyDescent="0.35">
      <c r="A204" s="3" t="s">
        <v>374</v>
      </c>
      <c r="B204" s="4">
        <f ca="1">IFERROR(__xludf.DUMMYFUNCTION("googlefinance(A203,""marketcap"")/10^6"),42.876063)</f>
        <v>42.876063000000002</v>
      </c>
      <c r="C204" s="2" t="s">
        <v>296</v>
      </c>
      <c r="D204" s="3"/>
      <c r="E204" s="3" t="s">
        <v>376</v>
      </c>
      <c r="F204" s="3"/>
    </row>
    <row r="205" spans="1:6" x14ac:dyDescent="0.35">
      <c r="A205" s="3" t="s">
        <v>377</v>
      </c>
      <c r="B205" s="4">
        <f ca="1">IFERROR(__xludf.DUMMYFUNCTION("googlefinance(A204,""marketcap"")/10^6"),1138.43659)</f>
        <v>1138.43659</v>
      </c>
      <c r="C205" s="2" t="s">
        <v>296</v>
      </c>
      <c r="D205" s="3"/>
      <c r="E205" s="3" t="s">
        <v>378</v>
      </c>
      <c r="F205" s="3" t="s">
        <v>379</v>
      </c>
    </row>
    <row r="206" spans="1:6" x14ac:dyDescent="0.35">
      <c r="A206" s="3" t="s">
        <v>380</v>
      </c>
      <c r="B206" s="4">
        <f ca="1">IFERROR(__xludf.DUMMYFUNCTION("googlefinance(A205,""marketcap"")/10^6"),74262.22279)</f>
        <v>74262.22279</v>
      </c>
      <c r="C206" s="2" t="s">
        <v>296</v>
      </c>
      <c r="D206" s="3"/>
      <c r="E206" s="3" t="s">
        <v>381</v>
      </c>
      <c r="F206" s="3"/>
    </row>
    <row r="207" spans="1:6" x14ac:dyDescent="0.35">
      <c r="A207" s="3" t="s">
        <v>380</v>
      </c>
      <c r="B207" s="4">
        <f ca="1">IFERROR(__xludf.DUMMYFUNCTION("googlefinance(A206,""marketcap"")/10^6"),74262.22279)</f>
        <v>74262.22279</v>
      </c>
      <c r="C207" s="2" t="s">
        <v>296</v>
      </c>
      <c r="D207" s="3"/>
      <c r="E207" s="3" t="s">
        <v>382</v>
      </c>
      <c r="F207" s="3"/>
    </row>
    <row r="208" spans="1:6" x14ac:dyDescent="0.35">
      <c r="A208" s="3" t="s">
        <v>380</v>
      </c>
      <c r="B208" s="4">
        <f ca="1">IFERROR(__xludf.DUMMYFUNCTION("googlefinance(A207,""marketcap"")/10^6"),74262.22279)</f>
        <v>74262.22279</v>
      </c>
      <c r="C208" s="2" t="s">
        <v>296</v>
      </c>
      <c r="D208" s="3"/>
      <c r="E208" s="3" t="s">
        <v>383</v>
      </c>
      <c r="F208" s="3"/>
    </row>
    <row r="209" spans="1:6" x14ac:dyDescent="0.35">
      <c r="A209" s="3" t="s">
        <v>380</v>
      </c>
      <c r="B209" s="4">
        <f ca="1">IFERROR(__xludf.DUMMYFUNCTION("googlefinance(A208,""marketcap"")/10^6"),74262.22279)</f>
        <v>74262.22279</v>
      </c>
      <c r="C209" s="2" t="s">
        <v>296</v>
      </c>
      <c r="D209" s="3"/>
      <c r="E209" s="3" t="s">
        <v>384</v>
      </c>
      <c r="F209" s="3"/>
    </row>
    <row r="210" spans="1:6" x14ac:dyDescent="0.35">
      <c r="A210" s="3" t="s">
        <v>385</v>
      </c>
      <c r="B210" s="4">
        <f ca="1">IFERROR(__xludf.DUMMYFUNCTION("googlefinance(A209,""marketcap"")/10^6"),390.415078)</f>
        <v>390.41507799999999</v>
      </c>
      <c r="C210" s="2" t="s">
        <v>296</v>
      </c>
      <c r="D210" s="3"/>
      <c r="E210" s="3" t="s">
        <v>386</v>
      </c>
      <c r="F210" s="3"/>
    </row>
    <row r="211" spans="1:6" x14ac:dyDescent="0.35">
      <c r="A211" s="3" t="s">
        <v>387</v>
      </c>
      <c r="B211" s="4">
        <f ca="1">IFERROR(__xludf.DUMMYFUNCTION("googlefinance(A210,""marketcap"")/10^6"),487.965907)</f>
        <v>487.96590700000002</v>
      </c>
      <c r="C211" s="2" t="s">
        <v>296</v>
      </c>
      <c r="D211" s="3"/>
      <c r="E211" s="3" t="s">
        <v>388</v>
      </c>
      <c r="F211" s="3"/>
    </row>
    <row r="212" spans="1:6" x14ac:dyDescent="0.35">
      <c r="A212" s="3" t="s">
        <v>389</v>
      </c>
      <c r="B212" s="4">
        <f ca="1">IFERROR(__xludf.DUMMYFUNCTION("googlefinance(A211,""marketcap"")/10^6"),278.706115)</f>
        <v>278.70611500000001</v>
      </c>
      <c r="C212" s="2" t="s">
        <v>296</v>
      </c>
      <c r="D212" s="3"/>
      <c r="E212" s="3" t="s">
        <v>390</v>
      </c>
      <c r="F212" s="3"/>
    </row>
    <row r="213" spans="1:6" x14ac:dyDescent="0.35">
      <c r="A213" s="3" t="s">
        <v>104</v>
      </c>
      <c r="B213" s="4">
        <f ca="1">IFERROR(__xludf.DUMMYFUNCTION("googlefinance(A212,""marketcap"")/10^6"),2689.812574)</f>
        <v>2689.812574</v>
      </c>
      <c r="C213" s="2" t="s">
        <v>296</v>
      </c>
      <c r="D213" s="3"/>
      <c r="E213" s="3" t="s">
        <v>391</v>
      </c>
      <c r="F213" s="3"/>
    </row>
    <row r="214" spans="1:6" x14ac:dyDescent="0.35">
      <c r="A214" s="3" t="s">
        <v>106</v>
      </c>
      <c r="B214" s="4">
        <f ca="1">IFERROR(__xludf.DUMMYFUNCTION("googlefinance(A213,""marketcap"")/10^6"),1267.284982)</f>
        <v>1267.2849819999999</v>
      </c>
      <c r="C214" s="2" t="s">
        <v>296</v>
      </c>
      <c r="D214" s="3"/>
      <c r="E214" s="3" t="s">
        <v>392</v>
      </c>
      <c r="F214" s="3"/>
    </row>
    <row r="215" spans="1:6" x14ac:dyDescent="0.35">
      <c r="A215" s="3" t="s">
        <v>273</v>
      </c>
      <c r="B215" s="4">
        <f ca="1">IFERROR(__xludf.DUMMYFUNCTION("googlefinance(A214,""marketcap"")/10^6"),689.540287)</f>
        <v>689.54028700000003</v>
      </c>
      <c r="C215" s="2" t="s">
        <v>296</v>
      </c>
      <c r="D215" s="3"/>
      <c r="E215" s="3" t="s">
        <v>393</v>
      </c>
      <c r="F215" s="3"/>
    </row>
    <row r="216" spans="1:6" x14ac:dyDescent="0.35">
      <c r="A216" s="3" t="s">
        <v>394</v>
      </c>
      <c r="B216" s="4">
        <f ca="1">IFERROR(__xludf.DUMMYFUNCTION("googlefinance(A215,""marketcap"")/10^6"),449.771227)</f>
        <v>449.77122700000001</v>
      </c>
      <c r="C216" s="2" t="s">
        <v>296</v>
      </c>
      <c r="D216" s="3"/>
      <c r="E216" s="3" t="s">
        <v>395</v>
      </c>
      <c r="F216" s="3"/>
    </row>
    <row r="217" spans="1:6" x14ac:dyDescent="0.35">
      <c r="A217" s="3" t="s">
        <v>278</v>
      </c>
      <c r="B217" s="4">
        <f ca="1">IFERROR(__xludf.DUMMYFUNCTION("googlefinance(A216,""marketcap"")/10^6"),1741.004025)</f>
        <v>1741.004025</v>
      </c>
      <c r="C217" s="2" t="s">
        <v>296</v>
      </c>
      <c r="D217" s="3"/>
      <c r="E217" s="3" t="s">
        <v>396</v>
      </c>
      <c r="F217" s="3"/>
    </row>
    <row r="218" spans="1:6" x14ac:dyDescent="0.35">
      <c r="A218" s="3" t="s">
        <v>397</v>
      </c>
      <c r="B218" s="4">
        <f ca="1">IFERROR(__xludf.DUMMYFUNCTION("googlefinance(A217,""marketcap"")/10^6"),556.868692)</f>
        <v>556.86869200000001</v>
      </c>
      <c r="C218" s="2" t="s">
        <v>296</v>
      </c>
      <c r="D218" s="3"/>
      <c r="E218" s="3" t="s">
        <v>398</v>
      </c>
      <c r="F218" s="3"/>
    </row>
    <row r="219" spans="1:6" x14ac:dyDescent="0.35">
      <c r="A219" s="3" t="s">
        <v>119</v>
      </c>
      <c r="B219" s="4">
        <f ca="1">IFERROR(__xludf.DUMMYFUNCTION("googlefinance(A218,""marketcap"")/10^6"),100.606811)</f>
        <v>100.60681099999999</v>
      </c>
      <c r="C219" s="2" t="s">
        <v>296</v>
      </c>
      <c r="D219" s="3"/>
      <c r="E219" s="3" t="s">
        <v>399</v>
      </c>
      <c r="F219" s="3"/>
    </row>
    <row r="220" spans="1:6" x14ac:dyDescent="0.35">
      <c r="A220" s="3" t="s">
        <v>121</v>
      </c>
      <c r="B220" s="4">
        <f ca="1">IFERROR(__xludf.DUMMYFUNCTION("googlefinance(A219,""marketcap"")/10^6"),159.09894)</f>
        <v>159.09894</v>
      </c>
      <c r="C220" s="2" t="s">
        <v>296</v>
      </c>
      <c r="D220" s="3"/>
      <c r="E220" s="3" t="s">
        <v>400</v>
      </c>
      <c r="F220" s="3"/>
    </row>
    <row r="221" spans="1:6" x14ac:dyDescent="0.35">
      <c r="A221" s="3" t="s">
        <v>121</v>
      </c>
      <c r="B221" s="4">
        <f ca="1">IFERROR(__xludf.DUMMYFUNCTION("googlefinance(A220,""marketcap"")/10^6"),159.09894)</f>
        <v>159.09894</v>
      </c>
      <c r="C221" s="2" t="s">
        <v>296</v>
      </c>
      <c r="D221" s="3"/>
      <c r="E221" s="3" t="s">
        <v>401</v>
      </c>
      <c r="F221" s="3"/>
    </row>
    <row r="222" spans="1:6" x14ac:dyDescent="0.35">
      <c r="A222" s="3" t="s">
        <v>402</v>
      </c>
      <c r="B222" s="4">
        <f ca="1">IFERROR(__xludf.DUMMYFUNCTION("googlefinance(A221,""marketcap"")/10^6"),40.713946)</f>
        <v>40.713946</v>
      </c>
      <c r="C222" s="2" t="s">
        <v>296</v>
      </c>
      <c r="D222" s="3"/>
      <c r="E222" s="3" t="s">
        <v>403</v>
      </c>
      <c r="F222" s="3"/>
    </row>
    <row r="223" spans="1:6" x14ac:dyDescent="0.35">
      <c r="A223" s="3" t="s">
        <v>125</v>
      </c>
      <c r="B223" s="4">
        <f ca="1">IFERROR(__xludf.DUMMYFUNCTION("googlefinance(A222,""marketcap"")/10^6"),3045.771678)</f>
        <v>3045.7716780000001</v>
      </c>
      <c r="C223" s="2" t="s">
        <v>296</v>
      </c>
      <c r="D223" s="3"/>
      <c r="E223" s="3" t="s">
        <v>404</v>
      </c>
      <c r="F223" s="3" t="s">
        <v>405</v>
      </c>
    </row>
    <row r="224" spans="1:6" x14ac:dyDescent="0.35">
      <c r="A224" s="3" t="s">
        <v>406</v>
      </c>
      <c r="B224" s="4">
        <f ca="1">IFERROR(__xludf.DUMMYFUNCTION("googlefinance(A223,""marketcap"")/10^6"),228.657575)</f>
        <v>228.65757500000001</v>
      </c>
      <c r="C224" s="2" t="s">
        <v>407</v>
      </c>
      <c r="D224" s="6">
        <v>45411</v>
      </c>
      <c r="E224" s="3" t="s">
        <v>408</v>
      </c>
      <c r="F224" s="3"/>
    </row>
    <row r="225" spans="1:7" x14ac:dyDescent="0.35">
      <c r="A225" s="3" t="s">
        <v>409</v>
      </c>
      <c r="B225" s="4">
        <f ca="1">IFERROR(__xludf.DUMMYFUNCTION("googlefinance(A224,""marketcap"")/10^6"),304.893945)</f>
        <v>304.89394499999997</v>
      </c>
      <c r="C225" s="2" t="s">
        <v>407</v>
      </c>
      <c r="D225" s="5">
        <v>45384</v>
      </c>
      <c r="E225" s="3" t="s">
        <v>410</v>
      </c>
      <c r="F225" s="3"/>
    </row>
    <row r="226" spans="1:7" x14ac:dyDescent="0.35">
      <c r="A226" s="3" t="s">
        <v>411</v>
      </c>
      <c r="B226" s="4">
        <f ca="1">IFERROR(__xludf.DUMMYFUNCTION("googlefinance(A225,""marketcap"")/10^6"),496.449918)</f>
        <v>496.44991800000003</v>
      </c>
      <c r="C226" s="2" t="s">
        <v>407</v>
      </c>
      <c r="D226" s="3"/>
      <c r="E226" s="3" t="s">
        <v>412</v>
      </c>
      <c r="F226" s="3"/>
    </row>
    <row r="227" spans="1:7" x14ac:dyDescent="0.35">
      <c r="A227" s="3" t="s">
        <v>413</v>
      </c>
      <c r="B227" s="4">
        <f ca="1">IFERROR(__xludf.DUMMYFUNCTION("googlefinance(A226,""marketcap"")/10^6"),1621.066369)</f>
        <v>1621.0663689999999</v>
      </c>
      <c r="C227" s="2" t="s">
        <v>407</v>
      </c>
      <c r="D227" s="6">
        <v>45434</v>
      </c>
      <c r="E227" s="3" t="s">
        <v>414</v>
      </c>
      <c r="F227" s="3"/>
    </row>
    <row r="228" spans="1:7" x14ac:dyDescent="0.35">
      <c r="A228" s="3" t="s">
        <v>415</v>
      </c>
      <c r="B228" s="4">
        <f ca="1">IFERROR(__xludf.DUMMYFUNCTION("googlefinance(A227,""marketcap"")/10^6"),301.353244)</f>
        <v>301.35324400000002</v>
      </c>
      <c r="C228" s="2" t="s">
        <v>407</v>
      </c>
      <c r="D228" s="3"/>
      <c r="E228" s="3" t="s">
        <v>416</v>
      </c>
      <c r="F228" s="3"/>
    </row>
    <row r="229" spans="1:7" x14ac:dyDescent="0.35">
      <c r="A229" s="3" t="s">
        <v>147</v>
      </c>
      <c r="B229" s="4">
        <f ca="1">IFERROR(__xludf.DUMMYFUNCTION("googlefinance(A228,""marketcap"")/10^6"),630.708161)</f>
        <v>630.70816100000002</v>
      </c>
      <c r="C229" s="2" t="s">
        <v>407</v>
      </c>
      <c r="D229" s="5">
        <v>45770</v>
      </c>
      <c r="E229" s="3" t="s">
        <v>417</v>
      </c>
      <c r="F229" s="3"/>
    </row>
    <row r="230" spans="1:7" x14ac:dyDescent="0.35">
      <c r="A230" s="3" t="s">
        <v>418</v>
      </c>
      <c r="B230" s="4" t="str">
        <f ca="1">IFERROR(__xludf.DUMMYFUNCTION("googlefinance(A229,""marketcap"")/10^6"),"#N/A")</f>
        <v>#N/A</v>
      </c>
      <c r="C230" s="2" t="s">
        <v>407</v>
      </c>
      <c r="D230" s="3"/>
      <c r="E230" s="3" t="s">
        <v>419</v>
      </c>
      <c r="F230" s="3"/>
    </row>
    <row r="231" spans="1:7" x14ac:dyDescent="0.35">
      <c r="A231" s="3" t="s">
        <v>420</v>
      </c>
      <c r="B231" s="4">
        <f ca="1">IFERROR(__xludf.DUMMYFUNCTION("googlefinance(A230,""marketcap"")/10^6"),614.301085)</f>
        <v>614.30108499999994</v>
      </c>
      <c r="C231" s="2" t="s">
        <v>407</v>
      </c>
      <c r="D231" s="3"/>
      <c r="E231" s="3" t="s">
        <v>421</v>
      </c>
      <c r="F231" s="3"/>
    </row>
    <row r="232" spans="1:7" x14ac:dyDescent="0.35">
      <c r="A232" s="3" t="s">
        <v>422</v>
      </c>
      <c r="B232" s="4">
        <f ca="1">IFERROR(__xludf.DUMMYFUNCTION("googlefinance(A231,""marketcap"")/10^6"),359.528552)</f>
        <v>359.52855199999999</v>
      </c>
      <c r="C232" s="2" t="s">
        <v>407</v>
      </c>
      <c r="D232" s="3"/>
      <c r="E232" s="3" t="s">
        <v>423</v>
      </c>
      <c r="F232" s="3"/>
    </row>
    <row r="233" spans="1:7" x14ac:dyDescent="0.35">
      <c r="A233" s="3" t="s">
        <v>175</v>
      </c>
      <c r="B233" s="4">
        <f ca="1">IFERROR(__xludf.DUMMYFUNCTION("googlefinance(A232,""marketcap"")/10^6"),19.066138)</f>
        <v>19.066137999999999</v>
      </c>
      <c r="C233" s="2" t="s">
        <v>407</v>
      </c>
      <c r="D233" s="3" t="s">
        <v>424</v>
      </c>
      <c r="E233" s="3" t="s">
        <v>425</v>
      </c>
      <c r="F233" s="3"/>
      <c r="G233" s="3"/>
    </row>
    <row r="234" spans="1:7" x14ac:dyDescent="0.35">
      <c r="A234" s="3" t="s">
        <v>177</v>
      </c>
      <c r="B234" s="4">
        <f ca="1">IFERROR(__xludf.DUMMYFUNCTION("googlefinance(A233,""marketcap"")/10^6"),339.27824)</f>
        <v>339.27823999999998</v>
      </c>
      <c r="C234" s="2" t="s">
        <v>407</v>
      </c>
      <c r="D234" s="3"/>
      <c r="E234" s="3" t="s">
        <v>426</v>
      </c>
      <c r="F234" s="3"/>
    </row>
    <row r="235" spans="1:7" x14ac:dyDescent="0.35">
      <c r="A235" s="3" t="s">
        <v>59</v>
      </c>
      <c r="B235" s="4">
        <f ca="1">IFERROR(__xludf.DUMMYFUNCTION("googlefinance(A234,""marketcap"")/10^6"),2679.68476)</f>
        <v>2679.6847600000001</v>
      </c>
      <c r="C235" s="2" t="s">
        <v>407</v>
      </c>
      <c r="D235" s="3"/>
      <c r="E235" s="3" t="s">
        <v>427</v>
      </c>
      <c r="F235" s="3"/>
    </row>
    <row r="236" spans="1:7" x14ac:dyDescent="0.35">
      <c r="A236" s="3" t="s">
        <v>428</v>
      </c>
      <c r="B236" s="4">
        <f ca="1">IFERROR(__xludf.DUMMYFUNCTION("googlefinance(A235,""marketcap"")/10^6"),96.794927)</f>
        <v>96.794927000000001</v>
      </c>
      <c r="C236" s="2" t="s">
        <v>407</v>
      </c>
      <c r="D236" s="3"/>
      <c r="E236" s="3" t="s">
        <v>429</v>
      </c>
      <c r="F236" s="3"/>
    </row>
    <row r="237" spans="1:7" x14ac:dyDescent="0.35">
      <c r="A237" s="3" t="s">
        <v>430</v>
      </c>
      <c r="B237" s="4">
        <f ca="1">IFERROR(__xludf.DUMMYFUNCTION("googlefinance(A236,""marketcap"")/10^6"),100.52678)</f>
        <v>100.52678</v>
      </c>
      <c r="C237" s="2" t="s">
        <v>407</v>
      </c>
      <c r="D237" s="3"/>
      <c r="E237" s="3" t="s">
        <v>431</v>
      </c>
      <c r="F237" s="3"/>
    </row>
    <row r="238" spans="1:7" x14ac:dyDescent="0.35">
      <c r="A238" s="3" t="s">
        <v>432</v>
      </c>
      <c r="B238" s="4">
        <f ca="1">IFERROR(__xludf.DUMMYFUNCTION("googlefinance(A237,""marketcap"")/10^6"),2167.759617)</f>
        <v>2167.7596170000002</v>
      </c>
      <c r="C238" s="2" t="s">
        <v>407</v>
      </c>
      <c r="D238" s="3" t="s">
        <v>433</v>
      </c>
      <c r="E238" s="3" t="s">
        <v>434</v>
      </c>
      <c r="F238" s="3"/>
    </row>
    <row r="239" spans="1:7" x14ac:dyDescent="0.35">
      <c r="A239" s="3" t="s">
        <v>435</v>
      </c>
      <c r="B239" s="4">
        <f ca="1">IFERROR(__xludf.DUMMYFUNCTION("googlefinance(A238,""marketcap"")/10^6"),137.786776)</f>
        <v>137.786776</v>
      </c>
      <c r="C239" s="2" t="s">
        <v>407</v>
      </c>
      <c r="D239" s="3" t="s">
        <v>369</v>
      </c>
      <c r="E239" s="3" t="s">
        <v>436</v>
      </c>
      <c r="F239" s="3"/>
    </row>
    <row r="240" spans="1:7" x14ac:dyDescent="0.35">
      <c r="A240" s="3" t="s">
        <v>437</v>
      </c>
      <c r="B240" s="4">
        <f ca="1">IFERROR(__xludf.DUMMYFUNCTION("googlefinance(A239,""marketcap"")/10^6"),92.121889)</f>
        <v>92.121888999999996</v>
      </c>
      <c r="C240" s="2" t="s">
        <v>407</v>
      </c>
      <c r="D240" s="3" t="s">
        <v>438</v>
      </c>
      <c r="E240" s="3" t="s">
        <v>439</v>
      </c>
      <c r="F240" s="3" t="s">
        <v>440</v>
      </c>
    </row>
    <row r="241" spans="1:6" x14ac:dyDescent="0.35">
      <c r="A241" s="3" t="s">
        <v>441</v>
      </c>
      <c r="B241" s="4">
        <f ca="1">IFERROR(__xludf.DUMMYFUNCTION("googlefinance(A240,""marketcap"")/10^6"),187.578843)</f>
        <v>187.57884300000001</v>
      </c>
      <c r="C241" s="2" t="s">
        <v>407</v>
      </c>
      <c r="D241" s="3" t="s">
        <v>442</v>
      </c>
      <c r="E241" s="3" t="s">
        <v>443</v>
      </c>
      <c r="F241" s="3"/>
    </row>
    <row r="242" spans="1:6" x14ac:dyDescent="0.35">
      <c r="A242" s="3" t="s">
        <v>444</v>
      </c>
      <c r="B242" s="4">
        <f ca="1">IFERROR(__xludf.DUMMYFUNCTION("googlefinance(A241,""marketcap"")/10^6"),49.399475)</f>
        <v>49.399475000000002</v>
      </c>
      <c r="C242" s="2" t="s">
        <v>407</v>
      </c>
      <c r="D242" s="3"/>
      <c r="E242" s="3" t="s">
        <v>445</v>
      </c>
      <c r="F242" s="3"/>
    </row>
    <row r="243" spans="1:6" x14ac:dyDescent="0.35">
      <c r="A243" s="3" t="s">
        <v>446</v>
      </c>
      <c r="B243" s="4">
        <f ca="1">IFERROR(__xludf.DUMMYFUNCTION("googlefinance(A242,""marketcap"")/10^6"),425.48879)</f>
        <v>425.48878999999999</v>
      </c>
      <c r="C243" s="2" t="s">
        <v>407</v>
      </c>
      <c r="D243" s="5">
        <v>45460</v>
      </c>
      <c r="E243" s="3" t="s">
        <v>447</v>
      </c>
      <c r="F243" s="3"/>
    </row>
    <row r="244" spans="1:6" x14ac:dyDescent="0.35">
      <c r="A244" s="3" t="s">
        <v>207</v>
      </c>
      <c r="B244" s="4">
        <f ca="1">IFERROR(__xludf.DUMMYFUNCTION("googlefinance(A243,""marketcap"")/10^6"),479.607622)</f>
        <v>479.60762199999999</v>
      </c>
      <c r="C244" s="2" t="s">
        <v>407</v>
      </c>
      <c r="D244" s="3"/>
      <c r="E244" s="3" t="s">
        <v>448</v>
      </c>
      <c r="F244" s="3"/>
    </row>
    <row r="245" spans="1:6" x14ac:dyDescent="0.35">
      <c r="A245" s="3" t="s">
        <v>449</v>
      </c>
      <c r="B245" s="4">
        <f ca="1">IFERROR(__xludf.DUMMYFUNCTION("googlefinance(A244,""marketcap"")/10^6"),2872.987416)</f>
        <v>2872.9874159999999</v>
      </c>
      <c r="C245" s="2" t="s">
        <v>407</v>
      </c>
      <c r="D245" s="3"/>
      <c r="E245" s="3" t="s">
        <v>450</v>
      </c>
      <c r="F245" s="3"/>
    </row>
    <row r="246" spans="1:6" x14ac:dyDescent="0.35">
      <c r="A246" s="3" t="s">
        <v>451</v>
      </c>
      <c r="B246" s="4">
        <f ca="1">IFERROR(__xludf.DUMMYFUNCTION("googlefinance(A245,""marketcap"")/10^6"),12.040719)</f>
        <v>12.040718999999999</v>
      </c>
      <c r="C246" s="2" t="s">
        <v>407</v>
      </c>
      <c r="D246" s="3"/>
      <c r="E246" s="3" t="s">
        <v>452</v>
      </c>
      <c r="F246" s="3"/>
    </row>
    <row r="247" spans="1:6" x14ac:dyDescent="0.35">
      <c r="A247" s="3" t="s">
        <v>360</v>
      </c>
      <c r="B247" s="4">
        <f ca="1">IFERROR(__xludf.DUMMYFUNCTION("googlefinance(A246,""marketcap"")/10^6"),164.070719)</f>
        <v>164.070719</v>
      </c>
      <c r="C247" s="2" t="s">
        <v>407</v>
      </c>
      <c r="D247" s="3"/>
      <c r="E247" s="3" t="s">
        <v>453</v>
      </c>
      <c r="F247" s="3"/>
    </row>
    <row r="248" spans="1:6" x14ac:dyDescent="0.35">
      <c r="A248" s="3" t="s">
        <v>454</v>
      </c>
      <c r="B248" s="4">
        <f ca="1">IFERROR(__xludf.DUMMYFUNCTION("googlefinance(A247,""marketcap"")/10^6"),848.147321)</f>
        <v>848.14732100000003</v>
      </c>
      <c r="C248" s="2" t="s">
        <v>407</v>
      </c>
      <c r="D248" s="6">
        <v>45466</v>
      </c>
      <c r="E248" s="3" t="s">
        <v>455</v>
      </c>
      <c r="F248" s="3"/>
    </row>
    <row r="249" spans="1:6" x14ac:dyDescent="0.35">
      <c r="A249" s="3" t="s">
        <v>456</v>
      </c>
      <c r="B249" s="4">
        <f ca="1">IFERROR(__xludf.DUMMYFUNCTION("googlefinance(A248,""marketcap"")/10^6"),1476.905742)</f>
        <v>1476.9057419999999</v>
      </c>
      <c r="C249" s="2" t="s">
        <v>407</v>
      </c>
      <c r="D249" s="3" t="s">
        <v>438</v>
      </c>
      <c r="E249" s="3" t="s">
        <v>457</v>
      </c>
      <c r="F249" s="3"/>
    </row>
    <row r="250" spans="1:6" x14ac:dyDescent="0.35">
      <c r="A250" s="3" t="s">
        <v>458</v>
      </c>
      <c r="B250" s="4">
        <f ca="1">IFERROR(__xludf.DUMMYFUNCTION("googlefinance(A249,""marketcap"")/10^6"),767.059167)</f>
        <v>767.059167</v>
      </c>
      <c r="C250" s="2" t="s">
        <v>407</v>
      </c>
      <c r="D250" s="3" t="s">
        <v>459</v>
      </c>
      <c r="E250" s="3" t="s">
        <v>460</v>
      </c>
      <c r="F250" s="3"/>
    </row>
    <row r="251" spans="1:6" x14ac:dyDescent="0.35">
      <c r="A251" s="3" t="s">
        <v>247</v>
      </c>
      <c r="B251" s="4">
        <f ca="1">IFERROR(__xludf.DUMMYFUNCTION("googlefinance(A250,""marketcap"")/10^6"),2246.248915)</f>
        <v>2246.2489150000001</v>
      </c>
      <c r="C251" s="2" t="s">
        <v>407</v>
      </c>
      <c r="D251" s="3"/>
      <c r="E251" s="3" t="s">
        <v>461</v>
      </c>
      <c r="F251" s="3"/>
    </row>
    <row r="252" spans="1:6" x14ac:dyDescent="0.35">
      <c r="A252" s="3" t="s">
        <v>462</v>
      </c>
      <c r="B252" s="4">
        <f ca="1">IFERROR(__xludf.DUMMYFUNCTION("googlefinance(A251,""marketcap"")/10^6"),63.34579)</f>
        <v>63.345790000000001</v>
      </c>
      <c r="C252" s="2" t="s">
        <v>407</v>
      </c>
      <c r="D252" s="3"/>
      <c r="E252" s="3" t="s">
        <v>463</v>
      </c>
      <c r="F252" s="3"/>
    </row>
    <row r="253" spans="1:6" x14ac:dyDescent="0.35">
      <c r="A253" s="3" t="s">
        <v>464</v>
      </c>
      <c r="B253" s="4">
        <f ca="1">IFERROR(__xludf.DUMMYFUNCTION("googlefinance(A252,""marketcap"")/10^6"),3539.90694)</f>
        <v>3539.9069399999998</v>
      </c>
      <c r="C253" s="2" t="s">
        <v>407</v>
      </c>
      <c r="D253" s="3"/>
      <c r="E253" s="3" t="s">
        <v>465</v>
      </c>
      <c r="F253" s="3"/>
    </row>
    <row r="254" spans="1:6" x14ac:dyDescent="0.35">
      <c r="A254" s="3" t="s">
        <v>466</v>
      </c>
      <c r="B254" s="4">
        <f ca="1">IFERROR(__xludf.DUMMYFUNCTION("googlefinance(A253,""marketcap"")/10^6"),84.340445)</f>
        <v>84.340445000000003</v>
      </c>
      <c r="C254" s="2" t="s">
        <v>407</v>
      </c>
      <c r="D254" s="3"/>
      <c r="E254" s="3" t="s">
        <v>467</v>
      </c>
      <c r="F254" s="3"/>
    </row>
    <row r="255" spans="1:6" x14ac:dyDescent="0.35">
      <c r="A255" s="3" t="s">
        <v>268</v>
      </c>
      <c r="B255" s="4">
        <f ca="1">IFERROR(__xludf.DUMMYFUNCTION("googlefinance(A254,""marketcap"")/10^6"),4095.654062)</f>
        <v>4095.6540620000001</v>
      </c>
      <c r="C255" s="2" t="s">
        <v>407</v>
      </c>
      <c r="D255" s="3"/>
      <c r="E255" s="3" t="s">
        <v>468</v>
      </c>
      <c r="F255" s="3"/>
    </row>
    <row r="256" spans="1:6" x14ac:dyDescent="0.35">
      <c r="A256" s="3" t="s">
        <v>394</v>
      </c>
      <c r="B256" s="4">
        <f ca="1">IFERROR(__xludf.DUMMYFUNCTION("googlefinance(A255,""marketcap"")/10^6"),449.771227)</f>
        <v>449.77122700000001</v>
      </c>
      <c r="C256" s="2" t="s">
        <v>407</v>
      </c>
      <c r="D256" s="3"/>
      <c r="E256" s="3" t="s">
        <v>469</v>
      </c>
      <c r="F256" s="3"/>
    </row>
    <row r="257" spans="1:6" x14ac:dyDescent="0.35">
      <c r="A257" s="3" t="s">
        <v>470</v>
      </c>
      <c r="B257" s="4">
        <f ca="1">IFERROR(__xludf.DUMMYFUNCTION("googlefinance(A256,""marketcap"")/10^6"),62.384499)</f>
        <v>62.384498999999998</v>
      </c>
      <c r="C257" s="2" t="s">
        <v>407</v>
      </c>
      <c r="D257" s="6">
        <v>45471</v>
      </c>
      <c r="E257" s="3" t="s">
        <v>471</v>
      </c>
      <c r="F257" s="3"/>
    </row>
    <row r="258" spans="1:6" x14ac:dyDescent="0.35">
      <c r="A258" s="3" t="s">
        <v>472</v>
      </c>
      <c r="B258" s="4">
        <f ca="1">IFERROR(__xludf.DUMMYFUNCTION("googlefinance(A257,""marketcap"")/10^6"),432.121846)</f>
        <v>432.12184600000001</v>
      </c>
      <c r="C258" s="2" t="s">
        <v>407</v>
      </c>
      <c r="D258" s="5">
        <v>45456</v>
      </c>
      <c r="E258" s="3" t="s">
        <v>473</v>
      </c>
      <c r="F258" s="3"/>
    </row>
    <row r="259" spans="1:6" x14ac:dyDescent="0.35">
      <c r="A259" s="3" t="s">
        <v>472</v>
      </c>
      <c r="B259" s="4">
        <f ca="1">IFERROR(__xludf.DUMMYFUNCTION("googlefinance(A258,""marketcap"")/10^6"),432.121846)</f>
        <v>432.12184600000001</v>
      </c>
      <c r="C259" s="2" t="s">
        <v>407</v>
      </c>
      <c r="D259" s="3"/>
      <c r="E259" s="3" t="s">
        <v>474</v>
      </c>
      <c r="F259" s="3"/>
    </row>
    <row r="260" spans="1:6" x14ac:dyDescent="0.35">
      <c r="A260" s="3" t="s">
        <v>475</v>
      </c>
      <c r="B260" s="4">
        <f ca="1">IFERROR(__xludf.DUMMYFUNCTION("googlefinance(A259,""marketcap"")/10^6"),2147.91774)</f>
        <v>2147.9177399999999</v>
      </c>
      <c r="C260" s="2" t="s">
        <v>407</v>
      </c>
      <c r="D260" s="3"/>
      <c r="E260" s="3" t="s">
        <v>476</v>
      </c>
      <c r="F260" s="3"/>
    </row>
    <row r="261" spans="1:6" x14ac:dyDescent="0.35">
      <c r="A261" s="3" t="s">
        <v>281</v>
      </c>
      <c r="B261" s="4">
        <f ca="1">IFERROR(__xludf.DUMMYFUNCTION("googlefinance(A260,""marketcap"")/10^6"),177.124524)</f>
        <v>177.12452400000001</v>
      </c>
      <c r="C261" s="2" t="s">
        <v>407</v>
      </c>
      <c r="D261" s="3"/>
      <c r="E261" s="3" t="s">
        <v>477</v>
      </c>
      <c r="F261" s="3"/>
    </row>
    <row r="262" spans="1:6" x14ac:dyDescent="0.35">
      <c r="A262" s="3" t="s">
        <v>283</v>
      </c>
      <c r="B262" s="4">
        <f ca="1">IFERROR(__xludf.DUMMYFUNCTION("googlefinance(A261,""marketcap"")/10^6"),1463.963615)</f>
        <v>1463.9636149999999</v>
      </c>
      <c r="C262" s="2" t="s">
        <v>407</v>
      </c>
      <c r="D262" s="3"/>
      <c r="E262" s="3" t="s">
        <v>478</v>
      </c>
      <c r="F262" s="3"/>
    </row>
    <row r="263" spans="1:6" x14ac:dyDescent="0.35">
      <c r="A263" s="3" t="s">
        <v>288</v>
      </c>
      <c r="B263" s="4">
        <f ca="1">IFERROR(__xludf.DUMMYFUNCTION("googlefinance(A262,""marketcap"")/10^6"),263.478601)</f>
        <v>263.47860100000003</v>
      </c>
      <c r="C263" s="2" t="s">
        <v>407</v>
      </c>
      <c r="D263" s="6">
        <v>45473</v>
      </c>
      <c r="E263" s="3" t="s">
        <v>479</v>
      </c>
      <c r="F263" s="3"/>
    </row>
    <row r="264" spans="1:6" x14ac:dyDescent="0.35">
      <c r="A264" s="3" t="s">
        <v>480</v>
      </c>
      <c r="B264" s="4">
        <f ca="1">IFERROR(__xludf.DUMMYFUNCTION("googlefinance(A263,""marketcap"")/10^6"),375.801683)</f>
        <v>375.80168300000003</v>
      </c>
      <c r="C264" s="2" t="s">
        <v>481</v>
      </c>
      <c r="D264" s="3"/>
      <c r="E264" s="3" t="s">
        <v>482</v>
      </c>
      <c r="F264" s="3" t="s">
        <v>483</v>
      </c>
    </row>
    <row r="265" spans="1:6" x14ac:dyDescent="0.35">
      <c r="A265" s="3" t="s">
        <v>484</v>
      </c>
      <c r="B265" s="4">
        <f ca="1">IFERROR(__xludf.DUMMYFUNCTION("googlefinance(A264,""marketcap"")/10^6"),1965.25995)</f>
        <v>1965.2599499999999</v>
      </c>
      <c r="C265" s="2" t="s">
        <v>481</v>
      </c>
      <c r="D265" s="3" t="s">
        <v>485</v>
      </c>
      <c r="E265" s="3" t="s">
        <v>151</v>
      </c>
      <c r="F265" s="3"/>
    </row>
    <row r="266" spans="1:6" x14ac:dyDescent="0.35">
      <c r="A266" s="3" t="s">
        <v>486</v>
      </c>
      <c r="B266" s="4">
        <f ca="1">IFERROR(__xludf.DUMMYFUNCTION("googlefinance(A265,""marketcap"")/10^6"),50.598234)</f>
        <v>50.598233999999998</v>
      </c>
      <c r="C266" s="2" t="s">
        <v>481</v>
      </c>
      <c r="D266" s="3"/>
      <c r="E266" s="3" t="s">
        <v>487</v>
      </c>
      <c r="F266" s="3"/>
    </row>
    <row r="267" spans="1:6" x14ac:dyDescent="0.35">
      <c r="A267" s="3" t="s">
        <v>488</v>
      </c>
      <c r="B267" s="4">
        <f ca="1">IFERROR(__xludf.DUMMYFUNCTION("googlefinance(A266,""marketcap"")/10^6"),7774.322162)</f>
        <v>7774.3221620000004</v>
      </c>
      <c r="C267" s="2" t="s">
        <v>481</v>
      </c>
      <c r="D267" s="6">
        <v>45500</v>
      </c>
      <c r="E267" s="3" t="s">
        <v>151</v>
      </c>
      <c r="F267" s="3"/>
    </row>
    <row r="268" spans="1:6" x14ac:dyDescent="0.35">
      <c r="A268" s="3" t="s">
        <v>489</v>
      </c>
      <c r="B268" s="4">
        <f ca="1">IFERROR(__xludf.DUMMYFUNCTION("googlefinance(A267,""marketcap"")/10^6"),418.177487)</f>
        <v>418.17748699999999</v>
      </c>
      <c r="C268" s="2" t="s">
        <v>481</v>
      </c>
      <c r="D268" s="3"/>
      <c r="E268" s="3" t="s">
        <v>490</v>
      </c>
      <c r="F268" s="3"/>
    </row>
    <row r="269" spans="1:6" x14ac:dyDescent="0.35">
      <c r="A269" s="3" t="s">
        <v>415</v>
      </c>
      <c r="B269" s="4">
        <f ca="1">IFERROR(__xludf.DUMMYFUNCTION("googlefinance(A268,""marketcap"")/10^6"),301.353244)</f>
        <v>301.35324400000002</v>
      </c>
      <c r="C269" s="2" t="s">
        <v>481</v>
      </c>
      <c r="D269" s="3"/>
      <c r="E269" s="3" t="s">
        <v>491</v>
      </c>
      <c r="F269" s="8"/>
    </row>
    <row r="270" spans="1:6" x14ac:dyDescent="0.35">
      <c r="A270" s="3" t="s">
        <v>492</v>
      </c>
      <c r="B270" s="4">
        <f ca="1">IFERROR(__xludf.DUMMYFUNCTION("googlefinance(A269,""marketcap"")/10^6"),21304.161215)</f>
        <v>21304.161215</v>
      </c>
      <c r="C270" s="2" t="s">
        <v>481</v>
      </c>
      <c r="D270" s="5">
        <v>45900</v>
      </c>
      <c r="E270" s="3" t="s">
        <v>493</v>
      </c>
      <c r="F270" s="3"/>
    </row>
    <row r="271" spans="1:6" x14ac:dyDescent="0.35">
      <c r="A271" s="3" t="s">
        <v>41</v>
      </c>
      <c r="B271" s="4">
        <f ca="1">IFERROR(__xludf.DUMMYFUNCTION("googlefinance(A270,""marketcap"")/10^6"),356.146761)</f>
        <v>356.14676100000003</v>
      </c>
      <c r="C271" s="2" t="s">
        <v>481</v>
      </c>
      <c r="D271" s="3"/>
      <c r="E271" s="3" t="s">
        <v>494</v>
      </c>
      <c r="F271" s="3"/>
    </row>
    <row r="272" spans="1:6" x14ac:dyDescent="0.35">
      <c r="A272" s="3" t="s">
        <v>41</v>
      </c>
      <c r="B272" s="4">
        <f ca="1">IFERROR(__xludf.DUMMYFUNCTION("googlefinance(A271,""marketcap"")/10^6"),356.146761)</f>
        <v>356.14676100000003</v>
      </c>
      <c r="C272" s="2" t="s">
        <v>481</v>
      </c>
      <c r="D272" s="3"/>
      <c r="E272" s="3" t="s">
        <v>495</v>
      </c>
      <c r="F272" s="3"/>
    </row>
    <row r="273" spans="1:6" x14ac:dyDescent="0.35">
      <c r="A273" s="3" t="s">
        <v>173</v>
      </c>
      <c r="B273" s="4">
        <f ca="1">IFERROR(__xludf.DUMMYFUNCTION("googlefinance(A272,""marketcap"")/10^6"),3597.292364)</f>
        <v>3597.2923639999999</v>
      </c>
      <c r="C273" s="2" t="s">
        <v>481</v>
      </c>
      <c r="D273" s="3" t="s">
        <v>496</v>
      </c>
      <c r="E273" s="3" t="s">
        <v>497</v>
      </c>
      <c r="F273" s="3"/>
    </row>
    <row r="274" spans="1:6" x14ac:dyDescent="0.35">
      <c r="A274" s="3" t="s">
        <v>51</v>
      </c>
      <c r="B274" s="4">
        <f ca="1">IFERROR(__xludf.DUMMYFUNCTION("googlefinance(A273,""marketcap"")/10^6"),5989.22065)</f>
        <v>5989.2206500000002</v>
      </c>
      <c r="C274" s="2" t="s">
        <v>481</v>
      </c>
      <c r="D274" s="3" t="s">
        <v>498</v>
      </c>
      <c r="E274" s="3" t="s">
        <v>499</v>
      </c>
      <c r="F274" s="3"/>
    </row>
    <row r="275" spans="1:6" x14ac:dyDescent="0.35">
      <c r="A275" s="3" t="s">
        <v>432</v>
      </c>
      <c r="B275" s="4">
        <f ca="1">IFERROR(__xludf.DUMMYFUNCTION("googlefinance(A274,""marketcap"")/10^6"),2167.759617)</f>
        <v>2167.7596170000002</v>
      </c>
      <c r="C275" s="2" t="s">
        <v>481</v>
      </c>
      <c r="D275" s="3"/>
      <c r="E275" s="3" t="s">
        <v>500</v>
      </c>
      <c r="F275" s="3"/>
    </row>
    <row r="276" spans="1:6" x14ac:dyDescent="0.35">
      <c r="A276" s="3" t="s">
        <v>432</v>
      </c>
      <c r="B276" s="4">
        <f ca="1">IFERROR(__xludf.DUMMYFUNCTION("googlefinance(A275,""marketcap"")/10^6"),2167.759617)</f>
        <v>2167.7596170000002</v>
      </c>
      <c r="C276" s="2" t="s">
        <v>481</v>
      </c>
      <c r="D276" s="3"/>
      <c r="E276" s="3" t="s">
        <v>501</v>
      </c>
      <c r="F276" s="3"/>
    </row>
    <row r="277" spans="1:6" x14ac:dyDescent="0.35">
      <c r="A277" s="3" t="s">
        <v>348</v>
      </c>
      <c r="B277" s="4">
        <f ca="1">IFERROR(__xludf.DUMMYFUNCTION("googlefinance(A276,""marketcap"")/10^6"),5486.931175)</f>
        <v>5486.9311749999997</v>
      </c>
      <c r="C277" s="2" t="s">
        <v>481</v>
      </c>
      <c r="D277" s="5">
        <v>45525</v>
      </c>
      <c r="E277" s="3" t="s">
        <v>502</v>
      </c>
      <c r="F277" s="3"/>
    </row>
    <row r="278" spans="1:6" x14ac:dyDescent="0.35">
      <c r="A278" s="3" t="s">
        <v>503</v>
      </c>
      <c r="B278" s="4">
        <f ca="1">IFERROR(__xludf.DUMMYFUNCTION("googlefinance(A277,""marketcap"")/10^6"),675.146828)</f>
        <v>675.14682800000003</v>
      </c>
      <c r="C278" s="2" t="s">
        <v>481</v>
      </c>
      <c r="D278" s="5">
        <v>45512</v>
      </c>
      <c r="E278" s="3" t="s">
        <v>504</v>
      </c>
      <c r="F278" s="3"/>
    </row>
    <row r="279" spans="1:6" x14ac:dyDescent="0.35">
      <c r="A279" s="3" t="s">
        <v>219</v>
      </c>
      <c r="B279" s="4">
        <f ca="1">IFERROR(__xludf.DUMMYFUNCTION("googlefinance(A278,""marketcap"")/10^6"),359.237157)</f>
        <v>359.23715700000002</v>
      </c>
      <c r="C279" s="2" t="s">
        <v>481</v>
      </c>
      <c r="D279" s="3"/>
      <c r="E279" s="3" t="s">
        <v>505</v>
      </c>
      <c r="F279" s="3"/>
    </row>
    <row r="280" spans="1:6" x14ac:dyDescent="0.35">
      <c r="A280" s="3" t="s">
        <v>244</v>
      </c>
      <c r="B280" s="4">
        <f ca="1">IFERROR(__xludf.DUMMYFUNCTION("googlefinance(A279,""marketcap"")/10^6"),14.904811)</f>
        <v>14.904811</v>
      </c>
      <c r="C280" s="2" t="s">
        <v>481</v>
      </c>
      <c r="D280" s="3"/>
      <c r="E280" s="3" t="s">
        <v>506</v>
      </c>
      <c r="F280" s="3"/>
    </row>
    <row r="281" spans="1:6" x14ac:dyDescent="0.35">
      <c r="A281" s="3" t="s">
        <v>507</v>
      </c>
      <c r="B281" s="4">
        <f ca="1">IFERROR(__xludf.DUMMYFUNCTION("googlefinance(A280,""marketcap"")/10^6"),1045.518666)</f>
        <v>1045.5186659999999</v>
      </c>
      <c r="C281" s="2" t="s">
        <v>481</v>
      </c>
      <c r="D281" s="6">
        <v>45860</v>
      </c>
      <c r="E281" s="3" t="s">
        <v>508</v>
      </c>
      <c r="F281" s="3"/>
    </row>
    <row r="282" spans="1:6" x14ac:dyDescent="0.35">
      <c r="A282" s="3" t="s">
        <v>509</v>
      </c>
      <c r="B282" s="4">
        <f ca="1">IFERROR(__xludf.DUMMYFUNCTION("googlefinance(A281,""marketcap"")/10^6"),51.863055)</f>
        <v>51.863055000000003</v>
      </c>
      <c r="C282" s="2" t="s">
        <v>481</v>
      </c>
      <c r="D282" s="3"/>
      <c r="E282" s="3" t="s">
        <v>510</v>
      </c>
      <c r="F282" s="3"/>
    </row>
    <row r="283" spans="1:6" x14ac:dyDescent="0.35">
      <c r="A283" s="3" t="s">
        <v>511</v>
      </c>
      <c r="B283" s="4">
        <f ca="1">IFERROR(__xludf.DUMMYFUNCTION("googlefinance(A282,""marketcap"")/10^6"),71.056737)</f>
        <v>71.056736999999998</v>
      </c>
      <c r="C283" s="2" t="s">
        <v>481</v>
      </c>
      <c r="D283" s="5">
        <v>45519</v>
      </c>
      <c r="E283" s="3" t="s">
        <v>512</v>
      </c>
      <c r="F283" s="3"/>
    </row>
    <row r="284" spans="1:6" x14ac:dyDescent="0.35">
      <c r="A284" s="3" t="s">
        <v>278</v>
      </c>
      <c r="B284" s="4">
        <f ca="1">IFERROR(__xludf.DUMMYFUNCTION("googlefinance(A283,""marketcap"")/10^6"),1741.004025)</f>
        <v>1741.004025</v>
      </c>
      <c r="C284" s="2" t="s">
        <v>481</v>
      </c>
      <c r="D284" s="5">
        <v>45897</v>
      </c>
      <c r="E284" s="3" t="s">
        <v>513</v>
      </c>
      <c r="F284" s="3"/>
    </row>
    <row r="285" spans="1:6" x14ac:dyDescent="0.35">
      <c r="A285" s="3" t="s">
        <v>514</v>
      </c>
      <c r="B285" s="4">
        <f ca="1">IFERROR(__xludf.DUMMYFUNCTION("googlefinance(A284,""marketcap"")/10^6"),323.044662)</f>
        <v>323.04466200000002</v>
      </c>
      <c r="C285" s="2" t="s">
        <v>481</v>
      </c>
      <c r="D285" s="3" t="s">
        <v>515</v>
      </c>
      <c r="E285" s="3" t="s">
        <v>516</v>
      </c>
      <c r="F285" s="3"/>
    </row>
    <row r="286" spans="1:6" x14ac:dyDescent="0.35">
      <c r="A286" s="3" t="s">
        <v>517</v>
      </c>
      <c r="B286" s="4">
        <f ca="1">IFERROR(__xludf.DUMMYFUNCTION("googlefinance(A285,""marketcap"")/10^6"),175.299332)</f>
        <v>175.29933199999999</v>
      </c>
      <c r="C286" s="2" t="s">
        <v>518</v>
      </c>
      <c r="D286" s="3"/>
      <c r="E286" s="3" t="s">
        <v>519</v>
      </c>
      <c r="F286" s="3" t="s">
        <v>520</v>
      </c>
    </row>
    <row r="287" spans="1:6" x14ac:dyDescent="0.35">
      <c r="A287" s="3" t="s">
        <v>521</v>
      </c>
      <c r="B287" s="4">
        <f ca="1">IFERROR(__xludf.DUMMYFUNCTION("googlefinance(A286,""marketcap"")/10^6"),406.763691)</f>
        <v>406.76369099999999</v>
      </c>
      <c r="C287" s="2" t="s">
        <v>518</v>
      </c>
      <c r="D287" s="3" t="s">
        <v>522</v>
      </c>
      <c r="E287" s="3" t="s">
        <v>523</v>
      </c>
      <c r="F287" s="3"/>
    </row>
    <row r="288" spans="1:6" x14ac:dyDescent="0.35">
      <c r="A288" s="3" t="s">
        <v>524</v>
      </c>
      <c r="B288" s="4">
        <f ca="1">IFERROR(__xludf.DUMMYFUNCTION("googlefinance(A287,""marketcap"")/10^6"),1582.493036)</f>
        <v>1582.4930360000001</v>
      </c>
      <c r="C288" s="2" t="s">
        <v>518</v>
      </c>
      <c r="D288" s="3" t="s">
        <v>369</v>
      </c>
      <c r="E288" s="3" t="s">
        <v>525</v>
      </c>
      <c r="F288" s="3"/>
    </row>
    <row r="289" spans="1:6" x14ac:dyDescent="0.35">
      <c r="A289" s="3" t="s">
        <v>310</v>
      </c>
      <c r="B289" s="4">
        <f ca="1">IFERROR(__xludf.DUMMYFUNCTION("googlefinance(A288,""marketcap"")/10^6"),896.217307)</f>
        <v>896.21730700000001</v>
      </c>
      <c r="C289" s="2" t="s">
        <v>518</v>
      </c>
      <c r="D289" s="3"/>
      <c r="E289" s="3" t="s">
        <v>526</v>
      </c>
      <c r="F289" s="3"/>
    </row>
    <row r="290" spans="1:6" x14ac:dyDescent="0.35">
      <c r="A290" s="3" t="s">
        <v>310</v>
      </c>
      <c r="B290" s="4">
        <f ca="1">IFERROR(__xludf.DUMMYFUNCTION("googlefinance(A289,""marketcap"")/10^6"),896.217307)</f>
        <v>896.21730700000001</v>
      </c>
      <c r="C290" s="2" t="s">
        <v>518</v>
      </c>
      <c r="D290" s="3"/>
      <c r="E290" s="3" t="s">
        <v>527</v>
      </c>
      <c r="F290" s="3"/>
    </row>
    <row r="291" spans="1:6" x14ac:dyDescent="0.35">
      <c r="A291" s="3" t="s">
        <v>420</v>
      </c>
      <c r="B291" s="4">
        <f ca="1">IFERROR(__xludf.DUMMYFUNCTION("googlefinance(A290,""marketcap"")/10^6"),614.301085)</f>
        <v>614.30108499999994</v>
      </c>
      <c r="C291" s="2" t="s">
        <v>518</v>
      </c>
      <c r="D291" s="3"/>
      <c r="E291" s="3" t="s">
        <v>528</v>
      </c>
      <c r="F291" s="3"/>
    </row>
    <row r="292" spans="1:6" x14ac:dyDescent="0.35">
      <c r="A292" s="3" t="s">
        <v>330</v>
      </c>
      <c r="B292" s="4">
        <f ca="1">IFERROR(__xludf.DUMMYFUNCTION("googlefinance(A291,""marketcap"")/10^6"),922.355237)</f>
        <v>922.35523699999999</v>
      </c>
      <c r="C292" s="2" t="s">
        <v>518</v>
      </c>
      <c r="D292" s="3"/>
      <c r="E292" s="3" t="s">
        <v>529</v>
      </c>
      <c r="F292" s="3"/>
    </row>
    <row r="293" spans="1:6" x14ac:dyDescent="0.35">
      <c r="A293" s="3" t="s">
        <v>530</v>
      </c>
      <c r="B293" s="4">
        <f ca="1">IFERROR(__xludf.DUMMYFUNCTION("googlefinance(A292,""marketcap"")/10^6"),91.215953)</f>
        <v>91.215952999999999</v>
      </c>
      <c r="C293" s="2" t="s">
        <v>518</v>
      </c>
      <c r="D293" s="3" t="s">
        <v>531</v>
      </c>
      <c r="E293" s="3" t="s">
        <v>532</v>
      </c>
      <c r="F293" s="3"/>
    </row>
    <row r="294" spans="1:6" x14ac:dyDescent="0.35">
      <c r="A294" s="3" t="s">
        <v>53</v>
      </c>
      <c r="B294" s="4">
        <f ca="1">IFERROR(__xludf.DUMMYFUNCTION("googlefinance(A293,""marketcap"")/10^6"),269.391599)</f>
        <v>269.39159899999999</v>
      </c>
      <c r="C294" s="2" t="s">
        <v>518</v>
      </c>
      <c r="D294" s="3"/>
      <c r="E294" s="3" t="s">
        <v>533</v>
      </c>
      <c r="F294" s="3"/>
    </row>
    <row r="295" spans="1:6" x14ac:dyDescent="0.35">
      <c r="A295" s="3" t="s">
        <v>180</v>
      </c>
      <c r="B295" s="4">
        <f ca="1">IFERROR(__xludf.DUMMYFUNCTION("googlefinance(A294,""marketcap"")/10^6"),1396.228175)</f>
        <v>1396.228175</v>
      </c>
      <c r="C295" s="2" t="s">
        <v>518</v>
      </c>
      <c r="D295" s="3" t="s">
        <v>534</v>
      </c>
      <c r="E295" s="3" t="s">
        <v>535</v>
      </c>
      <c r="F295" s="3"/>
    </row>
    <row r="296" spans="1:6" x14ac:dyDescent="0.35">
      <c r="A296" s="3" t="s">
        <v>536</v>
      </c>
      <c r="B296" s="4">
        <f ca="1">IFERROR(__xludf.DUMMYFUNCTION("googlefinance(A295,""marketcap"")/10^6"),264.644955)</f>
        <v>264.64495499999998</v>
      </c>
      <c r="C296" s="2" t="s">
        <v>518</v>
      </c>
      <c r="D296" s="3"/>
      <c r="E296" s="3" t="s">
        <v>537</v>
      </c>
      <c r="F296" s="3" t="s">
        <v>538</v>
      </c>
    </row>
    <row r="297" spans="1:6" x14ac:dyDescent="0.35">
      <c r="A297" s="3" t="s">
        <v>539</v>
      </c>
      <c r="B297" s="4">
        <f ca="1">IFERROR(__xludf.DUMMYFUNCTION("googlefinance(A296,""marketcap"")/10^6"),224.384858)</f>
        <v>224.38485800000001</v>
      </c>
      <c r="C297" s="2" t="s">
        <v>518</v>
      </c>
      <c r="D297" s="3" t="s">
        <v>540</v>
      </c>
      <c r="E297" s="3" t="s">
        <v>541</v>
      </c>
      <c r="F297" s="3"/>
    </row>
    <row r="298" spans="1:6" x14ac:dyDescent="0.35">
      <c r="A298" s="3" t="s">
        <v>542</v>
      </c>
      <c r="B298" s="4">
        <f ca="1">IFERROR(__xludf.DUMMYFUNCTION("googlefinance(A297,""marketcap"")/10^6"),209.770987)</f>
        <v>209.77098699999999</v>
      </c>
      <c r="C298" s="2" t="s">
        <v>518</v>
      </c>
      <c r="D298" s="3"/>
      <c r="E298" s="3" t="s">
        <v>543</v>
      </c>
      <c r="F298" s="3"/>
    </row>
    <row r="299" spans="1:6" x14ac:dyDescent="0.35">
      <c r="A299" s="3" t="s">
        <v>544</v>
      </c>
      <c r="B299" s="4" t="str">
        <f ca="1">IFERROR(__xludf.DUMMYFUNCTION("googlefinance(A298,""marketcap"")/10^6"),"#N/A")</f>
        <v>#N/A</v>
      </c>
      <c r="C299" s="2" t="s">
        <v>518</v>
      </c>
      <c r="D299" s="3"/>
      <c r="E299" s="3" t="s">
        <v>545</v>
      </c>
      <c r="F299" s="3"/>
    </row>
    <row r="300" spans="1:6" x14ac:dyDescent="0.35">
      <c r="A300" s="3" t="s">
        <v>449</v>
      </c>
      <c r="B300" s="4">
        <f ca="1">IFERROR(__xludf.DUMMYFUNCTION("googlefinance(A299,""marketcap"")/10^6"),2872.987416)</f>
        <v>2872.9874159999999</v>
      </c>
      <c r="C300" s="2" t="s">
        <v>518</v>
      </c>
      <c r="D300" s="3"/>
      <c r="E300" s="3" t="s">
        <v>546</v>
      </c>
      <c r="F300" s="3"/>
    </row>
    <row r="301" spans="1:6" x14ac:dyDescent="0.35">
      <c r="A301" s="3" t="s">
        <v>449</v>
      </c>
      <c r="B301" s="4">
        <f ca="1">IFERROR(__xludf.DUMMYFUNCTION("googlefinance(A300,""marketcap"")/10^6"),2872.987416)</f>
        <v>2872.9874159999999</v>
      </c>
      <c r="C301" s="2" t="s">
        <v>518</v>
      </c>
      <c r="D301" s="3"/>
      <c r="E301" s="3" t="s">
        <v>547</v>
      </c>
      <c r="F301" s="3"/>
    </row>
    <row r="302" spans="1:6" x14ac:dyDescent="0.35">
      <c r="A302" s="3" t="s">
        <v>548</v>
      </c>
      <c r="B302" s="4">
        <f ca="1">IFERROR(__xludf.DUMMYFUNCTION("googlefinance(A301,""marketcap"")/10^6"),745601.939901)</f>
        <v>745601.93990100001</v>
      </c>
      <c r="C302" s="2" t="s">
        <v>518</v>
      </c>
      <c r="D302" s="3"/>
      <c r="E302" s="3" t="s">
        <v>549</v>
      </c>
      <c r="F302" s="3"/>
    </row>
    <row r="303" spans="1:6" x14ac:dyDescent="0.35">
      <c r="A303" s="3" t="s">
        <v>81</v>
      </c>
      <c r="B303" s="4">
        <f ca="1">IFERROR(__xludf.DUMMYFUNCTION("googlefinance(A302,""marketcap"")/10^6"),5842.651425)</f>
        <v>5842.651425</v>
      </c>
      <c r="C303" s="2" t="s">
        <v>518</v>
      </c>
      <c r="D303" s="3"/>
      <c r="E303" s="3" t="s">
        <v>550</v>
      </c>
      <c r="F303" s="3"/>
    </row>
    <row r="304" spans="1:6" x14ac:dyDescent="0.35">
      <c r="A304" s="3" t="s">
        <v>551</v>
      </c>
      <c r="B304" s="4">
        <f ca="1">IFERROR(__xludf.DUMMYFUNCTION("googlefinance(A303,""marketcap"")/10^6"),1253.022645)</f>
        <v>1253.022645</v>
      </c>
      <c r="C304" s="2" t="s">
        <v>518</v>
      </c>
      <c r="D304" s="3"/>
      <c r="E304" s="3" t="s">
        <v>552</v>
      </c>
      <c r="F304" s="3"/>
    </row>
    <row r="305" spans="1:6" x14ac:dyDescent="0.35">
      <c r="A305" s="3" t="s">
        <v>242</v>
      </c>
      <c r="B305" s="4">
        <f ca="1">IFERROR(__xludf.DUMMYFUNCTION("googlefinance(A304,""marketcap"")/10^6"),63.235718)</f>
        <v>63.235717999999999</v>
      </c>
      <c r="C305" s="2" t="s">
        <v>518</v>
      </c>
      <c r="D305" s="3" t="s">
        <v>553</v>
      </c>
      <c r="E305" s="3" t="s">
        <v>554</v>
      </c>
      <c r="F305" s="3"/>
    </row>
    <row r="306" spans="1:6" x14ac:dyDescent="0.35">
      <c r="A306" s="3" t="s">
        <v>555</v>
      </c>
      <c r="B306" s="4">
        <f ca="1">IFERROR(__xludf.DUMMYFUNCTION("googlefinance(A305,""marketcap"")/10^6"),69.743968)</f>
        <v>69.743967999999995</v>
      </c>
      <c r="C306" s="2" t="s">
        <v>518</v>
      </c>
      <c r="D306" s="3"/>
      <c r="E306" s="3" t="s">
        <v>556</v>
      </c>
      <c r="F306" s="3"/>
    </row>
    <row r="307" spans="1:6" x14ac:dyDescent="0.35">
      <c r="A307" s="3" t="s">
        <v>252</v>
      </c>
      <c r="B307" s="4">
        <f ca="1">IFERROR(__xludf.DUMMYFUNCTION("googlefinance(A306,""marketcap"")/10^6"),4067.765463)</f>
        <v>4067.7654630000002</v>
      </c>
      <c r="C307" s="2" t="s">
        <v>518</v>
      </c>
      <c r="D307" s="3"/>
      <c r="E307" s="3" t="s">
        <v>557</v>
      </c>
      <c r="F307" s="3"/>
    </row>
    <row r="308" spans="1:6" x14ac:dyDescent="0.35">
      <c r="A308" s="3" t="s">
        <v>464</v>
      </c>
      <c r="B308" s="4">
        <f ca="1">IFERROR(__xludf.DUMMYFUNCTION("googlefinance(A307,""marketcap"")/10^6"),3539.90694)</f>
        <v>3539.9069399999998</v>
      </c>
      <c r="C308" s="2" t="s">
        <v>518</v>
      </c>
      <c r="D308" s="3" t="s">
        <v>540</v>
      </c>
      <c r="E308" s="3" t="s">
        <v>558</v>
      </c>
      <c r="F308" s="3"/>
    </row>
    <row r="309" spans="1:6" x14ac:dyDescent="0.35">
      <c r="A309" s="3" t="s">
        <v>509</v>
      </c>
      <c r="B309" s="4">
        <f ca="1">IFERROR(__xludf.DUMMYFUNCTION("googlefinance(A308,""marketcap"")/10^6"),51.863055)</f>
        <v>51.863055000000003</v>
      </c>
      <c r="C309" s="2" t="s">
        <v>518</v>
      </c>
      <c r="D309" s="3"/>
      <c r="E309" s="3" t="s">
        <v>559</v>
      </c>
      <c r="F309" s="3"/>
    </row>
    <row r="310" spans="1:6" x14ac:dyDescent="0.35">
      <c r="A310" s="3" t="s">
        <v>466</v>
      </c>
      <c r="B310" s="4">
        <f ca="1">IFERROR(__xludf.DUMMYFUNCTION("googlefinance(A309,""marketcap"")/10^6"),84.340445)</f>
        <v>84.340445000000003</v>
      </c>
      <c r="C310" s="2" t="s">
        <v>518</v>
      </c>
      <c r="D310" s="3"/>
      <c r="E310" s="3" t="s">
        <v>560</v>
      </c>
      <c r="F310" s="3"/>
    </row>
    <row r="311" spans="1:6" x14ac:dyDescent="0.35">
      <c r="A311" s="3" t="s">
        <v>268</v>
      </c>
      <c r="B311" s="4">
        <f ca="1">IFERROR(__xludf.DUMMYFUNCTION("googlefinance(A310,""marketcap"")/10^6"),4095.654062)</f>
        <v>4095.6540620000001</v>
      </c>
      <c r="C311" s="2" t="s">
        <v>518</v>
      </c>
      <c r="D311" s="3"/>
      <c r="E311" s="3" t="s">
        <v>561</v>
      </c>
      <c r="F311" s="3"/>
    </row>
    <row r="312" spans="1:6" x14ac:dyDescent="0.35">
      <c r="A312" s="3" t="s">
        <v>113</v>
      </c>
      <c r="B312" s="4">
        <f ca="1">IFERROR(__xludf.DUMMYFUNCTION("googlefinance(A311,""marketcap"")/10^6"),400.396647)</f>
        <v>400.39664699999997</v>
      </c>
      <c r="C312" s="2" t="s">
        <v>518</v>
      </c>
      <c r="D312" s="3" t="s">
        <v>522</v>
      </c>
      <c r="E312" s="3" t="s">
        <v>562</v>
      </c>
      <c r="F312" s="3"/>
    </row>
    <row r="313" spans="1:6" x14ac:dyDescent="0.35">
      <c r="A313" s="3" t="s">
        <v>514</v>
      </c>
      <c r="B313" s="4">
        <f ca="1">IFERROR(__xludf.DUMMYFUNCTION("googlefinance(A312,""marketcap"")/10^6"),323.044662)</f>
        <v>323.04466200000002</v>
      </c>
      <c r="C313" s="2" t="s">
        <v>518</v>
      </c>
      <c r="D313" s="3" t="s">
        <v>522</v>
      </c>
      <c r="E313" s="3" t="s">
        <v>563</v>
      </c>
      <c r="F313" s="3"/>
    </row>
    <row r="314" spans="1:6" x14ac:dyDescent="0.35">
      <c r="A314" s="3" t="s">
        <v>564</v>
      </c>
      <c r="B314" s="4">
        <f ca="1">IFERROR(__xludf.DUMMYFUNCTION("googlefinance(A313,""marketcap"")/10^6"),308.478123)</f>
        <v>308.47812299999998</v>
      </c>
      <c r="C314" s="2" t="s">
        <v>565</v>
      </c>
      <c r="D314" s="3"/>
      <c r="E314" s="3" t="s">
        <v>566</v>
      </c>
      <c r="F314" s="3"/>
    </row>
    <row r="315" spans="1:6" x14ac:dyDescent="0.35">
      <c r="A315" s="3" t="s">
        <v>21</v>
      </c>
      <c r="B315" s="4">
        <f ca="1">IFERROR(__xludf.DUMMYFUNCTION("googlefinance(A314,""marketcap"")/10^6"),37.3486)</f>
        <v>37.348599999999998</v>
      </c>
      <c r="C315" s="2" t="s">
        <v>565</v>
      </c>
      <c r="D315" s="3"/>
      <c r="E315" s="3" t="s">
        <v>567</v>
      </c>
      <c r="F315" s="3"/>
    </row>
    <row r="316" spans="1:6" x14ac:dyDescent="0.35">
      <c r="A316" s="3" t="s">
        <v>568</v>
      </c>
      <c r="B316" s="4">
        <f ca="1">IFERROR(__xludf.DUMMYFUNCTION("googlefinance(A315,""marketcap"")/10^6"),265.127641)</f>
        <v>265.12764099999998</v>
      </c>
      <c r="C316" s="2" t="s">
        <v>565</v>
      </c>
      <c r="D316" s="3"/>
      <c r="E316" s="3" t="s">
        <v>569</v>
      </c>
      <c r="F316" s="3"/>
    </row>
    <row r="317" spans="1:6" x14ac:dyDescent="0.35">
      <c r="A317" s="3" t="s">
        <v>489</v>
      </c>
      <c r="B317" s="4">
        <f ca="1">IFERROR(__xludf.DUMMYFUNCTION("googlefinance(A316,""marketcap"")/10^6"),418.177487)</f>
        <v>418.17748699999999</v>
      </c>
      <c r="C317" s="2" t="s">
        <v>565</v>
      </c>
      <c r="D317" s="3"/>
      <c r="E317" s="3" t="s">
        <v>570</v>
      </c>
      <c r="F317" s="3"/>
    </row>
    <row r="318" spans="1:6" x14ac:dyDescent="0.35">
      <c r="A318" s="3" t="s">
        <v>310</v>
      </c>
      <c r="B318" s="4">
        <f ca="1">IFERROR(__xludf.DUMMYFUNCTION("googlefinance(A317,""marketcap"")/10^6"),896.217307)</f>
        <v>896.21730700000001</v>
      </c>
      <c r="C318" s="2" t="s">
        <v>565</v>
      </c>
      <c r="D318" s="3"/>
      <c r="E318" s="3" t="s">
        <v>571</v>
      </c>
      <c r="F318" s="3"/>
    </row>
    <row r="319" spans="1:6" x14ac:dyDescent="0.35">
      <c r="A319" s="3" t="s">
        <v>420</v>
      </c>
      <c r="B319" s="4">
        <f ca="1">IFERROR(__xludf.DUMMYFUNCTION("googlefinance(A318,""marketcap"")/10^6"),614.301085)</f>
        <v>614.30108499999994</v>
      </c>
      <c r="C319" s="2" t="s">
        <v>565</v>
      </c>
      <c r="D319" s="3"/>
      <c r="E319" s="3" t="s">
        <v>572</v>
      </c>
      <c r="F319" s="3"/>
    </row>
    <row r="320" spans="1:6" x14ac:dyDescent="0.35">
      <c r="A320" s="3" t="s">
        <v>573</v>
      </c>
      <c r="B320" s="4">
        <f ca="1">IFERROR(__xludf.DUMMYFUNCTION("googlefinance(A319,""marketcap"")/10^6"),39.419841)</f>
        <v>39.419840999999998</v>
      </c>
      <c r="C320" s="2" t="s">
        <v>565</v>
      </c>
      <c r="D320" s="3"/>
      <c r="E320" s="3" t="s">
        <v>574</v>
      </c>
      <c r="F320" s="3"/>
    </row>
    <row r="321" spans="1:6" x14ac:dyDescent="0.35">
      <c r="A321" s="3" t="s">
        <v>330</v>
      </c>
      <c r="B321" s="4">
        <f ca="1">IFERROR(__xludf.DUMMYFUNCTION("googlefinance(A320,""marketcap"")/10^6"),922.355237)</f>
        <v>922.35523699999999</v>
      </c>
      <c r="C321" s="2" t="s">
        <v>565</v>
      </c>
      <c r="D321" s="3"/>
      <c r="E321" s="3" t="s">
        <v>575</v>
      </c>
      <c r="F321" s="3"/>
    </row>
    <row r="322" spans="1:6" x14ac:dyDescent="0.35">
      <c r="A322" s="3" t="s">
        <v>576</v>
      </c>
      <c r="B322" s="4">
        <f ca="1">IFERROR(__xludf.DUMMYFUNCTION("googlefinance(A321,""marketcap"")/10^6"),322.896292)</f>
        <v>322.89629200000002</v>
      </c>
      <c r="C322" s="2" t="s">
        <v>565</v>
      </c>
      <c r="D322" s="3" t="s">
        <v>577</v>
      </c>
      <c r="E322" s="3" t="s">
        <v>578</v>
      </c>
      <c r="F322" s="3"/>
    </row>
    <row r="323" spans="1:6" x14ac:dyDescent="0.35">
      <c r="A323" s="3" t="s">
        <v>536</v>
      </c>
      <c r="B323" s="4">
        <f ca="1">IFERROR(__xludf.DUMMYFUNCTION("googlefinance(A322,""marketcap"")/10^6"),264.644955)</f>
        <v>264.64495499999998</v>
      </c>
      <c r="C323" s="2" t="s">
        <v>565</v>
      </c>
      <c r="D323" s="3"/>
      <c r="E323" s="3" t="s">
        <v>579</v>
      </c>
      <c r="F323" s="3"/>
    </row>
    <row r="324" spans="1:6" x14ac:dyDescent="0.35">
      <c r="A324" s="3" t="s">
        <v>580</v>
      </c>
      <c r="B324" s="4">
        <f ca="1">IFERROR(__xludf.DUMMYFUNCTION("googlefinance(A323,""marketcap"")/10^6"),215.421074)</f>
        <v>215.421074</v>
      </c>
      <c r="C324" s="2" t="s">
        <v>565</v>
      </c>
      <c r="D324" s="3"/>
      <c r="E324" s="3" t="s">
        <v>581</v>
      </c>
      <c r="F324" s="3"/>
    </row>
    <row r="325" spans="1:6" x14ac:dyDescent="0.35">
      <c r="A325" s="3" t="s">
        <v>539</v>
      </c>
      <c r="B325" s="4">
        <f ca="1">IFERROR(__xludf.DUMMYFUNCTION("googlefinance(A324,""marketcap"")/10^6"),224.384858)</f>
        <v>224.38485800000001</v>
      </c>
      <c r="C325" s="2" t="s">
        <v>565</v>
      </c>
      <c r="D325" s="3"/>
      <c r="E325" s="3" t="s">
        <v>582</v>
      </c>
      <c r="F325" s="3"/>
    </row>
    <row r="326" spans="1:6" x14ac:dyDescent="0.35">
      <c r="A326" s="3" t="s">
        <v>339</v>
      </c>
      <c r="B326" s="4">
        <f ca="1">IFERROR(__xludf.DUMMYFUNCTION("googlefinance(A325,""marketcap"")/10^6"),136.771194)</f>
        <v>136.77119400000001</v>
      </c>
      <c r="C326" s="2" t="s">
        <v>565</v>
      </c>
      <c r="D326" s="3"/>
      <c r="E326" s="3" t="s">
        <v>583</v>
      </c>
      <c r="F326" s="3"/>
    </row>
    <row r="327" spans="1:6" x14ac:dyDescent="0.35">
      <c r="A327" s="3" t="s">
        <v>430</v>
      </c>
      <c r="B327" s="4">
        <f ca="1">IFERROR(__xludf.DUMMYFUNCTION("googlefinance(A326,""marketcap"")/10^6"),100.52678)</f>
        <v>100.52678</v>
      </c>
      <c r="C327" s="2" t="s">
        <v>565</v>
      </c>
      <c r="D327" s="3"/>
      <c r="E327" s="3" t="s">
        <v>584</v>
      </c>
      <c r="F327" s="3"/>
    </row>
    <row r="328" spans="1:6" x14ac:dyDescent="0.35">
      <c r="A328" s="3" t="s">
        <v>435</v>
      </c>
      <c r="B328" s="4">
        <f ca="1">IFERROR(__xludf.DUMMYFUNCTION("googlefinance(A327,""marketcap"")/10^6"),137.786776)</f>
        <v>137.786776</v>
      </c>
      <c r="C328" s="2" t="s">
        <v>565</v>
      </c>
      <c r="D328" s="3" t="s">
        <v>585</v>
      </c>
      <c r="E328" s="3" t="s">
        <v>586</v>
      </c>
      <c r="F328" s="3"/>
    </row>
    <row r="329" spans="1:6" x14ac:dyDescent="0.35">
      <c r="A329" s="3" t="s">
        <v>345</v>
      </c>
      <c r="B329" s="4">
        <f ca="1">IFERROR(__xludf.DUMMYFUNCTION("googlefinance(A328,""marketcap"")/10^6"),14040.284496)</f>
        <v>14040.284496</v>
      </c>
      <c r="C329" s="2" t="s">
        <v>565</v>
      </c>
      <c r="D329" s="3"/>
      <c r="E329" s="3" t="s">
        <v>587</v>
      </c>
      <c r="F329" s="3"/>
    </row>
    <row r="330" spans="1:6" x14ac:dyDescent="0.35">
      <c r="A330" s="3" t="s">
        <v>548</v>
      </c>
      <c r="B330" s="4">
        <f ca="1">IFERROR(__xludf.DUMMYFUNCTION("googlefinance(A329,""marketcap"")/10^6"),745601.939901)</f>
        <v>745601.93990100001</v>
      </c>
      <c r="C330" s="2" t="s">
        <v>565</v>
      </c>
      <c r="D330" s="3"/>
      <c r="E330" s="3" t="s">
        <v>588</v>
      </c>
      <c r="F330" s="3"/>
    </row>
    <row r="331" spans="1:6" x14ac:dyDescent="0.35">
      <c r="A331" s="3" t="s">
        <v>356</v>
      </c>
      <c r="B331" s="4">
        <f ca="1">IFERROR(__xludf.DUMMYFUNCTION("googlefinance(A330,""marketcap"")/10^6"),228.42773)</f>
        <v>228.42773</v>
      </c>
      <c r="C331" s="2" t="s">
        <v>565</v>
      </c>
      <c r="D331" s="3"/>
      <c r="E331" s="3" t="s">
        <v>589</v>
      </c>
      <c r="F331" s="3"/>
    </row>
    <row r="332" spans="1:6" x14ac:dyDescent="0.35">
      <c r="A332" s="3" t="s">
        <v>214</v>
      </c>
      <c r="B332" s="4">
        <f ca="1">IFERROR(__xludf.DUMMYFUNCTION("googlefinance(A331,""marketcap"")/10^6"),22.498335)</f>
        <v>22.498335000000001</v>
      </c>
      <c r="C332" s="2" t="s">
        <v>565</v>
      </c>
      <c r="D332" s="3"/>
      <c r="E332" s="3" t="s">
        <v>590</v>
      </c>
      <c r="F332" s="3"/>
    </row>
    <row r="333" spans="1:6" x14ac:dyDescent="0.35">
      <c r="A333" s="3" t="s">
        <v>214</v>
      </c>
      <c r="B333" s="4">
        <f ca="1">IFERROR(__xludf.DUMMYFUNCTION("googlefinance(A332,""marketcap"")/10^6"),22.498335)</f>
        <v>22.498335000000001</v>
      </c>
      <c r="C333" s="2" t="s">
        <v>565</v>
      </c>
      <c r="D333" s="3"/>
      <c r="E333" s="3" t="s">
        <v>591</v>
      </c>
      <c r="F333" s="3"/>
    </row>
    <row r="334" spans="1:6" x14ac:dyDescent="0.35">
      <c r="A334" s="3" t="s">
        <v>592</v>
      </c>
      <c r="B334" s="4">
        <f ca="1">IFERROR(__xludf.DUMMYFUNCTION("googlefinance(A333,""marketcap"")/10^6"),2920.467688)</f>
        <v>2920.4676880000002</v>
      </c>
      <c r="C334" s="2" t="s">
        <v>565</v>
      </c>
      <c r="D334" s="3"/>
      <c r="E334" s="3" t="s">
        <v>593</v>
      </c>
      <c r="F334" s="3"/>
    </row>
    <row r="335" spans="1:6" x14ac:dyDescent="0.35">
      <c r="A335" s="3" t="s">
        <v>81</v>
      </c>
      <c r="B335" s="4">
        <f ca="1">IFERROR(__xludf.DUMMYFUNCTION("googlefinance(A334,""marketcap"")/10^6"),5842.651425)</f>
        <v>5842.651425</v>
      </c>
      <c r="C335" s="2" t="s">
        <v>565</v>
      </c>
      <c r="D335" s="3"/>
      <c r="E335" s="3" t="s">
        <v>594</v>
      </c>
      <c r="F335" s="3"/>
    </row>
    <row r="336" spans="1:6" x14ac:dyDescent="0.35">
      <c r="A336" s="3" t="s">
        <v>458</v>
      </c>
      <c r="B336" s="4">
        <f ca="1">IFERROR(__xludf.DUMMYFUNCTION("googlefinance(A335,""marketcap"")/10^6"),767.059167)</f>
        <v>767.059167</v>
      </c>
      <c r="C336" s="2" t="s">
        <v>565</v>
      </c>
      <c r="D336" s="3"/>
      <c r="E336" s="3" t="s">
        <v>595</v>
      </c>
      <c r="F336" s="3"/>
    </row>
    <row r="337" spans="1:6" x14ac:dyDescent="0.35">
      <c r="A337" s="3" t="s">
        <v>91</v>
      </c>
      <c r="B337" s="4">
        <f ca="1">IFERROR(__xludf.DUMMYFUNCTION("googlefinance(A336,""marketcap"")/10^6"),840.492356)</f>
        <v>840.49235599999997</v>
      </c>
      <c r="C337" s="2" t="s">
        <v>565</v>
      </c>
      <c r="D337" s="3"/>
      <c r="E337" s="3" t="s">
        <v>596</v>
      </c>
      <c r="F337" s="3"/>
    </row>
    <row r="338" spans="1:6" x14ac:dyDescent="0.35">
      <c r="A338" s="3" t="s">
        <v>247</v>
      </c>
      <c r="B338" s="4">
        <f ca="1">IFERROR(__xludf.DUMMYFUNCTION("googlefinance(A337,""marketcap"")/10^6"),2246.248915)</f>
        <v>2246.2489150000001</v>
      </c>
      <c r="C338" s="2" t="s">
        <v>565</v>
      </c>
      <c r="D338" s="3"/>
      <c r="E338" s="3" t="s">
        <v>597</v>
      </c>
      <c r="F338" s="3"/>
    </row>
    <row r="339" spans="1:6" x14ac:dyDescent="0.35">
      <c r="A339" s="3" t="s">
        <v>250</v>
      </c>
      <c r="B339" s="4">
        <f ca="1">IFERROR(__xludf.DUMMYFUNCTION("googlefinance(A338,""marketcap"")/10^6"),508.412641)</f>
        <v>508.41264100000001</v>
      </c>
      <c r="C339" s="2" t="s">
        <v>565</v>
      </c>
      <c r="D339" s="3"/>
      <c r="E339" s="3" t="s">
        <v>598</v>
      </c>
      <c r="F339" s="3"/>
    </row>
    <row r="340" spans="1:6" x14ac:dyDescent="0.35">
      <c r="A340" s="3" t="s">
        <v>252</v>
      </c>
      <c r="B340" s="4">
        <f ca="1">IFERROR(__xludf.DUMMYFUNCTION("googlefinance(A339,""marketcap"")/10^6"),4067.765463)</f>
        <v>4067.7654630000002</v>
      </c>
      <c r="C340" s="2" t="s">
        <v>565</v>
      </c>
      <c r="D340" s="3"/>
      <c r="E340" s="3" t="s">
        <v>599</v>
      </c>
      <c r="F340" s="3"/>
    </row>
    <row r="341" spans="1:6" x14ac:dyDescent="0.35">
      <c r="A341" s="3" t="s">
        <v>600</v>
      </c>
      <c r="B341" s="4">
        <f ca="1">IFERROR(__xludf.DUMMYFUNCTION("googlefinance(A340,""marketcap"")/10^6"),51.815691)</f>
        <v>51.815691000000001</v>
      </c>
      <c r="C341" s="2" t="s">
        <v>565</v>
      </c>
      <c r="D341" s="3"/>
      <c r="E341" s="3" t="s">
        <v>601</v>
      </c>
      <c r="F341" s="3"/>
    </row>
    <row r="342" spans="1:6" x14ac:dyDescent="0.35">
      <c r="A342" s="3" t="s">
        <v>602</v>
      </c>
      <c r="B342" s="4">
        <f ca="1">IFERROR(__xludf.DUMMYFUNCTION("googlefinance(A341,""marketcap"")/10^6"),776.211539)</f>
        <v>776.21153900000002</v>
      </c>
      <c r="C342" s="2" t="s">
        <v>565</v>
      </c>
      <c r="D342" s="3"/>
      <c r="E342" s="3" t="s">
        <v>603</v>
      </c>
      <c r="F342" s="3"/>
    </row>
    <row r="343" spans="1:6" x14ac:dyDescent="0.35">
      <c r="A343" s="3" t="s">
        <v>604</v>
      </c>
      <c r="B343" s="4">
        <f ca="1">IFERROR(__xludf.DUMMYFUNCTION("googlefinance(A342,""marketcap"")/10^6"),514.854829)</f>
        <v>514.854829</v>
      </c>
      <c r="C343" s="2" t="s">
        <v>565</v>
      </c>
      <c r="D343" s="3"/>
      <c r="E343" s="3" t="s">
        <v>605</v>
      </c>
      <c r="F343" s="3"/>
    </row>
    <row r="344" spans="1:6" x14ac:dyDescent="0.35">
      <c r="A344" s="3" t="s">
        <v>402</v>
      </c>
      <c r="B344" s="4">
        <f ca="1">IFERROR(__xludf.DUMMYFUNCTION("googlefinance(A343,""marketcap"")/10^6"),40.713946)</f>
        <v>40.713946</v>
      </c>
      <c r="C344" s="2" t="s">
        <v>565</v>
      </c>
      <c r="D344" s="3"/>
      <c r="E344" s="3" t="s">
        <v>606</v>
      </c>
      <c r="F344" s="3"/>
    </row>
    <row r="345" spans="1:6" x14ac:dyDescent="0.35">
      <c r="A345" s="3" t="s">
        <v>300</v>
      </c>
      <c r="B345" s="4">
        <f ca="1">IFERROR(__xludf.DUMMYFUNCTION("googlefinance(A344,""marketcap"")/10^6"),2356.911624)</f>
        <v>2356.9116239999998</v>
      </c>
      <c r="C345" s="2" t="s">
        <v>607</v>
      </c>
      <c r="D345" s="3"/>
      <c r="E345" s="3" t="s">
        <v>608</v>
      </c>
      <c r="F345" s="3"/>
    </row>
    <row r="346" spans="1:6" x14ac:dyDescent="0.35">
      <c r="A346" s="3" t="s">
        <v>609</v>
      </c>
      <c r="B346" s="4">
        <f ca="1">IFERROR(__xludf.DUMMYFUNCTION("googlefinance(A345,""marketcap"")/10^6"),919.932169)</f>
        <v>919.93216900000004</v>
      </c>
      <c r="C346" s="2" t="s">
        <v>607</v>
      </c>
      <c r="D346" s="3"/>
      <c r="E346" s="3" t="s">
        <v>610</v>
      </c>
      <c r="F346" s="3"/>
    </row>
    <row r="347" spans="1:6" x14ac:dyDescent="0.35">
      <c r="A347" s="3" t="s">
        <v>611</v>
      </c>
      <c r="B347" s="4">
        <f ca="1">IFERROR(__xludf.DUMMYFUNCTION("googlefinance(A346,""marketcap"")/10^6"),7104.12661)</f>
        <v>7104.1266100000003</v>
      </c>
      <c r="C347" s="2" t="s">
        <v>607</v>
      </c>
      <c r="D347" s="3"/>
      <c r="E347" s="3" t="s">
        <v>612</v>
      </c>
      <c r="F347" s="3"/>
    </row>
    <row r="348" spans="1:6" x14ac:dyDescent="0.35">
      <c r="A348" s="3" t="s">
        <v>613</v>
      </c>
      <c r="B348" s="4">
        <f ca="1">IFERROR(__xludf.DUMMYFUNCTION("googlefinance(A347,""marketcap"")/10^6"),631.493245)</f>
        <v>631.493245</v>
      </c>
      <c r="C348" s="2" t="s">
        <v>607</v>
      </c>
      <c r="D348" s="3" t="s">
        <v>614</v>
      </c>
      <c r="E348" s="3" t="s">
        <v>615</v>
      </c>
      <c r="F348" s="3"/>
    </row>
    <row r="349" spans="1:6" x14ac:dyDescent="0.35">
      <c r="A349" s="3" t="s">
        <v>616</v>
      </c>
      <c r="B349" s="4">
        <f ca="1">IFERROR(__xludf.DUMMYFUNCTION("googlefinance(A348,""marketcap"")/10^6"),2151.289969)</f>
        <v>2151.2899689999999</v>
      </c>
      <c r="C349" s="2" t="s">
        <v>607</v>
      </c>
      <c r="D349" s="3"/>
      <c r="E349" s="3" t="s">
        <v>617</v>
      </c>
      <c r="F349" s="3"/>
    </row>
    <row r="350" spans="1:6" x14ac:dyDescent="0.35">
      <c r="A350" s="3" t="s">
        <v>31</v>
      </c>
      <c r="B350" s="4">
        <f ca="1">IFERROR(__xludf.DUMMYFUNCTION("googlefinance(A349,""marketcap"")/10^6"),3977.136311)</f>
        <v>3977.1363110000002</v>
      </c>
      <c r="C350" s="2" t="s">
        <v>607</v>
      </c>
      <c r="D350" s="3"/>
      <c r="E350" s="3" t="s">
        <v>618</v>
      </c>
      <c r="F350" s="3"/>
    </row>
    <row r="351" spans="1:6" x14ac:dyDescent="0.35">
      <c r="A351" s="3" t="s">
        <v>316</v>
      </c>
      <c r="B351" s="4">
        <f ca="1">IFERROR(__xludf.DUMMYFUNCTION("googlefinance(A350,""marketcap"")/10^6"),159.812573)</f>
        <v>159.81257299999999</v>
      </c>
      <c r="C351" s="2" t="s">
        <v>607</v>
      </c>
      <c r="D351" s="3"/>
      <c r="E351" s="3" t="s">
        <v>619</v>
      </c>
      <c r="F351" s="3"/>
    </row>
    <row r="352" spans="1:6" x14ac:dyDescent="0.35">
      <c r="A352" s="3" t="s">
        <v>316</v>
      </c>
      <c r="B352" s="4">
        <f ca="1">IFERROR(__xludf.DUMMYFUNCTION("googlefinance(A351,""marketcap"")/10^6"),159.812573)</f>
        <v>159.81257299999999</v>
      </c>
      <c r="C352" s="2" t="s">
        <v>607</v>
      </c>
      <c r="D352" s="3"/>
      <c r="E352" s="3" t="s">
        <v>620</v>
      </c>
      <c r="F352" s="3"/>
    </row>
    <row r="353" spans="1:6" x14ac:dyDescent="0.35">
      <c r="A353" s="3" t="s">
        <v>171</v>
      </c>
      <c r="B353" s="4" t="str">
        <f ca="1">IFERROR(__xludf.DUMMYFUNCTION("googlefinance(A352,""marketcap"")/10^6"),"#N/A")</f>
        <v>#N/A</v>
      </c>
      <c r="C353" s="2" t="s">
        <v>607</v>
      </c>
      <c r="D353" s="3"/>
      <c r="E353" s="3" t="s">
        <v>621</v>
      </c>
      <c r="F353" s="3"/>
    </row>
    <row r="354" spans="1:6" x14ac:dyDescent="0.35">
      <c r="A354" s="3" t="s">
        <v>622</v>
      </c>
      <c r="B354" s="4">
        <f ca="1">IFERROR(__xludf.DUMMYFUNCTION("googlefinance(A353,""marketcap"")/10^6"),551.318053)</f>
        <v>551.31805299999996</v>
      </c>
      <c r="C354" s="2" t="s">
        <v>607</v>
      </c>
      <c r="D354" s="3"/>
      <c r="E354" s="3" t="s">
        <v>623</v>
      </c>
      <c r="F354" s="3"/>
    </row>
    <row r="355" spans="1:6" x14ac:dyDescent="0.35">
      <c r="A355" s="3" t="s">
        <v>624</v>
      </c>
      <c r="B355" s="4">
        <f ca="1">IFERROR(__xludf.DUMMYFUNCTION("googlefinance(A354,""marketcap"")/10^6"),838.361099)</f>
        <v>838.36109899999997</v>
      </c>
      <c r="C355" s="2" t="s">
        <v>607</v>
      </c>
      <c r="D355" s="3"/>
      <c r="E355" s="3" t="s">
        <v>625</v>
      </c>
      <c r="F355" s="3"/>
    </row>
    <row r="356" spans="1:6" x14ac:dyDescent="0.35">
      <c r="A356" s="3" t="s">
        <v>345</v>
      </c>
      <c r="B356" s="4">
        <f ca="1">IFERROR(__xludf.DUMMYFUNCTION("googlefinance(A355,""marketcap"")/10^6"),14040.284496)</f>
        <v>14040.284496</v>
      </c>
      <c r="C356" s="2" t="s">
        <v>607</v>
      </c>
      <c r="D356" s="3" t="s">
        <v>626</v>
      </c>
      <c r="E356" s="3" t="s">
        <v>627</v>
      </c>
      <c r="F356" s="3"/>
    </row>
    <row r="357" spans="1:6" x14ac:dyDescent="0.35">
      <c r="A357" s="3" t="s">
        <v>628</v>
      </c>
      <c r="B357" s="4">
        <f ca="1">IFERROR(__xludf.DUMMYFUNCTION("googlefinance(A356,""marketcap"")/10^6"),2543.215899)</f>
        <v>2543.2158989999998</v>
      </c>
      <c r="C357" s="2" t="s">
        <v>607</v>
      </c>
      <c r="D357" s="3"/>
      <c r="E357" s="3" t="s">
        <v>629</v>
      </c>
      <c r="F357" s="3"/>
    </row>
    <row r="358" spans="1:6" x14ac:dyDescent="0.35">
      <c r="A358" s="3" t="s">
        <v>79</v>
      </c>
      <c r="B358" s="4">
        <f ca="1">IFERROR(__xludf.DUMMYFUNCTION("googlefinance(A357,""marketcap"")/10^6"),342.509301)</f>
        <v>342.50930099999999</v>
      </c>
      <c r="C358" s="2" t="s">
        <v>607</v>
      </c>
      <c r="D358" s="3"/>
      <c r="E358" s="3" t="s">
        <v>630</v>
      </c>
      <c r="F358" s="3"/>
    </row>
    <row r="359" spans="1:6" x14ac:dyDescent="0.35">
      <c r="A359" s="3" t="s">
        <v>631</v>
      </c>
      <c r="B359" s="4">
        <f ca="1">IFERROR(__xludf.DUMMYFUNCTION("googlefinance(A358,""marketcap"")/10^6"),227.200653)</f>
        <v>227.20065299999999</v>
      </c>
      <c r="C359" s="2" t="s">
        <v>607</v>
      </c>
      <c r="D359" s="3"/>
      <c r="E359" s="3" t="s">
        <v>632</v>
      </c>
      <c r="F359" s="3"/>
    </row>
    <row r="360" spans="1:6" x14ac:dyDescent="0.35">
      <c r="A360" s="3" t="s">
        <v>633</v>
      </c>
      <c r="B360" s="4">
        <f ca="1">IFERROR(__xludf.DUMMYFUNCTION("googlefinance(A359,""marketcap"")/10^6"),485.0394)</f>
        <v>485.0394</v>
      </c>
      <c r="C360" s="2" t="s">
        <v>607</v>
      </c>
      <c r="D360" s="3"/>
      <c r="E360" s="3" t="s">
        <v>634</v>
      </c>
      <c r="F360" s="3"/>
    </row>
    <row r="361" spans="1:6" x14ac:dyDescent="0.35">
      <c r="A361" s="3" t="s">
        <v>87</v>
      </c>
      <c r="B361" s="4">
        <f ca="1">IFERROR(__xludf.DUMMYFUNCTION("googlefinance(A360,""marketcap"")/10^6"),52.113647)</f>
        <v>52.113647</v>
      </c>
      <c r="C361" s="2" t="s">
        <v>607</v>
      </c>
      <c r="D361" s="3"/>
      <c r="E361" s="3" t="s">
        <v>635</v>
      </c>
      <c r="F361" s="3"/>
    </row>
    <row r="362" spans="1:6" x14ac:dyDescent="0.35">
      <c r="A362" s="3" t="s">
        <v>89</v>
      </c>
      <c r="B362" s="4">
        <f ca="1">IFERROR(__xludf.DUMMYFUNCTION("googlefinance(A361,""marketcap"")/10^6"),1437.159227)</f>
        <v>1437.1592270000001</v>
      </c>
      <c r="C362" s="2" t="s">
        <v>607</v>
      </c>
      <c r="D362" s="3"/>
      <c r="E362" s="3" t="s">
        <v>636</v>
      </c>
      <c r="F362" s="3"/>
    </row>
    <row r="363" spans="1:6" x14ac:dyDescent="0.35">
      <c r="A363" s="3" t="s">
        <v>637</v>
      </c>
      <c r="B363" s="4">
        <f ca="1">IFERROR(__xludf.DUMMYFUNCTION("googlefinance(A362,""marketcap"")/10^6"),47.348904)</f>
        <v>47.348903999999997</v>
      </c>
      <c r="C363" s="2" t="s">
        <v>607</v>
      </c>
      <c r="D363" s="3" t="s">
        <v>638</v>
      </c>
      <c r="E363" s="3" t="s">
        <v>639</v>
      </c>
      <c r="F363" s="3"/>
    </row>
    <row r="364" spans="1:6" x14ac:dyDescent="0.35">
      <c r="A364" s="3" t="s">
        <v>640</v>
      </c>
      <c r="B364" s="4">
        <f ca="1">IFERROR(__xludf.DUMMYFUNCTION("googlefinance(A363,""marketcap"")/10^6"),82.138208)</f>
        <v>82.138208000000006</v>
      </c>
      <c r="C364" s="2" t="s">
        <v>607</v>
      </c>
      <c r="D364" s="3"/>
      <c r="E364" s="3" t="s">
        <v>641</v>
      </c>
      <c r="F364" s="3" t="s">
        <v>642</v>
      </c>
    </row>
    <row r="365" spans="1:6" x14ac:dyDescent="0.35">
      <c r="A365" s="3" t="s">
        <v>640</v>
      </c>
      <c r="B365" s="4">
        <f ca="1">IFERROR(__xludf.DUMMYFUNCTION("googlefinance(A364,""marketcap"")/10^6"),82.138208)</f>
        <v>82.138208000000006</v>
      </c>
      <c r="C365" s="2" t="s">
        <v>607</v>
      </c>
      <c r="D365" s="3"/>
      <c r="E365" s="3" t="s">
        <v>643</v>
      </c>
      <c r="F365" s="3"/>
    </row>
    <row r="366" spans="1:6" x14ac:dyDescent="0.35">
      <c r="A366" s="3"/>
      <c r="B366" s="3"/>
      <c r="C366" s="2" t="s">
        <v>607</v>
      </c>
      <c r="D366" s="3"/>
      <c r="E366" s="3"/>
      <c r="F366" s="3"/>
    </row>
    <row r="367" spans="1:6" x14ac:dyDescent="0.35">
      <c r="A367" s="3"/>
      <c r="B367" s="3"/>
      <c r="C367" s="2" t="s">
        <v>607</v>
      </c>
      <c r="D367" s="3"/>
      <c r="E367" s="3"/>
      <c r="F367" s="3"/>
    </row>
    <row r="368" spans="1:6" x14ac:dyDescent="0.35">
      <c r="A368" s="3"/>
      <c r="B368" s="3"/>
      <c r="C368" s="2" t="s">
        <v>607</v>
      </c>
      <c r="D368" s="3"/>
      <c r="E368" s="3"/>
      <c r="F368" s="3"/>
    </row>
    <row r="369" spans="1:6" x14ac:dyDescent="0.35">
      <c r="A369" s="3"/>
      <c r="B369" s="3"/>
      <c r="C369" s="2" t="s">
        <v>607</v>
      </c>
      <c r="D369" s="3"/>
      <c r="E369" s="3"/>
      <c r="F369" s="3"/>
    </row>
    <row r="370" spans="1:6" x14ac:dyDescent="0.35">
      <c r="A370" s="3"/>
      <c r="B370" s="3"/>
      <c r="C370" s="2" t="s">
        <v>607</v>
      </c>
      <c r="D370" s="3"/>
      <c r="E370" s="3"/>
      <c r="F370" s="3"/>
    </row>
    <row r="371" spans="1:6" x14ac:dyDescent="0.35">
      <c r="A371" s="3"/>
      <c r="B371" s="3"/>
      <c r="C371" s="2" t="s">
        <v>607</v>
      </c>
      <c r="D371" s="3"/>
      <c r="E371" s="3"/>
      <c r="F371" s="3"/>
    </row>
    <row r="372" spans="1:6" x14ac:dyDescent="0.35">
      <c r="A372" s="3"/>
      <c r="B372" s="3"/>
      <c r="C372" s="2" t="s">
        <v>607</v>
      </c>
      <c r="D372" s="3"/>
      <c r="E372" s="3"/>
      <c r="F372" s="3"/>
    </row>
    <row r="373" spans="1:6" x14ac:dyDescent="0.35">
      <c r="A373" s="3"/>
      <c r="B373" s="3"/>
      <c r="C373" s="2" t="s">
        <v>607</v>
      </c>
      <c r="D373" s="3"/>
      <c r="E373" s="3"/>
      <c r="F373" s="3"/>
    </row>
    <row r="374" spans="1:6" x14ac:dyDescent="0.35">
      <c r="A374" s="3"/>
      <c r="B374" s="3"/>
      <c r="C374" s="2" t="s">
        <v>607</v>
      </c>
      <c r="D374" s="3"/>
      <c r="E374" s="3"/>
      <c r="F374" s="3"/>
    </row>
    <row r="375" spans="1:6" x14ac:dyDescent="0.35">
      <c r="A375" s="3"/>
      <c r="B375" s="3"/>
      <c r="C375" s="2" t="s">
        <v>607</v>
      </c>
      <c r="D375" s="3"/>
      <c r="E375" s="3"/>
      <c r="F375" s="3"/>
    </row>
    <row r="376" spans="1:6" x14ac:dyDescent="0.35">
      <c r="A376" s="3"/>
      <c r="B376" s="3"/>
      <c r="C376" s="2" t="s">
        <v>607</v>
      </c>
      <c r="D376" s="3"/>
      <c r="E376" s="3"/>
      <c r="F376" s="3"/>
    </row>
    <row r="377" spans="1:6" x14ac:dyDescent="0.35">
      <c r="A377" s="3"/>
      <c r="B377" s="3"/>
      <c r="C377" s="2" t="s">
        <v>607</v>
      </c>
      <c r="D377" s="3"/>
      <c r="E377" s="3"/>
      <c r="F377" s="3"/>
    </row>
    <row r="378" spans="1:6" x14ac:dyDescent="0.35">
      <c r="A378" s="3"/>
      <c r="B378" s="3"/>
      <c r="C378" s="2" t="s">
        <v>607</v>
      </c>
      <c r="D378" s="3"/>
      <c r="E378" s="3"/>
      <c r="F378" s="3"/>
    </row>
    <row r="379" spans="1:6" x14ac:dyDescent="0.35">
      <c r="A379" s="3"/>
      <c r="B379" s="3"/>
      <c r="C379" s="2" t="s">
        <v>607</v>
      </c>
      <c r="D379" s="3"/>
      <c r="E379" s="3"/>
      <c r="F379" s="3"/>
    </row>
    <row r="380" spans="1:6" x14ac:dyDescent="0.35">
      <c r="A380" s="3"/>
      <c r="B380" s="3"/>
      <c r="C380" s="2" t="s">
        <v>607</v>
      </c>
      <c r="D380" s="3"/>
      <c r="E380" s="3"/>
      <c r="F380" s="3"/>
    </row>
    <row r="381" spans="1:6" x14ac:dyDescent="0.35">
      <c r="A381" s="3"/>
      <c r="B381" s="3"/>
      <c r="C381" s="2" t="s">
        <v>607</v>
      </c>
      <c r="D381" s="3"/>
      <c r="E381" s="3"/>
      <c r="F381" s="3"/>
    </row>
    <row r="382" spans="1:6" x14ac:dyDescent="0.35">
      <c r="A382" s="3"/>
      <c r="B382" s="3"/>
      <c r="C382" s="2" t="s">
        <v>607</v>
      </c>
      <c r="D382" s="3"/>
      <c r="E382" s="3"/>
      <c r="F382" s="3"/>
    </row>
    <row r="383" spans="1:6" x14ac:dyDescent="0.35">
      <c r="A383" s="3"/>
      <c r="B383" s="3"/>
      <c r="C383" s="2" t="s">
        <v>607</v>
      </c>
      <c r="D383" s="3"/>
      <c r="E383" s="3"/>
      <c r="F383" s="3"/>
    </row>
    <row r="384" spans="1:6" x14ac:dyDescent="0.35">
      <c r="A384" s="3"/>
      <c r="B384" s="3"/>
      <c r="C384" s="2" t="s">
        <v>607</v>
      </c>
      <c r="D384" s="3"/>
      <c r="E384" s="3"/>
      <c r="F384" s="3"/>
    </row>
    <row r="385" spans="1:6" x14ac:dyDescent="0.35">
      <c r="A385" s="3"/>
      <c r="B385" s="3"/>
      <c r="C385" s="2" t="s">
        <v>607</v>
      </c>
      <c r="D385" s="3"/>
      <c r="E385" s="3"/>
      <c r="F385" s="3"/>
    </row>
    <row r="386" spans="1:6" x14ac:dyDescent="0.35">
      <c r="A386" s="3"/>
      <c r="B386" s="3"/>
      <c r="C386" s="2" t="s">
        <v>607</v>
      </c>
      <c r="D386" s="3"/>
      <c r="E386" s="3"/>
      <c r="F386" s="3"/>
    </row>
    <row r="387" spans="1:6" x14ac:dyDescent="0.35">
      <c r="A387" s="3"/>
      <c r="B387" s="3"/>
      <c r="C387" s="2" t="s">
        <v>607</v>
      </c>
      <c r="D387" s="3"/>
      <c r="E387" s="3"/>
      <c r="F387" s="3"/>
    </row>
    <row r="388" spans="1:6" x14ac:dyDescent="0.35">
      <c r="A388" s="3"/>
      <c r="B388" s="3"/>
      <c r="C388" s="2" t="s">
        <v>607</v>
      </c>
      <c r="D388" s="3"/>
      <c r="E388" s="3"/>
      <c r="F388" s="3"/>
    </row>
    <row r="389" spans="1:6" x14ac:dyDescent="0.35">
      <c r="A389" s="3"/>
      <c r="B389" s="3"/>
      <c r="C389" s="2" t="s">
        <v>607</v>
      </c>
      <c r="D389" s="3"/>
      <c r="E389" s="3"/>
      <c r="F389" s="3"/>
    </row>
    <row r="390" spans="1:6" x14ac:dyDescent="0.35">
      <c r="A390" s="3"/>
      <c r="B390" s="3"/>
      <c r="C390" s="2" t="s">
        <v>607</v>
      </c>
      <c r="D390" s="3"/>
      <c r="E390" s="3"/>
      <c r="F390" s="3"/>
    </row>
    <row r="391" spans="1:6" x14ac:dyDescent="0.35">
      <c r="A391" s="3"/>
      <c r="B391" s="3"/>
      <c r="C391" s="2" t="s">
        <v>607</v>
      </c>
      <c r="D391" s="3"/>
      <c r="E391" s="3"/>
      <c r="F391" s="3"/>
    </row>
    <row r="392" spans="1:6" x14ac:dyDescent="0.35">
      <c r="A392" s="3"/>
      <c r="B392" s="3"/>
      <c r="C392" s="2" t="s">
        <v>607</v>
      </c>
      <c r="D392" s="3"/>
      <c r="E392" s="3"/>
      <c r="F392" s="3"/>
    </row>
    <row r="393" spans="1:6" x14ac:dyDescent="0.35">
      <c r="A393" s="3"/>
      <c r="B393" s="3"/>
      <c r="C393" s="2" t="s">
        <v>607</v>
      </c>
      <c r="D393" s="3"/>
      <c r="E393" s="3"/>
      <c r="F393" s="3"/>
    </row>
    <row r="394" spans="1:6" x14ac:dyDescent="0.35">
      <c r="A394" s="3"/>
      <c r="B394" s="3"/>
      <c r="C394" s="2" t="s">
        <v>607</v>
      </c>
      <c r="D394" s="3"/>
      <c r="E394" s="3"/>
      <c r="F394" s="3"/>
    </row>
    <row r="395" spans="1:6" x14ac:dyDescent="0.35">
      <c r="A395" s="3"/>
      <c r="B395" s="3"/>
      <c r="C395" s="2" t="s">
        <v>607</v>
      </c>
      <c r="D395" s="3"/>
      <c r="E395" s="3"/>
      <c r="F395" s="3"/>
    </row>
    <row r="396" spans="1:6" x14ac:dyDescent="0.35">
      <c r="A396" s="3"/>
      <c r="B396" s="3"/>
      <c r="C396" s="2" t="s">
        <v>607</v>
      </c>
      <c r="D396" s="3"/>
      <c r="E396" s="3"/>
      <c r="F396" s="3"/>
    </row>
    <row r="397" spans="1:6" x14ac:dyDescent="0.35">
      <c r="A397" s="3"/>
      <c r="B397" s="3"/>
      <c r="C397" s="2" t="s">
        <v>607</v>
      </c>
      <c r="D397" s="3"/>
      <c r="E397" s="3"/>
      <c r="F397" s="3"/>
    </row>
    <row r="398" spans="1:6" x14ac:dyDescent="0.35">
      <c r="A398" s="3"/>
      <c r="B398" s="3"/>
      <c r="C398" s="2" t="s">
        <v>607</v>
      </c>
      <c r="D398" s="3"/>
      <c r="E398" s="3"/>
      <c r="F398" s="3"/>
    </row>
    <row r="399" spans="1:6" x14ac:dyDescent="0.35">
      <c r="A399" s="3"/>
      <c r="B399" s="3"/>
      <c r="C399" s="2" t="s">
        <v>607</v>
      </c>
      <c r="D399" s="3"/>
      <c r="E399" s="3"/>
      <c r="F399" s="3"/>
    </row>
    <row r="400" spans="1:6" x14ac:dyDescent="0.35">
      <c r="A400" s="3"/>
      <c r="B400" s="3"/>
      <c r="C400" s="2" t="s">
        <v>607</v>
      </c>
      <c r="D400" s="3"/>
      <c r="E400" s="3"/>
      <c r="F400" s="3"/>
    </row>
    <row r="401" spans="1:6" x14ac:dyDescent="0.35">
      <c r="A401" s="3"/>
      <c r="B401" s="3"/>
      <c r="C401" s="2" t="s">
        <v>607</v>
      </c>
      <c r="D401" s="3"/>
      <c r="E401" s="3"/>
      <c r="F401" s="3"/>
    </row>
    <row r="402" spans="1:6" x14ac:dyDescent="0.35">
      <c r="A402" s="3"/>
      <c r="B402" s="3"/>
      <c r="C402" s="2" t="s">
        <v>607</v>
      </c>
      <c r="D402" s="3"/>
      <c r="E402" s="3"/>
      <c r="F402" s="3"/>
    </row>
    <row r="403" spans="1:6" x14ac:dyDescent="0.35">
      <c r="A403" s="3"/>
      <c r="B403" s="3"/>
      <c r="C403" s="2" t="s">
        <v>607</v>
      </c>
      <c r="D403" s="3"/>
      <c r="E403" s="3"/>
      <c r="F403" s="3"/>
    </row>
    <row r="404" spans="1:6" x14ac:dyDescent="0.35">
      <c r="A404" s="3"/>
      <c r="B404" s="3"/>
      <c r="C404" s="2" t="s">
        <v>607</v>
      </c>
      <c r="D404" s="3"/>
      <c r="E404" s="3"/>
      <c r="F404" s="3"/>
    </row>
    <row r="405" spans="1:6" x14ac:dyDescent="0.35">
      <c r="A405" s="3"/>
      <c r="B405" s="3"/>
      <c r="C405" s="2" t="s">
        <v>607</v>
      </c>
      <c r="D405" s="3"/>
      <c r="E405" s="3"/>
      <c r="F405" s="3"/>
    </row>
    <row r="406" spans="1:6" x14ac:dyDescent="0.35">
      <c r="A406" s="3"/>
      <c r="B406" s="3"/>
      <c r="C406" s="2" t="s">
        <v>607</v>
      </c>
      <c r="D406" s="3"/>
      <c r="E406" s="3"/>
      <c r="F406" s="3"/>
    </row>
    <row r="407" spans="1:6" x14ac:dyDescent="0.35">
      <c r="A407" s="3"/>
      <c r="B407" s="3"/>
      <c r="C407" s="2" t="s">
        <v>607</v>
      </c>
      <c r="D407" s="3"/>
      <c r="E407" s="3"/>
      <c r="F407" s="3"/>
    </row>
    <row r="408" spans="1:6" x14ac:dyDescent="0.35">
      <c r="A408" s="3"/>
      <c r="B408" s="3"/>
      <c r="C408" s="2" t="s">
        <v>607</v>
      </c>
      <c r="D408" s="3"/>
      <c r="E408" s="3"/>
      <c r="F408" s="3"/>
    </row>
    <row r="409" spans="1:6" x14ac:dyDescent="0.35">
      <c r="A409" s="3"/>
      <c r="B409" s="3"/>
      <c r="C409" s="2" t="s">
        <v>607</v>
      </c>
      <c r="D409" s="3"/>
      <c r="E409" s="3"/>
      <c r="F409" s="3"/>
    </row>
    <row r="410" spans="1:6" x14ac:dyDescent="0.35">
      <c r="A410" s="3"/>
      <c r="B410" s="3"/>
      <c r="C410" s="2" t="s">
        <v>607</v>
      </c>
      <c r="D410" s="3"/>
      <c r="E410" s="3"/>
      <c r="F410" s="3"/>
    </row>
    <row r="411" spans="1:6" x14ac:dyDescent="0.35">
      <c r="A411" s="3"/>
      <c r="B411" s="3"/>
      <c r="C411" s="2" t="s">
        <v>607</v>
      </c>
      <c r="D411" s="3"/>
      <c r="E411" s="3"/>
      <c r="F411" s="3"/>
    </row>
    <row r="412" spans="1:6" x14ac:dyDescent="0.35">
      <c r="A412" s="3"/>
      <c r="B412" s="3"/>
      <c r="C412" s="2" t="s">
        <v>607</v>
      </c>
      <c r="D412" s="3"/>
      <c r="E412" s="3"/>
      <c r="F412" s="3"/>
    </row>
    <row r="413" spans="1:6" x14ac:dyDescent="0.35">
      <c r="A413" s="3"/>
      <c r="B413" s="3"/>
      <c r="C413" s="2" t="s">
        <v>607</v>
      </c>
      <c r="D413" s="3"/>
      <c r="E413" s="3"/>
      <c r="F413" s="3"/>
    </row>
    <row r="414" spans="1:6" x14ac:dyDescent="0.35">
      <c r="A414" s="3"/>
      <c r="B414" s="3"/>
      <c r="C414" s="2" t="s">
        <v>607</v>
      </c>
      <c r="D414" s="3"/>
      <c r="E414" s="3"/>
      <c r="F414" s="3"/>
    </row>
    <row r="415" spans="1:6" x14ac:dyDescent="0.35">
      <c r="A415" s="3"/>
      <c r="B415" s="3"/>
      <c r="C415" s="2" t="s">
        <v>607</v>
      </c>
      <c r="D415" s="3"/>
      <c r="E415" s="3"/>
      <c r="F415" s="3"/>
    </row>
    <row r="416" spans="1:6" x14ac:dyDescent="0.35">
      <c r="A416" s="3"/>
      <c r="B416" s="3"/>
      <c r="C416" s="2" t="s">
        <v>607</v>
      </c>
      <c r="D416" s="3"/>
      <c r="E416" s="3"/>
      <c r="F416" s="3"/>
    </row>
    <row r="417" spans="1:6" x14ac:dyDescent="0.35">
      <c r="A417" s="3"/>
      <c r="B417" s="3"/>
      <c r="C417" s="2" t="s">
        <v>607</v>
      </c>
      <c r="D417" s="3"/>
      <c r="E417" s="3"/>
      <c r="F417" s="3"/>
    </row>
    <row r="418" spans="1:6" x14ac:dyDescent="0.35">
      <c r="A418" s="3"/>
      <c r="B418" s="3"/>
      <c r="C418" s="2" t="s">
        <v>607</v>
      </c>
      <c r="D418" s="3"/>
      <c r="E418" s="3"/>
      <c r="F418" s="3"/>
    </row>
    <row r="419" spans="1:6" x14ac:dyDescent="0.35">
      <c r="A419" s="3"/>
      <c r="B419" s="3"/>
      <c r="C419" s="2" t="s">
        <v>607</v>
      </c>
      <c r="D419" s="3"/>
      <c r="E419" s="3"/>
      <c r="F419" s="3"/>
    </row>
    <row r="420" spans="1:6" x14ac:dyDescent="0.35">
      <c r="A420" s="3"/>
      <c r="B420" s="3"/>
      <c r="C420" s="2" t="s">
        <v>607</v>
      </c>
      <c r="D420" s="3"/>
      <c r="E420" s="3"/>
      <c r="F420" s="3"/>
    </row>
    <row r="421" spans="1:6" x14ac:dyDescent="0.35">
      <c r="A421" s="3"/>
      <c r="B421" s="3"/>
      <c r="C421" s="2" t="s">
        <v>607</v>
      </c>
      <c r="D421" s="3"/>
      <c r="E421" s="3"/>
      <c r="F421" s="3"/>
    </row>
    <row r="422" spans="1:6" x14ac:dyDescent="0.35">
      <c r="A422" s="3"/>
      <c r="B422" s="3"/>
      <c r="C422" s="2" t="s">
        <v>607</v>
      </c>
      <c r="D422" s="3"/>
      <c r="E422" s="3"/>
      <c r="F422" s="3"/>
    </row>
    <row r="423" spans="1:6" x14ac:dyDescent="0.35">
      <c r="A423" s="3"/>
      <c r="B423" s="3"/>
      <c r="C423" s="2" t="s">
        <v>607</v>
      </c>
      <c r="D423" s="3"/>
      <c r="E423" s="3"/>
      <c r="F423" s="3"/>
    </row>
    <row r="424" spans="1:6" x14ac:dyDescent="0.35">
      <c r="A424" s="3"/>
      <c r="B424" s="3"/>
      <c r="C424" s="2" t="s">
        <v>607</v>
      </c>
      <c r="D424" s="3"/>
      <c r="E424" s="3"/>
      <c r="F424" s="3"/>
    </row>
    <row r="425" spans="1:6" x14ac:dyDescent="0.35">
      <c r="A425" s="3"/>
      <c r="B425" s="3"/>
      <c r="C425" s="2" t="s">
        <v>607</v>
      </c>
      <c r="D425" s="3"/>
      <c r="E425" s="3"/>
      <c r="F425" s="3"/>
    </row>
    <row r="426" spans="1:6" x14ac:dyDescent="0.35">
      <c r="A426" s="3"/>
      <c r="B426" s="3"/>
      <c r="C426" s="2" t="s">
        <v>607</v>
      </c>
      <c r="D426" s="3"/>
      <c r="E426" s="3"/>
      <c r="F426" s="3"/>
    </row>
    <row r="427" spans="1:6" x14ac:dyDescent="0.35">
      <c r="A427" s="3"/>
      <c r="B427" s="3"/>
      <c r="C427" s="2" t="s">
        <v>607</v>
      </c>
      <c r="D427" s="3"/>
      <c r="E427" s="3"/>
      <c r="F427" s="3"/>
    </row>
    <row r="428" spans="1:6" x14ac:dyDescent="0.35">
      <c r="A428" s="3"/>
      <c r="B428" s="3"/>
      <c r="C428" s="2" t="s">
        <v>607</v>
      </c>
      <c r="D428" s="3"/>
      <c r="E428" s="3"/>
      <c r="F428" s="3"/>
    </row>
    <row r="429" spans="1:6" x14ac:dyDescent="0.35">
      <c r="A429" s="3"/>
      <c r="B429" s="3"/>
      <c r="C429" s="2" t="s">
        <v>607</v>
      </c>
      <c r="D429" s="3"/>
      <c r="E429" s="3"/>
      <c r="F429" s="3"/>
    </row>
    <row r="430" spans="1:6" x14ac:dyDescent="0.35">
      <c r="A430" s="3"/>
      <c r="B430" s="3"/>
      <c r="C430" s="2" t="s">
        <v>607</v>
      </c>
      <c r="D430" s="3"/>
      <c r="E430" s="3"/>
      <c r="F430" s="3"/>
    </row>
    <row r="431" spans="1:6" x14ac:dyDescent="0.35">
      <c r="A431" s="3"/>
      <c r="B431" s="3"/>
      <c r="C431" s="2" t="s">
        <v>607</v>
      </c>
      <c r="D431" s="3"/>
      <c r="E431" s="3"/>
      <c r="F431" s="3"/>
    </row>
    <row r="432" spans="1:6" x14ac:dyDescent="0.35">
      <c r="A432" s="3"/>
      <c r="B432" s="3"/>
      <c r="C432" s="2" t="s">
        <v>607</v>
      </c>
      <c r="D432" s="3"/>
      <c r="E432" s="3"/>
      <c r="F432" s="3"/>
    </row>
    <row r="433" spans="1:6" x14ac:dyDescent="0.35">
      <c r="A433" s="3"/>
      <c r="B433" s="3"/>
      <c r="C433" s="2" t="s">
        <v>607</v>
      </c>
      <c r="D433" s="3"/>
      <c r="E433" s="3"/>
      <c r="F433" s="3"/>
    </row>
    <row r="434" spans="1:6" x14ac:dyDescent="0.35">
      <c r="A434" s="3"/>
      <c r="B434" s="3"/>
      <c r="C434" s="2" t="s">
        <v>607</v>
      </c>
      <c r="D434" s="3"/>
      <c r="E434" s="3"/>
      <c r="F434" s="3"/>
    </row>
    <row r="435" spans="1:6" x14ac:dyDescent="0.35">
      <c r="A435" s="3"/>
      <c r="B435" s="3"/>
      <c r="C435" s="2" t="s">
        <v>607</v>
      </c>
      <c r="D435" s="3"/>
      <c r="E435" s="3"/>
      <c r="F435" s="3"/>
    </row>
    <row r="436" spans="1:6" x14ac:dyDescent="0.35">
      <c r="A436" s="3"/>
      <c r="B436" s="3"/>
      <c r="C436" s="2" t="s">
        <v>607</v>
      </c>
      <c r="D436" s="3"/>
      <c r="E436" s="3"/>
      <c r="F436" s="3"/>
    </row>
    <row r="437" spans="1:6" x14ac:dyDescent="0.35">
      <c r="A437" s="3"/>
      <c r="B437" s="3"/>
      <c r="C437" s="2" t="s">
        <v>607</v>
      </c>
      <c r="D437" s="3"/>
      <c r="E437" s="3"/>
      <c r="F437" s="3"/>
    </row>
    <row r="438" spans="1:6" x14ac:dyDescent="0.35">
      <c r="A438" s="3"/>
      <c r="B438" s="3"/>
      <c r="C438" s="2" t="s">
        <v>607</v>
      </c>
      <c r="D438" s="3"/>
      <c r="E438" s="3"/>
      <c r="F438" s="3"/>
    </row>
    <row r="439" spans="1:6" x14ac:dyDescent="0.35">
      <c r="A439" s="3"/>
      <c r="B439" s="3"/>
      <c r="C439" s="2" t="s">
        <v>607</v>
      </c>
      <c r="D439" s="3"/>
      <c r="E439" s="3"/>
      <c r="F439" s="3"/>
    </row>
    <row r="440" spans="1:6" x14ac:dyDescent="0.35">
      <c r="A440" s="3"/>
      <c r="B440" s="3"/>
      <c r="C440" s="2" t="s">
        <v>607</v>
      </c>
      <c r="D440" s="3"/>
      <c r="E440" s="3"/>
      <c r="F440" s="3"/>
    </row>
    <row r="441" spans="1:6" x14ac:dyDescent="0.35">
      <c r="A441" s="3"/>
      <c r="B441" s="3"/>
      <c r="C441" s="2" t="s">
        <v>607</v>
      </c>
      <c r="D441" s="3"/>
      <c r="E441" s="3"/>
      <c r="F441" s="3"/>
    </row>
    <row r="442" spans="1:6" x14ac:dyDescent="0.35">
      <c r="A442" s="3"/>
      <c r="B442" s="3"/>
      <c r="C442" s="2" t="s">
        <v>607</v>
      </c>
      <c r="D442" s="3"/>
      <c r="E442" s="3"/>
      <c r="F442" s="3"/>
    </row>
    <row r="443" spans="1:6" x14ac:dyDescent="0.35">
      <c r="A443" s="3"/>
      <c r="B443" s="3"/>
      <c r="C443" s="2" t="s">
        <v>607</v>
      </c>
      <c r="D443" s="3"/>
      <c r="E443" s="3"/>
      <c r="F443" s="3"/>
    </row>
    <row r="444" spans="1:6" x14ac:dyDescent="0.35">
      <c r="A444" s="3"/>
      <c r="B444" s="3"/>
      <c r="C444" s="2" t="s">
        <v>607</v>
      </c>
      <c r="D444" s="3"/>
      <c r="E444" s="3"/>
      <c r="F444" s="3"/>
    </row>
    <row r="445" spans="1:6" x14ac:dyDescent="0.35">
      <c r="A445" s="3"/>
      <c r="B445" s="3"/>
      <c r="C445" s="2" t="s">
        <v>607</v>
      </c>
      <c r="D445" s="3"/>
      <c r="E445" s="3"/>
      <c r="F445" s="3"/>
    </row>
    <row r="446" spans="1:6" x14ac:dyDescent="0.35">
      <c r="A446" s="3"/>
      <c r="B446" s="3"/>
      <c r="C446" s="2" t="s">
        <v>607</v>
      </c>
      <c r="D446" s="3"/>
      <c r="E446" s="3"/>
      <c r="F446" s="3"/>
    </row>
    <row r="447" spans="1:6" x14ac:dyDescent="0.35">
      <c r="A447" s="3"/>
      <c r="B447" s="3"/>
      <c r="C447" s="2" t="s">
        <v>607</v>
      </c>
      <c r="D447" s="3"/>
      <c r="E447" s="3"/>
      <c r="F447" s="3"/>
    </row>
    <row r="448" spans="1:6" x14ac:dyDescent="0.35">
      <c r="A448" s="3"/>
      <c r="B448" s="3"/>
      <c r="C448" s="2" t="s">
        <v>607</v>
      </c>
      <c r="D448" s="3"/>
      <c r="E448" s="3"/>
      <c r="F448" s="3"/>
    </row>
    <row r="449" spans="1:6" x14ac:dyDescent="0.35">
      <c r="A449" s="3"/>
      <c r="B449" s="3"/>
      <c r="C449" s="2" t="s">
        <v>607</v>
      </c>
      <c r="D449" s="3"/>
      <c r="E449" s="3"/>
      <c r="F449" s="3"/>
    </row>
    <row r="450" spans="1:6" x14ac:dyDescent="0.35">
      <c r="A450" s="3"/>
      <c r="B450" s="3"/>
      <c r="C450" s="2" t="s">
        <v>607</v>
      </c>
      <c r="D450" s="3"/>
      <c r="E450" s="3"/>
      <c r="F450" s="3"/>
    </row>
    <row r="451" spans="1:6" x14ac:dyDescent="0.35">
      <c r="A451" s="3"/>
      <c r="B451" s="3"/>
      <c r="C451" s="2" t="s">
        <v>607</v>
      </c>
      <c r="D451" s="3"/>
      <c r="E451" s="3"/>
      <c r="F451" s="3"/>
    </row>
    <row r="452" spans="1:6" x14ac:dyDescent="0.35">
      <c r="A452" s="3"/>
      <c r="B452" s="3"/>
      <c r="C452" s="2" t="s">
        <v>607</v>
      </c>
      <c r="D452" s="3"/>
      <c r="E452" s="3"/>
      <c r="F452" s="3"/>
    </row>
    <row r="453" spans="1:6" x14ac:dyDescent="0.35">
      <c r="A453" s="3"/>
      <c r="B453" s="3"/>
      <c r="C453" s="2" t="s">
        <v>607</v>
      </c>
      <c r="D453" s="3"/>
      <c r="E453" s="3"/>
      <c r="F453" s="3"/>
    </row>
    <row r="454" spans="1:6" x14ac:dyDescent="0.35">
      <c r="A454" s="3"/>
      <c r="B454" s="3"/>
      <c r="C454" s="2" t="s">
        <v>607</v>
      </c>
      <c r="D454" s="3"/>
      <c r="E454" s="3"/>
      <c r="F454" s="3"/>
    </row>
    <row r="455" spans="1:6" x14ac:dyDescent="0.35">
      <c r="A455" s="3"/>
      <c r="B455" s="3"/>
      <c r="C455" s="2" t="s">
        <v>607</v>
      </c>
      <c r="D455" s="3"/>
      <c r="E455" s="3"/>
      <c r="F455" s="3"/>
    </row>
    <row r="456" spans="1:6" x14ac:dyDescent="0.35">
      <c r="A456" s="3"/>
      <c r="B456" s="3"/>
      <c r="C456" s="2" t="s">
        <v>607</v>
      </c>
      <c r="D456" s="3"/>
      <c r="E456" s="3"/>
      <c r="F456" s="3"/>
    </row>
    <row r="457" spans="1:6" x14ac:dyDescent="0.35">
      <c r="A457" s="3"/>
      <c r="B457" s="3"/>
      <c r="C457" s="2" t="s">
        <v>607</v>
      </c>
      <c r="D457" s="3"/>
      <c r="E457" s="3"/>
      <c r="F457" s="3"/>
    </row>
    <row r="458" spans="1:6" x14ac:dyDescent="0.35">
      <c r="A458" s="3"/>
      <c r="B458" s="3"/>
      <c r="C458" s="2" t="s">
        <v>607</v>
      </c>
      <c r="D458" s="3"/>
      <c r="E458" s="3"/>
      <c r="F458" s="3"/>
    </row>
    <row r="459" spans="1:6" x14ac:dyDescent="0.35">
      <c r="A459" s="3"/>
      <c r="B459" s="3"/>
      <c r="C459" s="2" t="s">
        <v>607</v>
      </c>
      <c r="D459" s="3"/>
      <c r="E459" s="3"/>
      <c r="F459" s="3"/>
    </row>
    <row r="460" spans="1:6" x14ac:dyDescent="0.35">
      <c r="A460" s="3"/>
      <c r="B460" s="3"/>
      <c r="C460" s="2" t="s">
        <v>607</v>
      </c>
      <c r="D460" s="3"/>
      <c r="E460" s="3"/>
      <c r="F460" s="3"/>
    </row>
    <row r="461" spans="1:6" x14ac:dyDescent="0.35">
      <c r="A461" s="3"/>
      <c r="B461" s="3"/>
      <c r="C461" s="2" t="s">
        <v>607</v>
      </c>
      <c r="D461" s="3"/>
      <c r="E461" s="3"/>
      <c r="F461" s="3"/>
    </row>
    <row r="462" spans="1:6" x14ac:dyDescent="0.35">
      <c r="A462" s="3"/>
      <c r="B462" s="3"/>
      <c r="C462" s="2" t="s">
        <v>607</v>
      </c>
      <c r="D462" s="3"/>
      <c r="E462" s="3"/>
      <c r="F462" s="3"/>
    </row>
    <row r="463" spans="1:6" x14ac:dyDescent="0.35">
      <c r="A463" s="3"/>
      <c r="B463" s="3"/>
      <c r="C463" s="2" t="s">
        <v>607</v>
      </c>
      <c r="D463" s="3"/>
      <c r="E463" s="3"/>
      <c r="F463" s="3"/>
    </row>
    <row r="464" spans="1:6" x14ac:dyDescent="0.35">
      <c r="A464" s="3"/>
      <c r="B464" s="3"/>
      <c r="C464" s="2" t="s">
        <v>607</v>
      </c>
      <c r="D464" s="3"/>
      <c r="E464" s="3"/>
      <c r="F464" s="3"/>
    </row>
    <row r="465" spans="1:6" x14ac:dyDescent="0.35">
      <c r="A465" s="3"/>
      <c r="B465" s="3"/>
      <c r="C465" s="2" t="s">
        <v>607</v>
      </c>
      <c r="D465" s="3"/>
      <c r="E465" s="3"/>
      <c r="F465" s="3"/>
    </row>
    <row r="466" spans="1:6" x14ac:dyDescent="0.35">
      <c r="A466" s="3"/>
      <c r="B466" s="3"/>
      <c r="C466" s="2" t="s">
        <v>607</v>
      </c>
      <c r="D466" s="3"/>
      <c r="E466" s="3"/>
      <c r="F466" s="3"/>
    </row>
    <row r="467" spans="1:6" x14ac:dyDescent="0.35">
      <c r="A467" s="3"/>
      <c r="B467" s="3"/>
      <c r="C467" s="2" t="s">
        <v>607</v>
      </c>
      <c r="D467" s="3"/>
      <c r="E467" s="3"/>
      <c r="F467" s="3"/>
    </row>
    <row r="468" spans="1:6" x14ac:dyDescent="0.35">
      <c r="A468" s="3"/>
      <c r="B468" s="3"/>
      <c r="C468" s="2" t="s">
        <v>607</v>
      </c>
      <c r="D468" s="3"/>
      <c r="E468" s="3"/>
      <c r="F468" s="3"/>
    </row>
    <row r="469" spans="1:6" x14ac:dyDescent="0.35">
      <c r="A469" s="3"/>
      <c r="B469" s="3"/>
      <c r="C469" s="2" t="s">
        <v>607</v>
      </c>
      <c r="D469" s="3"/>
      <c r="E469" s="3"/>
      <c r="F469" s="3"/>
    </row>
    <row r="470" spans="1:6" x14ac:dyDescent="0.35">
      <c r="A470" s="3"/>
      <c r="B470" s="3"/>
      <c r="C470" s="2" t="s">
        <v>607</v>
      </c>
      <c r="D470" s="3"/>
      <c r="E470" s="3"/>
      <c r="F470" s="3"/>
    </row>
    <row r="471" spans="1:6" x14ac:dyDescent="0.35">
      <c r="A471" s="3"/>
      <c r="B471" s="3"/>
      <c r="C471" s="2" t="s">
        <v>607</v>
      </c>
      <c r="D471" s="3"/>
      <c r="E471" s="3"/>
      <c r="F471" s="3"/>
    </row>
    <row r="472" spans="1:6" x14ac:dyDescent="0.35">
      <c r="A472" s="3"/>
      <c r="B472" s="3"/>
      <c r="C472" s="2" t="s">
        <v>607</v>
      </c>
      <c r="D472" s="3"/>
      <c r="E472" s="3"/>
      <c r="F472" s="3"/>
    </row>
    <row r="473" spans="1:6" x14ac:dyDescent="0.35">
      <c r="A473" s="3"/>
      <c r="B473" s="3"/>
      <c r="C473" s="2" t="s">
        <v>607</v>
      </c>
      <c r="D473" s="3"/>
      <c r="E473" s="3"/>
      <c r="F473" s="3"/>
    </row>
    <row r="474" spans="1:6" x14ac:dyDescent="0.35">
      <c r="A474" s="3"/>
      <c r="B474" s="3"/>
      <c r="C474" s="2" t="s">
        <v>607</v>
      </c>
      <c r="D474" s="3"/>
      <c r="E474" s="3"/>
      <c r="F474" s="3"/>
    </row>
    <row r="475" spans="1:6" x14ac:dyDescent="0.35">
      <c r="A475" s="3"/>
      <c r="B475" s="3"/>
      <c r="C475" s="2" t="s">
        <v>607</v>
      </c>
      <c r="D475" s="3"/>
      <c r="E475" s="3"/>
      <c r="F475" s="3"/>
    </row>
    <row r="476" spans="1:6" x14ac:dyDescent="0.35">
      <c r="A476" s="3"/>
      <c r="B476" s="3"/>
      <c r="C476" s="2" t="s">
        <v>607</v>
      </c>
      <c r="D476" s="3"/>
      <c r="E476" s="3"/>
      <c r="F476" s="3"/>
    </row>
    <row r="477" spans="1:6" x14ac:dyDescent="0.35">
      <c r="A477" s="3"/>
      <c r="B477" s="3"/>
      <c r="C477" s="2" t="s">
        <v>607</v>
      </c>
      <c r="D477" s="3"/>
      <c r="E477" s="3"/>
      <c r="F477" s="3"/>
    </row>
    <row r="478" spans="1:6" x14ac:dyDescent="0.35">
      <c r="A478" s="3"/>
      <c r="B478" s="3"/>
      <c r="C478" s="2" t="s">
        <v>607</v>
      </c>
      <c r="D478" s="3"/>
      <c r="E478" s="3"/>
      <c r="F478" s="3"/>
    </row>
    <row r="479" spans="1:6" x14ac:dyDescent="0.35">
      <c r="A479" s="3"/>
      <c r="B479" s="3"/>
      <c r="C479" s="2" t="s">
        <v>607</v>
      </c>
      <c r="D479" s="3"/>
      <c r="E479" s="3"/>
      <c r="F479" s="3"/>
    </row>
    <row r="480" spans="1:6" x14ac:dyDescent="0.35">
      <c r="A480" s="3"/>
      <c r="B480" s="3"/>
      <c r="C480" s="2" t="s">
        <v>607</v>
      </c>
      <c r="D480" s="3"/>
      <c r="E480" s="3"/>
      <c r="F480" s="3"/>
    </row>
    <row r="481" spans="1:6" x14ac:dyDescent="0.35">
      <c r="A481" s="3"/>
      <c r="B481" s="3"/>
      <c r="C481" s="2" t="s">
        <v>607</v>
      </c>
      <c r="D481" s="3"/>
      <c r="E481" s="3"/>
      <c r="F481" s="3"/>
    </row>
    <row r="482" spans="1:6" x14ac:dyDescent="0.35">
      <c r="A482" s="3"/>
      <c r="B482" s="3"/>
      <c r="C482" s="2" t="s">
        <v>607</v>
      </c>
      <c r="D482" s="3"/>
      <c r="E482" s="3"/>
      <c r="F482" s="3"/>
    </row>
    <row r="483" spans="1:6" x14ac:dyDescent="0.35">
      <c r="A483" s="3"/>
      <c r="B483" s="3"/>
      <c r="C483" s="2" t="s">
        <v>607</v>
      </c>
      <c r="D483" s="3"/>
      <c r="E483" s="3"/>
      <c r="F483" s="3"/>
    </row>
    <row r="484" spans="1:6" x14ac:dyDescent="0.35">
      <c r="A484" s="3"/>
      <c r="B484" s="3"/>
      <c r="C484" s="2" t="s">
        <v>607</v>
      </c>
      <c r="D484" s="3"/>
      <c r="E484" s="3"/>
      <c r="F484" s="3"/>
    </row>
    <row r="485" spans="1:6" x14ac:dyDescent="0.35">
      <c r="A485" s="3"/>
      <c r="B485" s="3"/>
      <c r="C485" s="2" t="s">
        <v>607</v>
      </c>
      <c r="D485" s="3"/>
      <c r="E485" s="3"/>
      <c r="F485" s="3"/>
    </row>
    <row r="486" spans="1:6" x14ac:dyDescent="0.35">
      <c r="A486" s="3"/>
      <c r="B486" s="3"/>
      <c r="C486" s="2" t="s">
        <v>607</v>
      </c>
      <c r="D486" s="3"/>
      <c r="E486" s="3"/>
      <c r="F486" s="3"/>
    </row>
    <row r="487" spans="1:6" x14ac:dyDescent="0.35">
      <c r="A487" s="3"/>
      <c r="B487" s="3"/>
      <c r="C487" s="2" t="s">
        <v>607</v>
      </c>
      <c r="D487" s="3"/>
      <c r="E487" s="3"/>
      <c r="F487" s="3"/>
    </row>
    <row r="488" spans="1:6" x14ac:dyDescent="0.35">
      <c r="A488" s="3"/>
      <c r="B488" s="3"/>
      <c r="C488" s="2" t="s">
        <v>607</v>
      </c>
      <c r="D488" s="3"/>
      <c r="E488" s="3"/>
      <c r="F488" s="3"/>
    </row>
    <row r="489" spans="1:6" x14ac:dyDescent="0.35">
      <c r="A489" s="3"/>
      <c r="B489" s="3"/>
      <c r="C489" s="2" t="s">
        <v>607</v>
      </c>
      <c r="D489" s="3"/>
      <c r="E489" s="3"/>
      <c r="F489" s="3"/>
    </row>
    <row r="490" spans="1:6" x14ac:dyDescent="0.35">
      <c r="A490" s="3"/>
      <c r="B490" s="3"/>
      <c r="C490" s="2" t="s">
        <v>607</v>
      </c>
      <c r="D490" s="3"/>
      <c r="E490" s="3"/>
      <c r="F490" s="3"/>
    </row>
    <row r="491" spans="1:6" x14ac:dyDescent="0.35">
      <c r="A491" s="3"/>
      <c r="B491" s="3"/>
      <c r="C491" s="2" t="s">
        <v>607</v>
      </c>
      <c r="D491" s="3"/>
      <c r="E491" s="3"/>
      <c r="F491" s="3"/>
    </row>
    <row r="492" spans="1:6" x14ac:dyDescent="0.35">
      <c r="A492" s="3"/>
      <c r="B492" s="3"/>
      <c r="C492" s="2" t="s">
        <v>607</v>
      </c>
      <c r="D492" s="3"/>
      <c r="E492" s="3"/>
      <c r="F492" s="3"/>
    </row>
    <row r="493" spans="1:6" x14ac:dyDescent="0.35">
      <c r="A493" s="3"/>
      <c r="B493" s="3"/>
      <c r="C493" s="2" t="s">
        <v>607</v>
      </c>
      <c r="D493" s="3"/>
      <c r="E493" s="3"/>
      <c r="F493" s="3"/>
    </row>
    <row r="494" spans="1:6" x14ac:dyDescent="0.35">
      <c r="A494" s="3"/>
      <c r="B494" s="3"/>
      <c r="C494" s="2" t="s">
        <v>607</v>
      </c>
      <c r="D494" s="3"/>
      <c r="E494" s="3"/>
      <c r="F494" s="3"/>
    </row>
    <row r="495" spans="1:6" x14ac:dyDescent="0.35">
      <c r="A495" s="3"/>
      <c r="B495" s="3"/>
      <c r="C495" s="2" t="s">
        <v>607</v>
      </c>
      <c r="D495" s="3"/>
      <c r="E495" s="3"/>
      <c r="F495" s="3"/>
    </row>
    <row r="496" spans="1:6" x14ac:dyDescent="0.35">
      <c r="A496" s="3"/>
      <c r="B496" s="3"/>
      <c r="C496" s="2" t="s">
        <v>607</v>
      </c>
      <c r="D496" s="3"/>
      <c r="E496" s="3"/>
      <c r="F496" s="3"/>
    </row>
    <row r="497" spans="1:6" x14ac:dyDescent="0.35">
      <c r="A497" s="3"/>
      <c r="B497" s="3"/>
      <c r="C497" s="2" t="s">
        <v>607</v>
      </c>
      <c r="D497" s="3"/>
      <c r="E497" s="3"/>
      <c r="F497" s="3"/>
    </row>
    <row r="498" spans="1:6" x14ac:dyDescent="0.35">
      <c r="A498" s="3"/>
      <c r="B498" s="3"/>
      <c r="C498" s="2" t="s">
        <v>607</v>
      </c>
      <c r="D498" s="3"/>
      <c r="E498" s="3"/>
      <c r="F498" s="3"/>
    </row>
    <row r="499" spans="1:6" x14ac:dyDescent="0.35">
      <c r="A499" s="3"/>
      <c r="B499" s="3"/>
      <c r="C499" s="2" t="s">
        <v>607</v>
      </c>
      <c r="D499" s="3"/>
      <c r="E499" s="3"/>
      <c r="F499" s="3"/>
    </row>
    <row r="500" spans="1:6" x14ac:dyDescent="0.35">
      <c r="A500" s="3"/>
      <c r="B500" s="3"/>
      <c r="C500" s="2" t="s">
        <v>607</v>
      </c>
      <c r="D500" s="3"/>
      <c r="E500" s="3"/>
      <c r="F500" s="3"/>
    </row>
    <row r="501" spans="1:6" x14ac:dyDescent="0.35">
      <c r="A501" s="3"/>
      <c r="B501" s="3"/>
      <c r="C501" s="2" t="s">
        <v>607</v>
      </c>
      <c r="D501" s="3"/>
      <c r="E501" s="3"/>
      <c r="F501" s="3"/>
    </row>
  </sheetData>
  <dataValidations count="1">
    <dataValidation type="list" allowBlank="1" showErrorMessage="1" sqref="C1:C501" xr:uid="{00000000-0002-0000-0000-000000000000}">
      <formula1>"1Q 2025,2Q 2025,3Q 2025,4Q 2025,1H 2025,2H 2025,Mid 2025,TBD 2025"</formula1>
    </dataValidation>
  </dataValidations>
  <hyperlinks>
    <hyperlink ref="F18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2025-03-31T20:49:55Z</dcterms:modified>
</cp:coreProperties>
</file>