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 filterPrivacy="1"/>
  <xr:revisionPtr revIDLastSave="668" documentId="11_AD4DF034E34935FBC521DCE2FF5B45405ADEDD89" xr6:coauthVersionLast="47" xr6:coauthVersionMax="47" xr10:uidLastSave="{D151CA43-F918-47A9-8D72-AA84D96CCE1B}"/>
  <bookViews>
    <workbookView xWindow="-98" yWindow="-98" windowWidth="20715" windowHeight="13155" activeTab="2" xr2:uid="{00000000-000D-0000-FFFF-FFFF00000000}"/>
  </bookViews>
  <sheets>
    <sheet name="SMCI" sheetId="1" r:id="rId1"/>
    <sheet name="Balance Sheet" sheetId="2" r:id="rId2"/>
    <sheet name="DCF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8" i="3" l="1"/>
  <c r="O21" i="3"/>
  <c r="P21" i="3" s="1"/>
  <c r="Q21" i="3" s="1"/>
  <c r="R21" i="3" s="1"/>
  <c r="S21" i="3" s="1"/>
  <c r="K21" i="3"/>
  <c r="J21" i="3"/>
  <c r="I21" i="3"/>
  <c r="I22" i="3" s="1"/>
  <c r="H21" i="3"/>
  <c r="M16" i="3"/>
  <c r="M5" i="3"/>
  <c r="G22" i="3"/>
  <c r="F22" i="3"/>
  <c r="H16" i="3"/>
  <c r="H15" i="3"/>
  <c r="H14" i="3"/>
  <c r="H13" i="3"/>
  <c r="H12" i="3"/>
  <c r="H11" i="3"/>
  <c r="H10" i="3"/>
  <c r="H9" i="3"/>
  <c r="H8" i="3"/>
  <c r="H7" i="3"/>
  <c r="H5" i="3"/>
  <c r="H4" i="3"/>
  <c r="K10" i="3"/>
  <c r="L7" i="2"/>
  <c r="L5" i="2"/>
  <c r="L4" i="2"/>
  <c r="F6" i="2"/>
  <c r="E16" i="2"/>
  <c r="E15" i="2"/>
  <c r="E9" i="2"/>
  <c r="E9" i="1"/>
  <c r="E6" i="1"/>
  <c r="L21" i="3" l="1"/>
  <c r="M21" i="3" s="1"/>
  <c r="N21" i="3" s="1"/>
  <c r="H22" i="3"/>
  <c r="H20" i="3" s="1"/>
  <c r="T21" i="3" l="1"/>
  <c r="I20" i="3"/>
  <c r="J22" i="3"/>
  <c r="T22" i="3" l="1"/>
  <c r="U21" i="3"/>
  <c r="V21" i="3" s="1"/>
  <c r="W21" i="3" s="1"/>
  <c r="X21" i="3" s="1"/>
  <c r="Y21" i="3" s="1"/>
  <c r="Z21" i="3" s="1"/>
  <c r="J20" i="3"/>
  <c r="K22" i="3"/>
  <c r="I24" i="3" l="1"/>
  <c r="U22" i="3"/>
  <c r="W22" i="3"/>
  <c r="V22" i="3"/>
  <c r="K20" i="3"/>
  <c r="X22" i="3"/>
  <c r="L22" i="3"/>
  <c r="L20" i="3" l="1"/>
  <c r="Y22" i="3"/>
  <c r="Z22" i="3"/>
  <c r="M22" i="3"/>
  <c r="M20" i="3" l="1"/>
  <c r="N22" i="3"/>
  <c r="N20" i="3" l="1"/>
  <c r="O22" i="3"/>
  <c r="O20" i="3" l="1"/>
  <c r="P22" i="3"/>
  <c r="P20" i="3" l="1"/>
  <c r="Q22" i="3"/>
  <c r="Q20" i="3" l="1"/>
  <c r="S22" i="3"/>
  <c r="R22" i="3"/>
  <c r="R20" i="3" l="1"/>
  <c r="S20" i="3" s="1"/>
  <c r="T20" i="3" s="1"/>
  <c r="U20" i="3" s="1"/>
  <c r="V20" i="3" s="1"/>
  <c r="W20" i="3" s="1"/>
  <c r="X20" i="3" s="1"/>
  <c r="Y20" i="3" s="1"/>
  <c r="Z20" i="3" s="1"/>
  <c r="J24" i="3"/>
</calcChain>
</file>

<file path=xl/sharedStrings.xml><?xml version="1.0" encoding="utf-8"?>
<sst xmlns="http://schemas.openxmlformats.org/spreadsheetml/2006/main" count="67" uniqueCount="65">
  <si>
    <t>Ticker</t>
  </si>
  <si>
    <t>$SMCI</t>
  </si>
  <si>
    <t>Price</t>
  </si>
  <si>
    <t>S/O</t>
  </si>
  <si>
    <t>EV</t>
  </si>
  <si>
    <t>MC</t>
  </si>
  <si>
    <t>Cash</t>
  </si>
  <si>
    <t>Debt</t>
  </si>
  <si>
    <t>March 31, 2024</t>
  </si>
  <si>
    <t>Assets</t>
  </si>
  <si>
    <t>Current Assets</t>
  </si>
  <si>
    <t>Non-Current Assets</t>
  </si>
  <si>
    <t>PPE</t>
  </si>
  <si>
    <t>Deferred Income Taxes</t>
  </si>
  <si>
    <t>Other Assets</t>
  </si>
  <si>
    <t xml:space="preserve">          TOTAL NON-CURRENT ASSETS</t>
  </si>
  <si>
    <t>Cash and cash equivalents</t>
  </si>
  <si>
    <t>Accounts Receivable, net of allowances</t>
  </si>
  <si>
    <t>Inventories</t>
  </si>
  <si>
    <t>Prepaid Expenses &amp; other current assets</t>
  </si>
  <si>
    <t xml:space="preserve">          TOTAL CURRENT ASSETS</t>
  </si>
  <si>
    <t>TOTAL ASSETS</t>
  </si>
  <si>
    <t>Liquidability (%)</t>
  </si>
  <si>
    <t>&gt; PPE</t>
  </si>
  <si>
    <t>Land</t>
  </si>
  <si>
    <t>Buildings</t>
  </si>
  <si>
    <t>Machinery &amp; equipment</t>
  </si>
  <si>
    <t>Building and leasehold improvements</t>
  </si>
  <si>
    <t>Furniture and fixtures</t>
  </si>
  <si>
    <t>Software</t>
  </si>
  <si>
    <t>Building Construction in progress</t>
  </si>
  <si>
    <t>Total Liabilities</t>
  </si>
  <si>
    <t>Asset Liquidation Value</t>
  </si>
  <si>
    <t>Company Liquidation Value</t>
  </si>
  <si>
    <t>Market Cap (@26$)</t>
  </si>
  <si>
    <t>Liquidation Value</t>
  </si>
  <si>
    <t>Q124</t>
  </si>
  <si>
    <t>Revenue</t>
  </si>
  <si>
    <t>Q123</t>
  </si>
  <si>
    <t>Q223</t>
  </si>
  <si>
    <t>Q323</t>
  </si>
  <si>
    <t>Q423</t>
  </si>
  <si>
    <t>Q224</t>
  </si>
  <si>
    <t>Q324</t>
  </si>
  <si>
    <t>Q424</t>
  </si>
  <si>
    <t>COGS</t>
  </si>
  <si>
    <t>Operating Expenses:</t>
  </si>
  <si>
    <t xml:space="preserve">   R&amp;D</t>
  </si>
  <si>
    <t xml:space="preserve">   Sales &amp; Marketing</t>
  </si>
  <si>
    <t xml:space="preserve">   General &amp; Administrative</t>
  </si>
  <si>
    <t>Total Operating Expenses</t>
  </si>
  <si>
    <t>Income from Operations</t>
  </si>
  <si>
    <t>Other income</t>
  </si>
  <si>
    <t>Interest Expense</t>
  </si>
  <si>
    <t>EBT</t>
  </si>
  <si>
    <t>Tax Benefit/Provision</t>
  </si>
  <si>
    <t>Net Income</t>
  </si>
  <si>
    <t>Q125</t>
  </si>
  <si>
    <t>Shares O/s</t>
  </si>
  <si>
    <t>Discount Rate = 10%</t>
  </si>
  <si>
    <t>Asset Liquidation Value (ALV)</t>
  </si>
  <si>
    <t>Discounted NI + ALV</t>
  </si>
  <si>
    <t>NOT TAKEN INTO ACCOUNT</t>
  </si>
  <si>
    <t>SINCE Q125 REPORT WAS UNAUDITED</t>
  </si>
  <si>
    <t>&lt;- $ per share based on ALV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</si>
</sst>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0\ &quot;€&quot;;[Red]\-#,##0.00\ &quot;€&quot;"/>
    <numFmt numFmtId="165" formatCode="_-* #,##0.00\ &quot;€&quot;_-;\-* #,##0.00\ &quot;€&quot;_-;_-* &quot;-&quot;??\ &quot;€&quot;_-;_-@_-"/>
    <numFmt numFmtId="166" formatCode="_-* #,##0.00_-;\-* #,##0.00_-;_-* &quot;-&quot;??_-;_-@_-"/>
    <numFmt numFmtId="167" formatCode="_-* #,##0_-;\-* #,##0_-;_-* &quot;-&quot;??_-;_-@_-"/>
    <numFmt numFmtId="168" formatCode="_-* #,##0.00\ _€_-;\-* #,##0.00\ _€_-;_-* &quot;-&quot;??\ _€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</fills>
  <borders count="6">
    <border>
      <left/>
      <right/>
      <top/>
      <bottom/>
      <diagonal/>
    </border>
    <border>
      <left/>
      <right/>
      <top/>
      <bottom style="thick">
        <color indexed="20"/>
      </bottom>
      <diagonal/>
    </border>
    <border>
      <left/>
      <right/>
      <top style="thick">
        <color indexed="20"/>
      </top>
      <bottom style="thin">
        <color indexed="20"/>
      </bottom>
      <diagonal/>
    </border>
    <border>
      <left/>
      <right/>
      <top style="thin">
        <color indexed="20"/>
      </top>
      <bottom style="thin">
        <color indexed="20"/>
      </bottom>
      <diagonal/>
    </border>
    <border>
      <left/>
      <right/>
      <top style="thin">
        <color indexed="20"/>
      </top>
      <bottom style="thick">
        <color indexed="20"/>
      </bottom>
      <diagonal/>
    </border>
    <border>
      <left/>
      <right/>
      <top style="thick">
        <color indexed="20"/>
      </top>
      <bottom style="thick">
        <color indexed="20"/>
      </bottom>
      <diagonal/>
    </border>
  </borders>
  <cellStyleXfs count="4">
    <xf numFmtId="0" fontId="0" fillId="0" borderId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2" borderId="0" applyNumberFormat="0" applyBorder="0" applyAlignment="0" applyProtection="0"/>
  </cellStyleXfs>
  <cellXfs count="35">
    <xf numFmtId="0" fontId="0" fillId="0" borderId="0" xfId="0"/>
    <xf numFmtId="167" fontId="0" fillId="0" borderId="0" xfId="1" applyNumberFormat="1" applyFont="1"/>
    <xf numFmtId="167" fontId="1" fillId="0" borderId="0" xfId="1" applyNumberFormat="1" applyFont="1" applyFill="1" applyBorder="1" applyAlignment="1"/>
    <xf numFmtId="167" fontId="1" fillId="0" borderId="1" xfId="1" applyNumberFormat="1" applyFont="1" applyFill="1" applyBorder="1" applyAlignment="1"/>
    <xf numFmtId="0" fontId="3" fillId="0" borderId="2" xfId="0" applyFont="1" applyBorder="1" applyAlignment="1">
      <alignment horizontal="left"/>
    </xf>
    <xf numFmtId="0" fontId="0" fillId="0" borderId="0" xfId="0" applyAlignment="1">
      <alignment horizontal="left"/>
    </xf>
    <xf numFmtId="167" fontId="1" fillId="0" borderId="3" xfId="1" applyNumberFormat="1" applyFont="1" applyFill="1" applyBorder="1" applyAlignment="1"/>
    <xf numFmtId="0" fontId="0" fillId="0" borderId="3" xfId="0" applyBorder="1" applyAlignment="1">
      <alignment horizontal="left"/>
    </xf>
    <xf numFmtId="0" fontId="0" fillId="0" borderId="2" xfId="0" applyBorder="1" applyAlignment="1">
      <alignment horizontal="right"/>
    </xf>
    <xf numFmtId="0" fontId="2" fillId="0" borderId="4" xfId="0" applyFont="1" applyBorder="1" applyAlignment="1">
      <alignment horizontal="left"/>
    </xf>
    <xf numFmtId="167" fontId="1" fillId="0" borderId="4" xfId="1" applyNumberFormat="1" applyFont="1" applyFill="1" applyBorder="1" applyAlignment="1"/>
    <xf numFmtId="167" fontId="0" fillId="0" borderId="0" xfId="0" applyNumberFormat="1"/>
    <xf numFmtId="0" fontId="2" fillId="0" borderId="0" xfId="0" applyFont="1" applyAlignment="1">
      <alignment horizontal="left"/>
    </xf>
    <xf numFmtId="166" fontId="0" fillId="0" borderId="0" xfId="0" applyNumberFormat="1"/>
    <xf numFmtId="167" fontId="0" fillId="0" borderId="3" xfId="0" applyNumberFormat="1" applyBorder="1"/>
    <xf numFmtId="167" fontId="0" fillId="0" borderId="4" xfId="0" applyNumberFormat="1" applyBorder="1"/>
    <xf numFmtId="166" fontId="0" fillId="0" borderId="1" xfId="0" applyNumberFormat="1" applyBorder="1"/>
    <xf numFmtId="165" fontId="2" fillId="0" borderId="0" xfId="0" applyNumberFormat="1" applyFont="1"/>
    <xf numFmtId="167" fontId="2" fillId="0" borderId="0" xfId="1" applyNumberFormat="1" applyFont="1" applyFill="1" applyBorder="1" applyAlignment="1"/>
    <xf numFmtId="9" fontId="0" fillId="0" borderId="0" xfId="2" applyFont="1" applyFill="1" applyBorder="1" applyAlignment="1">
      <alignment horizontal="center"/>
    </xf>
    <xf numFmtId="9" fontId="0" fillId="0" borderId="0" xfId="0" applyNumberFormat="1" applyAlignment="1">
      <alignment horizontal="center"/>
    </xf>
    <xf numFmtId="9" fontId="0" fillId="0" borderId="3" xfId="2" applyFont="1" applyFill="1" applyBorder="1" applyAlignment="1">
      <alignment horizontal="center"/>
    </xf>
    <xf numFmtId="9" fontId="0" fillId="0" borderId="4" xfId="2" applyFont="1" applyFill="1" applyBorder="1" applyAlignment="1">
      <alignment horizontal="center"/>
    </xf>
    <xf numFmtId="166" fontId="0" fillId="0" borderId="5" xfId="0" applyNumberFormat="1" applyBorder="1" applyAlignment="1">
      <alignment horizontal="right"/>
    </xf>
    <xf numFmtId="167" fontId="1" fillId="0" borderId="5" xfId="1" applyNumberFormat="1" applyFont="1" applyFill="1" applyBorder="1" applyAlignment="1">
      <alignment horizontal="right"/>
    </xf>
    <xf numFmtId="167" fontId="2" fillId="0" borderId="0" xfId="0" applyNumberFormat="1" applyFont="1"/>
    <xf numFmtId="0" fontId="1" fillId="2" borderId="0" xfId="3"/>
    <xf numFmtId="167" fontId="1" fillId="2" borderId="0" xfId="3" applyNumberFormat="1"/>
    <xf numFmtId="9" fontId="0" fillId="0" borderId="0" xfId="2" applyFont="1"/>
    <xf numFmtId="9" fontId="0" fillId="0" borderId="0" xfId="0" applyNumberFormat="1"/>
    <xf numFmtId="164" fontId="0" fillId="0" borderId="0" xfId="0" applyNumberFormat="1"/>
    <xf numFmtId="168" fontId="0" fillId="0" borderId="0" xfId="0" applyNumberFormat="1"/>
    <xf numFmtId="0" fontId="3" fillId="0" borderId="2" xfId="0" applyFont="1" applyBorder="1" applyAlignment="1">
      <alignment horizontal="left"/>
    </xf>
    <xf numFmtId="0" fontId="0" fillId="0" borderId="2" xfId="0" applyBorder="1" applyAlignment="1">
      <alignment horizontal="right"/>
    </xf>
    <xf numFmtId="0" fontId="0" fillId="0" borderId="2" xfId="0" applyBorder="1" applyAlignment="1">
      <alignment horizontal="left"/>
    </xf>
  </cellXfs>
  <cellStyles count="4">
    <cellStyle name="20% - Cor1" xfId="3" builtinId="30"/>
    <cellStyle name="Normal" xfId="0" builtinId="0"/>
    <cellStyle name="Percentagem" xfId="2" builtinId="5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2:E11"/>
  <sheetViews>
    <sheetView workbookViewId="0">
      <selection activeCell="F16" sqref="F16"/>
    </sheetView>
  </sheetViews>
  <sheetFormatPr defaultRowHeight="14.25" x14ac:dyDescent="0.45"/>
  <cols>
    <col min="4" max="4" width="6" bestFit="1" customWidth="1"/>
    <col min="5" max="5" width="14.3984375" bestFit="1" customWidth="1"/>
  </cols>
  <sheetData>
    <row r="2" spans="4:5" ht="14.65" thickBot="1" x14ac:dyDescent="0.5"/>
    <row r="3" spans="4:5" ht="16.149999999999999" thickTop="1" x14ac:dyDescent="0.5">
      <c r="D3" s="4" t="s">
        <v>0</v>
      </c>
      <c r="E3" s="8" t="s">
        <v>1</v>
      </c>
    </row>
    <row r="4" spans="4:5" x14ac:dyDescent="0.45">
      <c r="D4" s="5" t="s">
        <v>2</v>
      </c>
      <c r="E4" s="2">
        <v>26</v>
      </c>
    </row>
    <row r="5" spans="4:5" x14ac:dyDescent="0.45">
      <c r="D5" s="5" t="s">
        <v>3</v>
      </c>
      <c r="E5" s="2">
        <v>586880000</v>
      </c>
    </row>
    <row r="6" spans="4:5" x14ac:dyDescent="0.45">
      <c r="D6" s="7" t="s">
        <v>5</v>
      </c>
      <c r="E6" s="6">
        <f>E4*E5</f>
        <v>15258880000</v>
      </c>
    </row>
    <row r="7" spans="4:5" x14ac:dyDescent="0.45">
      <c r="D7" s="7" t="s">
        <v>6</v>
      </c>
      <c r="E7" s="6">
        <v>2115476000</v>
      </c>
    </row>
    <row r="8" spans="4:5" x14ac:dyDescent="0.45">
      <c r="D8" s="7" t="s">
        <v>7</v>
      </c>
      <c r="E8" s="6">
        <v>3768625000</v>
      </c>
    </row>
    <row r="9" spans="4:5" ht="14.65" thickBot="1" x14ac:dyDescent="0.5">
      <c r="D9" s="9" t="s">
        <v>4</v>
      </c>
      <c r="E9" s="10">
        <f>E6+E8-E7</f>
        <v>16912029000</v>
      </c>
    </row>
    <row r="10" spans="4:5" ht="14.65" thickTop="1" x14ac:dyDescent="0.45">
      <c r="E10" s="1"/>
    </row>
    <row r="11" spans="4:5" x14ac:dyDescent="0.45">
      <c r="E11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1FD1A-C44B-4E17-8F2C-78DF92F1C9C4}">
  <dimension ref="A1:L17"/>
  <sheetViews>
    <sheetView workbookViewId="0">
      <selection activeCell="D28" sqref="D28"/>
    </sheetView>
  </sheetViews>
  <sheetFormatPr defaultRowHeight="14.25" x14ac:dyDescent="0.45"/>
  <cols>
    <col min="4" max="4" width="32.59765625" bestFit="1" customWidth="1"/>
    <col min="5" max="5" width="9.86328125" bestFit="1" customWidth="1"/>
    <col min="6" max="6" width="13.46484375" bestFit="1" customWidth="1"/>
    <col min="8" max="8" width="13.86328125" bestFit="1" customWidth="1"/>
    <col min="9" max="9" width="9.86328125" bestFit="1" customWidth="1"/>
    <col min="11" max="11" width="23.265625" bestFit="1" customWidth="1"/>
    <col min="12" max="12" width="17.9296875" bestFit="1" customWidth="1"/>
  </cols>
  <sheetData>
    <row r="1" spans="1:12" x14ac:dyDescent="0.45">
      <c r="A1" t="s">
        <v>8</v>
      </c>
    </row>
    <row r="3" spans="1:12" ht="14.65" thickBot="1" x14ac:dyDescent="0.5"/>
    <row r="4" spans="1:12" ht="16.149999999999999" thickTop="1" x14ac:dyDescent="0.5">
      <c r="D4" s="32" t="s">
        <v>9</v>
      </c>
      <c r="E4" s="33"/>
      <c r="F4" s="8" t="s">
        <v>22</v>
      </c>
      <c r="H4" s="34" t="s">
        <v>23</v>
      </c>
      <c r="I4" s="34"/>
      <c r="K4" t="s">
        <v>32</v>
      </c>
      <c r="L4" s="11">
        <f>E6*0.39+E8+E11+E12*0.5+E13*0.7+E14</f>
        <v>6234885.1400000006</v>
      </c>
    </row>
    <row r="5" spans="1:12" x14ac:dyDescent="0.45">
      <c r="D5" s="12" t="s">
        <v>11</v>
      </c>
      <c r="H5" s="17" t="s">
        <v>24</v>
      </c>
      <c r="I5" s="18">
        <v>149394</v>
      </c>
      <c r="K5" t="s">
        <v>33</v>
      </c>
      <c r="L5" s="11">
        <f>L4-I14</f>
        <v>2466260.1400000006</v>
      </c>
    </row>
    <row r="6" spans="1:12" x14ac:dyDescent="0.45">
      <c r="D6" s="5" t="s">
        <v>12</v>
      </c>
      <c r="E6" s="2">
        <v>385566</v>
      </c>
      <c r="F6" s="19">
        <f>I5/E6</f>
        <v>0.38746673721230607</v>
      </c>
      <c r="H6" s="13" t="s">
        <v>25</v>
      </c>
      <c r="I6" s="2">
        <v>163510</v>
      </c>
      <c r="K6" t="s">
        <v>34</v>
      </c>
      <c r="L6" s="1">
        <v>15258880</v>
      </c>
    </row>
    <row r="7" spans="1:12" x14ac:dyDescent="0.45">
      <c r="D7" s="5" t="s">
        <v>13</v>
      </c>
      <c r="E7" s="2">
        <v>330248</v>
      </c>
      <c r="F7" s="20">
        <v>0</v>
      </c>
      <c r="H7" s="13" t="s">
        <v>26</v>
      </c>
      <c r="I7" s="2">
        <v>145549</v>
      </c>
      <c r="K7" s="25" t="s">
        <v>35</v>
      </c>
      <c r="L7" s="25">
        <f>L6-L5</f>
        <v>12792619.859999999</v>
      </c>
    </row>
    <row r="8" spans="1:12" x14ac:dyDescent="0.45">
      <c r="D8" s="5" t="s">
        <v>14</v>
      </c>
      <c r="E8" s="2">
        <v>83035</v>
      </c>
      <c r="F8" s="19">
        <v>1</v>
      </c>
      <c r="H8" s="13" t="s">
        <v>27</v>
      </c>
      <c r="I8" s="2">
        <v>65185</v>
      </c>
    </row>
    <row r="9" spans="1:12" x14ac:dyDescent="0.45">
      <c r="D9" s="7" t="s">
        <v>15</v>
      </c>
      <c r="E9" s="6">
        <f>SUM(E6:E8)</f>
        <v>798849</v>
      </c>
      <c r="F9" s="21"/>
      <c r="H9" s="13" t="s">
        <v>28</v>
      </c>
      <c r="I9" s="2">
        <v>40429</v>
      </c>
    </row>
    <row r="10" spans="1:12" x14ac:dyDescent="0.45">
      <c r="D10" s="12" t="s">
        <v>10</v>
      </c>
      <c r="E10" s="2"/>
      <c r="F10" s="19"/>
      <c r="H10" s="13" t="s">
        <v>29</v>
      </c>
      <c r="I10" s="2">
        <v>23935</v>
      </c>
    </row>
    <row r="11" spans="1:12" ht="14.65" thickBot="1" x14ac:dyDescent="0.5">
      <c r="D11" s="5" t="s">
        <v>16</v>
      </c>
      <c r="E11" s="2">
        <v>2115476</v>
      </c>
      <c r="F11" s="19">
        <v>1</v>
      </c>
      <c r="H11" s="16" t="s">
        <v>30</v>
      </c>
      <c r="I11" s="3">
        <v>6432</v>
      </c>
    </row>
    <row r="12" spans="1:12" ht="14.65" thickTop="1" x14ac:dyDescent="0.45">
      <c r="D12" s="5" t="s">
        <v>17</v>
      </c>
      <c r="E12" s="2">
        <v>1650153</v>
      </c>
      <c r="F12" s="19">
        <v>0.5</v>
      </c>
    </row>
    <row r="13" spans="1:12" ht="14.65" thickBot="1" x14ac:dyDescent="0.5">
      <c r="D13" s="5" t="s">
        <v>18</v>
      </c>
      <c r="E13" s="2">
        <v>4124587</v>
      </c>
      <c r="F13" s="19">
        <v>0.7</v>
      </c>
    </row>
    <row r="14" spans="1:12" ht="15" thickTop="1" thickBot="1" x14ac:dyDescent="0.5">
      <c r="D14" s="5" t="s">
        <v>19</v>
      </c>
      <c r="E14" s="2">
        <v>173716</v>
      </c>
      <c r="F14" s="19">
        <v>1</v>
      </c>
      <c r="H14" s="23" t="s">
        <v>31</v>
      </c>
      <c r="I14" s="24">
        <v>3768625</v>
      </c>
    </row>
    <row r="15" spans="1:12" ht="14.65" thickTop="1" x14ac:dyDescent="0.45">
      <c r="D15" s="7" t="s">
        <v>20</v>
      </c>
      <c r="E15" s="14">
        <f>SUM(E11:E14)</f>
        <v>8063932</v>
      </c>
      <c r="F15" s="21"/>
    </row>
    <row r="16" spans="1:12" ht="14.65" thickBot="1" x14ac:dyDescent="0.5">
      <c r="D16" s="9" t="s">
        <v>21</v>
      </c>
      <c r="E16" s="15">
        <f>E15+E9</f>
        <v>8862781</v>
      </c>
      <c r="F16" s="22"/>
    </row>
    <row r="17" ht="14.65" thickTop="1" x14ac:dyDescent="0.45"/>
  </sheetData>
  <mergeCells count="2">
    <mergeCell ref="D4:E4"/>
    <mergeCell ref="H4:I4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01788-2E1C-4681-91BF-917D2005338C}">
  <dimension ref="D1:AF28"/>
  <sheetViews>
    <sheetView tabSelected="1" topLeftCell="D1" workbookViewId="0">
      <selection activeCell="K29" sqref="K29"/>
    </sheetView>
  </sheetViews>
  <sheetFormatPr defaultRowHeight="14.25" x14ac:dyDescent="0.45"/>
  <cols>
    <col min="4" max="4" width="22.265625" bestFit="1" customWidth="1"/>
    <col min="5" max="5" width="12.3984375" bestFit="1" customWidth="1"/>
    <col min="6" max="6" width="12.33203125" bestFit="1" customWidth="1"/>
    <col min="7" max="7" width="16.33203125" customWidth="1"/>
    <col min="8" max="8" width="26.265625" customWidth="1"/>
    <col min="9" max="9" width="16.1328125" bestFit="1" customWidth="1"/>
    <col min="10" max="12" width="10.86328125" bestFit="1" customWidth="1"/>
    <col min="13" max="15" width="11.86328125" bestFit="1" customWidth="1"/>
    <col min="16" max="17" width="12.33203125" bestFit="1" customWidth="1"/>
    <col min="18" max="19" width="10.86328125" bestFit="1" customWidth="1"/>
    <col min="20" max="26" width="11.86328125" bestFit="1" customWidth="1"/>
  </cols>
  <sheetData>
    <row r="1" spans="4:18" x14ac:dyDescent="0.45">
      <c r="M1" t="s">
        <v>62</v>
      </c>
    </row>
    <row r="2" spans="4:18" x14ac:dyDescent="0.45">
      <c r="M2" t="s">
        <v>63</v>
      </c>
    </row>
    <row r="3" spans="4:18" x14ac:dyDescent="0.45">
      <c r="E3" t="s">
        <v>38</v>
      </c>
      <c r="F3" t="s">
        <v>39</v>
      </c>
      <c r="G3" t="s">
        <v>40</v>
      </c>
      <c r="H3" t="s">
        <v>41</v>
      </c>
      <c r="I3" t="s">
        <v>36</v>
      </c>
      <c r="J3" t="s">
        <v>42</v>
      </c>
      <c r="K3" t="s">
        <v>43</v>
      </c>
      <c r="L3" t="s">
        <v>44</v>
      </c>
      <c r="M3" t="s">
        <v>57</v>
      </c>
    </row>
    <row r="4" spans="4:18" x14ac:dyDescent="0.45">
      <c r="D4" s="26" t="s">
        <v>37</v>
      </c>
      <c r="E4" s="27">
        <v>1852130</v>
      </c>
      <c r="F4" s="27">
        <v>1803195</v>
      </c>
      <c r="G4" s="27">
        <v>1283296</v>
      </c>
      <c r="H4" s="27">
        <f>7123482-G4-F4-E4</f>
        <v>2184861</v>
      </c>
      <c r="I4" s="27">
        <v>2119672</v>
      </c>
      <c r="J4" s="27">
        <v>3664924</v>
      </c>
      <c r="K4" s="27">
        <v>3850066</v>
      </c>
      <c r="L4" s="27"/>
      <c r="M4" s="27">
        <v>5900000</v>
      </c>
      <c r="O4" s="11"/>
    </row>
    <row r="5" spans="4:18" x14ac:dyDescent="0.45">
      <c r="D5" t="s">
        <v>45</v>
      </c>
      <c r="E5" s="1">
        <v>1504595</v>
      </c>
      <c r="F5" s="1">
        <v>1465773</v>
      </c>
      <c r="G5" s="1">
        <v>1056937</v>
      </c>
      <c r="H5" s="1">
        <f>5840470-G5-F5-E5</f>
        <v>1813165</v>
      </c>
      <c r="I5" s="1">
        <v>1765981</v>
      </c>
      <c r="J5" s="1">
        <v>3100602</v>
      </c>
      <c r="K5" s="1">
        <v>3252698</v>
      </c>
      <c r="L5" s="1"/>
      <c r="M5" s="1">
        <f>5900000-784700</f>
        <v>5115300</v>
      </c>
    </row>
    <row r="6" spans="4:18" x14ac:dyDescent="0.45">
      <c r="D6" s="26" t="s">
        <v>46</v>
      </c>
      <c r="E6" s="27"/>
      <c r="F6" s="27"/>
      <c r="G6" s="27"/>
      <c r="H6" s="27"/>
      <c r="I6" s="27"/>
      <c r="J6" s="27"/>
      <c r="K6" s="27"/>
      <c r="L6" s="27"/>
      <c r="M6" s="27"/>
    </row>
    <row r="7" spans="4:18" x14ac:dyDescent="0.45">
      <c r="D7" t="s">
        <v>47</v>
      </c>
      <c r="E7" s="1">
        <v>74243</v>
      </c>
      <c r="F7" s="1">
        <v>70700</v>
      </c>
      <c r="G7" s="1">
        <v>77515</v>
      </c>
      <c r="H7" s="1">
        <f>307260-G7-F7-E7</f>
        <v>84802</v>
      </c>
      <c r="I7" s="1">
        <v>111027</v>
      </c>
      <c r="J7" s="1">
        <v>108824</v>
      </c>
      <c r="K7" s="1">
        <v>116226</v>
      </c>
      <c r="L7" s="1"/>
      <c r="M7" s="1"/>
    </row>
    <row r="8" spans="4:18" x14ac:dyDescent="0.45">
      <c r="D8" s="26" t="s">
        <v>48</v>
      </c>
      <c r="E8" s="27">
        <v>29363</v>
      </c>
      <c r="F8" s="27">
        <v>28445</v>
      </c>
      <c r="G8" s="27">
        <v>25312</v>
      </c>
      <c r="H8" s="27">
        <f>115025-G8-F8-E8</f>
        <v>31905</v>
      </c>
      <c r="I8" s="27">
        <v>37230</v>
      </c>
      <c r="J8" s="27">
        <v>46854</v>
      </c>
      <c r="K8" s="27">
        <v>49691</v>
      </c>
      <c r="L8" s="27"/>
      <c r="M8" s="27"/>
    </row>
    <row r="9" spans="4:18" x14ac:dyDescent="0.45">
      <c r="D9" t="s">
        <v>49</v>
      </c>
      <c r="E9" s="1">
        <v>23806</v>
      </c>
      <c r="F9" s="1">
        <v>23095</v>
      </c>
      <c r="G9" s="1">
        <v>24450</v>
      </c>
      <c r="H9" s="1">
        <f>99585-G9-F9-E9</f>
        <v>28234</v>
      </c>
      <c r="I9" s="1">
        <v>32924</v>
      </c>
      <c r="J9" s="1">
        <v>37180</v>
      </c>
      <c r="K9" s="1">
        <v>53137</v>
      </c>
      <c r="L9" s="1"/>
      <c r="M9" s="1"/>
    </row>
    <row r="10" spans="4:18" x14ac:dyDescent="0.45">
      <c r="D10" s="26" t="s">
        <v>50</v>
      </c>
      <c r="E10" s="27">
        <v>127412</v>
      </c>
      <c r="F10" s="27">
        <v>122240</v>
      </c>
      <c r="G10" s="27">
        <v>127277</v>
      </c>
      <c r="H10" s="27">
        <f>521870-G10-F10-E10</f>
        <v>144941</v>
      </c>
      <c r="I10" s="27">
        <v>181181</v>
      </c>
      <c r="J10" s="27">
        <v>192858</v>
      </c>
      <c r="K10" s="27">
        <f>K7+K9+K8</f>
        <v>219054</v>
      </c>
      <c r="L10" s="27"/>
      <c r="M10" s="27"/>
    </row>
    <row r="11" spans="4:18" x14ac:dyDescent="0.45">
      <c r="D11" t="s">
        <v>51</v>
      </c>
      <c r="E11" s="1">
        <v>220123</v>
      </c>
      <c r="F11" s="1">
        <v>215182</v>
      </c>
      <c r="G11" s="1">
        <v>99082</v>
      </c>
      <c r="H11" s="1">
        <f>761142-G11-F11-E11</f>
        <v>226755</v>
      </c>
      <c r="I11" s="1">
        <v>172510</v>
      </c>
      <c r="J11" s="1">
        <v>371464</v>
      </c>
      <c r="K11" s="1">
        <v>378314</v>
      </c>
      <c r="L11" s="1"/>
      <c r="M11" s="1"/>
    </row>
    <row r="12" spans="4:18" x14ac:dyDescent="0.45">
      <c r="D12" s="26" t="s">
        <v>52</v>
      </c>
      <c r="E12" s="27">
        <v>8054</v>
      </c>
      <c r="F12" s="27">
        <v>-6335</v>
      </c>
      <c r="G12" s="27">
        <v>-78</v>
      </c>
      <c r="H12" s="27">
        <f>3646-G12-F12-E12</f>
        <v>2005</v>
      </c>
      <c r="I12" s="27">
        <v>6613</v>
      </c>
      <c r="J12" s="27">
        <v>-7886</v>
      </c>
      <c r="K12" s="27">
        <v>10035</v>
      </c>
      <c r="L12" s="27"/>
      <c r="M12" s="27"/>
    </row>
    <row r="13" spans="4:18" x14ac:dyDescent="0.45">
      <c r="D13" t="s">
        <v>53</v>
      </c>
      <c r="E13" s="1">
        <v>-3938</v>
      </c>
      <c r="F13" s="1">
        <v>-1756</v>
      </c>
      <c r="G13" s="1">
        <v>-1288</v>
      </c>
      <c r="H13" s="1">
        <f>-10491-G13-F13-E13</f>
        <v>-3509</v>
      </c>
      <c r="I13" s="1">
        <v>-1863</v>
      </c>
      <c r="J13" s="1">
        <v>-8131</v>
      </c>
      <c r="K13" s="1">
        <v>-6246</v>
      </c>
      <c r="L13" s="1"/>
      <c r="M13" s="1"/>
    </row>
    <row r="14" spans="4:18" x14ac:dyDescent="0.45">
      <c r="D14" s="26" t="s">
        <v>54</v>
      </c>
      <c r="E14" s="27">
        <v>224239</v>
      </c>
      <c r="F14" s="27">
        <v>207091</v>
      </c>
      <c r="G14" s="27">
        <v>97716</v>
      </c>
      <c r="H14" s="27">
        <f>754297-G14-F14-E14</f>
        <v>225251</v>
      </c>
      <c r="I14" s="27">
        <v>177260</v>
      </c>
      <c r="J14" s="27">
        <v>355447</v>
      </c>
      <c r="K14" s="27">
        <v>382103</v>
      </c>
      <c r="L14" s="27"/>
      <c r="M14" s="27"/>
    </row>
    <row r="15" spans="4:18" x14ac:dyDescent="0.45">
      <c r="D15" t="s">
        <v>55</v>
      </c>
      <c r="E15" s="1">
        <v>-38934</v>
      </c>
      <c r="F15" s="1">
        <v>-29573</v>
      </c>
      <c r="G15" s="1">
        <v>-10857</v>
      </c>
      <c r="H15" s="1">
        <f>-110666-G15-F15-E15</f>
        <v>-31302</v>
      </c>
      <c r="I15" s="1">
        <v>-20215</v>
      </c>
      <c r="J15" s="1">
        <v>-61503</v>
      </c>
      <c r="K15" s="1">
        <v>19983</v>
      </c>
      <c r="L15" s="1"/>
      <c r="M15" s="1"/>
    </row>
    <row r="16" spans="4:18" x14ac:dyDescent="0.45">
      <c r="D16" s="26" t="s">
        <v>56</v>
      </c>
      <c r="E16" s="27">
        <v>184416</v>
      </c>
      <c r="F16" s="27">
        <v>176167</v>
      </c>
      <c r="G16" s="27">
        <v>85846</v>
      </c>
      <c r="H16" s="27">
        <f>639998-G16-F16-E16</f>
        <v>193569</v>
      </c>
      <c r="I16" s="27">
        <v>156995</v>
      </c>
      <c r="J16" s="27">
        <v>295968</v>
      </c>
      <c r="K16" s="27">
        <v>402459</v>
      </c>
      <c r="L16" s="27"/>
      <c r="M16" s="27">
        <f>0.7*586880</f>
        <v>410816</v>
      </c>
      <c r="N16" s="13"/>
      <c r="P16" s="31"/>
      <c r="Q16" s="31"/>
      <c r="R16" s="31"/>
    </row>
    <row r="19" spans="4:32" x14ac:dyDescent="0.45">
      <c r="E19">
        <v>2021</v>
      </c>
      <c r="F19">
        <v>2022</v>
      </c>
      <c r="G19">
        <v>2023</v>
      </c>
      <c r="H19">
        <v>2024</v>
      </c>
      <c r="I19">
        <v>2025</v>
      </c>
      <c r="J19">
        <v>2026</v>
      </c>
      <c r="K19">
        <v>2027</v>
      </c>
      <c r="L19">
        <v>2028</v>
      </c>
      <c r="M19">
        <v>2029</v>
      </c>
      <c r="N19">
        <v>2030</v>
      </c>
      <c r="O19">
        <v>2031</v>
      </c>
      <c r="P19">
        <v>2032</v>
      </c>
      <c r="Q19">
        <v>2033</v>
      </c>
      <c r="R19">
        <v>2034</v>
      </c>
      <c r="S19">
        <v>2035</v>
      </c>
      <c r="T19">
        <v>2036</v>
      </c>
      <c r="U19">
        <v>2037</v>
      </c>
      <c r="V19">
        <v>2038</v>
      </c>
      <c r="W19">
        <v>2039</v>
      </c>
      <c r="X19">
        <v>2040</v>
      </c>
      <c r="Y19">
        <v>2041</v>
      </c>
      <c r="Z19">
        <v>2042</v>
      </c>
    </row>
    <row r="20" spans="4:32" x14ac:dyDescent="0.45">
      <c r="D20" t="s">
        <v>37</v>
      </c>
      <c r="E20" s="1">
        <v>3557422</v>
      </c>
      <c r="F20" s="1">
        <v>5196099</v>
      </c>
      <c r="G20" s="1">
        <v>7123482</v>
      </c>
      <c r="H20" s="1">
        <f>G20*(1+H22)</f>
        <v>11397571.200000001</v>
      </c>
      <c r="I20" s="1">
        <f t="shared" ref="I20:Z20" si="0">H20*(1+I22)</f>
        <v>15956599.68</v>
      </c>
      <c r="J20" s="1">
        <f t="shared" si="0"/>
        <v>19147919.616</v>
      </c>
      <c r="K20" s="1">
        <f t="shared" si="0"/>
        <v>22977503.5392</v>
      </c>
      <c r="L20" s="1">
        <f t="shared" si="0"/>
        <v>27573004.24704</v>
      </c>
      <c r="M20" s="1">
        <f t="shared" si="0"/>
        <v>33087605.096447997</v>
      </c>
      <c r="N20" s="1">
        <f t="shared" si="0"/>
        <v>39705126.115737595</v>
      </c>
      <c r="O20" s="1">
        <f t="shared" si="0"/>
        <v>43675638.727311358</v>
      </c>
      <c r="P20" s="1">
        <f t="shared" si="0"/>
        <v>48043202.6000425</v>
      </c>
      <c r="Q20" s="1">
        <f t="shared" si="0"/>
        <v>52847522.860046752</v>
      </c>
      <c r="R20" s="1">
        <f t="shared" si="0"/>
        <v>58132275.146051429</v>
      </c>
      <c r="S20" s="1">
        <f t="shared" si="0"/>
        <v>63945502.660656579</v>
      </c>
      <c r="T20" s="1">
        <f t="shared" si="0"/>
        <v>70340052.926722243</v>
      </c>
      <c r="U20" s="1">
        <f t="shared" si="0"/>
        <v>77374058.219394475</v>
      </c>
      <c r="V20" s="1">
        <f t="shared" si="0"/>
        <v>77374058.219394475</v>
      </c>
      <c r="W20" s="1">
        <f t="shared" si="0"/>
        <v>77374058.219394475</v>
      </c>
      <c r="X20" s="1">
        <f t="shared" si="0"/>
        <v>77374058.219394475</v>
      </c>
      <c r="Y20" s="1">
        <f t="shared" si="0"/>
        <v>77374058.219394475</v>
      </c>
      <c r="Z20" s="1">
        <f t="shared" si="0"/>
        <v>77374058.219394475</v>
      </c>
    </row>
    <row r="21" spans="4:32" x14ac:dyDescent="0.45">
      <c r="D21" t="s">
        <v>56</v>
      </c>
      <c r="E21" s="1">
        <v>111865</v>
      </c>
      <c r="F21" s="1">
        <v>285163</v>
      </c>
      <c r="G21" s="1">
        <v>639998</v>
      </c>
      <c r="H21" s="11">
        <f>G21*1.6</f>
        <v>1023996.8</v>
      </c>
      <c r="I21" s="11">
        <f>H21*1.4</f>
        <v>1433595.52</v>
      </c>
      <c r="J21" s="11">
        <f>I21*1.2</f>
        <v>1720314.6240000001</v>
      </c>
      <c r="K21" s="11">
        <f>J21*1.2</f>
        <v>2064377.5488</v>
      </c>
      <c r="L21" s="11">
        <f>K21*1.2</f>
        <v>2477253.0585599998</v>
      </c>
      <c r="M21" s="11">
        <f t="shared" ref="M21:N21" si="1">L21*1.2</f>
        <v>2972703.6702719997</v>
      </c>
      <c r="N21" s="11">
        <f t="shared" si="1"/>
        <v>3567244.4043263993</v>
      </c>
      <c r="O21" s="11">
        <f t="shared" ref="O21:U21" si="2">N21*1.1</f>
        <v>3923968.8447590396</v>
      </c>
      <c r="P21" s="11">
        <f t="shared" si="2"/>
        <v>4316365.7292349441</v>
      </c>
      <c r="Q21" s="11">
        <f t="shared" si="2"/>
        <v>4748002.3021584386</v>
      </c>
      <c r="R21" s="11">
        <f t="shared" si="2"/>
        <v>5222802.5323742833</v>
      </c>
      <c r="S21" s="11">
        <f t="shared" si="2"/>
        <v>5745082.7856117124</v>
      </c>
      <c r="T21" s="11">
        <f t="shared" si="2"/>
        <v>6319591.0641728844</v>
      </c>
      <c r="U21" s="11">
        <f t="shared" si="2"/>
        <v>6951550.1705901735</v>
      </c>
      <c r="V21" s="11">
        <f>U21</f>
        <v>6951550.1705901735</v>
      </c>
      <c r="W21" s="11">
        <f>V21</f>
        <v>6951550.1705901735</v>
      </c>
      <c r="X21" s="11">
        <f>W21</f>
        <v>6951550.1705901735</v>
      </c>
      <c r="Y21" s="11">
        <f>X21</f>
        <v>6951550.1705901735</v>
      </c>
      <c r="Z21" s="11">
        <f>Y21</f>
        <v>6951550.1705901735</v>
      </c>
      <c r="AA21" s="11"/>
      <c r="AB21" s="11"/>
      <c r="AC21" s="11"/>
      <c r="AD21" s="11"/>
      <c r="AE21" s="11"/>
      <c r="AF21" s="11"/>
    </row>
    <row r="22" spans="4:32" x14ac:dyDescent="0.45">
      <c r="F22" s="28">
        <f>F21/E21</f>
        <v>2.549170875608993</v>
      </c>
      <c r="G22" s="28">
        <f>G21/F21</f>
        <v>2.2443234220428319</v>
      </c>
      <c r="H22" s="28">
        <f>(H21-G21)/G21</f>
        <v>0.60000000000000009</v>
      </c>
      <c r="I22" s="28">
        <f t="shared" ref="I22:R22" si="3">(I21-H21)/H21</f>
        <v>0.39999999999999997</v>
      </c>
      <c r="J22" s="28">
        <f t="shared" si="3"/>
        <v>0.20000000000000004</v>
      </c>
      <c r="K22" s="28">
        <f t="shared" si="3"/>
        <v>0.19999999999999996</v>
      </c>
      <c r="L22" s="28">
        <f t="shared" si="3"/>
        <v>0.1999999999999999</v>
      </c>
      <c r="M22" s="28">
        <f t="shared" si="3"/>
        <v>0.19999999999999996</v>
      </c>
      <c r="N22" s="28">
        <f t="shared" si="3"/>
        <v>0.1999999999999999</v>
      </c>
      <c r="O22" s="28">
        <f t="shared" si="3"/>
        <v>0.10000000000000009</v>
      </c>
      <c r="P22" s="28">
        <f t="shared" si="3"/>
        <v>0.10000000000000014</v>
      </c>
      <c r="Q22" s="28">
        <f t="shared" si="3"/>
        <v>0.10000000000000002</v>
      </c>
      <c r="R22" s="28">
        <f t="shared" si="3"/>
        <v>0.10000000000000017</v>
      </c>
      <c r="S22" s="28">
        <f t="shared" ref="S22" si="4">(S21-R21)/R21</f>
        <v>0.10000000000000014</v>
      </c>
      <c r="T22" s="28">
        <f t="shared" ref="T22" si="5">(T21-S21)/S21</f>
        <v>0.10000000000000014</v>
      </c>
      <c r="U22" s="28">
        <f t="shared" ref="U22" si="6">(U21-T21)/T21</f>
        <v>0.10000000000000009</v>
      </c>
      <c r="V22" s="28">
        <f t="shared" ref="V22" si="7">(V21-U21)/U21</f>
        <v>0</v>
      </c>
      <c r="W22" s="28">
        <f t="shared" ref="W22" si="8">(W21-V21)/V21</f>
        <v>0</v>
      </c>
      <c r="X22" s="28">
        <f t="shared" ref="X22" si="9">(X21-W21)/W21</f>
        <v>0</v>
      </c>
      <c r="Y22" s="28">
        <f t="shared" ref="Y22" si="10">(Y21-X21)/X21</f>
        <v>0</v>
      </c>
      <c r="Z22" s="28">
        <f t="shared" ref="Z22" si="11">(Z21-Y21)/Y21</f>
        <v>0</v>
      </c>
    </row>
    <row r="24" spans="4:32" x14ac:dyDescent="0.45">
      <c r="G24" s="29"/>
      <c r="H24" t="s">
        <v>61</v>
      </c>
      <c r="I24" s="30">
        <f>12792620+NPV(10%,H21:ZZ21)</f>
        <v>42410751.969132923</v>
      </c>
      <c r="J24">
        <f>I24/I27</f>
        <v>72.2647763923339</v>
      </c>
    </row>
    <row r="25" spans="4:32" x14ac:dyDescent="0.45">
      <c r="H25" t="s">
        <v>59</v>
      </c>
    </row>
    <row r="27" spans="4:32" x14ac:dyDescent="0.45">
      <c r="H27" t="s">
        <v>58</v>
      </c>
      <c r="I27" s="2">
        <v>586880</v>
      </c>
    </row>
    <row r="28" spans="4:32" x14ac:dyDescent="0.45">
      <c r="H28" t="s">
        <v>60</v>
      </c>
      <c r="I28" s="1">
        <v>12792620</v>
      </c>
      <c r="J28" s="11">
        <f>I28/I27</f>
        <v>21.797675845147218</v>
      </c>
      <c r="K28" t="s">
        <v>64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SMCI</vt:lpstr>
      <vt:lpstr>Balance Sheet</vt:lpstr>
      <vt:lpstr>DCF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2025-03-11T16:37:55Z</dcterms:created>
  <dcterms:modified xsi:type="dcterms:W3CDTF">2025-03-11T16:37:57Z</dcterms:modified>
</cp:coreProperties>
</file>