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\SEMESTER 7\Machine Learning\Tugas Kelompok\"/>
    </mc:Choice>
  </mc:AlternateContent>
  <xr:revisionPtr revIDLastSave="0" documentId="13_ncr:1_{8F748314-AC63-4088-AEC5-A5E6B4D54BB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Dataset Ruma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37" i="1" l="1"/>
  <c r="K137" i="1"/>
  <c r="J137" i="1"/>
  <c r="H137" i="1"/>
  <c r="G137" i="1"/>
  <c r="F13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57" i="1"/>
  <c r="C156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34" i="1"/>
  <c r="C133" i="1"/>
  <c r="N129" i="1"/>
  <c r="M129" i="1"/>
  <c r="L129" i="1"/>
  <c r="J129" i="1"/>
  <c r="I129" i="1"/>
  <c r="H129" i="1"/>
  <c r="FQ99" i="1"/>
  <c r="FP99" i="1"/>
  <c r="FO99" i="1"/>
  <c r="FM99" i="1"/>
  <c r="FL99" i="1"/>
  <c r="FK99" i="1"/>
  <c r="FH99" i="1"/>
  <c r="FG99" i="1"/>
  <c r="FF99" i="1"/>
  <c r="FD99" i="1"/>
  <c r="FC99" i="1"/>
  <c r="FB99" i="1"/>
  <c r="ES99" i="1"/>
  <c r="EY99" i="1"/>
  <c r="EU99" i="1"/>
  <c r="ET99" i="1"/>
  <c r="EX99" i="1"/>
  <c r="EW99" i="1"/>
  <c r="EQ99" i="1"/>
  <c r="EP99" i="1"/>
  <c r="EO99" i="1"/>
  <c r="EM99" i="1"/>
  <c r="EL99" i="1"/>
  <c r="EK99" i="1"/>
  <c r="EI99" i="1"/>
  <c r="EH99" i="1"/>
  <c r="EG99" i="1"/>
  <c r="EE99" i="1"/>
  <c r="ED99" i="1"/>
  <c r="EC99" i="1"/>
  <c r="EA99" i="1"/>
  <c r="DZ99" i="1"/>
  <c r="DY99" i="1"/>
  <c r="DW99" i="1"/>
  <c r="DV99" i="1"/>
  <c r="DU99" i="1"/>
  <c r="DS99" i="1"/>
  <c r="DR99" i="1"/>
  <c r="DQ99" i="1"/>
  <c r="DO99" i="1"/>
  <c r="DN99" i="1"/>
  <c r="DM99" i="1"/>
  <c r="DK99" i="1"/>
  <c r="DJ99" i="1"/>
  <c r="DI99" i="1"/>
  <c r="DG99" i="1"/>
  <c r="DF99" i="1"/>
  <c r="DE99" i="1"/>
  <c r="DC99" i="1"/>
  <c r="DB99" i="1"/>
  <c r="DA99" i="1"/>
  <c r="CY99" i="1"/>
  <c r="CX99" i="1"/>
  <c r="CW99" i="1"/>
  <c r="CU99" i="1"/>
  <c r="CT99" i="1"/>
  <c r="CS99" i="1"/>
  <c r="CQ99" i="1"/>
  <c r="CP99" i="1"/>
  <c r="CO99" i="1"/>
  <c r="CM99" i="1"/>
  <c r="CL99" i="1"/>
  <c r="CK99" i="1"/>
  <c r="CI99" i="1"/>
  <c r="CH99" i="1"/>
  <c r="CG99" i="1"/>
  <c r="CE99" i="1"/>
  <c r="CD99" i="1"/>
  <c r="CC99" i="1"/>
  <c r="CA99" i="1"/>
  <c r="BZ99" i="1"/>
  <c r="BY99" i="1"/>
  <c r="BW99" i="1"/>
  <c r="BV99" i="1"/>
  <c r="BU99" i="1"/>
  <c r="BS99" i="1"/>
  <c r="BR99" i="1"/>
  <c r="BQ99" i="1"/>
  <c r="BO99" i="1"/>
  <c r="BN99" i="1"/>
  <c r="BM99" i="1"/>
  <c r="BK99" i="1"/>
  <c r="BJ99" i="1"/>
  <c r="BI99" i="1"/>
  <c r="BG99" i="1"/>
  <c r="BF99" i="1"/>
  <c r="BE99" i="1"/>
  <c r="BC99" i="1"/>
  <c r="BB99" i="1"/>
  <c r="BA99" i="1"/>
  <c r="AS99" i="1"/>
  <c r="AY99" i="1"/>
  <c r="AX99" i="1"/>
  <c r="AW99" i="1"/>
  <c r="AU99" i="1"/>
  <c r="AT99" i="1"/>
  <c r="AQ99" i="1"/>
  <c r="AP99" i="1"/>
  <c r="AO99" i="1"/>
  <c r="AM99" i="1"/>
  <c r="AL99" i="1"/>
  <c r="AK99" i="1"/>
  <c r="AI99" i="1"/>
  <c r="AH99" i="1"/>
  <c r="AG99" i="1"/>
  <c r="AC99" i="1"/>
  <c r="AE99" i="1"/>
  <c r="AD99" i="1"/>
  <c r="AA99" i="1"/>
  <c r="Z99" i="1"/>
  <c r="Y99" i="1"/>
  <c r="W99" i="1"/>
  <c r="V99" i="1"/>
  <c r="U99" i="1"/>
  <c r="S99" i="1"/>
  <c r="R99" i="1"/>
  <c r="Q99" i="1"/>
  <c r="O99" i="1"/>
  <c r="N99" i="1"/>
  <c r="M99" i="1"/>
  <c r="K99" i="1"/>
  <c r="J99" i="1"/>
  <c r="I99" i="1"/>
  <c r="G99" i="1"/>
  <c r="F99" i="1"/>
  <c r="E99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98" i="1"/>
  <c r="C97" i="1"/>
  <c r="DK66" i="1"/>
  <c r="DJ66" i="1"/>
  <c r="DI66" i="1"/>
  <c r="DG66" i="1"/>
  <c r="DF66" i="1"/>
  <c r="DE66" i="1"/>
  <c r="DC66" i="1"/>
  <c r="DB66" i="1"/>
  <c r="DA66" i="1"/>
  <c r="CY66" i="1"/>
  <c r="CX66" i="1"/>
  <c r="CW66" i="1"/>
  <c r="CU66" i="1"/>
  <c r="CT66" i="1"/>
  <c r="CS66" i="1"/>
  <c r="CQ66" i="1"/>
  <c r="CP66" i="1"/>
  <c r="CO66" i="1"/>
  <c r="CG66" i="1"/>
  <c r="CM66" i="1"/>
  <c r="CL66" i="1"/>
  <c r="CK66" i="1"/>
  <c r="CI66" i="1"/>
  <c r="CH66" i="1"/>
  <c r="CE66" i="1"/>
  <c r="CD66" i="1"/>
  <c r="CC66" i="1"/>
  <c r="CA66" i="1"/>
  <c r="BZ66" i="1"/>
  <c r="BY66" i="1"/>
  <c r="BW66" i="1"/>
  <c r="BV66" i="1"/>
  <c r="BU66" i="1"/>
  <c r="BS66" i="1"/>
  <c r="BR66" i="1"/>
  <c r="BQ66" i="1"/>
  <c r="BO66" i="1"/>
  <c r="BN66" i="1"/>
  <c r="BM66" i="1"/>
  <c r="BK66" i="1"/>
  <c r="BJ66" i="1"/>
  <c r="BI66" i="1"/>
  <c r="BA66" i="1"/>
  <c r="BG66" i="1"/>
  <c r="BF66" i="1"/>
  <c r="BE66" i="1"/>
  <c r="BC66" i="1"/>
  <c r="BB66" i="1"/>
  <c r="AS66" i="1"/>
  <c r="AY66" i="1"/>
  <c r="AX66" i="1"/>
  <c r="AW66" i="1"/>
  <c r="AU66" i="1"/>
  <c r="AT66" i="1"/>
  <c r="AQ66" i="1"/>
  <c r="AP66" i="1"/>
  <c r="AO66" i="1"/>
  <c r="AM66" i="1"/>
  <c r="AL66" i="1"/>
  <c r="AK66" i="1"/>
  <c r="AI66" i="1"/>
  <c r="AH66" i="1"/>
  <c r="AG66" i="1"/>
  <c r="AE66" i="1"/>
  <c r="AD66" i="1"/>
  <c r="V66" i="1"/>
  <c r="AC66" i="1"/>
  <c r="AA66" i="1"/>
  <c r="Z66" i="1"/>
  <c r="Y66" i="1"/>
  <c r="W66" i="1"/>
  <c r="U66" i="1"/>
  <c r="S66" i="1"/>
  <c r="R66" i="1"/>
  <c r="Q66" i="1"/>
  <c r="O66" i="1"/>
  <c r="N66" i="1"/>
  <c r="M66" i="1"/>
  <c r="J66" i="1"/>
  <c r="K66" i="1"/>
  <c r="I66" i="1"/>
  <c r="G66" i="1"/>
  <c r="F66" i="1"/>
  <c r="E66" i="1"/>
  <c r="C88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67" i="1"/>
  <c r="C66" i="1"/>
  <c r="C42" i="1"/>
  <c r="EI35" i="1"/>
  <c r="EA35" i="1"/>
  <c r="EH35" i="1"/>
  <c r="EG35" i="1"/>
  <c r="EE35" i="1"/>
  <c r="ED35" i="1"/>
  <c r="EC35" i="1"/>
  <c r="DZ35" i="1"/>
  <c r="DY35" i="1"/>
  <c r="DW35" i="1"/>
  <c r="DO35" i="1"/>
  <c r="DG35" i="1"/>
  <c r="CY35" i="1"/>
  <c r="CQ35" i="1"/>
  <c r="CI35" i="1"/>
  <c r="CA35" i="1"/>
  <c r="BS35" i="1"/>
  <c r="BK35" i="1"/>
  <c r="BC35" i="1"/>
  <c r="AU35" i="1"/>
  <c r="AM35" i="1"/>
  <c r="AE35" i="1"/>
  <c r="W35" i="1"/>
  <c r="O35" i="1"/>
  <c r="DV35" i="1"/>
  <c r="DU35" i="1"/>
  <c r="DS35" i="1"/>
  <c r="DR35" i="1"/>
  <c r="DQ35" i="1"/>
  <c r="DN35" i="1"/>
  <c r="DM35" i="1"/>
  <c r="DK35" i="1"/>
  <c r="DJ35" i="1"/>
  <c r="DI35" i="1"/>
  <c r="DF35" i="1"/>
  <c r="DE35" i="1"/>
  <c r="DC35" i="1"/>
  <c r="DB35" i="1"/>
  <c r="DA35" i="1"/>
  <c r="CX35" i="1"/>
  <c r="CW35" i="1"/>
  <c r="CU35" i="1"/>
  <c r="CT35" i="1"/>
  <c r="CP35" i="1"/>
  <c r="CS35" i="1"/>
  <c r="CO35" i="1"/>
  <c r="CM35" i="1"/>
  <c r="CL35" i="1"/>
  <c r="CK35" i="1"/>
  <c r="CH35" i="1"/>
  <c r="CG35" i="1"/>
  <c r="CE35" i="1"/>
  <c r="CD35" i="1"/>
  <c r="CC35" i="1"/>
  <c r="BZ35" i="1"/>
  <c r="BY35" i="1"/>
  <c r="BW35" i="1"/>
  <c r="BV35" i="1"/>
  <c r="BU35" i="1"/>
  <c r="BR35" i="1"/>
  <c r="BQ35" i="1"/>
  <c r="BO35" i="1"/>
  <c r="BN35" i="1"/>
  <c r="BM35" i="1"/>
  <c r="BJ35" i="1"/>
  <c r="BI35" i="1"/>
  <c r="BG35" i="1"/>
  <c r="BF35" i="1"/>
  <c r="BE35" i="1"/>
  <c r="BA35" i="1"/>
  <c r="BB35" i="1"/>
  <c r="AY35" i="1"/>
  <c r="AX35" i="1"/>
  <c r="AW35" i="1"/>
  <c r="AT35" i="1"/>
  <c r="AS35" i="1"/>
  <c r="AQ35" i="1"/>
  <c r="AP35" i="1"/>
  <c r="AO35" i="1"/>
  <c r="AL35" i="1"/>
  <c r="AK35" i="1"/>
  <c r="AI35" i="1"/>
  <c r="AH35" i="1"/>
  <c r="AG35" i="1"/>
  <c r="AD35" i="1"/>
  <c r="AC35" i="1"/>
  <c r="AA35" i="1"/>
  <c r="Z35" i="1"/>
  <c r="Y35" i="1"/>
  <c r="V35" i="1"/>
  <c r="U35" i="1"/>
  <c r="S35" i="1"/>
  <c r="R35" i="1"/>
  <c r="Q35" i="1"/>
  <c r="N35" i="1"/>
  <c r="M35" i="1"/>
  <c r="E35" i="1"/>
  <c r="K35" i="1"/>
  <c r="F35" i="1"/>
  <c r="J35" i="1"/>
  <c r="I35" i="1"/>
  <c r="G35" i="1"/>
  <c r="C37" i="1"/>
  <c r="C38" i="1"/>
  <c r="C39" i="1"/>
  <c r="C40" i="1"/>
  <c r="C41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36" i="1"/>
  <c r="C35" i="1"/>
  <c r="BJ107" i="1" l="1"/>
  <c r="BR103" i="1"/>
  <c r="BR107" i="1"/>
  <c r="BJ103" i="1"/>
  <c r="BJ114" i="1" s="1"/>
  <c r="BR111" i="1"/>
  <c r="V103" i="1"/>
  <c r="BB103" i="1"/>
  <c r="BJ111" i="1"/>
  <c r="F111" i="1"/>
  <c r="AL111" i="1"/>
  <c r="DF70" i="1"/>
  <c r="CX70" i="1"/>
  <c r="CX74" i="1"/>
  <c r="BJ74" i="1"/>
  <c r="CP70" i="1"/>
  <c r="FL107" i="1"/>
  <c r="FL111" i="1"/>
  <c r="FL103" i="1"/>
  <c r="FC111" i="1"/>
  <c r="FC107" i="1"/>
  <c r="FC103" i="1"/>
  <c r="ET107" i="1"/>
  <c r="ET111" i="1"/>
  <c r="ET103" i="1"/>
  <c r="EL107" i="1"/>
  <c r="EL103" i="1"/>
  <c r="EL111" i="1"/>
  <c r="ED107" i="1"/>
  <c r="ED111" i="1"/>
  <c r="ED103" i="1"/>
  <c r="DV111" i="1"/>
  <c r="DV107" i="1"/>
  <c r="DV103" i="1"/>
  <c r="DN107" i="1"/>
  <c r="DN111" i="1"/>
  <c r="DN103" i="1"/>
  <c r="DF107" i="1"/>
  <c r="DF111" i="1"/>
  <c r="DF103" i="1"/>
  <c r="CX103" i="1"/>
  <c r="CX107" i="1"/>
  <c r="CX111" i="1"/>
  <c r="CP107" i="1"/>
  <c r="CP111" i="1"/>
  <c r="CP103" i="1"/>
  <c r="CH107" i="1"/>
  <c r="CH111" i="1"/>
  <c r="CH103" i="1"/>
  <c r="BZ111" i="1"/>
  <c r="BZ103" i="1"/>
  <c r="BZ107" i="1"/>
  <c r="DF78" i="1"/>
  <c r="N103" i="1"/>
  <c r="AD111" i="1"/>
  <c r="BR78" i="1"/>
  <c r="AD107" i="1"/>
  <c r="AD74" i="1"/>
  <c r="AT70" i="1"/>
  <c r="CP74" i="1"/>
  <c r="BB107" i="1"/>
  <c r="V70" i="1"/>
  <c r="V111" i="1"/>
  <c r="BB111" i="1"/>
  <c r="V78" i="1"/>
  <c r="F107" i="1"/>
  <c r="N111" i="1"/>
  <c r="DF74" i="1"/>
  <c r="DF81" i="1" s="1"/>
  <c r="D88" i="1" s="1"/>
  <c r="AL107" i="1"/>
  <c r="AD78" i="1"/>
  <c r="CX78" i="1"/>
  <c r="CX81" i="1" s="1"/>
  <c r="D87" i="1" s="1"/>
  <c r="BJ78" i="1"/>
  <c r="N107" i="1"/>
  <c r="BJ39" i="1"/>
  <c r="CH43" i="1"/>
  <c r="DV39" i="1"/>
  <c r="N78" i="1"/>
  <c r="BB78" i="1"/>
  <c r="V107" i="1"/>
  <c r="V114" i="1" s="1"/>
  <c r="CP78" i="1"/>
  <c r="V43" i="1"/>
  <c r="AL39" i="1"/>
  <c r="CX39" i="1"/>
  <c r="N74" i="1"/>
  <c r="AT78" i="1"/>
  <c r="BB74" i="1"/>
  <c r="BZ70" i="1"/>
  <c r="AD103" i="1"/>
  <c r="BZ74" i="1"/>
  <c r="AL103" i="1"/>
  <c r="AL114" i="1" s="1"/>
  <c r="N43" i="1"/>
  <c r="BB43" i="1"/>
  <c r="BZ43" i="1"/>
  <c r="DN39" i="1"/>
  <c r="F74" i="1"/>
  <c r="AD70" i="1"/>
  <c r="AL78" i="1"/>
  <c r="AT74" i="1"/>
  <c r="BZ78" i="1"/>
  <c r="AT103" i="1"/>
  <c r="F103" i="1"/>
  <c r="F114" i="1" s="1"/>
  <c r="V74" i="1"/>
  <c r="BR74" i="1"/>
  <c r="AT111" i="1"/>
  <c r="AT107" i="1"/>
  <c r="CH74" i="1"/>
  <c r="CH78" i="1"/>
  <c r="F39" i="1"/>
  <c r="CP43" i="1"/>
  <c r="DF39" i="1"/>
  <c r="DF47" i="1"/>
  <c r="BB70" i="1"/>
  <c r="BB81" i="1" s="1"/>
  <c r="D72" i="1" s="1"/>
  <c r="D73" i="1" s="1"/>
  <c r="D74" i="1" s="1"/>
  <c r="D75" i="1" s="1"/>
  <c r="D76" i="1" s="1"/>
  <c r="AT39" i="1"/>
  <c r="BR43" i="1"/>
  <c r="AT47" i="1"/>
  <c r="F43" i="1"/>
  <c r="AT43" i="1"/>
  <c r="CH39" i="1"/>
  <c r="DF43" i="1"/>
  <c r="BB47" i="1"/>
  <c r="DN47" i="1"/>
  <c r="N70" i="1"/>
  <c r="N81" i="1" s="1"/>
  <c r="D67" i="1" s="1"/>
  <c r="D81" i="1" s="1"/>
  <c r="AL70" i="1"/>
  <c r="BJ70" i="1"/>
  <c r="BJ47" i="1"/>
  <c r="DV47" i="1"/>
  <c r="AL74" i="1"/>
  <c r="BR70" i="1"/>
  <c r="BJ43" i="1"/>
  <c r="DV43" i="1"/>
  <c r="BR47" i="1"/>
  <c r="AL43" i="1"/>
  <c r="BZ39" i="1"/>
  <c r="CX43" i="1"/>
  <c r="N47" i="1"/>
  <c r="BZ47" i="1"/>
  <c r="F70" i="1"/>
  <c r="CH70" i="1"/>
  <c r="CH47" i="1"/>
  <c r="V47" i="1"/>
  <c r="F78" i="1"/>
  <c r="F47" i="1"/>
  <c r="AD39" i="1"/>
  <c r="BB39" i="1"/>
  <c r="BB50" i="1" s="1"/>
  <c r="DN43" i="1"/>
  <c r="DN50" i="1" s="1"/>
  <c r="D54" i="1" s="1"/>
  <c r="AD47" i="1"/>
  <c r="CP47" i="1"/>
  <c r="ED43" i="1"/>
  <c r="AD43" i="1"/>
  <c r="BR39" i="1"/>
  <c r="AL47" i="1"/>
  <c r="CX47" i="1"/>
  <c r="ED47" i="1"/>
  <c r="CP39" i="1"/>
  <c r="ED39" i="1"/>
  <c r="N39" i="1"/>
  <c r="V39" i="1"/>
  <c r="AD50" i="1" l="1"/>
  <c r="BR50" i="1"/>
  <c r="AT114" i="1"/>
  <c r="D102" i="1" s="1"/>
  <c r="N114" i="1"/>
  <c r="BR114" i="1"/>
  <c r="D136" i="1"/>
  <c r="D141" i="1" s="1"/>
  <c r="D142" i="1" s="1"/>
  <c r="D148" i="1" s="1"/>
  <c r="D38" i="1"/>
  <c r="D43" i="1" s="1"/>
  <c r="D44" i="1" s="1"/>
  <c r="D99" i="1"/>
  <c r="D158" i="1"/>
  <c r="N50" i="1"/>
  <c r="BJ81" i="1"/>
  <c r="D80" i="1" s="1"/>
  <c r="D97" i="1"/>
  <c r="D156" i="1"/>
  <c r="D105" i="1"/>
  <c r="D164" i="1"/>
  <c r="DN114" i="1"/>
  <c r="D161" i="1"/>
  <c r="D98" i="1"/>
  <c r="D157" i="1"/>
  <c r="D163" i="1" s="1"/>
  <c r="D104" i="1"/>
  <c r="D46" i="1"/>
  <c r="D144" i="1"/>
  <c r="D160" i="1"/>
  <c r="D101" i="1"/>
  <c r="D42" i="1"/>
  <c r="D140" i="1"/>
  <c r="AD81" i="1"/>
  <c r="D69" i="1" s="1"/>
  <c r="AD114" i="1"/>
  <c r="CX50" i="1"/>
  <c r="BB114" i="1"/>
  <c r="FL114" i="1"/>
  <c r="D118" i="1" s="1"/>
  <c r="FC114" i="1"/>
  <c r="D117" i="1" s="1"/>
  <c r="ET114" i="1"/>
  <c r="D119" i="1" s="1"/>
  <c r="EL114" i="1"/>
  <c r="D116" i="1" s="1"/>
  <c r="ED114" i="1"/>
  <c r="D115" i="1" s="1"/>
  <c r="DV114" i="1"/>
  <c r="D114" i="1" s="1"/>
  <c r="DF114" i="1"/>
  <c r="CX114" i="1"/>
  <c r="CP114" i="1"/>
  <c r="CH114" i="1"/>
  <c r="BZ114" i="1"/>
  <c r="CP81" i="1"/>
  <c r="D86" i="1" s="1"/>
  <c r="AL50" i="1"/>
  <c r="BZ81" i="1"/>
  <c r="D84" i="1" s="1"/>
  <c r="V81" i="1"/>
  <c r="D68" i="1" s="1"/>
  <c r="D82" i="1" s="1"/>
  <c r="F81" i="1"/>
  <c r="D79" i="1" s="1"/>
  <c r="AT81" i="1"/>
  <c r="D71" i="1" s="1"/>
  <c r="D78" i="1" s="1"/>
  <c r="BJ50" i="1"/>
  <c r="BR81" i="1"/>
  <c r="D83" i="1" s="1"/>
  <c r="F50" i="1"/>
  <c r="CH50" i="1"/>
  <c r="BZ50" i="1"/>
  <c r="V50" i="1"/>
  <c r="CH81" i="1"/>
  <c r="D85" i="1" s="1"/>
  <c r="DV50" i="1"/>
  <c r="D56" i="1" s="1"/>
  <c r="DF50" i="1"/>
  <c r="D52" i="1" s="1"/>
  <c r="ED50" i="1"/>
  <c r="D57" i="1" s="1"/>
  <c r="CP50" i="1"/>
  <c r="AL81" i="1"/>
  <c r="D70" i="1" s="1"/>
  <c r="AT50" i="1"/>
  <c r="D50" i="1" l="1"/>
  <c r="D55" i="1"/>
  <c r="D106" i="1"/>
  <c r="D165" i="1"/>
  <c r="D47" i="1"/>
  <c r="D145" i="1"/>
  <c r="D159" i="1"/>
  <c r="D100" i="1"/>
  <c r="D49" i="1"/>
  <c r="D147" i="1"/>
  <c r="D48" i="1"/>
  <c r="D146" i="1"/>
  <c r="D35" i="1"/>
  <c r="D133" i="1"/>
  <c r="D107" i="1"/>
  <c r="D166" i="1"/>
  <c r="D134" i="1"/>
  <c r="D139" i="1" s="1"/>
  <c r="D36" i="1"/>
  <c r="D41" i="1" s="1"/>
  <c r="D138" i="1"/>
  <c r="D40" i="1"/>
  <c r="D137" i="1"/>
  <c r="D39" i="1"/>
  <c r="D45" i="1"/>
  <c r="D143" i="1"/>
  <c r="D167" i="1"/>
  <c r="D113" i="1"/>
  <c r="D172" i="1"/>
  <c r="D108" i="1"/>
  <c r="D168" i="1"/>
  <c r="D109" i="1"/>
  <c r="D112" i="1"/>
  <c r="D171" i="1"/>
  <c r="D110" i="1"/>
  <c r="D169" i="1"/>
  <c r="D103" i="1"/>
  <c r="D162" i="1"/>
  <c r="D66" i="1"/>
  <c r="D135" i="1"/>
  <c r="D37" i="1"/>
  <c r="D111" i="1"/>
  <c r="D170" i="1"/>
  <c r="D51" i="1"/>
  <c r="D149" i="1"/>
  <c r="D77" i="1"/>
  <c r="D89" i="1"/>
  <c r="C125" i="1" s="1"/>
  <c r="D173" i="1" l="1"/>
  <c r="C178" i="1" s="1"/>
  <c r="D53" i="1"/>
  <c r="D58" i="1"/>
  <c r="C124" i="1" s="1"/>
  <c r="C127" i="1" s="1"/>
  <c r="D120" i="1"/>
  <c r="C126" i="1" s="1"/>
  <c r="D150" i="1"/>
  <c r="C177" i="1" s="1"/>
  <c r="C179" i="1" s="1"/>
</calcChain>
</file>

<file path=xl/sharedStrings.xml><?xml version="1.0" encoding="utf-8"?>
<sst xmlns="http://schemas.openxmlformats.org/spreadsheetml/2006/main" count="1568" uniqueCount="334">
  <si>
    <t>Tipe</t>
  </si>
  <si>
    <t>Luas Tanah</t>
  </si>
  <si>
    <t>Luas Bangunan</t>
  </si>
  <si>
    <t>Seruni</t>
  </si>
  <si>
    <t>Lily</t>
  </si>
  <si>
    <t>Anggrek</t>
  </si>
  <si>
    <t>Cendana</t>
  </si>
  <si>
    <t>Tulip</t>
  </si>
  <si>
    <t>Jasmine</t>
  </si>
  <si>
    <t>Dandelion</t>
  </si>
  <si>
    <t>Fresia</t>
  </si>
  <si>
    <t>Adenium</t>
  </si>
  <si>
    <t>Rafflesia</t>
  </si>
  <si>
    <t>Ruha</t>
  </si>
  <si>
    <t>Standar</t>
  </si>
  <si>
    <t>Medium</t>
  </si>
  <si>
    <t>Premium</t>
  </si>
  <si>
    <t>Lilac</t>
  </si>
  <si>
    <t>Morea</t>
  </si>
  <si>
    <t>Amarils</t>
  </si>
  <si>
    <t>Morea B</t>
  </si>
  <si>
    <t>Alamanda</t>
  </si>
  <si>
    <t>Alamanda B</t>
  </si>
  <si>
    <t>Ruha Ivy</t>
  </si>
  <si>
    <t>Gardin</t>
  </si>
  <si>
    <t>Boulevard</t>
  </si>
  <si>
    <t>Marvella</t>
  </si>
  <si>
    <t>Magnolia</t>
  </si>
  <si>
    <t>Oliander</t>
  </si>
  <si>
    <t>Magnifera</t>
  </si>
  <si>
    <t>Jenis</t>
  </si>
  <si>
    <t>Harga</t>
  </si>
  <si>
    <t>Gini Impurity</t>
  </si>
  <si>
    <t>Tabel  Adjacent Average</t>
  </si>
  <si>
    <t>Row 1-2</t>
  </si>
  <si>
    <t>Row 2-3</t>
  </si>
  <si>
    <t>Row 3-4</t>
  </si>
  <si>
    <t>Row 4-5</t>
  </si>
  <si>
    <t>Row 5-6</t>
  </si>
  <si>
    <t>Row 6-7</t>
  </si>
  <si>
    <t>Row 7-8</t>
  </si>
  <si>
    <t>Row 8-9</t>
  </si>
  <si>
    <t>Row 9-10</t>
  </si>
  <si>
    <t>Row 10-11</t>
  </si>
  <si>
    <t>Row 11-12</t>
  </si>
  <si>
    <t>No</t>
  </si>
  <si>
    <t>Data</t>
  </si>
  <si>
    <t>Row 12-13</t>
  </si>
  <si>
    <t>Row 13-14</t>
  </si>
  <si>
    <t>Row 14-15</t>
  </si>
  <si>
    <t>Row 15-16</t>
  </si>
  <si>
    <t>Row 16-17</t>
  </si>
  <si>
    <t>Row 17-18</t>
  </si>
  <si>
    <t>Row 18-19</t>
  </si>
  <si>
    <t>Row 19-20</t>
  </si>
  <si>
    <t>Row 20-21</t>
  </si>
  <si>
    <t>Row 21-22</t>
  </si>
  <si>
    <t>Row 22-23</t>
  </si>
  <si>
    <t>Row 23-24</t>
  </si>
  <si>
    <t>Luas Tanah&lt;72,5</t>
  </si>
  <si>
    <t xml:space="preserve">         Ya</t>
  </si>
  <si>
    <t xml:space="preserve">         Tidak</t>
  </si>
  <si>
    <t>=</t>
  </si>
  <si>
    <t>Luas Tanah&lt;81</t>
  </si>
  <si>
    <t>Luas Tanah&lt;88,5</t>
  </si>
  <si>
    <t>Luas Tanah&lt;97,5</t>
  </si>
  <si>
    <t>Luas Tanah&lt;79,5</t>
  </si>
  <si>
    <t>Luas Tanah&lt;64,5</t>
  </si>
  <si>
    <t>Luas Tanah&lt;96</t>
  </si>
  <si>
    <t>Luas Tanah&lt;99</t>
  </si>
  <si>
    <t>Luas Tanah&lt;73,5</t>
  </si>
  <si>
    <t>Luas Tanah&lt;72</t>
  </si>
  <si>
    <t>Luas Tanah&lt;89</t>
  </si>
  <si>
    <t>Luas Tanah&lt;96,5</t>
  </si>
  <si>
    <t>Luas Tanah&lt;75</t>
  </si>
  <si>
    <t>Luas Tanah&lt;66</t>
  </si>
  <si>
    <t>Luas Tanah&lt;90</t>
  </si>
  <si>
    <t>Luas Tanah&lt;117,5</t>
  </si>
  <si>
    <t>Luas Tanah&lt;137,5</t>
  </si>
  <si>
    <t>GI "&lt;72,5"     =</t>
  </si>
  <si>
    <t>GI "&lt;64,5"     =</t>
  </si>
  <si>
    <t>GI "&lt;96"     =</t>
  </si>
  <si>
    <t>GI "&lt;99"     =</t>
  </si>
  <si>
    <t>GI "&lt;73,5"     =</t>
  </si>
  <si>
    <t>GI "Luas Tanah"</t>
  </si>
  <si>
    <t>Luas Bangunan&lt;37,5</t>
  </si>
  <si>
    <t>GI "&lt;37,5"     =</t>
  </si>
  <si>
    <t>Luas Bangunan&lt;43</t>
  </si>
  <si>
    <t>Luas Bangunan&lt;48</t>
  </si>
  <si>
    <t>GI "&lt;43"     =</t>
  </si>
  <si>
    <t>GI "&lt;48"     =</t>
  </si>
  <si>
    <t>Luas Bangunan&lt;51,5</t>
  </si>
  <si>
    <t>GI "&lt;51,5"     =</t>
  </si>
  <si>
    <t>Luas Bangunan&lt;54</t>
  </si>
  <si>
    <t>GI "&lt;54"     =</t>
  </si>
  <si>
    <t>Luas Bangunan&lt;45</t>
  </si>
  <si>
    <t>GI "&lt;45"     =</t>
  </si>
  <si>
    <t>Luas Bangunan&lt;36</t>
  </si>
  <si>
    <t>GI "&lt;36"     =</t>
  </si>
  <si>
    <t xml:space="preserve"> GI "Standar" = 1 - (probabilitas "Standar") - (probabilitas "Medium") - (probabilitas "Premium) </t>
  </si>
  <si>
    <t xml:space="preserve"> GI "Medium" = 1 - (probabilitas "Medium") - (probabilitas "Standar") - (probabilitas "Premium) </t>
  </si>
  <si>
    <t xml:space="preserve">GI "Premium" = 1 - (probabilitas "Premium") - (probabilitas "Standar") - (probabilitas "Medium) </t>
  </si>
  <si>
    <r>
      <t>1 - (1/(1+2+2))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(7/(6+7+6))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(6/(6+7+6))</t>
    </r>
    <r>
      <rPr>
        <vertAlign val="superscript"/>
        <sz val="10"/>
        <rFont val="Arial"/>
        <family val="2"/>
      </rPr>
      <t>2</t>
    </r>
  </si>
  <si>
    <r>
      <t>1 - (2/(1+2+2))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</si>
  <si>
    <r>
      <t>1 - (2/(1+2+2))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(7/(6+7+6))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</si>
  <si>
    <t>GI "&lt;88,5"     =</t>
  </si>
  <si>
    <r>
      <t>1 - (5/(5+3+2))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(6/(2+6+6))</t>
    </r>
    <r>
      <rPr>
        <vertAlign val="superscript"/>
        <sz val="10"/>
        <rFont val="Arial"/>
        <family val="2"/>
      </rPr>
      <t>2</t>
    </r>
  </si>
  <si>
    <r>
      <t>1 - (3/(5+3+2))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(6/(2+6+6))</t>
    </r>
    <r>
      <rPr>
        <vertAlign val="superscript"/>
        <sz val="10"/>
        <rFont val="Arial"/>
        <family val="2"/>
      </rPr>
      <t>2</t>
    </r>
  </si>
  <si>
    <r>
      <t>1 - (2/(5+3+2))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(6/(2+6+6))</t>
    </r>
    <r>
      <rPr>
        <vertAlign val="superscript"/>
        <sz val="10"/>
        <rFont val="Arial"/>
        <family val="2"/>
      </rPr>
      <t>2</t>
    </r>
  </si>
  <si>
    <r>
      <t>1 - (3/(3+2+2))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(7/(4+7+6))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(6/(4+7+6))</t>
    </r>
    <r>
      <rPr>
        <vertAlign val="superscript"/>
        <sz val="10"/>
        <rFont val="Arial"/>
        <family val="2"/>
      </rPr>
      <t>2</t>
    </r>
  </si>
  <si>
    <r>
      <t>1 - (2/(3+2+2))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(4/(4+7+6))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(6/(4+7+6))</t>
    </r>
    <r>
      <rPr>
        <vertAlign val="superscript"/>
        <sz val="10"/>
        <rFont val="Arial"/>
        <family val="2"/>
      </rPr>
      <t>2</t>
    </r>
  </si>
  <si>
    <r>
      <t>1 - (2/(3+2+2))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(4/(4+7+6))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(7/(4+7+6))</t>
    </r>
    <r>
      <rPr>
        <vertAlign val="superscript"/>
        <sz val="10"/>
        <rFont val="Arial"/>
        <family val="2"/>
      </rPr>
      <t>2</t>
    </r>
  </si>
  <si>
    <t>GI "&lt;81"     =</t>
  </si>
  <si>
    <r>
      <t>1 - (6/(6+7+4))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(2/(1+2+4))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(4/(1+2+4))</t>
    </r>
    <r>
      <rPr>
        <vertAlign val="superscript"/>
        <sz val="10"/>
        <rFont val="Arial"/>
        <family val="2"/>
      </rPr>
      <t>2</t>
    </r>
  </si>
  <si>
    <r>
      <t>1 - (7/(6+7+4))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(1/(1+2+4))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(4/(1+2+4))</t>
    </r>
    <r>
      <rPr>
        <vertAlign val="superscript"/>
        <sz val="10"/>
        <rFont val="Arial"/>
        <family val="2"/>
      </rPr>
      <t>2</t>
    </r>
  </si>
  <si>
    <r>
      <t>1 - (4/(6+7+4))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(1/(1+2+4))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(2/(1+2+4))</t>
    </r>
    <r>
      <rPr>
        <vertAlign val="superscript"/>
        <sz val="10"/>
        <rFont val="Arial"/>
        <family val="2"/>
      </rPr>
      <t>2</t>
    </r>
  </si>
  <si>
    <t>((7/24)*0,222371) + ((9/24)*0,238613) + ((8/24)*0,638514)</t>
  </si>
  <si>
    <t>GI "&lt;97,5"     =</t>
  </si>
  <si>
    <r>
      <t>1 - (2/(3+2+2))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(3/(4+7+6))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(6/(4+7+6))</t>
    </r>
    <r>
      <rPr>
        <vertAlign val="superscript"/>
        <sz val="10"/>
        <rFont val="Arial"/>
        <family val="2"/>
      </rPr>
      <t>2</t>
    </r>
  </si>
  <si>
    <r>
      <t>1 - (2/(3+2+2))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(7/(4+7+6))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(6/(4+7+6))</t>
    </r>
    <r>
      <rPr>
        <vertAlign val="superscript"/>
        <sz val="10"/>
        <rFont val="Arial"/>
        <family val="2"/>
      </rPr>
      <t>2</t>
    </r>
  </si>
  <si>
    <t>((7/24)*0,72454294) + ((9/24)*0,64055402) + ((8/24)*0,60454294</t>
  </si>
  <si>
    <t>((7/24)*0,522209) + ((9/24)*0,738437) + ((8/24)*0,693454)</t>
  </si>
  <si>
    <t>((7/24)*0,382653) + ((9/24)*0,705918) + ((8/24)*0,755918)</t>
  </si>
  <si>
    <t>((7/24)*0,476269) + ((9/24)*0,483511) + ((8/24)*0,842596)</t>
  </si>
  <si>
    <r>
      <t>1 - (0/(0+2+1))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(7/(7+7+7))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(7/(7+7+7))</t>
    </r>
    <r>
      <rPr>
        <vertAlign val="superscript"/>
        <sz val="10"/>
        <rFont val="Arial"/>
        <family val="2"/>
      </rPr>
      <t>2</t>
    </r>
  </si>
  <si>
    <r>
      <t>1 - (2/(0+2+1))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(7/(7+7+7))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(7/(7+7+7))</t>
    </r>
    <r>
      <rPr>
        <vertAlign val="superscript"/>
        <sz val="10"/>
        <rFont val="Arial"/>
        <family val="2"/>
      </rPr>
      <t>2</t>
    </r>
  </si>
  <si>
    <r>
      <t>1 - (1/(0+2+1))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(7/(7+7+7))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(7/(7+7+7))</t>
    </r>
    <r>
      <rPr>
        <vertAlign val="superscript"/>
        <sz val="10"/>
        <rFont val="Arial"/>
        <family val="2"/>
      </rPr>
      <t>2</t>
    </r>
  </si>
  <si>
    <t>((7/24)*0,777778) + ((9/24)*0,333333) + ((8/24)*0,666667)</t>
  </si>
  <si>
    <t>((7/24)*0,467269) + ((9/24)*0,483511) + ((8/24)*0,842596)</t>
  </si>
  <si>
    <r>
      <t>1 - (2/(1+2+2))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(7/(6+7+6))</t>
    </r>
    <r>
      <rPr>
        <vertAlign val="superscript"/>
        <sz val="10"/>
        <rFont val="Arial"/>
        <family val="2"/>
      </rPr>
      <t>2</t>
    </r>
  </si>
  <si>
    <t>((7/24)*0,724543) + ((9/24)*0,640554) + ((8/24)*0,604543)</t>
  </si>
  <si>
    <t>GI "&lt;72"     =</t>
  </si>
  <si>
    <r>
      <t>1 - (2/(1+2+1))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</si>
  <si>
    <r>
      <t>1 - (1/(1+2+1))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(6/(6+7+6))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(7/(6+7+6))</t>
    </r>
    <r>
      <rPr>
        <vertAlign val="superscript"/>
        <sz val="10"/>
        <rFont val="Arial"/>
        <family val="2"/>
      </rPr>
      <t>2</t>
    </r>
  </si>
  <si>
    <t>((7/24)*0,702043) + ((9/24)*0,550554) + ((8/24)*0,702043)</t>
  </si>
  <si>
    <t>GI "&lt;89"     =</t>
  </si>
  <si>
    <t>GI "&lt;96,5"     =</t>
  </si>
  <si>
    <t>GI "&lt;75"     =</t>
  </si>
  <si>
    <r>
      <t>1 - (1/(1+2+2))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(7/(4+7+6))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(6/(4+7+6))</t>
    </r>
    <r>
      <rPr>
        <vertAlign val="superscript"/>
        <sz val="10"/>
        <rFont val="Arial"/>
        <family val="2"/>
      </rPr>
      <t>2</t>
    </r>
  </si>
  <si>
    <r>
      <t>1 - (2/(1+2+2))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(4/(4+7+6))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(6/(4+7+6))</t>
    </r>
    <r>
      <rPr>
        <vertAlign val="superscript"/>
        <sz val="10"/>
        <rFont val="Arial"/>
        <family val="2"/>
      </rPr>
      <t>2</t>
    </r>
  </si>
  <si>
    <t>((5/24)*0,665882) + ((9/24)*0,660069) + ((8/24)*0,615087)</t>
  </si>
  <si>
    <t>GI "&lt;66"     =</t>
  </si>
  <si>
    <t>GI "&lt;90"     =</t>
  </si>
  <si>
    <r>
      <t>1 - (5/(5+3+2))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(3/(1+3+4))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(4/(1+3+4))</t>
    </r>
    <r>
      <rPr>
        <vertAlign val="superscript"/>
        <sz val="10"/>
        <rFont val="Arial"/>
        <family val="2"/>
      </rPr>
      <t>2</t>
    </r>
  </si>
  <si>
    <r>
      <t>1 - (5/(5+3+2))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(1/(1+3+4))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(4/(1+3+4))</t>
    </r>
    <r>
      <rPr>
        <vertAlign val="superscript"/>
        <sz val="10"/>
        <rFont val="Arial"/>
        <family val="2"/>
      </rPr>
      <t>2</t>
    </r>
  </si>
  <si>
    <r>
      <t>1 - (2/(5+3+2))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(1/(1+3+4))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(3/(1+3+4))</t>
    </r>
    <r>
      <rPr>
        <vertAlign val="superscript"/>
        <sz val="10"/>
        <rFont val="Arial"/>
        <family val="2"/>
      </rPr>
      <t>2</t>
    </r>
  </si>
  <si>
    <t>((6/24)*0,359375) + ((6/24)*0,644375) + ((6/24)*0,80375)</t>
  </si>
  <si>
    <t>GI "&lt;117,5"     =</t>
  </si>
  <si>
    <r>
      <t>1 - (7/(7+9+6))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(2/(0+0+2))</t>
    </r>
    <r>
      <rPr>
        <vertAlign val="superscript"/>
        <sz val="10"/>
        <rFont val="Arial"/>
        <family val="2"/>
      </rPr>
      <t>2</t>
    </r>
  </si>
  <si>
    <r>
      <t>1 - (9/(7+9+6))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(2/(0+0+2))</t>
    </r>
    <r>
      <rPr>
        <vertAlign val="superscript"/>
        <sz val="10"/>
        <rFont val="Arial"/>
        <family val="2"/>
      </rPr>
      <t>2</t>
    </r>
  </si>
  <si>
    <r>
      <t>1 - (6/(7+9+6))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</si>
  <si>
    <t>((7/24)*-0,10124) + ((9/24)*-0,16736) + ((8/24)*0,92562)</t>
  </si>
  <si>
    <t>GI "&lt;137,5"     =</t>
  </si>
  <si>
    <r>
      <t>1 - (9/(7+9+7))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(1/(0+0+1))</t>
    </r>
    <r>
      <rPr>
        <vertAlign val="superscript"/>
        <sz val="10"/>
        <rFont val="Arial"/>
        <family val="2"/>
      </rPr>
      <t>2</t>
    </r>
  </si>
  <si>
    <r>
      <t>1 - (7/(7+9+7))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>2</t>
    </r>
  </si>
  <si>
    <t>((7/24)*-0,09263) + ((9/24)*-0,15312) + ((8/24)*0,907372)</t>
  </si>
  <si>
    <t xml:space="preserve">GI "Premium" = 1 - (probabilitas "Premium") - (probabilitas "Standar") - (probabilitas "Medium") </t>
  </si>
  <si>
    <r>
      <t>1 - (5/(5+3+0))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(8/(2+6+8)</t>
    </r>
    <r>
      <rPr>
        <vertAlign val="superscript"/>
        <sz val="10"/>
        <rFont val="Arial"/>
        <family val="2"/>
      </rPr>
      <t>2</t>
    </r>
  </si>
  <si>
    <r>
      <t>1 - (3/(5+3+0))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(8/(2+6+8)</t>
    </r>
    <r>
      <rPr>
        <vertAlign val="superscript"/>
        <sz val="10"/>
        <rFont val="Arial"/>
        <family val="2"/>
      </rPr>
      <t>2</t>
    </r>
  </si>
  <si>
    <r>
      <t>1 - (0/(5+3+0))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(6/(2+6+8)</t>
    </r>
    <r>
      <rPr>
        <vertAlign val="superscript"/>
        <sz val="10"/>
        <rFont val="Arial"/>
        <family val="2"/>
      </rPr>
      <t>2</t>
    </r>
  </si>
  <si>
    <t>((7/24)*0,21875) + ((9/24)*0,59375) + ((8/24)*0,84375)</t>
  </si>
  <si>
    <r>
      <t>1 - (6/(5+4+1))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(7/(1+5+7)</t>
    </r>
    <r>
      <rPr>
        <vertAlign val="superscript"/>
        <sz val="10"/>
        <rFont val="Arial"/>
        <family val="2"/>
      </rPr>
      <t>2</t>
    </r>
  </si>
  <si>
    <r>
      <t>1 - (4/(5+4+1))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(7/(1+5+7)</t>
    </r>
    <r>
      <rPr>
        <vertAlign val="superscript"/>
        <sz val="10"/>
        <rFont val="Arial"/>
        <family val="2"/>
      </rPr>
      <t>2</t>
    </r>
  </si>
  <si>
    <r>
      <t>1 - (1/(5+4+1))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</t>
    </r>
    <r>
      <rPr>
        <vertAlign val="superscript"/>
        <sz val="10"/>
        <rFont val="Arial"/>
        <family val="2"/>
      </rPr>
      <t>2</t>
    </r>
  </si>
  <si>
    <t>((7/24)*0,26461) + ((9/24)*0,571911) + ((8/24)*0,837889)</t>
  </si>
  <si>
    <r>
      <t>1 - (7/(7+5+1))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(4/(0+4+7))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(7/(0+4+7)</t>
    </r>
    <r>
      <rPr>
        <vertAlign val="superscript"/>
        <sz val="10"/>
        <rFont val="Arial"/>
        <family val="2"/>
      </rPr>
      <t>2</t>
    </r>
  </si>
  <si>
    <r>
      <t>1 - (5/(7+5+1))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(0/(0+4+7))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(7/(0+4+7)</t>
    </r>
    <r>
      <rPr>
        <vertAlign val="superscript"/>
        <sz val="10"/>
        <rFont val="Arial"/>
        <family val="2"/>
      </rPr>
      <t>2</t>
    </r>
  </si>
  <si>
    <r>
      <t>1 - (1/(7+5+1))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(0/(0+4+7))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(4/(0+4+7)</t>
    </r>
    <r>
      <rPr>
        <vertAlign val="superscript"/>
        <sz val="10"/>
        <rFont val="Arial"/>
        <family val="2"/>
      </rPr>
      <t>2</t>
    </r>
  </si>
  <si>
    <t>((7/24)*0,172869) + ((9/24)*0,447112) + ((8/24)*0,861851)</t>
  </si>
  <si>
    <r>
      <t>1 - (7/(7+7+1))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(2/(0+2+7))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(7/(0+2+7)</t>
    </r>
    <r>
      <rPr>
        <vertAlign val="superscript"/>
        <sz val="10"/>
        <rFont val="Arial"/>
        <family val="2"/>
      </rPr>
      <t>2</t>
    </r>
  </si>
  <si>
    <r>
      <t>1 - (7/(7+7+1))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(0/(0+2+7))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(7/(0+2+7)</t>
    </r>
    <r>
      <rPr>
        <vertAlign val="superscript"/>
        <sz val="10"/>
        <rFont val="Arial"/>
        <family val="2"/>
      </rPr>
      <t>2</t>
    </r>
  </si>
  <si>
    <r>
      <t>1 - (1/(7+7+1))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(0/(0+2+7))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(2/(0+2+7)</t>
    </r>
    <r>
      <rPr>
        <vertAlign val="superscript"/>
        <sz val="10"/>
        <rFont val="Arial"/>
        <family val="2"/>
      </rPr>
      <t>2</t>
    </r>
  </si>
  <si>
    <t>((7/24)*0,127901) + ((9/24)*0,177284) + ((8/24)*0,946173)</t>
  </si>
  <si>
    <r>
      <t>1 - (7/(7+7+1))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(6/(0+0+6)</t>
    </r>
    <r>
      <rPr>
        <vertAlign val="superscript"/>
        <sz val="10"/>
        <rFont val="Arial"/>
        <family val="2"/>
      </rPr>
      <t>2</t>
    </r>
  </si>
  <si>
    <r>
      <t>1 - (7/(7+7+1))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(6/(0+0+6)</t>
    </r>
    <r>
      <rPr>
        <vertAlign val="superscript"/>
        <sz val="10"/>
        <rFont val="Arial"/>
        <family val="2"/>
      </rPr>
      <t>2</t>
    </r>
  </si>
  <si>
    <r>
      <t>1 - (7/(7+7+1))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</t>
    </r>
    <r>
      <rPr>
        <vertAlign val="superscript"/>
        <sz val="10"/>
        <rFont val="Arial"/>
        <family val="2"/>
      </rPr>
      <t>2</t>
    </r>
  </si>
  <si>
    <t>((7/24)*-0,21778) + ((7/24)*-0,21778) + ((7/24)*0,995556)</t>
  </si>
  <si>
    <r>
      <t>1 - (6/(6+4+1))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(7/(1+5+7))</t>
    </r>
    <r>
      <rPr>
        <vertAlign val="superscript"/>
        <sz val="10"/>
        <rFont val="Arial"/>
        <family val="2"/>
      </rPr>
      <t>2</t>
    </r>
  </si>
  <si>
    <r>
      <t>1 - (4/(6+4+1))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(7/(1+5+7))</t>
    </r>
    <r>
      <rPr>
        <vertAlign val="superscript"/>
        <sz val="10"/>
        <rFont val="Arial"/>
        <family val="2"/>
      </rPr>
      <t>2</t>
    </r>
  </si>
  <si>
    <r>
      <t>1 - (1/(6+4+1))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(5/(1+5+7))</t>
    </r>
    <r>
      <rPr>
        <vertAlign val="superscript"/>
        <sz val="10"/>
        <rFont val="Arial"/>
        <family val="2"/>
      </rPr>
      <t>2</t>
    </r>
  </si>
  <si>
    <r>
      <t>1 -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(8/(2+6+8))</t>
    </r>
    <r>
      <rPr>
        <vertAlign val="superscript"/>
        <sz val="10"/>
        <rFont val="Arial"/>
        <family val="2"/>
      </rPr>
      <t>2</t>
    </r>
  </si>
  <si>
    <r>
      <t>1 -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(8/(2+6+8))</t>
    </r>
    <r>
      <rPr>
        <vertAlign val="superscript"/>
        <sz val="10"/>
        <rFont val="Arial"/>
        <family val="2"/>
      </rPr>
      <t>2</t>
    </r>
  </si>
  <si>
    <r>
      <t>1 -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(2/(2+6+8))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(6/(2+6+8))</t>
    </r>
    <r>
      <rPr>
        <vertAlign val="superscript"/>
        <sz val="10"/>
        <rFont val="Arial"/>
        <family val="2"/>
      </rPr>
      <t>2</t>
    </r>
  </si>
  <si>
    <t>((2/24)*0,609375) + ((6/24)*0,734735) + ((8/24)*0,84375)</t>
  </si>
  <si>
    <t>Luas Bangunan&lt;39</t>
  </si>
  <si>
    <r>
      <t>1 - (5/(5+3+0))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(7/(1+5+7))</t>
    </r>
    <r>
      <rPr>
        <vertAlign val="superscript"/>
        <sz val="10"/>
        <rFont val="Arial"/>
        <family val="2"/>
      </rPr>
      <t>2</t>
    </r>
  </si>
  <si>
    <t>GI "&lt;39"     =</t>
  </si>
  <si>
    <r>
      <t>1 - (3/(5+3+0))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(7/(1+5+7))</t>
    </r>
    <r>
      <rPr>
        <vertAlign val="superscript"/>
        <sz val="10"/>
        <rFont val="Arial"/>
        <family val="2"/>
      </rPr>
      <t>2</t>
    </r>
  </si>
  <si>
    <r>
      <t>1 - (0/(5+3+0))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(1/(1+5+7))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(5/(1+5+7))</t>
    </r>
    <r>
      <rPr>
        <vertAlign val="superscript"/>
        <sz val="10"/>
        <rFont val="Arial"/>
        <family val="2"/>
      </rPr>
      <t>2</t>
    </r>
  </si>
  <si>
    <t>((6/24)*0,171505) + ((8/24)*0,563517) + ((7/24)*0,846154)</t>
  </si>
  <si>
    <t>Luas Bangunan&lt;54,5</t>
  </si>
  <si>
    <r>
      <t>1 - (7/(7+9+2))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(6/(0+0+6))</t>
    </r>
    <r>
      <rPr>
        <vertAlign val="superscript"/>
        <sz val="10"/>
        <rFont val="Arial"/>
        <family val="2"/>
      </rPr>
      <t>2</t>
    </r>
  </si>
  <si>
    <r>
      <t>1 - (9/(7+9+2))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(6/(0+0+6))</t>
    </r>
    <r>
      <rPr>
        <vertAlign val="superscript"/>
        <sz val="10"/>
        <rFont val="Arial"/>
        <family val="2"/>
      </rPr>
      <t>2</t>
    </r>
  </si>
  <si>
    <r>
      <t>1 - (2/(7+9+2))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(0/(0+0+6))</t>
    </r>
    <r>
      <rPr>
        <vertAlign val="superscript"/>
        <sz val="10"/>
        <rFont val="Arial"/>
        <family val="2"/>
      </rPr>
      <t>2</t>
    </r>
  </si>
  <si>
    <t>GI "&lt;54,5"     =</t>
  </si>
  <si>
    <t>((7/24)*-0,15123) + ((9/24)*-0,25) + ((8/24)*0,987654)</t>
  </si>
  <si>
    <t>Luas Bangunan&lt;60</t>
  </si>
  <si>
    <r>
      <t>1 - (7/(7+9+2))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(2/(0+0+2))</t>
    </r>
    <r>
      <rPr>
        <vertAlign val="superscript"/>
        <sz val="10"/>
        <rFont val="Arial"/>
        <family val="2"/>
      </rPr>
      <t>2</t>
    </r>
  </si>
  <si>
    <r>
      <t>1 - (9/(7+9+2))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(2/(0+0+2))</t>
    </r>
    <r>
      <rPr>
        <vertAlign val="superscript"/>
        <sz val="10"/>
        <rFont val="Arial"/>
        <family val="2"/>
      </rPr>
      <t>2</t>
    </r>
  </si>
  <si>
    <r>
      <t>1 - (2/(7+9+2))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</si>
  <si>
    <t>((7/24)*-0,15123) + ((9/24)*-0,25) + ((4/24)*0,987654)</t>
  </si>
  <si>
    <t>GI "&lt;60"     =</t>
  </si>
  <si>
    <t>Luas Bangunan&lt;65</t>
  </si>
  <si>
    <t>((7/24)*-0,1225) + ((9/24)*-0,2025) + ((8/24)*0,96)</t>
  </si>
  <si>
    <t>Luas Bangunan&lt;70</t>
  </si>
  <si>
    <t>GI "&lt;65"     =</t>
  </si>
  <si>
    <r>
      <t>1 - (7/(7+9+4))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(4/(0+0+4))</t>
    </r>
    <r>
      <rPr>
        <vertAlign val="superscript"/>
        <sz val="10"/>
        <rFont val="Arial"/>
        <family val="2"/>
      </rPr>
      <t>2</t>
    </r>
  </si>
  <si>
    <r>
      <t>1 - (9/(7+9+4))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(4/(0+0+4))</t>
    </r>
    <r>
      <rPr>
        <vertAlign val="superscript"/>
        <sz val="10"/>
        <rFont val="Arial"/>
        <family val="2"/>
      </rPr>
      <t>2</t>
    </r>
  </si>
  <si>
    <r>
      <t>1 - (4/(7+9+4))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</si>
  <si>
    <r>
      <t>1 - (7/(7+9+4))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(4/(0+0+2))</t>
    </r>
    <r>
      <rPr>
        <vertAlign val="superscript"/>
        <sz val="10"/>
        <rFont val="Arial"/>
        <family val="2"/>
      </rPr>
      <t>2</t>
    </r>
  </si>
  <si>
    <t>Luas Bangunan&lt;95</t>
  </si>
  <si>
    <r>
      <t>1 - (7/(7+9+6))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(2/(0+0+2))</t>
    </r>
    <r>
      <rPr>
        <vertAlign val="superscript"/>
        <sz val="10"/>
        <rFont val="Arial"/>
        <family val="2"/>
      </rPr>
      <t>2</t>
    </r>
  </si>
  <si>
    <t>GI "&lt;95"     =</t>
  </si>
  <si>
    <t>Luas Bangunan&lt;120</t>
  </si>
  <si>
    <r>
      <t>1 - (7/(7+9+6))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</si>
  <si>
    <r>
      <t>1 - (9/(7+9+6))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</si>
  <si>
    <r>
      <t>1 - (6/(7+9+6))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(0/(0+0+0))</t>
    </r>
    <r>
      <rPr>
        <vertAlign val="superscript"/>
        <sz val="10"/>
        <rFont val="Arial"/>
        <family val="2"/>
      </rPr>
      <t>2</t>
    </r>
  </si>
  <si>
    <t>((7/24)*0,89876) + ((9/24)*0,832645) + ((6/24)*0,92562)</t>
  </si>
  <si>
    <t>GI "&lt;70"     =</t>
  </si>
  <si>
    <t>GI "&lt;120"     =</t>
  </si>
  <si>
    <t>GI "Harga"</t>
  </si>
  <si>
    <t>Nilai Rata-Rata</t>
  </si>
  <si>
    <t>Harga &lt;375000000</t>
  </si>
  <si>
    <r>
      <t>1 - (2/(2+0+0))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(9/(5+9+8))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(8/(5+9+8)</t>
    </r>
    <r>
      <rPr>
        <vertAlign val="superscript"/>
        <sz val="10"/>
        <rFont val="Arial"/>
        <family val="2"/>
      </rPr>
      <t>2</t>
    </r>
  </si>
  <si>
    <r>
      <t>1 - (0/(2+0+0))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(5/(5+9+8))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(8/(5+9+8)</t>
    </r>
    <r>
      <rPr>
        <vertAlign val="superscript"/>
        <sz val="10"/>
        <rFont val="Arial"/>
        <family val="2"/>
      </rPr>
      <t>2</t>
    </r>
  </si>
  <si>
    <r>
      <t>1 - (0/(2+0+0))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(5/(5+9+8))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(9/(5+9+8)</t>
    </r>
    <r>
      <rPr>
        <vertAlign val="superscript"/>
        <sz val="10"/>
        <rFont val="Arial"/>
        <family val="2"/>
      </rPr>
      <t>2</t>
    </r>
  </si>
  <si>
    <t>((7/24)*-0,29958678) + ((9/24)*0,8161157) + ((8/24)*0,78099174)</t>
  </si>
  <si>
    <r>
      <t>1 - (4/(4+0+0))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(9/(2+9+8))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(8/(2+9+8)</t>
    </r>
    <r>
      <rPr>
        <vertAlign val="superscript"/>
        <sz val="10"/>
        <rFont val="Arial"/>
        <family val="2"/>
      </rPr>
      <t>2</t>
    </r>
  </si>
  <si>
    <r>
      <t>1 - (0/(4+0+0))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(8/(2+9+8)</t>
    </r>
    <r>
      <rPr>
        <vertAlign val="superscript"/>
        <sz val="10"/>
        <rFont val="Arial"/>
        <family val="2"/>
      </rPr>
      <t>2</t>
    </r>
  </si>
  <si>
    <r>
      <t>1 - (0/(4+0+0))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(9/(2+9+8)</t>
    </r>
    <r>
      <rPr>
        <vertAlign val="superscript"/>
        <sz val="10"/>
        <rFont val="Arial"/>
        <family val="2"/>
      </rPr>
      <t>2</t>
    </r>
  </si>
  <si>
    <t>((6/24)*-0,40166) + ((9/24)*0,811634) + ((8/24)*0,764543)</t>
  </si>
  <si>
    <t>GI "&lt;375000000"     =</t>
  </si>
  <si>
    <t>Harga &lt;425000000</t>
  </si>
  <si>
    <t>GI "&lt;425000000"     =</t>
  </si>
  <si>
    <t>Harga &lt;475000000</t>
  </si>
  <si>
    <r>
      <t>1 - (7/(7+0+0))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(8/(0+8+8))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(8/(0+8+8)</t>
    </r>
    <r>
      <rPr>
        <vertAlign val="superscript"/>
        <sz val="10"/>
        <rFont val="Arial"/>
        <family val="2"/>
      </rPr>
      <t>2</t>
    </r>
  </si>
  <si>
    <r>
      <t>1 - (0/(7+0+0))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(0/(0+8+8))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(8/(0+8+8)</t>
    </r>
    <r>
      <rPr>
        <vertAlign val="superscript"/>
        <sz val="10"/>
        <rFont val="Arial"/>
        <family val="2"/>
      </rPr>
      <t>2</t>
    </r>
  </si>
  <si>
    <r>
      <t>1 - (0/(7+0+0))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(0/(0+8+8))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(8/(0+8+8)</t>
    </r>
    <r>
      <rPr>
        <vertAlign val="superscript"/>
        <sz val="10"/>
        <rFont val="Arial"/>
        <family val="2"/>
      </rPr>
      <t>2</t>
    </r>
  </si>
  <si>
    <t>Harga &lt;550000000</t>
  </si>
  <si>
    <r>
      <t>1 - (7/(7+4+0))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(5/(0+5+8))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(8/(0+5+8)</t>
    </r>
    <r>
      <rPr>
        <vertAlign val="superscript"/>
        <sz val="10"/>
        <rFont val="Arial"/>
        <family val="2"/>
      </rPr>
      <t>2</t>
    </r>
  </si>
  <si>
    <r>
      <t>1 - (4/(7+4+0))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(0/(0+5+8))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(8/(0+5+8)</t>
    </r>
    <r>
      <rPr>
        <vertAlign val="superscript"/>
        <sz val="10"/>
        <rFont val="Arial"/>
        <family val="2"/>
      </rPr>
      <t>2</t>
    </r>
  </si>
  <si>
    <r>
      <t>1 - (0/(7+4+0))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(0/(0+5+8))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(5/(0+5+8)</t>
    </r>
    <r>
      <rPr>
        <vertAlign val="superscript"/>
        <sz val="10"/>
        <rFont val="Arial"/>
        <family val="2"/>
      </rPr>
      <t>2</t>
    </r>
  </si>
  <si>
    <t>GI "&lt;550000000" = ((7/24)*0,068414) + ((8/24)*0,48907) + ((8/24)*0,852071)</t>
  </si>
  <si>
    <t>Harga &lt;675000000</t>
  </si>
  <si>
    <t>GI "&lt;675000000" = ((7/24)*0,127901) + ((9/24)*0,177284) + ((8/24)*0,946173)</t>
  </si>
  <si>
    <t>Harga &lt;525000000</t>
  </si>
  <si>
    <r>
      <t>1 - (7/(7+4+0))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(5/(0+5+5))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(5/(0+5+5)</t>
    </r>
    <r>
      <rPr>
        <vertAlign val="superscript"/>
        <sz val="10"/>
        <rFont val="Arial"/>
        <family val="2"/>
      </rPr>
      <t>2</t>
    </r>
  </si>
  <si>
    <r>
      <t>1 - (4/(7+4+0))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(0/(0+5+5))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(8/(0+5+5)</t>
    </r>
    <r>
      <rPr>
        <vertAlign val="superscript"/>
        <sz val="10"/>
        <rFont val="Arial"/>
        <family val="2"/>
      </rPr>
      <t>2</t>
    </r>
  </si>
  <si>
    <r>
      <t>1 - (0/(7+4+0))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(0/(0+5+5))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(5/(0+5+5)</t>
    </r>
    <r>
      <rPr>
        <vertAlign val="superscript"/>
        <sz val="10"/>
        <rFont val="Arial"/>
        <family val="2"/>
      </rPr>
      <t>2</t>
    </r>
  </si>
  <si>
    <t>GI "&lt;525000000" = ((7/24)*0,68414) + ((9/24)*0,48907) + ((8/24)*0,852071)</t>
  </si>
  <si>
    <t>Harga &lt;350000000</t>
  </si>
  <si>
    <r>
      <t>1 - (1/(1+0+0))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(9/(5+9+8))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(8/(5+9+8)</t>
    </r>
    <r>
      <rPr>
        <vertAlign val="superscript"/>
        <sz val="10"/>
        <rFont val="Arial"/>
        <family val="2"/>
      </rPr>
      <t>2</t>
    </r>
  </si>
  <si>
    <r>
      <t>1 - (0/(1+0+0))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(5/(5+9+8))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(8/(5+9+8)</t>
    </r>
    <r>
      <rPr>
        <vertAlign val="superscript"/>
        <sz val="10"/>
        <rFont val="Arial"/>
        <family val="2"/>
      </rPr>
      <t>2</t>
    </r>
  </si>
  <si>
    <r>
      <t>1 - (0/(1+0+0))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(5/(5+9+8))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(9/(5+9+8)</t>
    </r>
    <r>
      <rPr>
        <vertAlign val="superscript"/>
        <sz val="10"/>
        <rFont val="Arial"/>
        <family val="2"/>
      </rPr>
      <t>2</t>
    </r>
  </si>
  <si>
    <t>GI "&lt;350000000" = ((6/24)*-0,29959) + ((9/24)*0,816116) + ((8/24)*0,780992)</t>
  </si>
  <si>
    <t>Harga &lt;437000000</t>
  </si>
  <si>
    <r>
      <t>1 - (5/(5+0+0))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(9/(2+9+8))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(8/(2+9+8)</t>
    </r>
    <r>
      <rPr>
        <vertAlign val="superscript"/>
        <sz val="10"/>
        <rFont val="Arial"/>
        <family val="2"/>
      </rPr>
      <t>2</t>
    </r>
  </si>
  <si>
    <r>
      <t>1 - (0/(5+0+0))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(8/(2+9+8)</t>
    </r>
    <r>
      <rPr>
        <vertAlign val="superscript"/>
        <sz val="10"/>
        <rFont val="Arial"/>
        <family val="2"/>
      </rPr>
      <t>2</t>
    </r>
  </si>
  <si>
    <r>
      <t>1 - (0/(5+0+0))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(2/(2+9+8))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(9/(2+9+8)</t>
    </r>
    <r>
      <rPr>
        <vertAlign val="superscript"/>
        <sz val="10"/>
        <rFont val="Arial"/>
        <family val="2"/>
      </rPr>
      <t>2</t>
    </r>
  </si>
  <si>
    <t>GI "&lt;437000000" = ((6/24)*-0,40166) + ((9/24)*0,811634) + ((8/24)*0,764543)</t>
  </si>
  <si>
    <t>Harga &lt;450000000</t>
  </si>
  <si>
    <r>
      <t>1 - (5/(5+0+0))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(9/(0+9+8))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(8/(0+9+8)</t>
    </r>
    <r>
      <rPr>
        <vertAlign val="superscript"/>
        <sz val="10"/>
        <rFont val="Arial"/>
        <family val="2"/>
      </rPr>
      <t>2</t>
    </r>
  </si>
  <si>
    <r>
      <t>1 - (0/(5+0+0))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(8/(0+9+8)</t>
    </r>
    <r>
      <rPr>
        <vertAlign val="superscript"/>
        <sz val="10"/>
        <rFont val="Arial"/>
        <family val="2"/>
      </rPr>
      <t>2</t>
    </r>
  </si>
  <si>
    <r>
      <t>1 - (0/(5+0+0))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(0/(0+9+8))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(9/(2+9+8)</t>
    </r>
    <r>
      <rPr>
        <vertAlign val="superscript"/>
        <sz val="10"/>
        <rFont val="Arial"/>
        <family val="2"/>
      </rPr>
      <t>2</t>
    </r>
  </si>
  <si>
    <t>GI "&lt;450000000" = ((6/24)*-0,50173) + ((9/24)*0,778547) + ((8/24)*0,719723)</t>
  </si>
  <si>
    <t>Harga &lt;487000000</t>
  </si>
  <si>
    <r>
      <t>1 - (7/(7+1+0))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(8/(0+8+8))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(8/(0+8+8)</t>
    </r>
    <r>
      <rPr>
        <vertAlign val="superscript"/>
        <sz val="10"/>
        <rFont val="Arial"/>
        <family val="2"/>
      </rPr>
      <t>2</t>
    </r>
  </si>
  <si>
    <r>
      <t>1 - (1/(7+1+0))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(0/(0+8+8))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(8/(0+8+8)</t>
    </r>
    <r>
      <rPr>
        <vertAlign val="superscript"/>
        <sz val="10"/>
        <rFont val="Arial"/>
        <family val="2"/>
      </rPr>
      <t>2</t>
    </r>
  </si>
  <si>
    <r>
      <t>1 - (0/(7+1+0))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(0/(0+8+8))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(8/(0+8+8)</t>
    </r>
    <r>
      <rPr>
        <vertAlign val="superscript"/>
        <sz val="10"/>
        <rFont val="Arial"/>
        <family val="2"/>
      </rPr>
      <t>2</t>
    </r>
  </si>
  <si>
    <t>GI "&lt;487000000" = ((6/24)*-0,26563) + ((9/24)*0,734375) + ((8/24)*0,75)</t>
  </si>
  <si>
    <t>Harga &lt;650000000</t>
  </si>
  <si>
    <t>GI "&lt;650000000" = ((7/24)*0,127901) + ((9/24)*0,177284) + ((8/24)*0,946173)</t>
  </si>
  <si>
    <t>Harga &lt;687000000</t>
  </si>
  <si>
    <t>GI "&lt;687000000" = ((7/24)*0,127901) + ((9/24)*0,177284) + ((8/24)*0,946173)</t>
  </si>
  <si>
    <t>Harga &lt;537000000</t>
  </si>
  <si>
    <t>GI "&lt;537000000" = ((7/24)*0,068414) + ((9/24)*0,48907) + ((8/24)*0,852071)</t>
  </si>
  <si>
    <t>Harga &lt;562000000</t>
  </si>
  <si>
    <t>GI "&lt;562000000" = ((7/24)*0,068414) + ((9/24)*0,48907) + ((8/24)*0,852071)</t>
  </si>
  <si>
    <t>Harga &lt;612000000</t>
  </si>
  <si>
    <r>
      <t>1 - (7/(7+7+0))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(2/(0+2+8))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(8/(0+2+8)</t>
    </r>
    <r>
      <rPr>
        <vertAlign val="superscript"/>
        <sz val="10"/>
        <rFont val="Arial"/>
        <family val="2"/>
      </rPr>
      <t>2</t>
    </r>
  </si>
  <si>
    <r>
      <t>1 - (7/(7+7+0))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(0/(0+2+8))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(8/(0+2+8)</t>
    </r>
    <r>
      <rPr>
        <vertAlign val="superscript"/>
        <sz val="10"/>
        <rFont val="Arial"/>
        <family val="2"/>
      </rPr>
      <t>2</t>
    </r>
  </si>
  <si>
    <r>
      <t>1 - (0/(7+7+0))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(0/(0+2+8))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(2/(0+2+8)</t>
    </r>
    <r>
      <rPr>
        <vertAlign val="superscript"/>
        <sz val="10"/>
        <rFont val="Arial"/>
        <family val="2"/>
      </rPr>
      <t>2</t>
    </r>
  </si>
  <si>
    <t>GI "&lt;612000000" = ((7/24)*0,07) + ((9/24)*0,11) + ((8/24)*0,96)</t>
  </si>
  <si>
    <t>Harga &lt;750000000</t>
  </si>
  <si>
    <r>
      <t>1 - (7/(7+8+1))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(1/(0+1+6))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(6/(0+1+6)</t>
    </r>
    <r>
      <rPr>
        <vertAlign val="superscript"/>
        <sz val="10"/>
        <rFont val="Arial"/>
        <family val="2"/>
      </rPr>
      <t>2</t>
    </r>
  </si>
  <si>
    <r>
      <t>1 - (8/(7+8+1))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(0/(0+1+6))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(6/(0+1+6)</t>
    </r>
    <r>
      <rPr>
        <vertAlign val="superscript"/>
        <sz val="10"/>
        <rFont val="Arial"/>
        <family val="2"/>
      </rPr>
      <t>2</t>
    </r>
  </si>
  <si>
    <r>
      <t>1 - (1/(7+8+1))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(0/(0+1+6))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(1/(0+1+6)</t>
    </r>
    <r>
      <rPr>
        <vertAlign val="superscript"/>
        <sz val="10"/>
        <rFont val="Arial"/>
        <family val="2"/>
      </rPr>
      <t>2</t>
    </r>
  </si>
  <si>
    <t>GI "&lt;750000000" = ((7/24)*0,053492) + ((9/24)*0,15306) + ((7/24)*0,975686)</t>
  </si>
  <si>
    <t>Harga &lt;810000000</t>
  </si>
  <si>
    <r>
      <t>1 - (7/(7+9+3))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(0/(0+0+5))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(5/(0+0+5)</t>
    </r>
    <r>
      <rPr>
        <vertAlign val="superscript"/>
        <sz val="10"/>
        <rFont val="Arial"/>
        <family val="2"/>
      </rPr>
      <t>2</t>
    </r>
  </si>
  <si>
    <r>
      <t>1 - (9/(7+9+3))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(5/(0+0+5)</t>
    </r>
    <r>
      <rPr>
        <vertAlign val="superscript"/>
        <sz val="10"/>
        <rFont val="Arial"/>
        <family val="2"/>
      </rPr>
      <t>2</t>
    </r>
  </si>
  <si>
    <r>
      <t>1 - (3/(7+9+3))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(0/(0+0+5)</t>
    </r>
    <r>
      <rPr>
        <vertAlign val="superscript"/>
        <sz val="10"/>
        <rFont val="Arial"/>
        <family val="2"/>
      </rPr>
      <t>2</t>
    </r>
  </si>
  <si>
    <t>Harga &lt;835000000</t>
  </si>
  <si>
    <t>GI "&lt;810000000" = ((7/24)*-0,13573) + ((9/24)*-0,22438) + ((8/24)*0,975069)</t>
  </si>
  <si>
    <r>
      <t>1 - (7/(7+9+4))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(4/(0+0+4)</t>
    </r>
    <r>
      <rPr>
        <vertAlign val="superscript"/>
        <sz val="10"/>
        <rFont val="Arial"/>
        <family val="2"/>
      </rPr>
      <t>2</t>
    </r>
  </si>
  <si>
    <r>
      <t>1 - (9/(7+9+4))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(4/(0+0+4)</t>
    </r>
    <r>
      <rPr>
        <vertAlign val="superscript"/>
        <sz val="10"/>
        <rFont val="Arial"/>
        <family val="2"/>
      </rPr>
      <t>2</t>
    </r>
  </si>
  <si>
    <r>
      <t>1 - (4/(7+9+4))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(0/(0+0+4)</t>
    </r>
    <r>
      <rPr>
        <vertAlign val="superscript"/>
        <sz val="10"/>
        <rFont val="Arial"/>
        <family val="2"/>
      </rPr>
      <t>2</t>
    </r>
  </si>
  <si>
    <t>GI "&lt;835000000" = ((7/24)*-0,1225) + ((9/24)*-0,2025) + ((8/24)*0,96)</t>
  </si>
  <si>
    <t>Harga &lt;925000000</t>
  </si>
  <si>
    <r>
      <t>1 - (7/(7+9+7))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(1/(0+0+1)</t>
    </r>
    <r>
      <rPr>
        <vertAlign val="superscript"/>
        <sz val="10"/>
        <rFont val="Arial"/>
        <family val="2"/>
      </rPr>
      <t>2</t>
    </r>
  </si>
  <si>
    <r>
      <t>1 - (9/(7+9+7))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(1/(0+0+1)</t>
    </r>
    <r>
      <rPr>
        <vertAlign val="superscript"/>
        <sz val="10"/>
        <rFont val="Arial"/>
        <family val="2"/>
      </rPr>
      <t>2</t>
    </r>
  </si>
  <si>
    <r>
      <t>1 - (7/(7+9+7))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(0/(0+0+1)</t>
    </r>
    <r>
      <rPr>
        <vertAlign val="superscript"/>
        <sz val="10"/>
        <rFont val="Arial"/>
        <family val="2"/>
      </rPr>
      <t>2</t>
    </r>
  </si>
  <si>
    <t>GI "&lt;925000000" = ((7/24)*-0,09263) + ((9/24)*-0,15312) + ((8/24)*0,907372)</t>
  </si>
  <si>
    <t>GI "&lt;475000000" = ((7/24)*-0,5) + ((8/24)*0,75) + ((8/24)*0,75)</t>
  </si>
  <si>
    <t>Harga &lt;865000000</t>
  </si>
  <si>
    <r>
      <t>1 - (7/(7+9+5))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(0/(0+0+3))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(3/(0+0+3)</t>
    </r>
    <r>
      <rPr>
        <vertAlign val="superscript"/>
        <sz val="10"/>
        <rFont val="Arial"/>
        <family val="2"/>
      </rPr>
      <t>2</t>
    </r>
  </si>
  <si>
    <r>
      <t>1 - (9/(7+9+5))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(0/(0+0+3))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(3/(0+0+3)</t>
    </r>
    <r>
      <rPr>
        <vertAlign val="superscript"/>
        <sz val="10"/>
        <rFont val="Arial"/>
        <family val="2"/>
      </rPr>
      <t>2</t>
    </r>
  </si>
  <si>
    <r>
      <t>1 - (5/(7+9+5))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(0/(0+0+3))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(0/(0+0+3)</t>
    </r>
    <r>
      <rPr>
        <vertAlign val="superscript"/>
        <sz val="10"/>
        <rFont val="Arial"/>
        <family val="2"/>
      </rPr>
      <t>2</t>
    </r>
  </si>
  <si>
    <t>GI "&lt;865000000" = ((7/24)*-0,11111) + ((9/24)*-0,18367) + ((8/24)*0,943311)</t>
  </si>
  <si>
    <t>Harga &lt;890000000</t>
  </si>
  <si>
    <r>
      <t>1 - (7/(7+9+6))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 xml:space="preserve">2 </t>
    </r>
    <r>
      <rPr>
        <sz val="10"/>
        <rFont val="Arial"/>
        <family val="2"/>
      </rPr>
      <t>- (2/(0+0+2)</t>
    </r>
    <r>
      <rPr>
        <vertAlign val="superscript"/>
        <sz val="10"/>
        <rFont val="Arial"/>
        <family val="2"/>
      </rPr>
      <t>2</t>
    </r>
  </si>
  <si>
    <r>
      <t>1 - (6/(7+9+6))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</t>
    </r>
    <r>
      <rPr>
        <vertAlign val="superscript"/>
        <sz val="10"/>
        <rFont val="Arial"/>
        <family val="2"/>
      </rPr>
      <t>2</t>
    </r>
  </si>
  <si>
    <r>
      <t>1 - (9/(7+9+6))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(0/(0+0+2))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 - (2/(0+0+2)</t>
    </r>
    <r>
      <rPr>
        <vertAlign val="superscript"/>
        <sz val="10"/>
        <rFont val="Arial"/>
        <family val="2"/>
      </rPr>
      <t>2</t>
    </r>
  </si>
  <si>
    <t>GI "&lt;890000000" = ((7/24)*-0,10124) + ((9/24)*-0,16736) + ((8/24)*0,92562)</t>
  </si>
  <si>
    <t>Variabel</t>
  </si>
  <si>
    <t>1.</t>
  </si>
  <si>
    <t>2.</t>
  </si>
  <si>
    <t>3.</t>
  </si>
  <si>
    <t>Luas Bangunan (LB&lt;60)</t>
  </si>
  <si>
    <t>Gini impurity Luas Tanah dengan Luas Bangunan &lt;60</t>
  </si>
  <si>
    <t>GI "Luas Bangunan"</t>
  </si>
  <si>
    <t>Gini impurity Harga dengan Luas Bangunan &lt;60</t>
  </si>
  <si>
    <t>"Luas Bangunan"</t>
  </si>
  <si>
    <t>Menentukan Root</t>
  </si>
  <si>
    <t>Menentukan node selanjutnya</t>
  </si>
  <si>
    <t>"Harga"</t>
  </si>
  <si>
    <t>Harga (Harga&lt;Rp. 475.000.000)</t>
  </si>
  <si>
    <t>Kesimpulan:</t>
  </si>
  <si>
    <t>Dari studi kasus klasifikasi jenis rumah dengan menggunakan decision tree</t>
  </si>
  <si>
    <t>dengan perhitungan gini impurity dapat ditarik kesimpulan bahwa untuk</t>
  </si>
  <si>
    <t xml:space="preserve">jenis rumah standar yaitu dengan luas bangunan kurang dari 60 dan harga </t>
  </si>
  <si>
    <t xml:space="preserve">kurang dari Rp. 475.000.000, untuk jenis medium yaitu luas bangunan </t>
  </si>
  <si>
    <t xml:space="preserve">kurang dari 60 dan harga lebih dari Rp. 475.000.000, untuk jenis premium </t>
  </si>
  <si>
    <t>yaitu dengan luas bangunan lebih dari 60 dan harga lebih dari Rp. 475.000.000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</si>
</sst>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3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b/>
      <sz val="10"/>
      <color theme="5"/>
      <name val="Arial"/>
      <family val="2"/>
    </font>
    <font>
      <b/>
      <sz val="14"/>
      <color theme="5"/>
      <name val="Arial"/>
      <family val="2"/>
    </font>
    <font>
      <b/>
      <sz val="14"/>
      <color theme="4"/>
      <name val="Arial"/>
      <family val="2"/>
    </font>
    <font>
      <b/>
      <sz val="10"/>
      <color theme="1"/>
      <name val="Arial"/>
      <family val="2"/>
    </font>
    <font>
      <b/>
      <sz val="10"/>
      <color theme="2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4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4"/>
      <color theme="7"/>
      <name val="Arial"/>
      <family val="2"/>
    </font>
    <font>
      <b/>
      <sz val="10"/>
      <color theme="7" tint="-0.249977111117893"/>
      <name val="Arial"/>
      <family val="2"/>
    </font>
    <font>
      <sz val="10"/>
      <color theme="7" tint="-0.249977111117893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6">
    <xf numFmtId="0" fontId="0" fillId="0" borderId="0" xfId="0"/>
    <xf numFmtId="0" fontId="18" fillId="0" borderId="0" xfId="0" applyFont="1"/>
    <xf numFmtId="0" fontId="0" fillId="0" borderId="10" xfId="0" applyBorder="1"/>
    <xf numFmtId="0" fontId="18" fillId="0" borderId="10" xfId="0" applyFont="1" applyBorder="1"/>
    <xf numFmtId="164" fontId="0" fillId="0" borderId="0" xfId="0" applyNumberFormat="1"/>
    <xf numFmtId="0" fontId="18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0" borderId="11" xfId="0" applyBorder="1" applyAlignment="1">
      <alignment horizontal="center"/>
    </xf>
    <xf numFmtId="0" fontId="21" fillId="0" borderId="10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164" fontId="27" fillId="0" borderId="10" xfId="0" applyNumberFormat="1" applyFont="1" applyBorder="1" applyAlignment="1">
      <alignment horizontal="center" vertical="center"/>
    </xf>
    <xf numFmtId="0" fontId="19" fillId="0" borderId="0" xfId="0" applyFont="1"/>
    <xf numFmtId="0" fontId="0" fillId="34" borderId="0" xfId="0" applyFill="1"/>
    <xf numFmtId="164" fontId="0" fillId="34" borderId="0" xfId="0" applyNumberFormat="1" applyFill="1"/>
    <xf numFmtId="0" fontId="0" fillId="34" borderId="0" xfId="0" applyFill="1" applyAlignment="1">
      <alignment horizontal="center"/>
    </xf>
    <xf numFmtId="0" fontId="24" fillId="0" borderId="15" xfId="0" applyFont="1" applyBorder="1" applyAlignment="1">
      <alignment horizontal="center" vertical="center"/>
    </xf>
    <xf numFmtId="164" fontId="24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0" fillId="0" borderId="10" xfId="0" applyBorder="1" applyAlignment="1">
      <alignment horizontal="center" vertical="center"/>
    </xf>
    <xf numFmtId="0" fontId="0" fillId="0" borderId="0" xfId="0" applyAlignment="1">
      <alignment vertical="center"/>
    </xf>
    <xf numFmtId="0" fontId="31" fillId="0" borderId="15" xfId="0" applyFont="1" applyBorder="1" applyAlignment="1">
      <alignment horizontal="center" vertical="center"/>
    </xf>
    <xf numFmtId="164" fontId="31" fillId="0" borderId="10" xfId="0" applyNumberFormat="1" applyFont="1" applyBorder="1" applyAlignment="1">
      <alignment horizontal="center" vertical="center"/>
    </xf>
    <xf numFmtId="0" fontId="21" fillId="35" borderId="13" xfId="0" applyFont="1" applyFill="1" applyBorder="1" applyAlignment="1">
      <alignment horizontal="center" vertical="center"/>
    </xf>
    <xf numFmtId="0" fontId="21" fillId="35" borderId="14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0" xfId="0" applyFont="1" applyAlignment="1">
      <alignment horizontal="right"/>
    </xf>
    <xf numFmtId="0" fontId="18" fillId="36" borderId="0" xfId="0" applyFont="1" applyFill="1" applyAlignment="1">
      <alignment horizontal="left"/>
    </xf>
    <xf numFmtId="0" fontId="32" fillId="0" borderId="10" xfId="0" applyFont="1" applyBorder="1" applyAlignment="1">
      <alignment horizontal="center" vertical="center"/>
    </xf>
    <xf numFmtId="0" fontId="33" fillId="0" borderId="0" xfId="0" applyFont="1" applyAlignment="1">
      <alignment horizontal="center"/>
    </xf>
    <xf numFmtId="0" fontId="33" fillId="0" borderId="0" xfId="0" applyFont="1"/>
    <xf numFmtId="0" fontId="34" fillId="0" borderId="0" xfId="0" applyFont="1" applyAlignment="1">
      <alignment horizontal="left" vertical="center"/>
    </xf>
    <xf numFmtId="0" fontId="21" fillId="37" borderId="13" xfId="0" applyFont="1" applyFill="1" applyBorder="1" applyAlignment="1">
      <alignment horizontal="center" vertical="center"/>
    </xf>
    <xf numFmtId="0" fontId="21" fillId="37" borderId="14" xfId="0" applyFont="1" applyFill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164" fontId="35" fillId="0" borderId="10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35" fillId="0" borderId="10" xfId="0" applyFont="1" applyBorder="1" applyAlignment="1">
      <alignment horizontal="center" vertical="center"/>
    </xf>
    <xf numFmtId="0" fontId="36" fillId="0" borderId="0" xfId="0" applyFont="1" applyAlignment="1">
      <alignment horizontal="center"/>
    </xf>
    <xf numFmtId="0" fontId="36" fillId="0" borderId="0" xfId="0" applyFont="1"/>
    <xf numFmtId="0" fontId="0" fillId="0" borderId="10" xfId="0" applyBorder="1" applyAlignment="1">
      <alignment vertical="center"/>
    </xf>
    <xf numFmtId="0" fontId="21" fillId="38" borderId="10" xfId="0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33" borderId="0" xfId="0" applyFont="1" applyFill="1" applyAlignment="1">
      <alignment vertical="center"/>
    </xf>
    <xf numFmtId="0" fontId="0" fillId="33" borderId="0" xfId="0" applyFill="1"/>
    <xf numFmtId="164" fontId="0" fillId="33" borderId="0" xfId="0" applyNumberFormat="1" applyFill="1"/>
    <xf numFmtId="0" fontId="21" fillId="37" borderId="0" xfId="0" applyFont="1" applyFill="1" applyAlignment="1">
      <alignment vertical="center"/>
    </xf>
    <xf numFmtId="0" fontId="0" fillId="37" borderId="0" xfId="0" applyFill="1"/>
    <xf numFmtId="164" fontId="0" fillId="37" borderId="0" xfId="0" applyNumberFormat="1" applyFill="1"/>
    <xf numFmtId="0" fontId="21" fillId="39" borderId="0" xfId="0" applyFont="1" applyFill="1" applyAlignment="1">
      <alignment vertical="center"/>
    </xf>
    <xf numFmtId="0" fontId="0" fillId="39" borderId="0" xfId="0" applyFill="1" applyAlignment="1">
      <alignment vertical="center"/>
    </xf>
    <xf numFmtId="0" fontId="0" fillId="40" borderId="0" xfId="0" applyFill="1"/>
    <xf numFmtId="164" fontId="0" fillId="40" borderId="0" xfId="0" applyNumberFormat="1" applyFill="1"/>
    <xf numFmtId="0" fontId="0" fillId="40" borderId="0" xfId="0" applyFill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8" fillId="0" borderId="10" xfId="0" applyFont="1" applyBorder="1" applyAlignment="1">
      <alignment horizontal="left"/>
    </xf>
    <xf numFmtId="0" fontId="21" fillId="0" borderId="10" xfId="0" applyFont="1" applyBorder="1" applyAlignment="1">
      <alignment horizontal="center" vertical="center"/>
    </xf>
    <xf numFmtId="0" fontId="21" fillId="38" borderId="16" xfId="0" applyFont="1" applyFill="1" applyBorder="1" applyAlignment="1">
      <alignment horizontal="center" vertical="center"/>
    </xf>
    <xf numFmtId="0" fontId="21" fillId="38" borderId="11" xfId="0" applyFont="1" applyFill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1" fillId="36" borderId="0" xfId="0" applyFont="1" applyFill="1"/>
    <xf numFmtId="0" fontId="18" fillId="36" borderId="0" xfId="0" applyFont="1" applyFill="1"/>
    <xf numFmtId="0" fontId="0" fillId="36" borderId="0" xfId="0" applyFill="1"/>
    <xf numFmtId="0" fontId="35" fillId="0" borderId="15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21" fillId="0" borderId="13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34" borderId="0" xfId="0" applyFont="1" applyFill="1" applyAlignment="1">
      <alignment horizontal="left" vertical="center"/>
    </xf>
    <xf numFmtId="0" fontId="28" fillId="34" borderId="0" xfId="0" applyFont="1" applyFill="1" applyAlignment="1">
      <alignment horizontal="left" vertical="center"/>
    </xf>
    <xf numFmtId="0" fontId="31" fillId="0" borderId="15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30</xdr:row>
      <xdr:rowOff>63500</xdr:rowOff>
    </xdr:from>
    <xdr:to>
      <xdr:col>6</xdr:col>
      <xdr:colOff>190500</xdr:colOff>
      <xdr:row>31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C5CA77C-17D1-749F-8B02-ED3C94915250}"/>
            </a:ext>
          </a:extLst>
        </xdr:cNvPr>
        <xdr:cNvCxnSpPr/>
      </xdr:nvCxnSpPr>
      <xdr:spPr>
        <a:xfrm flipH="1">
          <a:off x="5213350" y="5086350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30</xdr:row>
      <xdr:rowOff>82550</xdr:rowOff>
    </xdr:from>
    <xdr:to>
      <xdr:col>9</xdr:col>
      <xdr:colOff>139700</xdr:colOff>
      <xdr:row>31</xdr:row>
      <xdr:rowOff>152400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758180FC-B282-B479-4959-0D6C1F640C95}"/>
            </a:ext>
          </a:extLst>
        </xdr:cNvPr>
        <xdr:cNvCxnSpPr/>
      </xdr:nvCxnSpPr>
      <xdr:spPr>
        <a:xfrm>
          <a:off x="68072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387350</xdr:colOff>
      <xdr:row>30</xdr:row>
      <xdr:rowOff>63500</xdr:rowOff>
    </xdr:from>
    <xdr:to>
      <xdr:col>14</xdr:col>
      <xdr:colOff>190500</xdr:colOff>
      <xdr:row>31</xdr:row>
      <xdr:rowOff>152400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D71755C1-879E-4A77-953C-4AE26DC0B07E}"/>
            </a:ext>
          </a:extLst>
        </xdr:cNvPr>
        <xdr:cNvCxnSpPr/>
      </xdr:nvCxnSpPr>
      <xdr:spPr>
        <a:xfrm flipH="1">
          <a:off x="5162550" y="5086350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482600</xdr:colOff>
      <xdr:row>30</xdr:row>
      <xdr:rowOff>82550</xdr:rowOff>
    </xdr:from>
    <xdr:to>
      <xdr:col>17</xdr:col>
      <xdr:colOff>139700</xdr:colOff>
      <xdr:row>31</xdr:row>
      <xdr:rowOff>152400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A4505FC-F59C-42A6-8ACD-4B61CCD53847}"/>
            </a:ext>
          </a:extLst>
        </xdr:cNvPr>
        <xdr:cNvCxnSpPr/>
      </xdr:nvCxnSpPr>
      <xdr:spPr>
        <a:xfrm>
          <a:off x="6807200" y="5105400"/>
          <a:ext cx="10858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387350</xdr:colOff>
      <xdr:row>30</xdr:row>
      <xdr:rowOff>63500</xdr:rowOff>
    </xdr:from>
    <xdr:to>
      <xdr:col>22</xdr:col>
      <xdr:colOff>190500</xdr:colOff>
      <xdr:row>31</xdr:row>
      <xdr:rowOff>152400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352EDE9-DC8E-4097-AEC3-645536DE55F3}"/>
            </a:ext>
          </a:extLst>
        </xdr:cNvPr>
        <xdr:cNvCxnSpPr/>
      </xdr:nvCxnSpPr>
      <xdr:spPr>
        <a:xfrm flipH="1">
          <a:off x="109029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482600</xdr:colOff>
      <xdr:row>30</xdr:row>
      <xdr:rowOff>82550</xdr:rowOff>
    </xdr:from>
    <xdr:to>
      <xdr:col>25</xdr:col>
      <xdr:colOff>139700</xdr:colOff>
      <xdr:row>31</xdr:row>
      <xdr:rowOff>152400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5F8B967-7F09-4E74-B296-FB375E053E0A}"/>
            </a:ext>
          </a:extLst>
        </xdr:cNvPr>
        <xdr:cNvCxnSpPr/>
      </xdr:nvCxnSpPr>
      <xdr:spPr>
        <a:xfrm>
          <a:off x="122174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387350</xdr:colOff>
      <xdr:row>30</xdr:row>
      <xdr:rowOff>63500</xdr:rowOff>
    </xdr:from>
    <xdr:to>
      <xdr:col>30</xdr:col>
      <xdr:colOff>190500</xdr:colOff>
      <xdr:row>31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93E1A7D8-E3BD-499E-A162-A642F3D008A2}"/>
            </a:ext>
          </a:extLst>
        </xdr:cNvPr>
        <xdr:cNvCxnSpPr/>
      </xdr:nvCxnSpPr>
      <xdr:spPr>
        <a:xfrm flipH="1">
          <a:off x="157797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482600</xdr:colOff>
      <xdr:row>30</xdr:row>
      <xdr:rowOff>82550</xdr:rowOff>
    </xdr:from>
    <xdr:to>
      <xdr:col>33</xdr:col>
      <xdr:colOff>139700</xdr:colOff>
      <xdr:row>31</xdr:row>
      <xdr:rowOff>152400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F361EA8F-A01B-4BC4-AEC7-2E15F9933118}"/>
            </a:ext>
          </a:extLst>
        </xdr:cNvPr>
        <xdr:cNvCxnSpPr/>
      </xdr:nvCxnSpPr>
      <xdr:spPr>
        <a:xfrm>
          <a:off x="170942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387350</xdr:colOff>
      <xdr:row>30</xdr:row>
      <xdr:rowOff>63500</xdr:rowOff>
    </xdr:from>
    <xdr:to>
      <xdr:col>38</xdr:col>
      <xdr:colOff>190500</xdr:colOff>
      <xdr:row>31</xdr:row>
      <xdr:rowOff>152400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74885EE-7F63-4D33-8FA8-A8B286193AFF}"/>
            </a:ext>
          </a:extLst>
        </xdr:cNvPr>
        <xdr:cNvCxnSpPr/>
      </xdr:nvCxnSpPr>
      <xdr:spPr>
        <a:xfrm flipH="1">
          <a:off x="206565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482600</xdr:colOff>
      <xdr:row>30</xdr:row>
      <xdr:rowOff>82550</xdr:rowOff>
    </xdr:from>
    <xdr:to>
      <xdr:col>41</xdr:col>
      <xdr:colOff>139700</xdr:colOff>
      <xdr:row>31</xdr:row>
      <xdr:rowOff>152400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9256B13-028A-488F-9B50-4C1E7C47439B}"/>
            </a:ext>
          </a:extLst>
        </xdr:cNvPr>
        <xdr:cNvCxnSpPr/>
      </xdr:nvCxnSpPr>
      <xdr:spPr>
        <a:xfrm>
          <a:off x="219710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387350</xdr:colOff>
      <xdr:row>30</xdr:row>
      <xdr:rowOff>63500</xdr:rowOff>
    </xdr:from>
    <xdr:to>
      <xdr:col>46</xdr:col>
      <xdr:colOff>190500</xdr:colOff>
      <xdr:row>31</xdr:row>
      <xdr:rowOff>152400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F12E87D-7A90-46F9-A4D6-BDBF3158111E}"/>
            </a:ext>
          </a:extLst>
        </xdr:cNvPr>
        <xdr:cNvCxnSpPr/>
      </xdr:nvCxnSpPr>
      <xdr:spPr>
        <a:xfrm flipH="1">
          <a:off x="255333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482600</xdr:colOff>
      <xdr:row>30</xdr:row>
      <xdr:rowOff>82550</xdr:rowOff>
    </xdr:from>
    <xdr:to>
      <xdr:col>49</xdr:col>
      <xdr:colOff>139700</xdr:colOff>
      <xdr:row>31</xdr:row>
      <xdr:rowOff>152400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216A175-7D47-443E-A999-9B1387B8D3AD}"/>
            </a:ext>
          </a:extLst>
        </xdr:cNvPr>
        <xdr:cNvCxnSpPr/>
      </xdr:nvCxnSpPr>
      <xdr:spPr>
        <a:xfrm>
          <a:off x="268478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387350</xdr:colOff>
      <xdr:row>30</xdr:row>
      <xdr:rowOff>63500</xdr:rowOff>
    </xdr:from>
    <xdr:to>
      <xdr:col>54</xdr:col>
      <xdr:colOff>190500</xdr:colOff>
      <xdr:row>31</xdr:row>
      <xdr:rowOff>152400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4BBB6D4-1179-4FC9-999B-7E45D99B3AAE}"/>
            </a:ext>
          </a:extLst>
        </xdr:cNvPr>
        <xdr:cNvCxnSpPr/>
      </xdr:nvCxnSpPr>
      <xdr:spPr>
        <a:xfrm flipH="1">
          <a:off x="304101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482600</xdr:colOff>
      <xdr:row>30</xdr:row>
      <xdr:rowOff>82550</xdr:rowOff>
    </xdr:from>
    <xdr:to>
      <xdr:col>57</xdr:col>
      <xdr:colOff>139700</xdr:colOff>
      <xdr:row>31</xdr:row>
      <xdr:rowOff>152400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6B51B58-4489-4FF7-99E0-4E66FE75A773}"/>
            </a:ext>
          </a:extLst>
        </xdr:cNvPr>
        <xdr:cNvCxnSpPr/>
      </xdr:nvCxnSpPr>
      <xdr:spPr>
        <a:xfrm>
          <a:off x="317246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387350</xdr:colOff>
      <xdr:row>30</xdr:row>
      <xdr:rowOff>63500</xdr:rowOff>
    </xdr:from>
    <xdr:to>
      <xdr:col>62</xdr:col>
      <xdr:colOff>190500</xdr:colOff>
      <xdr:row>31</xdr:row>
      <xdr:rowOff>152400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74341510-A82A-42B4-BCF5-6392CC97FA88}"/>
            </a:ext>
          </a:extLst>
        </xdr:cNvPr>
        <xdr:cNvCxnSpPr/>
      </xdr:nvCxnSpPr>
      <xdr:spPr>
        <a:xfrm flipH="1">
          <a:off x="352869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482600</xdr:colOff>
      <xdr:row>30</xdr:row>
      <xdr:rowOff>82550</xdr:rowOff>
    </xdr:from>
    <xdr:to>
      <xdr:col>65</xdr:col>
      <xdr:colOff>139700</xdr:colOff>
      <xdr:row>31</xdr:row>
      <xdr:rowOff>152400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DBD9C935-F12F-4AD7-9A06-BDE651E8408B}"/>
            </a:ext>
          </a:extLst>
        </xdr:cNvPr>
        <xdr:cNvCxnSpPr/>
      </xdr:nvCxnSpPr>
      <xdr:spPr>
        <a:xfrm>
          <a:off x="366014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387350</xdr:colOff>
      <xdr:row>30</xdr:row>
      <xdr:rowOff>63500</xdr:rowOff>
    </xdr:from>
    <xdr:to>
      <xdr:col>70</xdr:col>
      <xdr:colOff>190500</xdr:colOff>
      <xdr:row>31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CA517B1B-573E-4138-BDDF-D3819C7405A3}"/>
            </a:ext>
          </a:extLst>
        </xdr:cNvPr>
        <xdr:cNvCxnSpPr/>
      </xdr:nvCxnSpPr>
      <xdr:spPr>
        <a:xfrm flipH="1">
          <a:off x="401637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482600</xdr:colOff>
      <xdr:row>30</xdr:row>
      <xdr:rowOff>82550</xdr:rowOff>
    </xdr:from>
    <xdr:to>
      <xdr:col>73</xdr:col>
      <xdr:colOff>139700</xdr:colOff>
      <xdr:row>31</xdr:row>
      <xdr:rowOff>152400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36F18B4D-FD14-4871-AB65-87C2237AEC7A}"/>
            </a:ext>
          </a:extLst>
        </xdr:cNvPr>
        <xdr:cNvCxnSpPr/>
      </xdr:nvCxnSpPr>
      <xdr:spPr>
        <a:xfrm>
          <a:off x="414782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387350</xdr:colOff>
      <xdr:row>30</xdr:row>
      <xdr:rowOff>63500</xdr:rowOff>
    </xdr:from>
    <xdr:to>
      <xdr:col>78</xdr:col>
      <xdr:colOff>190500</xdr:colOff>
      <xdr:row>31</xdr:row>
      <xdr:rowOff>152400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13936F0-7941-403A-92E5-DE67C7A0A3AC}"/>
            </a:ext>
          </a:extLst>
        </xdr:cNvPr>
        <xdr:cNvCxnSpPr/>
      </xdr:nvCxnSpPr>
      <xdr:spPr>
        <a:xfrm flipH="1">
          <a:off x="450405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482600</xdr:colOff>
      <xdr:row>30</xdr:row>
      <xdr:rowOff>82550</xdr:rowOff>
    </xdr:from>
    <xdr:to>
      <xdr:col>81</xdr:col>
      <xdr:colOff>139700</xdr:colOff>
      <xdr:row>31</xdr:row>
      <xdr:rowOff>152400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9EBFABB9-8CA5-4CF0-85C4-9A79EDAD0701}"/>
            </a:ext>
          </a:extLst>
        </xdr:cNvPr>
        <xdr:cNvCxnSpPr/>
      </xdr:nvCxnSpPr>
      <xdr:spPr>
        <a:xfrm>
          <a:off x="463550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387350</xdr:colOff>
      <xdr:row>30</xdr:row>
      <xdr:rowOff>63500</xdr:rowOff>
    </xdr:from>
    <xdr:to>
      <xdr:col>86</xdr:col>
      <xdr:colOff>190500</xdr:colOff>
      <xdr:row>31</xdr:row>
      <xdr:rowOff>152400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D94BB303-3CED-4DF0-99DC-CE7700031E86}"/>
            </a:ext>
          </a:extLst>
        </xdr:cNvPr>
        <xdr:cNvCxnSpPr/>
      </xdr:nvCxnSpPr>
      <xdr:spPr>
        <a:xfrm flipH="1">
          <a:off x="499173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482600</xdr:colOff>
      <xdr:row>30</xdr:row>
      <xdr:rowOff>82550</xdr:rowOff>
    </xdr:from>
    <xdr:to>
      <xdr:col>89</xdr:col>
      <xdr:colOff>139700</xdr:colOff>
      <xdr:row>31</xdr:row>
      <xdr:rowOff>152400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3225C2F9-7545-4444-9B19-2CDEBE37829E}"/>
            </a:ext>
          </a:extLst>
        </xdr:cNvPr>
        <xdr:cNvCxnSpPr/>
      </xdr:nvCxnSpPr>
      <xdr:spPr>
        <a:xfrm>
          <a:off x="512318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387350</xdr:colOff>
      <xdr:row>30</xdr:row>
      <xdr:rowOff>63500</xdr:rowOff>
    </xdr:from>
    <xdr:to>
      <xdr:col>94</xdr:col>
      <xdr:colOff>190500</xdr:colOff>
      <xdr:row>31</xdr:row>
      <xdr:rowOff>152400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E7B3CAD-F978-41F9-A8AF-FB02AF223FCC}"/>
            </a:ext>
          </a:extLst>
        </xdr:cNvPr>
        <xdr:cNvCxnSpPr/>
      </xdr:nvCxnSpPr>
      <xdr:spPr>
        <a:xfrm flipH="1">
          <a:off x="547941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482600</xdr:colOff>
      <xdr:row>30</xdr:row>
      <xdr:rowOff>82550</xdr:rowOff>
    </xdr:from>
    <xdr:to>
      <xdr:col>97</xdr:col>
      <xdr:colOff>139700</xdr:colOff>
      <xdr:row>31</xdr:row>
      <xdr:rowOff>152400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26E0CC2-2FE4-4B15-B101-C70BEED4C42F}"/>
            </a:ext>
          </a:extLst>
        </xdr:cNvPr>
        <xdr:cNvCxnSpPr/>
      </xdr:nvCxnSpPr>
      <xdr:spPr>
        <a:xfrm>
          <a:off x="561086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387350</xdr:colOff>
      <xdr:row>30</xdr:row>
      <xdr:rowOff>63500</xdr:rowOff>
    </xdr:from>
    <xdr:to>
      <xdr:col>102</xdr:col>
      <xdr:colOff>190500</xdr:colOff>
      <xdr:row>31</xdr:row>
      <xdr:rowOff>152400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373E8154-0AD4-449A-A0D3-8A3DB6BF5140}"/>
            </a:ext>
          </a:extLst>
        </xdr:cNvPr>
        <xdr:cNvCxnSpPr/>
      </xdr:nvCxnSpPr>
      <xdr:spPr>
        <a:xfrm flipH="1">
          <a:off x="596709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482600</xdr:colOff>
      <xdr:row>30</xdr:row>
      <xdr:rowOff>82550</xdr:rowOff>
    </xdr:from>
    <xdr:to>
      <xdr:col>105</xdr:col>
      <xdr:colOff>139700</xdr:colOff>
      <xdr:row>31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4DF24287-E947-4560-8F64-597D2BCE46B9}"/>
            </a:ext>
          </a:extLst>
        </xdr:cNvPr>
        <xdr:cNvCxnSpPr/>
      </xdr:nvCxnSpPr>
      <xdr:spPr>
        <a:xfrm>
          <a:off x="609854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387350</xdr:colOff>
      <xdr:row>30</xdr:row>
      <xdr:rowOff>63500</xdr:rowOff>
    </xdr:from>
    <xdr:to>
      <xdr:col>110</xdr:col>
      <xdr:colOff>190500</xdr:colOff>
      <xdr:row>31</xdr:row>
      <xdr:rowOff>152400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668F5381-2FB4-45E1-972F-F99735325874}"/>
            </a:ext>
          </a:extLst>
        </xdr:cNvPr>
        <xdr:cNvCxnSpPr/>
      </xdr:nvCxnSpPr>
      <xdr:spPr>
        <a:xfrm flipH="1">
          <a:off x="645477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482600</xdr:colOff>
      <xdr:row>30</xdr:row>
      <xdr:rowOff>82550</xdr:rowOff>
    </xdr:from>
    <xdr:to>
      <xdr:col>113</xdr:col>
      <xdr:colOff>139700</xdr:colOff>
      <xdr:row>31</xdr:row>
      <xdr:rowOff>152400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2F7A100-334A-4C2C-BA0D-EAF69FDFA9B5}"/>
            </a:ext>
          </a:extLst>
        </xdr:cNvPr>
        <xdr:cNvCxnSpPr/>
      </xdr:nvCxnSpPr>
      <xdr:spPr>
        <a:xfrm>
          <a:off x="658622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387350</xdr:colOff>
      <xdr:row>30</xdr:row>
      <xdr:rowOff>63500</xdr:rowOff>
    </xdr:from>
    <xdr:to>
      <xdr:col>118</xdr:col>
      <xdr:colOff>190500</xdr:colOff>
      <xdr:row>31</xdr:row>
      <xdr:rowOff>152400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DFB21B19-D700-48A8-B11F-9975978D3632}"/>
            </a:ext>
          </a:extLst>
        </xdr:cNvPr>
        <xdr:cNvCxnSpPr/>
      </xdr:nvCxnSpPr>
      <xdr:spPr>
        <a:xfrm flipH="1">
          <a:off x="694245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482600</xdr:colOff>
      <xdr:row>30</xdr:row>
      <xdr:rowOff>82550</xdr:rowOff>
    </xdr:from>
    <xdr:to>
      <xdr:col>121</xdr:col>
      <xdr:colOff>139700</xdr:colOff>
      <xdr:row>31</xdr:row>
      <xdr:rowOff>152400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ED5981E-9483-4C2A-8274-64B3F0BA74FF}"/>
            </a:ext>
          </a:extLst>
        </xdr:cNvPr>
        <xdr:cNvCxnSpPr/>
      </xdr:nvCxnSpPr>
      <xdr:spPr>
        <a:xfrm>
          <a:off x="707390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387350</xdr:colOff>
      <xdr:row>30</xdr:row>
      <xdr:rowOff>63500</xdr:rowOff>
    </xdr:from>
    <xdr:to>
      <xdr:col>126</xdr:col>
      <xdr:colOff>190500</xdr:colOff>
      <xdr:row>31</xdr:row>
      <xdr:rowOff>152400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D92D1EA8-43A2-4D6B-A8EE-33C77B1982EE}"/>
            </a:ext>
          </a:extLst>
        </xdr:cNvPr>
        <xdr:cNvCxnSpPr/>
      </xdr:nvCxnSpPr>
      <xdr:spPr>
        <a:xfrm flipH="1">
          <a:off x="743013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482600</xdr:colOff>
      <xdr:row>30</xdr:row>
      <xdr:rowOff>82550</xdr:rowOff>
    </xdr:from>
    <xdr:to>
      <xdr:col>129</xdr:col>
      <xdr:colOff>139700</xdr:colOff>
      <xdr:row>31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A7D2D1C-5B93-49BC-80BA-0DAD44456EA1}"/>
            </a:ext>
          </a:extLst>
        </xdr:cNvPr>
        <xdr:cNvCxnSpPr/>
      </xdr:nvCxnSpPr>
      <xdr:spPr>
        <a:xfrm>
          <a:off x="756158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387350</xdr:colOff>
      <xdr:row>30</xdr:row>
      <xdr:rowOff>63500</xdr:rowOff>
    </xdr:from>
    <xdr:to>
      <xdr:col>134</xdr:col>
      <xdr:colOff>190500</xdr:colOff>
      <xdr:row>31</xdr:row>
      <xdr:rowOff>152400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038095E-5BBC-4367-807F-4D07274F81FC}"/>
            </a:ext>
          </a:extLst>
        </xdr:cNvPr>
        <xdr:cNvCxnSpPr/>
      </xdr:nvCxnSpPr>
      <xdr:spPr>
        <a:xfrm flipH="1">
          <a:off x="79178150" y="50863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482600</xdr:colOff>
      <xdr:row>30</xdr:row>
      <xdr:rowOff>82550</xdr:rowOff>
    </xdr:from>
    <xdr:to>
      <xdr:col>137</xdr:col>
      <xdr:colOff>139700</xdr:colOff>
      <xdr:row>31</xdr:row>
      <xdr:rowOff>152400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9FE5A544-3C0A-4216-83FD-C95DF28CC2E5}"/>
            </a:ext>
          </a:extLst>
        </xdr:cNvPr>
        <xdr:cNvCxnSpPr/>
      </xdr:nvCxnSpPr>
      <xdr:spPr>
        <a:xfrm>
          <a:off x="80492600" y="51054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387350</xdr:colOff>
      <xdr:row>61</xdr:row>
      <xdr:rowOff>63500</xdr:rowOff>
    </xdr:from>
    <xdr:to>
      <xdr:col>6</xdr:col>
      <xdr:colOff>190500</xdr:colOff>
      <xdr:row>62</xdr:row>
      <xdr:rowOff>152400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75E04C49-8A6D-4D69-9EE1-FFA52A6F2EDC}"/>
            </a:ext>
          </a:extLst>
        </xdr:cNvPr>
        <xdr:cNvCxnSpPr/>
      </xdr:nvCxnSpPr>
      <xdr:spPr>
        <a:xfrm flipH="1">
          <a:off x="5162550" y="5162550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61</xdr:row>
      <xdr:rowOff>82550</xdr:rowOff>
    </xdr:from>
    <xdr:to>
      <xdr:col>9</xdr:col>
      <xdr:colOff>139700</xdr:colOff>
      <xdr:row>62</xdr:row>
      <xdr:rowOff>152400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6CCEE465-AF5E-4D86-A2CE-F47958125F32}"/>
            </a:ext>
          </a:extLst>
        </xdr:cNvPr>
        <xdr:cNvCxnSpPr/>
      </xdr:nvCxnSpPr>
      <xdr:spPr>
        <a:xfrm>
          <a:off x="6807200" y="5181600"/>
          <a:ext cx="10858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387350</xdr:colOff>
      <xdr:row>61</xdr:row>
      <xdr:rowOff>63500</xdr:rowOff>
    </xdr:from>
    <xdr:to>
      <xdr:col>14</xdr:col>
      <xdr:colOff>190500</xdr:colOff>
      <xdr:row>62</xdr:row>
      <xdr:rowOff>152400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8B42E12-7B5B-4140-B4E3-5907E34FA3EB}"/>
            </a:ext>
          </a:extLst>
        </xdr:cNvPr>
        <xdr:cNvCxnSpPr/>
      </xdr:nvCxnSpPr>
      <xdr:spPr>
        <a:xfrm flipH="1">
          <a:off x="5162550" y="10737850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482600</xdr:colOff>
      <xdr:row>61</xdr:row>
      <xdr:rowOff>82550</xdr:rowOff>
    </xdr:from>
    <xdr:to>
      <xdr:col>17</xdr:col>
      <xdr:colOff>139700</xdr:colOff>
      <xdr:row>62</xdr:row>
      <xdr:rowOff>152400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D1CDA14-CF7D-4F57-A047-78EB3A78AF7C}"/>
            </a:ext>
          </a:extLst>
        </xdr:cNvPr>
        <xdr:cNvCxnSpPr/>
      </xdr:nvCxnSpPr>
      <xdr:spPr>
        <a:xfrm>
          <a:off x="6807200" y="10756900"/>
          <a:ext cx="10858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387350</xdr:colOff>
      <xdr:row>61</xdr:row>
      <xdr:rowOff>63500</xdr:rowOff>
    </xdr:from>
    <xdr:to>
      <xdr:col>22</xdr:col>
      <xdr:colOff>190500</xdr:colOff>
      <xdr:row>62</xdr:row>
      <xdr:rowOff>152400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E2E9CC3-9066-4B2A-8233-060E66999207}"/>
            </a:ext>
          </a:extLst>
        </xdr:cNvPr>
        <xdr:cNvCxnSpPr/>
      </xdr:nvCxnSpPr>
      <xdr:spPr>
        <a:xfrm flipH="1">
          <a:off x="111950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482600</xdr:colOff>
      <xdr:row>61</xdr:row>
      <xdr:rowOff>82550</xdr:rowOff>
    </xdr:from>
    <xdr:to>
      <xdr:col>25</xdr:col>
      <xdr:colOff>139700</xdr:colOff>
      <xdr:row>62</xdr:row>
      <xdr:rowOff>152400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EF882F16-BBFA-4BB4-BEFD-B22EA5AD79F6}"/>
            </a:ext>
          </a:extLst>
        </xdr:cNvPr>
        <xdr:cNvCxnSpPr/>
      </xdr:nvCxnSpPr>
      <xdr:spPr>
        <a:xfrm>
          <a:off x="125095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387350</xdr:colOff>
      <xdr:row>61</xdr:row>
      <xdr:rowOff>63500</xdr:rowOff>
    </xdr:from>
    <xdr:to>
      <xdr:col>30</xdr:col>
      <xdr:colOff>190500</xdr:colOff>
      <xdr:row>62</xdr:row>
      <xdr:rowOff>152400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1EC8FE0-3FA2-4825-959C-3D3D1A797953}"/>
            </a:ext>
          </a:extLst>
        </xdr:cNvPr>
        <xdr:cNvCxnSpPr/>
      </xdr:nvCxnSpPr>
      <xdr:spPr>
        <a:xfrm flipH="1">
          <a:off x="164528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482600</xdr:colOff>
      <xdr:row>61</xdr:row>
      <xdr:rowOff>82550</xdr:rowOff>
    </xdr:from>
    <xdr:to>
      <xdr:col>33</xdr:col>
      <xdr:colOff>139700</xdr:colOff>
      <xdr:row>62</xdr:row>
      <xdr:rowOff>152400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671D483-019B-4F78-A3A3-D6B63DCE7C07}"/>
            </a:ext>
          </a:extLst>
        </xdr:cNvPr>
        <xdr:cNvCxnSpPr/>
      </xdr:nvCxnSpPr>
      <xdr:spPr>
        <a:xfrm>
          <a:off x="177673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387350</xdr:colOff>
      <xdr:row>61</xdr:row>
      <xdr:rowOff>63500</xdr:rowOff>
    </xdr:from>
    <xdr:to>
      <xdr:col>38</xdr:col>
      <xdr:colOff>190500</xdr:colOff>
      <xdr:row>62</xdr:row>
      <xdr:rowOff>152400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9A8A67B-AE41-4943-96EC-2583672F6FDA}"/>
            </a:ext>
          </a:extLst>
        </xdr:cNvPr>
        <xdr:cNvCxnSpPr/>
      </xdr:nvCxnSpPr>
      <xdr:spPr>
        <a:xfrm flipH="1">
          <a:off x="2170430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482600</xdr:colOff>
      <xdr:row>61</xdr:row>
      <xdr:rowOff>82550</xdr:rowOff>
    </xdr:from>
    <xdr:to>
      <xdr:col>41</xdr:col>
      <xdr:colOff>139700</xdr:colOff>
      <xdr:row>62</xdr:row>
      <xdr:rowOff>152400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4389974B-2AF4-4D78-ABC4-A29D4B46DAF2}"/>
            </a:ext>
          </a:extLst>
        </xdr:cNvPr>
        <xdr:cNvCxnSpPr/>
      </xdr:nvCxnSpPr>
      <xdr:spPr>
        <a:xfrm>
          <a:off x="2301875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387350</xdr:colOff>
      <xdr:row>61</xdr:row>
      <xdr:rowOff>63500</xdr:rowOff>
    </xdr:from>
    <xdr:to>
      <xdr:col>46</xdr:col>
      <xdr:colOff>190500</xdr:colOff>
      <xdr:row>62</xdr:row>
      <xdr:rowOff>152400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4B37319C-F4EE-4A3E-BA85-4CC904922DC2}"/>
            </a:ext>
          </a:extLst>
        </xdr:cNvPr>
        <xdr:cNvCxnSpPr/>
      </xdr:nvCxnSpPr>
      <xdr:spPr>
        <a:xfrm flipH="1">
          <a:off x="268160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482600</xdr:colOff>
      <xdr:row>61</xdr:row>
      <xdr:rowOff>82550</xdr:rowOff>
    </xdr:from>
    <xdr:to>
      <xdr:col>49</xdr:col>
      <xdr:colOff>139700</xdr:colOff>
      <xdr:row>62</xdr:row>
      <xdr:rowOff>152400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A48D39DB-C0E8-45F7-A97C-050F612A6011}"/>
            </a:ext>
          </a:extLst>
        </xdr:cNvPr>
        <xdr:cNvCxnSpPr/>
      </xdr:nvCxnSpPr>
      <xdr:spPr>
        <a:xfrm>
          <a:off x="281305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387350</xdr:colOff>
      <xdr:row>61</xdr:row>
      <xdr:rowOff>63500</xdr:rowOff>
    </xdr:from>
    <xdr:to>
      <xdr:col>54</xdr:col>
      <xdr:colOff>190500</xdr:colOff>
      <xdr:row>62</xdr:row>
      <xdr:rowOff>152400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4F936B77-BFC5-4368-A9ED-FCC038829931}"/>
            </a:ext>
          </a:extLst>
        </xdr:cNvPr>
        <xdr:cNvCxnSpPr/>
      </xdr:nvCxnSpPr>
      <xdr:spPr>
        <a:xfrm flipH="1">
          <a:off x="319722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482600</xdr:colOff>
      <xdr:row>61</xdr:row>
      <xdr:rowOff>82550</xdr:rowOff>
    </xdr:from>
    <xdr:to>
      <xdr:col>57</xdr:col>
      <xdr:colOff>139700</xdr:colOff>
      <xdr:row>62</xdr:row>
      <xdr:rowOff>152400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71F8C9-9A4F-4E3B-A66F-51C0CB489720}"/>
            </a:ext>
          </a:extLst>
        </xdr:cNvPr>
        <xdr:cNvCxnSpPr/>
      </xdr:nvCxnSpPr>
      <xdr:spPr>
        <a:xfrm>
          <a:off x="332867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387350</xdr:colOff>
      <xdr:row>61</xdr:row>
      <xdr:rowOff>63500</xdr:rowOff>
    </xdr:from>
    <xdr:to>
      <xdr:col>62</xdr:col>
      <xdr:colOff>190500</xdr:colOff>
      <xdr:row>62</xdr:row>
      <xdr:rowOff>152400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BB655ED-9923-4EF6-A649-95837796E959}"/>
            </a:ext>
          </a:extLst>
        </xdr:cNvPr>
        <xdr:cNvCxnSpPr/>
      </xdr:nvCxnSpPr>
      <xdr:spPr>
        <a:xfrm flipH="1">
          <a:off x="396684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482600</xdr:colOff>
      <xdr:row>61</xdr:row>
      <xdr:rowOff>82550</xdr:rowOff>
    </xdr:from>
    <xdr:to>
      <xdr:col>65</xdr:col>
      <xdr:colOff>139700</xdr:colOff>
      <xdr:row>62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7D41FC6-6428-4B89-A96F-F355C22A43FA}"/>
            </a:ext>
          </a:extLst>
        </xdr:cNvPr>
        <xdr:cNvCxnSpPr/>
      </xdr:nvCxnSpPr>
      <xdr:spPr>
        <a:xfrm>
          <a:off x="409829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387350</xdr:colOff>
      <xdr:row>61</xdr:row>
      <xdr:rowOff>63500</xdr:rowOff>
    </xdr:from>
    <xdr:to>
      <xdr:col>70</xdr:col>
      <xdr:colOff>190500</xdr:colOff>
      <xdr:row>62</xdr:row>
      <xdr:rowOff>152400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72F73B1-802B-46E0-BCC2-4A54DE37B84A}"/>
            </a:ext>
          </a:extLst>
        </xdr:cNvPr>
        <xdr:cNvCxnSpPr/>
      </xdr:nvCxnSpPr>
      <xdr:spPr>
        <a:xfrm flipH="1">
          <a:off x="4511040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482600</xdr:colOff>
      <xdr:row>61</xdr:row>
      <xdr:rowOff>82550</xdr:rowOff>
    </xdr:from>
    <xdr:to>
      <xdr:col>73</xdr:col>
      <xdr:colOff>139700</xdr:colOff>
      <xdr:row>62</xdr:row>
      <xdr:rowOff>152400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B2946531-0DDC-4C33-A9F8-7FE391E45D97}"/>
            </a:ext>
          </a:extLst>
        </xdr:cNvPr>
        <xdr:cNvCxnSpPr/>
      </xdr:nvCxnSpPr>
      <xdr:spPr>
        <a:xfrm>
          <a:off x="4642485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387350</xdr:colOff>
      <xdr:row>61</xdr:row>
      <xdr:rowOff>63500</xdr:rowOff>
    </xdr:from>
    <xdr:to>
      <xdr:col>78</xdr:col>
      <xdr:colOff>190500</xdr:colOff>
      <xdr:row>62</xdr:row>
      <xdr:rowOff>152400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D637D44-A109-4E68-8632-EED4E11FABEB}"/>
            </a:ext>
          </a:extLst>
        </xdr:cNvPr>
        <xdr:cNvCxnSpPr/>
      </xdr:nvCxnSpPr>
      <xdr:spPr>
        <a:xfrm flipH="1">
          <a:off x="507428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482600</xdr:colOff>
      <xdr:row>61</xdr:row>
      <xdr:rowOff>82550</xdr:rowOff>
    </xdr:from>
    <xdr:to>
      <xdr:col>81</xdr:col>
      <xdr:colOff>139700</xdr:colOff>
      <xdr:row>62</xdr:row>
      <xdr:rowOff>152400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E205BF6F-F3CC-48D8-B33E-0303212E9525}"/>
            </a:ext>
          </a:extLst>
        </xdr:cNvPr>
        <xdr:cNvCxnSpPr/>
      </xdr:nvCxnSpPr>
      <xdr:spPr>
        <a:xfrm>
          <a:off x="520573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387350</xdr:colOff>
      <xdr:row>61</xdr:row>
      <xdr:rowOff>63500</xdr:rowOff>
    </xdr:from>
    <xdr:to>
      <xdr:col>86</xdr:col>
      <xdr:colOff>190500</xdr:colOff>
      <xdr:row>62</xdr:row>
      <xdr:rowOff>152400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9289A9B5-A237-4011-93C7-F1B3E4CBE63D}"/>
            </a:ext>
          </a:extLst>
        </xdr:cNvPr>
        <xdr:cNvCxnSpPr/>
      </xdr:nvCxnSpPr>
      <xdr:spPr>
        <a:xfrm flipH="1">
          <a:off x="5638800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482600</xdr:colOff>
      <xdr:row>61</xdr:row>
      <xdr:rowOff>82550</xdr:rowOff>
    </xdr:from>
    <xdr:to>
      <xdr:col>89</xdr:col>
      <xdr:colOff>139700</xdr:colOff>
      <xdr:row>62</xdr:row>
      <xdr:rowOff>152400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8F45CEBA-F75B-4419-BD3F-0473AB98D400}"/>
            </a:ext>
          </a:extLst>
        </xdr:cNvPr>
        <xdr:cNvCxnSpPr/>
      </xdr:nvCxnSpPr>
      <xdr:spPr>
        <a:xfrm>
          <a:off x="5770245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387350</xdr:colOff>
      <xdr:row>61</xdr:row>
      <xdr:rowOff>63500</xdr:rowOff>
    </xdr:from>
    <xdr:to>
      <xdr:col>94</xdr:col>
      <xdr:colOff>190500</xdr:colOff>
      <xdr:row>62</xdr:row>
      <xdr:rowOff>152400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665BD2AD-520C-4394-BCEA-085A7143C418}"/>
            </a:ext>
          </a:extLst>
        </xdr:cNvPr>
        <xdr:cNvCxnSpPr/>
      </xdr:nvCxnSpPr>
      <xdr:spPr>
        <a:xfrm flipH="1">
          <a:off x="620585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482600</xdr:colOff>
      <xdr:row>61</xdr:row>
      <xdr:rowOff>82550</xdr:rowOff>
    </xdr:from>
    <xdr:to>
      <xdr:col>97</xdr:col>
      <xdr:colOff>139700</xdr:colOff>
      <xdr:row>62</xdr:row>
      <xdr:rowOff>152400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D543C661-A7FF-47EA-B5BB-7E6A6FF61BD1}"/>
            </a:ext>
          </a:extLst>
        </xdr:cNvPr>
        <xdr:cNvCxnSpPr/>
      </xdr:nvCxnSpPr>
      <xdr:spPr>
        <a:xfrm>
          <a:off x="633730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387350</xdr:colOff>
      <xdr:row>61</xdr:row>
      <xdr:rowOff>63500</xdr:rowOff>
    </xdr:from>
    <xdr:to>
      <xdr:col>102</xdr:col>
      <xdr:colOff>190500</xdr:colOff>
      <xdr:row>62</xdr:row>
      <xdr:rowOff>152400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3339D298-402F-416E-BEC9-994718C92176}"/>
            </a:ext>
          </a:extLst>
        </xdr:cNvPr>
        <xdr:cNvCxnSpPr/>
      </xdr:nvCxnSpPr>
      <xdr:spPr>
        <a:xfrm flipH="1">
          <a:off x="6773545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482600</xdr:colOff>
      <xdr:row>61</xdr:row>
      <xdr:rowOff>82550</xdr:rowOff>
    </xdr:from>
    <xdr:to>
      <xdr:col>105</xdr:col>
      <xdr:colOff>139700</xdr:colOff>
      <xdr:row>62</xdr:row>
      <xdr:rowOff>152400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996C9F44-946A-4BF2-970A-6E573C0C78C6}"/>
            </a:ext>
          </a:extLst>
        </xdr:cNvPr>
        <xdr:cNvCxnSpPr/>
      </xdr:nvCxnSpPr>
      <xdr:spPr>
        <a:xfrm>
          <a:off x="6904990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387350</xdr:colOff>
      <xdr:row>61</xdr:row>
      <xdr:rowOff>63500</xdr:rowOff>
    </xdr:from>
    <xdr:to>
      <xdr:col>110</xdr:col>
      <xdr:colOff>190500</xdr:colOff>
      <xdr:row>62</xdr:row>
      <xdr:rowOff>152400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F91F5D8F-A015-4772-93F3-70364A5A6B4A}"/>
            </a:ext>
          </a:extLst>
        </xdr:cNvPr>
        <xdr:cNvCxnSpPr/>
      </xdr:nvCxnSpPr>
      <xdr:spPr>
        <a:xfrm flipH="1">
          <a:off x="73253600" y="10737850"/>
          <a:ext cx="4127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482600</xdr:colOff>
      <xdr:row>61</xdr:row>
      <xdr:rowOff>82550</xdr:rowOff>
    </xdr:from>
    <xdr:to>
      <xdr:col>113</xdr:col>
      <xdr:colOff>139700</xdr:colOff>
      <xdr:row>62</xdr:row>
      <xdr:rowOff>152400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779FBEE5-1146-4756-87A2-7709FBF428CE}"/>
            </a:ext>
          </a:extLst>
        </xdr:cNvPr>
        <xdr:cNvCxnSpPr/>
      </xdr:nvCxnSpPr>
      <xdr:spPr>
        <a:xfrm>
          <a:off x="7456805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387350</xdr:colOff>
      <xdr:row>94</xdr:row>
      <xdr:rowOff>63500</xdr:rowOff>
    </xdr:from>
    <xdr:to>
      <xdr:col>6</xdr:col>
      <xdr:colOff>190500</xdr:colOff>
      <xdr:row>95</xdr:row>
      <xdr:rowOff>152400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57E875A5-47CF-4E3C-A479-C5F782098AAE}"/>
            </a:ext>
          </a:extLst>
        </xdr:cNvPr>
        <xdr:cNvCxnSpPr/>
      </xdr:nvCxnSpPr>
      <xdr:spPr>
        <a:xfrm flipH="1">
          <a:off x="5270500" y="10737850"/>
          <a:ext cx="590550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482600</xdr:colOff>
      <xdr:row>94</xdr:row>
      <xdr:rowOff>82550</xdr:rowOff>
    </xdr:from>
    <xdr:to>
      <xdr:col>9</xdr:col>
      <xdr:colOff>139700</xdr:colOff>
      <xdr:row>95</xdr:row>
      <xdr:rowOff>152400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11811F48-C017-494C-9B87-FA1A01B9921C}"/>
            </a:ext>
          </a:extLst>
        </xdr:cNvPr>
        <xdr:cNvCxnSpPr/>
      </xdr:nvCxnSpPr>
      <xdr:spPr>
        <a:xfrm>
          <a:off x="6915150" y="10756900"/>
          <a:ext cx="108585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387350</xdr:colOff>
      <xdr:row>94</xdr:row>
      <xdr:rowOff>63500</xdr:rowOff>
    </xdr:from>
    <xdr:to>
      <xdr:col>14</xdr:col>
      <xdr:colOff>190500</xdr:colOff>
      <xdr:row>95</xdr:row>
      <xdr:rowOff>152400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484C5BA2-952B-4431-87A7-AD92BDA91FDC}"/>
            </a:ext>
          </a:extLst>
        </xdr:cNvPr>
        <xdr:cNvCxnSpPr/>
      </xdr:nvCxnSpPr>
      <xdr:spPr>
        <a:xfrm flipH="1">
          <a:off x="5270500" y="16611600"/>
          <a:ext cx="5905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482600</xdr:colOff>
      <xdr:row>94</xdr:row>
      <xdr:rowOff>82550</xdr:rowOff>
    </xdr:from>
    <xdr:to>
      <xdr:col>17</xdr:col>
      <xdr:colOff>139700</xdr:colOff>
      <xdr:row>95</xdr:row>
      <xdr:rowOff>152400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34C9DF40-238E-4E66-8D4D-966BB7191076}"/>
            </a:ext>
          </a:extLst>
        </xdr:cNvPr>
        <xdr:cNvCxnSpPr/>
      </xdr:nvCxnSpPr>
      <xdr:spPr>
        <a:xfrm>
          <a:off x="6915150" y="16630650"/>
          <a:ext cx="10858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387350</xdr:colOff>
      <xdr:row>94</xdr:row>
      <xdr:rowOff>63500</xdr:rowOff>
    </xdr:from>
    <xdr:to>
      <xdr:col>22</xdr:col>
      <xdr:colOff>190500</xdr:colOff>
      <xdr:row>95</xdr:row>
      <xdr:rowOff>152400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2A2AC11-A54B-46A6-B192-85AEBA55C87C}"/>
            </a:ext>
          </a:extLst>
        </xdr:cNvPr>
        <xdr:cNvCxnSpPr/>
      </xdr:nvCxnSpPr>
      <xdr:spPr>
        <a:xfrm flipH="1">
          <a:off x="119253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482600</xdr:colOff>
      <xdr:row>94</xdr:row>
      <xdr:rowOff>82550</xdr:rowOff>
    </xdr:from>
    <xdr:to>
      <xdr:col>25</xdr:col>
      <xdr:colOff>139700</xdr:colOff>
      <xdr:row>95</xdr:row>
      <xdr:rowOff>152400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32F82CF-8B7F-4F6E-B6F1-9B47BD394399}"/>
            </a:ext>
          </a:extLst>
        </xdr:cNvPr>
        <xdr:cNvCxnSpPr/>
      </xdr:nvCxnSpPr>
      <xdr:spPr>
        <a:xfrm>
          <a:off x="132397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387350</xdr:colOff>
      <xdr:row>94</xdr:row>
      <xdr:rowOff>63500</xdr:rowOff>
    </xdr:from>
    <xdr:to>
      <xdr:col>30</xdr:col>
      <xdr:colOff>190500</xdr:colOff>
      <xdr:row>95</xdr:row>
      <xdr:rowOff>152400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F29EE3B-BCBC-4BBC-96F5-9B0062D0C20B}"/>
            </a:ext>
          </a:extLst>
        </xdr:cNvPr>
        <xdr:cNvCxnSpPr/>
      </xdr:nvCxnSpPr>
      <xdr:spPr>
        <a:xfrm flipH="1">
          <a:off x="185229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482600</xdr:colOff>
      <xdr:row>94</xdr:row>
      <xdr:rowOff>82550</xdr:rowOff>
    </xdr:from>
    <xdr:to>
      <xdr:col>33</xdr:col>
      <xdr:colOff>139700</xdr:colOff>
      <xdr:row>95</xdr:row>
      <xdr:rowOff>152400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093A20D-0022-41C5-B672-C3B3D8E5A9BB}"/>
            </a:ext>
          </a:extLst>
        </xdr:cNvPr>
        <xdr:cNvCxnSpPr/>
      </xdr:nvCxnSpPr>
      <xdr:spPr>
        <a:xfrm>
          <a:off x="198374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387350</xdr:colOff>
      <xdr:row>94</xdr:row>
      <xdr:rowOff>63500</xdr:rowOff>
    </xdr:from>
    <xdr:to>
      <xdr:col>38</xdr:col>
      <xdr:colOff>190500</xdr:colOff>
      <xdr:row>95</xdr:row>
      <xdr:rowOff>152400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973D9E32-3662-4CC6-B245-172CDCF0AA84}"/>
            </a:ext>
          </a:extLst>
        </xdr:cNvPr>
        <xdr:cNvCxnSpPr/>
      </xdr:nvCxnSpPr>
      <xdr:spPr>
        <a:xfrm flipH="1">
          <a:off x="247713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482600</xdr:colOff>
      <xdr:row>94</xdr:row>
      <xdr:rowOff>82550</xdr:rowOff>
    </xdr:from>
    <xdr:to>
      <xdr:col>41</xdr:col>
      <xdr:colOff>139700</xdr:colOff>
      <xdr:row>95</xdr:row>
      <xdr:rowOff>152400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105B3CB-BC9E-46C6-A372-54BBA2591657}"/>
            </a:ext>
          </a:extLst>
        </xdr:cNvPr>
        <xdr:cNvCxnSpPr/>
      </xdr:nvCxnSpPr>
      <xdr:spPr>
        <a:xfrm>
          <a:off x="260858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387350</xdr:colOff>
      <xdr:row>94</xdr:row>
      <xdr:rowOff>63500</xdr:rowOff>
    </xdr:from>
    <xdr:to>
      <xdr:col>46</xdr:col>
      <xdr:colOff>190500</xdr:colOff>
      <xdr:row>95</xdr:row>
      <xdr:rowOff>152400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7B2BA8E1-064B-433A-8CA6-D0F40FA2713E}"/>
            </a:ext>
          </a:extLst>
        </xdr:cNvPr>
        <xdr:cNvCxnSpPr/>
      </xdr:nvCxnSpPr>
      <xdr:spPr>
        <a:xfrm flipH="1">
          <a:off x="302069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482600</xdr:colOff>
      <xdr:row>94</xdr:row>
      <xdr:rowOff>82550</xdr:rowOff>
    </xdr:from>
    <xdr:to>
      <xdr:col>49</xdr:col>
      <xdr:colOff>139700</xdr:colOff>
      <xdr:row>95</xdr:row>
      <xdr:rowOff>152400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739CC70-893E-4590-BF23-1800A5807D97}"/>
            </a:ext>
          </a:extLst>
        </xdr:cNvPr>
        <xdr:cNvCxnSpPr/>
      </xdr:nvCxnSpPr>
      <xdr:spPr>
        <a:xfrm>
          <a:off x="315214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53</xdr:col>
      <xdr:colOff>387350</xdr:colOff>
      <xdr:row>94</xdr:row>
      <xdr:rowOff>63500</xdr:rowOff>
    </xdr:from>
    <xdr:to>
      <xdr:col>54</xdr:col>
      <xdr:colOff>190500</xdr:colOff>
      <xdr:row>95</xdr:row>
      <xdr:rowOff>152400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4A60EE05-9B54-4F47-B8A5-9C93423A0A2A}"/>
            </a:ext>
          </a:extLst>
        </xdr:cNvPr>
        <xdr:cNvCxnSpPr/>
      </xdr:nvCxnSpPr>
      <xdr:spPr>
        <a:xfrm flipH="1">
          <a:off x="357187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55</xdr:col>
      <xdr:colOff>482600</xdr:colOff>
      <xdr:row>94</xdr:row>
      <xdr:rowOff>82550</xdr:rowOff>
    </xdr:from>
    <xdr:to>
      <xdr:col>57</xdr:col>
      <xdr:colOff>139700</xdr:colOff>
      <xdr:row>95</xdr:row>
      <xdr:rowOff>152400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9F6E6D21-342B-4785-B49E-58477C31F082}"/>
            </a:ext>
          </a:extLst>
        </xdr:cNvPr>
        <xdr:cNvCxnSpPr/>
      </xdr:nvCxnSpPr>
      <xdr:spPr>
        <a:xfrm>
          <a:off x="370332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387350</xdr:colOff>
      <xdr:row>94</xdr:row>
      <xdr:rowOff>63500</xdr:rowOff>
    </xdr:from>
    <xdr:to>
      <xdr:col>62</xdr:col>
      <xdr:colOff>190500</xdr:colOff>
      <xdr:row>95</xdr:row>
      <xdr:rowOff>152400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24608EA-7B64-412E-9D96-6B36CF42B4BB}"/>
            </a:ext>
          </a:extLst>
        </xdr:cNvPr>
        <xdr:cNvCxnSpPr/>
      </xdr:nvCxnSpPr>
      <xdr:spPr>
        <a:xfrm flipH="1">
          <a:off x="412115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482600</xdr:colOff>
      <xdr:row>94</xdr:row>
      <xdr:rowOff>82550</xdr:rowOff>
    </xdr:from>
    <xdr:to>
      <xdr:col>65</xdr:col>
      <xdr:colOff>139700</xdr:colOff>
      <xdr:row>95</xdr:row>
      <xdr:rowOff>152400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7E213FB2-790D-4F5E-9900-B1517769BF11}"/>
            </a:ext>
          </a:extLst>
        </xdr:cNvPr>
        <xdr:cNvCxnSpPr/>
      </xdr:nvCxnSpPr>
      <xdr:spPr>
        <a:xfrm>
          <a:off x="425259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387350</xdr:colOff>
      <xdr:row>94</xdr:row>
      <xdr:rowOff>63500</xdr:rowOff>
    </xdr:from>
    <xdr:to>
      <xdr:col>70</xdr:col>
      <xdr:colOff>190500</xdr:colOff>
      <xdr:row>95</xdr:row>
      <xdr:rowOff>152400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95357E5E-C542-46C8-AF8C-C9FBBCA0FE23}"/>
            </a:ext>
          </a:extLst>
        </xdr:cNvPr>
        <xdr:cNvCxnSpPr/>
      </xdr:nvCxnSpPr>
      <xdr:spPr>
        <a:xfrm flipH="1">
          <a:off x="466534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71</xdr:col>
      <xdr:colOff>482600</xdr:colOff>
      <xdr:row>94</xdr:row>
      <xdr:rowOff>82550</xdr:rowOff>
    </xdr:from>
    <xdr:to>
      <xdr:col>73</xdr:col>
      <xdr:colOff>139700</xdr:colOff>
      <xdr:row>95</xdr:row>
      <xdr:rowOff>152400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B1C42201-6204-4CC4-A5D7-6FCD702CB0C4}"/>
            </a:ext>
          </a:extLst>
        </xdr:cNvPr>
        <xdr:cNvCxnSpPr/>
      </xdr:nvCxnSpPr>
      <xdr:spPr>
        <a:xfrm>
          <a:off x="479679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387350</xdr:colOff>
      <xdr:row>94</xdr:row>
      <xdr:rowOff>63500</xdr:rowOff>
    </xdr:from>
    <xdr:to>
      <xdr:col>78</xdr:col>
      <xdr:colOff>190500</xdr:colOff>
      <xdr:row>95</xdr:row>
      <xdr:rowOff>152400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D1ABE4A1-8534-463F-829F-E338AFDF0582}"/>
            </a:ext>
          </a:extLst>
        </xdr:cNvPr>
        <xdr:cNvCxnSpPr/>
      </xdr:nvCxnSpPr>
      <xdr:spPr>
        <a:xfrm flipH="1">
          <a:off x="522859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79</xdr:col>
      <xdr:colOff>482600</xdr:colOff>
      <xdr:row>94</xdr:row>
      <xdr:rowOff>82550</xdr:rowOff>
    </xdr:from>
    <xdr:to>
      <xdr:col>81</xdr:col>
      <xdr:colOff>139700</xdr:colOff>
      <xdr:row>95</xdr:row>
      <xdr:rowOff>152400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4EC342BD-C30E-4105-A12E-D655F5B2910A}"/>
            </a:ext>
          </a:extLst>
        </xdr:cNvPr>
        <xdr:cNvCxnSpPr/>
      </xdr:nvCxnSpPr>
      <xdr:spPr>
        <a:xfrm>
          <a:off x="536003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85</xdr:col>
      <xdr:colOff>387350</xdr:colOff>
      <xdr:row>94</xdr:row>
      <xdr:rowOff>63500</xdr:rowOff>
    </xdr:from>
    <xdr:to>
      <xdr:col>86</xdr:col>
      <xdr:colOff>190500</xdr:colOff>
      <xdr:row>95</xdr:row>
      <xdr:rowOff>152400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EC86D1D4-7122-4014-8ECE-A54E85A517AA}"/>
            </a:ext>
          </a:extLst>
        </xdr:cNvPr>
        <xdr:cNvCxnSpPr/>
      </xdr:nvCxnSpPr>
      <xdr:spPr>
        <a:xfrm flipH="1">
          <a:off x="579310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87</xdr:col>
      <xdr:colOff>482600</xdr:colOff>
      <xdr:row>94</xdr:row>
      <xdr:rowOff>82550</xdr:rowOff>
    </xdr:from>
    <xdr:to>
      <xdr:col>89</xdr:col>
      <xdr:colOff>139700</xdr:colOff>
      <xdr:row>95</xdr:row>
      <xdr:rowOff>152400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83F576F-63C9-4629-9C92-630AD41F20DE}"/>
            </a:ext>
          </a:extLst>
        </xdr:cNvPr>
        <xdr:cNvCxnSpPr/>
      </xdr:nvCxnSpPr>
      <xdr:spPr>
        <a:xfrm>
          <a:off x="592455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93</xdr:col>
      <xdr:colOff>387350</xdr:colOff>
      <xdr:row>94</xdr:row>
      <xdr:rowOff>63500</xdr:rowOff>
    </xdr:from>
    <xdr:to>
      <xdr:col>94</xdr:col>
      <xdr:colOff>190500</xdr:colOff>
      <xdr:row>95</xdr:row>
      <xdr:rowOff>152400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42417C20-388A-45AA-947C-F152B1031590}"/>
            </a:ext>
          </a:extLst>
        </xdr:cNvPr>
        <xdr:cNvCxnSpPr/>
      </xdr:nvCxnSpPr>
      <xdr:spPr>
        <a:xfrm flipH="1">
          <a:off x="636016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95</xdr:col>
      <xdr:colOff>482600</xdr:colOff>
      <xdr:row>94</xdr:row>
      <xdr:rowOff>82550</xdr:rowOff>
    </xdr:from>
    <xdr:to>
      <xdr:col>97</xdr:col>
      <xdr:colOff>139700</xdr:colOff>
      <xdr:row>95</xdr:row>
      <xdr:rowOff>152400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A71F6D8A-5FBD-4C91-92BD-96EFAEEA412D}"/>
            </a:ext>
          </a:extLst>
        </xdr:cNvPr>
        <xdr:cNvCxnSpPr/>
      </xdr:nvCxnSpPr>
      <xdr:spPr>
        <a:xfrm>
          <a:off x="649160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101</xdr:col>
      <xdr:colOff>387350</xdr:colOff>
      <xdr:row>94</xdr:row>
      <xdr:rowOff>63500</xdr:rowOff>
    </xdr:from>
    <xdr:to>
      <xdr:col>102</xdr:col>
      <xdr:colOff>190500</xdr:colOff>
      <xdr:row>95</xdr:row>
      <xdr:rowOff>152400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89EF6B78-6408-4E61-BE65-1ED79F7D25A8}"/>
            </a:ext>
          </a:extLst>
        </xdr:cNvPr>
        <xdr:cNvCxnSpPr/>
      </xdr:nvCxnSpPr>
      <xdr:spPr>
        <a:xfrm flipH="1">
          <a:off x="692785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103</xdr:col>
      <xdr:colOff>482600</xdr:colOff>
      <xdr:row>94</xdr:row>
      <xdr:rowOff>82550</xdr:rowOff>
    </xdr:from>
    <xdr:to>
      <xdr:col>105</xdr:col>
      <xdr:colOff>139700</xdr:colOff>
      <xdr:row>95</xdr:row>
      <xdr:rowOff>152400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6ED8AB29-5A14-4FA4-8EA1-2177968446C4}"/>
            </a:ext>
          </a:extLst>
        </xdr:cNvPr>
        <xdr:cNvCxnSpPr/>
      </xdr:nvCxnSpPr>
      <xdr:spPr>
        <a:xfrm>
          <a:off x="705929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109</xdr:col>
      <xdr:colOff>387350</xdr:colOff>
      <xdr:row>94</xdr:row>
      <xdr:rowOff>63500</xdr:rowOff>
    </xdr:from>
    <xdr:to>
      <xdr:col>110</xdr:col>
      <xdr:colOff>190500</xdr:colOff>
      <xdr:row>95</xdr:row>
      <xdr:rowOff>152400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A14D2F49-8523-4E23-93F2-496BCD0EBE37}"/>
            </a:ext>
          </a:extLst>
        </xdr:cNvPr>
        <xdr:cNvCxnSpPr/>
      </xdr:nvCxnSpPr>
      <xdr:spPr>
        <a:xfrm flipH="1">
          <a:off x="747966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111</xdr:col>
      <xdr:colOff>482600</xdr:colOff>
      <xdr:row>94</xdr:row>
      <xdr:rowOff>82550</xdr:rowOff>
    </xdr:from>
    <xdr:to>
      <xdr:col>113</xdr:col>
      <xdr:colOff>139700</xdr:colOff>
      <xdr:row>95</xdr:row>
      <xdr:rowOff>152400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3B706E5-463C-4EC0-980E-DDB028656C0A}"/>
            </a:ext>
          </a:extLst>
        </xdr:cNvPr>
        <xdr:cNvCxnSpPr/>
      </xdr:nvCxnSpPr>
      <xdr:spPr>
        <a:xfrm>
          <a:off x="761111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117</xdr:col>
      <xdr:colOff>387350</xdr:colOff>
      <xdr:row>94</xdr:row>
      <xdr:rowOff>63500</xdr:rowOff>
    </xdr:from>
    <xdr:to>
      <xdr:col>118</xdr:col>
      <xdr:colOff>190500</xdr:colOff>
      <xdr:row>95</xdr:row>
      <xdr:rowOff>152400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A65EF9C0-E73D-488F-B6E0-31171C1562A7}"/>
            </a:ext>
          </a:extLst>
        </xdr:cNvPr>
        <xdr:cNvCxnSpPr/>
      </xdr:nvCxnSpPr>
      <xdr:spPr>
        <a:xfrm flipH="1">
          <a:off x="802894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119</xdr:col>
      <xdr:colOff>482600</xdr:colOff>
      <xdr:row>94</xdr:row>
      <xdr:rowOff>82550</xdr:rowOff>
    </xdr:from>
    <xdr:to>
      <xdr:col>121</xdr:col>
      <xdr:colOff>139700</xdr:colOff>
      <xdr:row>95</xdr:row>
      <xdr:rowOff>152400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2ABCE9EE-5174-4498-822E-10F91C77E702}"/>
            </a:ext>
          </a:extLst>
        </xdr:cNvPr>
        <xdr:cNvCxnSpPr/>
      </xdr:nvCxnSpPr>
      <xdr:spPr>
        <a:xfrm>
          <a:off x="816038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125</xdr:col>
      <xdr:colOff>387350</xdr:colOff>
      <xdr:row>94</xdr:row>
      <xdr:rowOff>63500</xdr:rowOff>
    </xdr:from>
    <xdr:to>
      <xdr:col>126</xdr:col>
      <xdr:colOff>190500</xdr:colOff>
      <xdr:row>95</xdr:row>
      <xdr:rowOff>152400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1A7FB9B8-5A2B-4CA8-8EB1-1987B13E7ECE}"/>
            </a:ext>
          </a:extLst>
        </xdr:cNvPr>
        <xdr:cNvCxnSpPr/>
      </xdr:nvCxnSpPr>
      <xdr:spPr>
        <a:xfrm flipH="1">
          <a:off x="857885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127</xdr:col>
      <xdr:colOff>482600</xdr:colOff>
      <xdr:row>94</xdr:row>
      <xdr:rowOff>82550</xdr:rowOff>
    </xdr:from>
    <xdr:to>
      <xdr:col>129</xdr:col>
      <xdr:colOff>139700</xdr:colOff>
      <xdr:row>95</xdr:row>
      <xdr:rowOff>152400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6478F155-09B3-48DC-8434-8B31591A224F}"/>
            </a:ext>
          </a:extLst>
        </xdr:cNvPr>
        <xdr:cNvCxnSpPr/>
      </xdr:nvCxnSpPr>
      <xdr:spPr>
        <a:xfrm>
          <a:off x="871029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133</xdr:col>
      <xdr:colOff>387350</xdr:colOff>
      <xdr:row>94</xdr:row>
      <xdr:rowOff>63500</xdr:rowOff>
    </xdr:from>
    <xdr:to>
      <xdr:col>134</xdr:col>
      <xdr:colOff>190500</xdr:colOff>
      <xdr:row>95</xdr:row>
      <xdr:rowOff>152400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DC272D5F-2C0B-4450-B314-9C46262FCE12}"/>
            </a:ext>
          </a:extLst>
        </xdr:cNvPr>
        <xdr:cNvCxnSpPr/>
      </xdr:nvCxnSpPr>
      <xdr:spPr>
        <a:xfrm flipH="1">
          <a:off x="916559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482600</xdr:colOff>
      <xdr:row>94</xdr:row>
      <xdr:rowOff>82550</xdr:rowOff>
    </xdr:from>
    <xdr:to>
      <xdr:col>137</xdr:col>
      <xdr:colOff>139700</xdr:colOff>
      <xdr:row>95</xdr:row>
      <xdr:rowOff>152400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3F4815A-45BC-4D66-AB05-B3C78E05E5F6}"/>
            </a:ext>
          </a:extLst>
        </xdr:cNvPr>
        <xdr:cNvCxnSpPr/>
      </xdr:nvCxnSpPr>
      <xdr:spPr>
        <a:xfrm>
          <a:off x="929703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141</xdr:col>
      <xdr:colOff>387350</xdr:colOff>
      <xdr:row>94</xdr:row>
      <xdr:rowOff>63500</xdr:rowOff>
    </xdr:from>
    <xdr:to>
      <xdr:col>142</xdr:col>
      <xdr:colOff>190500</xdr:colOff>
      <xdr:row>95</xdr:row>
      <xdr:rowOff>152400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C07717EA-ED83-4D30-A09A-4C2981EB5160}"/>
            </a:ext>
          </a:extLst>
        </xdr:cNvPr>
        <xdr:cNvCxnSpPr/>
      </xdr:nvCxnSpPr>
      <xdr:spPr>
        <a:xfrm flipH="1">
          <a:off x="973772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143</xdr:col>
      <xdr:colOff>482600</xdr:colOff>
      <xdr:row>94</xdr:row>
      <xdr:rowOff>82550</xdr:rowOff>
    </xdr:from>
    <xdr:to>
      <xdr:col>145</xdr:col>
      <xdr:colOff>139700</xdr:colOff>
      <xdr:row>95</xdr:row>
      <xdr:rowOff>152400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E9509827-3D6B-4C9A-960A-3C10D4F5AF60}"/>
            </a:ext>
          </a:extLst>
        </xdr:cNvPr>
        <xdr:cNvCxnSpPr/>
      </xdr:nvCxnSpPr>
      <xdr:spPr>
        <a:xfrm>
          <a:off x="9869170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149</xdr:col>
      <xdr:colOff>387350</xdr:colOff>
      <xdr:row>94</xdr:row>
      <xdr:rowOff>63500</xdr:rowOff>
    </xdr:from>
    <xdr:to>
      <xdr:col>150</xdr:col>
      <xdr:colOff>190500</xdr:colOff>
      <xdr:row>95</xdr:row>
      <xdr:rowOff>152400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81C96219-DC0F-4A08-BE48-9ECC344FCFC5}"/>
            </a:ext>
          </a:extLst>
        </xdr:cNvPr>
        <xdr:cNvCxnSpPr/>
      </xdr:nvCxnSpPr>
      <xdr:spPr>
        <a:xfrm flipH="1">
          <a:off x="10276205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151</xdr:col>
      <xdr:colOff>482600</xdr:colOff>
      <xdr:row>94</xdr:row>
      <xdr:rowOff>82550</xdr:rowOff>
    </xdr:from>
    <xdr:to>
      <xdr:col>153</xdr:col>
      <xdr:colOff>139700</xdr:colOff>
      <xdr:row>95</xdr:row>
      <xdr:rowOff>152400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34D38529-5D48-4799-BEB9-64241B89BAF8}"/>
            </a:ext>
          </a:extLst>
        </xdr:cNvPr>
        <xdr:cNvCxnSpPr/>
      </xdr:nvCxnSpPr>
      <xdr:spPr>
        <a:xfrm>
          <a:off x="104076500" y="16630650"/>
          <a:ext cx="120015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158</xdr:col>
      <xdr:colOff>387350</xdr:colOff>
      <xdr:row>94</xdr:row>
      <xdr:rowOff>63500</xdr:rowOff>
    </xdr:from>
    <xdr:to>
      <xdr:col>159</xdr:col>
      <xdr:colOff>190500</xdr:colOff>
      <xdr:row>95</xdr:row>
      <xdr:rowOff>152400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9F5C62DA-7ADA-4802-AB27-2DBCBF6B9CC0}"/>
            </a:ext>
          </a:extLst>
        </xdr:cNvPr>
        <xdr:cNvCxnSpPr/>
      </xdr:nvCxnSpPr>
      <xdr:spPr>
        <a:xfrm flipH="1">
          <a:off x="1088898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160</xdr:col>
      <xdr:colOff>482600</xdr:colOff>
      <xdr:row>94</xdr:row>
      <xdr:rowOff>82550</xdr:rowOff>
    </xdr:from>
    <xdr:to>
      <xdr:col>162</xdr:col>
      <xdr:colOff>139700</xdr:colOff>
      <xdr:row>95</xdr:row>
      <xdr:rowOff>152400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D9C47963-E90D-4D81-8F06-92678AF62289}"/>
            </a:ext>
          </a:extLst>
        </xdr:cNvPr>
        <xdr:cNvCxnSpPr/>
      </xdr:nvCxnSpPr>
      <xdr:spPr>
        <a:xfrm>
          <a:off x="1102042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387350</xdr:colOff>
      <xdr:row>94</xdr:row>
      <xdr:rowOff>63500</xdr:rowOff>
    </xdr:from>
    <xdr:to>
      <xdr:col>168</xdr:col>
      <xdr:colOff>190500</xdr:colOff>
      <xdr:row>95</xdr:row>
      <xdr:rowOff>152400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B375C8DB-B85B-436E-A392-196E1DBE0868}"/>
            </a:ext>
          </a:extLst>
        </xdr:cNvPr>
        <xdr:cNvCxnSpPr/>
      </xdr:nvCxnSpPr>
      <xdr:spPr>
        <a:xfrm flipH="1">
          <a:off x="1143762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482600</xdr:colOff>
      <xdr:row>94</xdr:row>
      <xdr:rowOff>82550</xdr:rowOff>
    </xdr:from>
    <xdr:to>
      <xdr:col>171</xdr:col>
      <xdr:colOff>139700</xdr:colOff>
      <xdr:row>95</xdr:row>
      <xdr:rowOff>152400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B0FFDB82-F135-49A5-B4EE-46839628B72D}"/>
            </a:ext>
          </a:extLst>
        </xdr:cNvPr>
        <xdr:cNvCxnSpPr/>
      </xdr:nvCxnSpPr>
      <xdr:spPr>
        <a:xfrm>
          <a:off x="1156906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387350</xdr:colOff>
      <xdr:row>124</xdr:row>
      <xdr:rowOff>63500</xdr:rowOff>
    </xdr:from>
    <xdr:to>
      <xdr:col>9</xdr:col>
      <xdr:colOff>190500</xdr:colOff>
      <xdr:row>125</xdr:row>
      <xdr:rowOff>152400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F45C698A-D68D-4AAD-8C95-16ACB5A8E04B}"/>
            </a:ext>
          </a:extLst>
        </xdr:cNvPr>
        <xdr:cNvCxnSpPr/>
      </xdr:nvCxnSpPr>
      <xdr:spPr>
        <a:xfrm flipH="1">
          <a:off x="8159750" y="22117050"/>
          <a:ext cx="622300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482600</xdr:colOff>
      <xdr:row>124</xdr:row>
      <xdr:rowOff>82550</xdr:rowOff>
    </xdr:from>
    <xdr:to>
      <xdr:col>12</xdr:col>
      <xdr:colOff>139700</xdr:colOff>
      <xdr:row>125</xdr:row>
      <xdr:rowOff>152400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EC2FA491-0A62-498D-980B-A02A86FE9D49}"/>
            </a:ext>
          </a:extLst>
        </xdr:cNvPr>
        <xdr:cNvCxnSpPr/>
      </xdr:nvCxnSpPr>
      <xdr:spPr>
        <a:xfrm>
          <a:off x="59467750" y="10756900"/>
          <a:ext cx="8763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425450</xdr:colOff>
      <xdr:row>129</xdr:row>
      <xdr:rowOff>25400</xdr:rowOff>
    </xdr:from>
    <xdr:to>
      <xdr:col>8</xdr:col>
      <xdr:colOff>425450</xdr:colOff>
      <xdr:row>132</xdr:row>
      <xdr:rowOff>25400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E55FEB04-5ECB-A76F-8BC3-C4AE07373D6D}"/>
            </a:ext>
          </a:extLst>
        </xdr:cNvPr>
        <xdr:cNvCxnSpPr/>
      </xdr:nvCxnSpPr>
      <xdr:spPr>
        <a:xfrm>
          <a:off x="8197850" y="23044150"/>
          <a:ext cx="0" cy="558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387350</xdr:colOff>
      <xdr:row>132</xdr:row>
      <xdr:rowOff>63500</xdr:rowOff>
    </xdr:from>
    <xdr:to>
      <xdr:col>7</xdr:col>
      <xdr:colOff>190500</xdr:colOff>
      <xdr:row>133</xdr:row>
      <xdr:rowOff>152400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E507C4E2-A240-41C2-B421-23BE0F92EE61}"/>
            </a:ext>
          </a:extLst>
        </xdr:cNvPr>
        <xdr:cNvCxnSpPr/>
      </xdr:nvCxnSpPr>
      <xdr:spPr>
        <a:xfrm flipH="1">
          <a:off x="19710400" y="16611600"/>
          <a:ext cx="412750" cy="25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482600</xdr:colOff>
      <xdr:row>132</xdr:row>
      <xdr:rowOff>82550</xdr:rowOff>
    </xdr:from>
    <xdr:to>
      <xdr:col>10</xdr:col>
      <xdr:colOff>139700</xdr:colOff>
      <xdr:row>133</xdr:row>
      <xdr:rowOff>152400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BC3AC680-D623-44AA-93DA-DC8AA0A36026}"/>
            </a:ext>
          </a:extLst>
        </xdr:cNvPr>
        <xdr:cNvCxnSpPr/>
      </xdr:nvCxnSpPr>
      <xdr:spPr>
        <a:xfrm>
          <a:off x="21024850" y="16630650"/>
          <a:ext cx="876300" cy="234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Q215"/>
  <sheetViews>
    <sheetView tabSelected="1" topLeftCell="D121" zoomScaleNormal="100" workbookViewId="0">
      <selection activeCell="K122" sqref="K122"/>
    </sheetView>
  </sheetViews>
  <sheetFormatPr defaultRowHeight="12.5" x14ac:dyDescent="0.25"/>
  <cols>
    <col min="1" max="1" width="5.26953125" customWidth="1"/>
    <col min="2" max="2" width="15.6328125" customWidth="1"/>
    <col min="3" max="3" width="18.1796875" customWidth="1"/>
    <col min="4" max="4" width="22.36328125" style="4" customWidth="1"/>
    <col min="5" max="5" width="16.1796875" style="6" customWidth="1"/>
    <col min="6" max="6" width="11.26953125" customWidth="1"/>
    <col min="7" max="7" width="10.90625" customWidth="1"/>
    <col min="8" max="8" width="11.453125" customWidth="1"/>
    <col min="9" max="9" width="17.7265625" customWidth="1"/>
    <col min="10" max="10" width="11.6328125" customWidth="1"/>
    <col min="11" max="11" width="10.453125" customWidth="1"/>
    <col min="13" max="13" width="18.6328125" customWidth="1"/>
    <col min="14" max="14" width="12.36328125" customWidth="1"/>
    <col min="15" max="15" width="11" customWidth="1"/>
    <col min="16" max="16" width="12.54296875" customWidth="1"/>
    <col min="18" max="18" width="12.1796875" customWidth="1"/>
    <col min="19" max="19" width="18" customWidth="1"/>
    <col min="20" max="20" width="13.453125" customWidth="1"/>
    <col min="21" max="21" width="15.90625" customWidth="1"/>
    <col min="27" max="27" width="18.6328125" customWidth="1"/>
    <col min="28" max="28" width="13.08984375" customWidth="1"/>
    <col min="29" max="29" width="14.08984375" customWidth="1"/>
    <col min="36" max="36" width="13.36328125" customWidth="1"/>
    <col min="37" max="37" width="12.08984375" customWidth="1"/>
    <col min="44" max="44" width="13.81640625" customWidth="1"/>
    <col min="45" max="45" width="12.7265625" customWidth="1"/>
    <col min="52" max="52" width="13.1796875" customWidth="1"/>
    <col min="53" max="53" width="13.08984375" customWidth="1"/>
    <col min="60" max="60" width="13.54296875" customWidth="1"/>
    <col min="61" max="61" width="12" customWidth="1"/>
    <col min="68" max="68" width="15.1796875" customWidth="1"/>
    <col min="69" max="69" width="13.08984375" customWidth="1"/>
    <col min="76" max="76" width="14" customWidth="1"/>
    <col min="77" max="77" width="14.453125" customWidth="1"/>
    <col min="84" max="84" width="13" customWidth="1"/>
    <col min="85" max="85" width="15.81640625" customWidth="1"/>
    <col min="92" max="92" width="11.54296875" customWidth="1"/>
    <col min="93" max="93" width="17.36328125" customWidth="1"/>
    <col min="101" max="101" width="17.90625" customWidth="1"/>
    <col min="109" max="109" width="17.54296875" customWidth="1"/>
    <col min="117" max="117" width="17.6328125" customWidth="1"/>
    <col min="125" max="125" width="22.90625" customWidth="1"/>
    <col min="131" max="131" width="11" customWidth="1"/>
    <col min="133" max="133" width="18.54296875" customWidth="1"/>
    <col min="139" max="139" width="16" customWidth="1"/>
    <col min="145" max="145" width="13.36328125" customWidth="1"/>
    <col min="146" max="146" width="14.26953125" customWidth="1"/>
    <col min="147" max="147" width="16.453125" customWidth="1"/>
  </cols>
  <sheetData>
    <row r="1" spans="1:6" s="27" customFormat="1" ht="24.5" customHeight="1" x14ac:dyDescent="0.25">
      <c r="A1" s="25" t="s">
        <v>45</v>
      </c>
      <c r="B1" s="25" t="s">
        <v>0</v>
      </c>
      <c r="C1" s="25" t="s">
        <v>1</v>
      </c>
      <c r="D1" s="25" t="s">
        <v>2</v>
      </c>
      <c r="E1" s="26" t="s">
        <v>31</v>
      </c>
      <c r="F1" s="25" t="s">
        <v>30</v>
      </c>
    </row>
    <row r="2" spans="1:6" x14ac:dyDescent="0.25">
      <c r="A2" s="7">
        <v>1</v>
      </c>
      <c r="B2" s="2" t="s">
        <v>3</v>
      </c>
      <c r="C2" s="7">
        <v>70</v>
      </c>
      <c r="D2" s="7">
        <v>36</v>
      </c>
      <c r="E2" s="8">
        <v>350000000</v>
      </c>
      <c r="F2" s="5" t="s">
        <v>14</v>
      </c>
    </row>
    <row r="3" spans="1:6" x14ac:dyDescent="0.25">
      <c r="A3" s="7">
        <v>2</v>
      </c>
      <c r="B3" s="2" t="s">
        <v>4</v>
      </c>
      <c r="C3" s="7">
        <v>75</v>
      </c>
      <c r="D3" s="7">
        <v>39</v>
      </c>
      <c r="E3" s="8">
        <v>400000000</v>
      </c>
      <c r="F3" s="5" t="s">
        <v>14</v>
      </c>
    </row>
    <row r="4" spans="1:6" x14ac:dyDescent="0.25">
      <c r="A4" s="7">
        <v>3</v>
      </c>
      <c r="B4" s="2" t="s">
        <v>5</v>
      </c>
      <c r="C4" s="7">
        <v>87</v>
      </c>
      <c r="D4" s="7">
        <v>47</v>
      </c>
      <c r="E4" s="8">
        <v>450000000</v>
      </c>
      <c r="F4" s="5" t="s">
        <v>14</v>
      </c>
    </row>
    <row r="5" spans="1:6" x14ac:dyDescent="0.25">
      <c r="A5" s="7">
        <v>4</v>
      </c>
      <c r="B5" s="2" t="s">
        <v>6</v>
      </c>
      <c r="C5" s="7">
        <v>90</v>
      </c>
      <c r="D5" s="7">
        <v>49</v>
      </c>
      <c r="E5" s="8">
        <v>500000000</v>
      </c>
      <c r="F5" s="5" t="s">
        <v>15</v>
      </c>
    </row>
    <row r="6" spans="1:6" x14ac:dyDescent="0.25">
      <c r="A6" s="7">
        <v>5</v>
      </c>
      <c r="B6" s="2" t="s">
        <v>7</v>
      </c>
      <c r="C6" s="7">
        <v>105</v>
      </c>
      <c r="D6" s="7">
        <v>54</v>
      </c>
      <c r="E6" s="8">
        <v>600000000</v>
      </c>
      <c r="F6" s="5" t="s">
        <v>15</v>
      </c>
    </row>
    <row r="7" spans="1:6" x14ac:dyDescent="0.25">
      <c r="A7" s="7">
        <v>6</v>
      </c>
      <c r="B7" s="2" t="s">
        <v>8</v>
      </c>
      <c r="C7" s="7">
        <v>54</v>
      </c>
      <c r="D7" s="7">
        <v>54</v>
      </c>
      <c r="E7" s="8">
        <v>750000000</v>
      </c>
      <c r="F7" s="5" t="s">
        <v>16</v>
      </c>
    </row>
    <row r="8" spans="1:6" x14ac:dyDescent="0.25">
      <c r="A8" s="7">
        <v>7</v>
      </c>
      <c r="B8" s="3" t="s">
        <v>17</v>
      </c>
      <c r="C8" s="7">
        <v>75</v>
      </c>
      <c r="D8" s="7">
        <v>36</v>
      </c>
      <c r="E8" s="8">
        <v>300000000</v>
      </c>
      <c r="F8" s="5" t="s">
        <v>14</v>
      </c>
    </row>
    <row r="9" spans="1:6" x14ac:dyDescent="0.25">
      <c r="A9" s="7">
        <v>8</v>
      </c>
      <c r="B9" s="3" t="s">
        <v>18</v>
      </c>
      <c r="C9" s="7">
        <v>87</v>
      </c>
      <c r="D9" s="7">
        <v>36</v>
      </c>
      <c r="E9" s="8">
        <v>400000000</v>
      </c>
      <c r="F9" s="5" t="s">
        <v>14</v>
      </c>
    </row>
    <row r="10" spans="1:6" x14ac:dyDescent="0.25">
      <c r="A10" s="7">
        <v>9</v>
      </c>
      <c r="B10" s="3" t="s">
        <v>19</v>
      </c>
      <c r="C10" s="7">
        <v>105</v>
      </c>
      <c r="D10" s="7">
        <v>36</v>
      </c>
      <c r="E10" s="8">
        <v>450000000</v>
      </c>
      <c r="F10" s="5" t="s">
        <v>14</v>
      </c>
    </row>
    <row r="11" spans="1:6" x14ac:dyDescent="0.25">
      <c r="A11" s="7">
        <v>10</v>
      </c>
      <c r="B11" s="3" t="s">
        <v>21</v>
      </c>
      <c r="C11" s="7">
        <v>90</v>
      </c>
      <c r="D11" s="7">
        <v>36</v>
      </c>
      <c r="E11" s="8">
        <v>425000000</v>
      </c>
      <c r="F11" s="5" t="s">
        <v>14</v>
      </c>
    </row>
    <row r="12" spans="1:6" x14ac:dyDescent="0.25">
      <c r="A12" s="7">
        <v>11</v>
      </c>
      <c r="B12" s="3" t="s">
        <v>20</v>
      </c>
      <c r="C12" s="7">
        <v>105</v>
      </c>
      <c r="D12" s="7">
        <v>36</v>
      </c>
      <c r="E12" s="8">
        <v>475000000</v>
      </c>
      <c r="F12" s="5" t="s">
        <v>15</v>
      </c>
    </row>
    <row r="13" spans="1:6" x14ac:dyDescent="0.25">
      <c r="A13" s="7">
        <v>12</v>
      </c>
      <c r="B13" s="3" t="s">
        <v>22</v>
      </c>
      <c r="C13" s="7">
        <v>93</v>
      </c>
      <c r="D13" s="7">
        <v>36</v>
      </c>
      <c r="E13" s="8">
        <v>500000000</v>
      </c>
      <c r="F13" s="5" t="s">
        <v>15</v>
      </c>
    </row>
    <row r="14" spans="1:6" x14ac:dyDescent="0.25">
      <c r="A14" s="7">
        <v>13</v>
      </c>
      <c r="B14" s="3" t="s">
        <v>23</v>
      </c>
      <c r="C14" s="7">
        <v>54</v>
      </c>
      <c r="D14" s="7">
        <v>54</v>
      </c>
      <c r="E14" s="8">
        <v>800000000</v>
      </c>
      <c r="F14" s="5" t="s">
        <v>15</v>
      </c>
    </row>
    <row r="15" spans="1:6" x14ac:dyDescent="0.25">
      <c r="A15" s="7">
        <v>14</v>
      </c>
      <c r="B15" s="2" t="s">
        <v>9</v>
      </c>
      <c r="C15" s="7">
        <v>90</v>
      </c>
      <c r="D15" s="7">
        <v>36</v>
      </c>
      <c r="E15" s="8">
        <v>575000000</v>
      </c>
      <c r="F15" s="5" t="s">
        <v>15</v>
      </c>
    </row>
    <row r="16" spans="1:6" x14ac:dyDescent="0.25">
      <c r="A16" s="7">
        <v>15</v>
      </c>
      <c r="B16" s="2" t="s">
        <v>10</v>
      </c>
      <c r="C16" s="7">
        <v>88</v>
      </c>
      <c r="D16" s="7">
        <v>39</v>
      </c>
      <c r="E16" s="8">
        <v>500000000</v>
      </c>
      <c r="F16" s="5" t="s">
        <v>15</v>
      </c>
    </row>
    <row r="17" spans="1:138" x14ac:dyDescent="0.25">
      <c r="A17" s="7">
        <v>16</v>
      </c>
      <c r="B17" s="2" t="s">
        <v>11</v>
      </c>
      <c r="C17" s="7">
        <v>105</v>
      </c>
      <c r="D17" s="7">
        <v>39</v>
      </c>
      <c r="E17" s="8">
        <v>625000000</v>
      </c>
      <c r="F17" s="5" t="s">
        <v>16</v>
      </c>
    </row>
    <row r="18" spans="1:138" x14ac:dyDescent="0.25">
      <c r="A18" s="7">
        <v>17</v>
      </c>
      <c r="B18" s="2" t="s">
        <v>12</v>
      </c>
      <c r="C18" s="7">
        <v>90</v>
      </c>
      <c r="D18" s="7">
        <v>47</v>
      </c>
      <c r="E18" s="8">
        <v>600000000</v>
      </c>
      <c r="F18" s="5" t="s">
        <v>15</v>
      </c>
    </row>
    <row r="19" spans="1:138" x14ac:dyDescent="0.25">
      <c r="A19" s="7">
        <v>18</v>
      </c>
      <c r="B19" s="3" t="s">
        <v>13</v>
      </c>
      <c r="C19" s="7">
        <v>60</v>
      </c>
      <c r="D19" s="7">
        <v>49</v>
      </c>
      <c r="E19" s="8">
        <v>700000000</v>
      </c>
      <c r="F19" s="5" t="s">
        <v>15</v>
      </c>
    </row>
    <row r="20" spans="1:138" x14ac:dyDescent="0.25">
      <c r="A20" s="7">
        <v>19</v>
      </c>
      <c r="B20" s="3" t="s">
        <v>24</v>
      </c>
      <c r="C20" s="7">
        <v>72</v>
      </c>
      <c r="D20" s="7">
        <v>60</v>
      </c>
      <c r="E20" s="8">
        <v>800000000</v>
      </c>
      <c r="F20" s="5" t="s">
        <v>16</v>
      </c>
    </row>
    <row r="21" spans="1:138" x14ac:dyDescent="0.25">
      <c r="A21" s="7">
        <v>20</v>
      </c>
      <c r="B21" s="3" t="s">
        <v>25</v>
      </c>
      <c r="C21" s="7">
        <v>90</v>
      </c>
      <c r="D21" s="7">
        <v>60</v>
      </c>
      <c r="E21" s="8">
        <v>820000000</v>
      </c>
      <c r="F21" s="5" t="s">
        <v>16</v>
      </c>
    </row>
    <row r="22" spans="1:138" x14ac:dyDescent="0.25">
      <c r="A22" s="7">
        <v>21</v>
      </c>
      <c r="B22" s="3" t="s">
        <v>26</v>
      </c>
      <c r="C22" s="7">
        <v>90</v>
      </c>
      <c r="D22" s="7">
        <v>70</v>
      </c>
      <c r="E22" s="8">
        <v>850000000</v>
      </c>
      <c r="F22" s="5" t="s">
        <v>16</v>
      </c>
    </row>
    <row r="23" spans="1:138" x14ac:dyDescent="0.25">
      <c r="A23" s="7">
        <v>22</v>
      </c>
      <c r="B23" s="3" t="s">
        <v>27</v>
      </c>
      <c r="C23" s="7">
        <v>105</v>
      </c>
      <c r="D23" s="7">
        <v>70</v>
      </c>
      <c r="E23" s="8">
        <v>880000000</v>
      </c>
      <c r="F23" s="5" t="s">
        <v>16</v>
      </c>
    </row>
    <row r="24" spans="1:138" x14ac:dyDescent="0.25">
      <c r="A24" s="7">
        <v>23</v>
      </c>
      <c r="B24" s="3" t="s">
        <v>28</v>
      </c>
      <c r="C24" s="7">
        <v>130</v>
      </c>
      <c r="D24" s="7">
        <v>120</v>
      </c>
      <c r="E24" s="8">
        <v>900000000</v>
      </c>
      <c r="F24" s="5" t="s">
        <v>16</v>
      </c>
    </row>
    <row r="25" spans="1:138" x14ac:dyDescent="0.25">
      <c r="A25" s="7">
        <v>24</v>
      </c>
      <c r="B25" s="3" t="s">
        <v>29</v>
      </c>
      <c r="C25" s="7">
        <v>145</v>
      </c>
      <c r="D25" s="7">
        <v>120</v>
      </c>
      <c r="E25" s="8">
        <v>950000000</v>
      </c>
      <c r="F25" s="5" t="s">
        <v>16</v>
      </c>
    </row>
    <row r="28" spans="1:138" s="28" customFormat="1" ht="20.5" customHeight="1" x14ac:dyDescent="0.25">
      <c r="D28" s="29"/>
      <c r="E28" s="30"/>
      <c r="H28" s="93" t="s">
        <v>32</v>
      </c>
      <c r="I28" s="94"/>
    </row>
    <row r="30" spans="1:138" ht="19" customHeight="1" x14ac:dyDescent="0.25">
      <c r="A30" s="23" t="s">
        <v>1</v>
      </c>
    </row>
    <row r="31" spans="1:138" x14ac:dyDescent="0.25">
      <c r="F31" s="11" t="s">
        <v>60</v>
      </c>
      <c r="G31" s="90" t="s">
        <v>59</v>
      </c>
      <c r="H31" s="90"/>
      <c r="I31" s="12" t="s">
        <v>61</v>
      </c>
      <c r="J31" s="12"/>
      <c r="M31" s="6"/>
      <c r="N31" s="11" t="s">
        <v>60</v>
      </c>
      <c r="O31" s="90" t="s">
        <v>63</v>
      </c>
      <c r="P31" s="90"/>
      <c r="Q31" s="12" t="s">
        <v>61</v>
      </c>
      <c r="R31" s="12"/>
      <c r="U31" s="6"/>
      <c r="V31" s="11" t="s">
        <v>60</v>
      </c>
      <c r="W31" s="90" t="s">
        <v>64</v>
      </c>
      <c r="X31" s="90"/>
      <c r="Y31" s="12" t="s">
        <v>61</v>
      </c>
      <c r="Z31" s="12"/>
      <c r="AC31" s="6"/>
      <c r="AD31" s="11" t="s">
        <v>60</v>
      </c>
      <c r="AE31" s="90" t="s">
        <v>65</v>
      </c>
      <c r="AF31" s="90"/>
      <c r="AG31" s="12" t="s">
        <v>61</v>
      </c>
      <c r="AH31" s="12"/>
      <c r="AK31" s="6"/>
      <c r="AL31" s="11" t="s">
        <v>60</v>
      </c>
      <c r="AM31" s="90" t="s">
        <v>66</v>
      </c>
      <c r="AN31" s="90"/>
      <c r="AO31" s="12" t="s">
        <v>61</v>
      </c>
      <c r="AP31" s="12"/>
      <c r="AS31" s="6"/>
      <c r="AT31" s="11" t="s">
        <v>60</v>
      </c>
      <c r="AU31" s="90" t="s">
        <v>67</v>
      </c>
      <c r="AV31" s="90"/>
      <c r="AW31" s="12" t="s">
        <v>61</v>
      </c>
      <c r="AX31" s="12"/>
      <c r="BA31" s="6"/>
      <c r="BB31" s="11" t="s">
        <v>60</v>
      </c>
      <c r="BC31" s="90" t="s">
        <v>68</v>
      </c>
      <c r="BD31" s="90"/>
      <c r="BE31" s="12" t="s">
        <v>61</v>
      </c>
      <c r="BF31" s="12"/>
      <c r="BI31" s="6"/>
      <c r="BJ31" s="11" t="s">
        <v>60</v>
      </c>
      <c r="BK31" s="90" t="s">
        <v>69</v>
      </c>
      <c r="BL31" s="90"/>
      <c r="BM31" s="12" t="s">
        <v>61</v>
      </c>
      <c r="BN31" s="12"/>
      <c r="BQ31" s="6"/>
      <c r="BR31" s="11" t="s">
        <v>60</v>
      </c>
      <c r="BS31" s="90" t="s">
        <v>70</v>
      </c>
      <c r="BT31" s="90"/>
      <c r="BU31" s="12" t="s">
        <v>61</v>
      </c>
      <c r="BV31" s="12"/>
      <c r="BY31" s="6"/>
      <c r="BZ31" s="11" t="s">
        <v>60</v>
      </c>
      <c r="CA31" s="90" t="s">
        <v>71</v>
      </c>
      <c r="CB31" s="90"/>
      <c r="CC31" s="12" t="s">
        <v>61</v>
      </c>
      <c r="CD31" s="12"/>
      <c r="CG31" s="6"/>
      <c r="CH31" s="11" t="s">
        <v>60</v>
      </c>
      <c r="CI31" s="90" t="s">
        <v>72</v>
      </c>
      <c r="CJ31" s="90"/>
      <c r="CK31" s="12" t="s">
        <v>61</v>
      </c>
      <c r="CL31" s="12"/>
      <c r="CO31" s="6"/>
      <c r="CP31" s="11" t="s">
        <v>60</v>
      </c>
      <c r="CQ31" s="90" t="s">
        <v>73</v>
      </c>
      <c r="CR31" s="90"/>
      <c r="CS31" s="12" t="s">
        <v>61</v>
      </c>
      <c r="CT31" s="12"/>
      <c r="CW31" s="6"/>
      <c r="CX31" s="11" t="s">
        <v>60</v>
      </c>
      <c r="CY31" s="90" t="s">
        <v>74</v>
      </c>
      <c r="CZ31" s="90"/>
      <c r="DA31" s="12" t="s">
        <v>61</v>
      </c>
      <c r="DB31" s="12"/>
      <c r="DE31" s="6"/>
      <c r="DF31" s="11" t="s">
        <v>60</v>
      </c>
      <c r="DG31" s="90" t="s">
        <v>75</v>
      </c>
      <c r="DH31" s="90"/>
      <c r="DI31" s="12" t="s">
        <v>61</v>
      </c>
      <c r="DJ31" s="12"/>
      <c r="DM31" s="6"/>
      <c r="DN31" s="11" t="s">
        <v>60</v>
      </c>
      <c r="DO31" s="90" t="s">
        <v>76</v>
      </c>
      <c r="DP31" s="90"/>
      <c r="DQ31" s="12" t="s">
        <v>61</v>
      </c>
      <c r="DR31" s="12"/>
      <c r="DU31" s="6"/>
      <c r="DV31" s="11" t="s">
        <v>60</v>
      </c>
      <c r="DW31" s="90" t="s">
        <v>77</v>
      </c>
      <c r="DX31" s="90"/>
      <c r="DY31" s="12" t="s">
        <v>61</v>
      </c>
      <c r="DZ31" s="12"/>
      <c r="EC31" s="6"/>
      <c r="ED31" s="11" t="s">
        <v>60</v>
      </c>
      <c r="EE31" s="90" t="s">
        <v>78</v>
      </c>
      <c r="EF31" s="90"/>
      <c r="EG31" s="12" t="s">
        <v>61</v>
      </c>
      <c r="EH31" s="12"/>
    </row>
    <row r="32" spans="1:138" x14ac:dyDescent="0.25">
      <c r="M32" s="6"/>
      <c r="U32" s="6"/>
      <c r="AC32" s="6"/>
      <c r="AK32" s="6"/>
      <c r="AS32" s="6"/>
      <c r="BA32" s="6"/>
      <c r="BI32" s="6"/>
      <c r="BQ32" s="6"/>
      <c r="BY32" s="6"/>
      <c r="CG32" s="6"/>
      <c r="CO32" s="6"/>
      <c r="CW32" s="6"/>
      <c r="DE32" s="6"/>
      <c r="DM32" s="6"/>
      <c r="DU32" s="6"/>
      <c r="EC32" s="6"/>
    </row>
    <row r="33" spans="1:139" s="37" customFormat="1" ht="19.5" customHeight="1" x14ac:dyDescent="0.25">
      <c r="A33" s="75" t="s">
        <v>33</v>
      </c>
      <c r="B33" s="75"/>
      <c r="C33" s="75"/>
      <c r="D33" s="75"/>
      <c r="E33" s="83" t="s">
        <v>30</v>
      </c>
      <c r="F33" s="84"/>
      <c r="G33" s="84"/>
      <c r="I33" s="83" t="s">
        <v>30</v>
      </c>
      <c r="J33" s="84"/>
      <c r="K33" s="84"/>
      <c r="M33" s="83" t="s">
        <v>30</v>
      </c>
      <c r="N33" s="84"/>
      <c r="O33" s="84"/>
      <c r="Q33" s="83" t="s">
        <v>30</v>
      </c>
      <c r="R33" s="84"/>
      <c r="S33" s="84"/>
      <c r="U33" s="83" t="s">
        <v>30</v>
      </c>
      <c r="V33" s="84"/>
      <c r="W33" s="84"/>
      <c r="Y33" s="83" t="s">
        <v>30</v>
      </c>
      <c r="Z33" s="84"/>
      <c r="AA33" s="84"/>
      <c r="AC33" s="83" t="s">
        <v>30</v>
      </c>
      <c r="AD33" s="84"/>
      <c r="AE33" s="84"/>
      <c r="AG33" s="83" t="s">
        <v>30</v>
      </c>
      <c r="AH33" s="84"/>
      <c r="AI33" s="84"/>
      <c r="AK33" s="83" t="s">
        <v>30</v>
      </c>
      <c r="AL33" s="84"/>
      <c r="AM33" s="84"/>
      <c r="AO33" s="83" t="s">
        <v>30</v>
      </c>
      <c r="AP33" s="84"/>
      <c r="AQ33" s="84"/>
      <c r="AS33" s="83" t="s">
        <v>30</v>
      </c>
      <c r="AT33" s="84"/>
      <c r="AU33" s="84"/>
      <c r="AW33" s="83" t="s">
        <v>30</v>
      </c>
      <c r="AX33" s="84"/>
      <c r="AY33" s="84"/>
      <c r="BA33" s="83" t="s">
        <v>30</v>
      </c>
      <c r="BB33" s="84"/>
      <c r="BC33" s="84"/>
      <c r="BE33" s="83" t="s">
        <v>30</v>
      </c>
      <c r="BF33" s="84"/>
      <c r="BG33" s="84"/>
      <c r="BI33" s="83" t="s">
        <v>30</v>
      </c>
      <c r="BJ33" s="84"/>
      <c r="BK33" s="84"/>
      <c r="BM33" s="83" t="s">
        <v>30</v>
      </c>
      <c r="BN33" s="84"/>
      <c r="BO33" s="84"/>
      <c r="BQ33" s="83" t="s">
        <v>30</v>
      </c>
      <c r="BR33" s="84"/>
      <c r="BS33" s="84"/>
      <c r="BU33" s="83" t="s">
        <v>30</v>
      </c>
      <c r="BV33" s="84"/>
      <c r="BW33" s="84"/>
      <c r="BY33" s="83" t="s">
        <v>30</v>
      </c>
      <c r="BZ33" s="84"/>
      <c r="CA33" s="84"/>
      <c r="CC33" s="83" t="s">
        <v>30</v>
      </c>
      <c r="CD33" s="84"/>
      <c r="CE33" s="84"/>
      <c r="CG33" s="83" t="s">
        <v>30</v>
      </c>
      <c r="CH33" s="84"/>
      <c r="CI33" s="84"/>
      <c r="CK33" s="83" t="s">
        <v>30</v>
      </c>
      <c r="CL33" s="84"/>
      <c r="CM33" s="84"/>
      <c r="CO33" s="83" t="s">
        <v>30</v>
      </c>
      <c r="CP33" s="84"/>
      <c r="CQ33" s="84"/>
      <c r="CS33" s="83" t="s">
        <v>30</v>
      </c>
      <c r="CT33" s="84"/>
      <c r="CU33" s="84"/>
      <c r="CW33" s="83" t="s">
        <v>30</v>
      </c>
      <c r="CX33" s="84"/>
      <c r="CY33" s="84"/>
      <c r="DA33" s="83" t="s">
        <v>30</v>
      </c>
      <c r="DB33" s="84"/>
      <c r="DC33" s="84"/>
      <c r="DE33" s="83" t="s">
        <v>30</v>
      </c>
      <c r="DF33" s="84"/>
      <c r="DG33" s="84"/>
      <c r="DI33" s="83" t="s">
        <v>30</v>
      </c>
      <c r="DJ33" s="84"/>
      <c r="DK33" s="84"/>
      <c r="DM33" s="83" t="s">
        <v>30</v>
      </c>
      <c r="DN33" s="84"/>
      <c r="DO33" s="84"/>
      <c r="DQ33" s="83" t="s">
        <v>30</v>
      </c>
      <c r="DR33" s="84"/>
      <c r="DS33" s="84"/>
      <c r="DU33" s="83" t="s">
        <v>30</v>
      </c>
      <c r="DV33" s="84"/>
      <c r="DW33" s="84"/>
      <c r="DY33" s="83" t="s">
        <v>30</v>
      </c>
      <c r="DZ33" s="84"/>
      <c r="EA33" s="84"/>
      <c r="EC33" s="83" t="s">
        <v>30</v>
      </c>
      <c r="ED33" s="84"/>
      <c r="EE33" s="84"/>
      <c r="EG33" s="83" t="s">
        <v>30</v>
      </c>
      <c r="EH33" s="84"/>
      <c r="EI33" s="84"/>
    </row>
    <row r="34" spans="1:139" s="35" customFormat="1" ht="24.5" customHeight="1" x14ac:dyDescent="0.25">
      <c r="A34" s="89" t="s">
        <v>46</v>
      </c>
      <c r="B34" s="89"/>
      <c r="C34" s="31" t="s">
        <v>221</v>
      </c>
      <c r="D34" s="32" t="s">
        <v>32</v>
      </c>
      <c r="E34" s="33" t="s">
        <v>14</v>
      </c>
      <c r="F34" s="33" t="s">
        <v>15</v>
      </c>
      <c r="G34" s="33" t="s">
        <v>16</v>
      </c>
      <c r="H34" s="34"/>
      <c r="I34" s="33" t="s">
        <v>14</v>
      </c>
      <c r="J34" s="33" t="s">
        <v>15</v>
      </c>
      <c r="K34" s="33" t="s">
        <v>16</v>
      </c>
      <c r="M34" s="33" t="s">
        <v>14</v>
      </c>
      <c r="N34" s="33" t="s">
        <v>15</v>
      </c>
      <c r="O34" s="33" t="s">
        <v>16</v>
      </c>
      <c r="P34" s="34"/>
      <c r="Q34" s="33" t="s">
        <v>14</v>
      </c>
      <c r="R34" s="33" t="s">
        <v>15</v>
      </c>
      <c r="S34" s="33" t="s">
        <v>16</v>
      </c>
      <c r="U34" s="33" t="s">
        <v>14</v>
      </c>
      <c r="V34" s="33" t="s">
        <v>15</v>
      </c>
      <c r="W34" s="33" t="s">
        <v>16</v>
      </c>
      <c r="X34" s="34"/>
      <c r="Y34" s="33" t="s">
        <v>14</v>
      </c>
      <c r="Z34" s="33" t="s">
        <v>15</v>
      </c>
      <c r="AA34" s="33" t="s">
        <v>16</v>
      </c>
      <c r="AC34" s="33" t="s">
        <v>14</v>
      </c>
      <c r="AD34" s="33" t="s">
        <v>15</v>
      </c>
      <c r="AE34" s="33" t="s">
        <v>16</v>
      </c>
      <c r="AF34" s="34"/>
      <c r="AG34" s="33" t="s">
        <v>14</v>
      </c>
      <c r="AH34" s="33" t="s">
        <v>15</v>
      </c>
      <c r="AI34" s="33" t="s">
        <v>16</v>
      </c>
      <c r="AK34" s="33" t="s">
        <v>14</v>
      </c>
      <c r="AL34" s="33" t="s">
        <v>15</v>
      </c>
      <c r="AM34" s="33" t="s">
        <v>16</v>
      </c>
      <c r="AN34" s="34"/>
      <c r="AO34" s="33" t="s">
        <v>14</v>
      </c>
      <c r="AP34" s="33" t="s">
        <v>15</v>
      </c>
      <c r="AQ34" s="33" t="s">
        <v>16</v>
      </c>
      <c r="AS34" s="33" t="s">
        <v>14</v>
      </c>
      <c r="AT34" s="33" t="s">
        <v>15</v>
      </c>
      <c r="AU34" s="33" t="s">
        <v>16</v>
      </c>
      <c r="AV34" s="34"/>
      <c r="AW34" s="33" t="s">
        <v>14</v>
      </c>
      <c r="AX34" s="33" t="s">
        <v>15</v>
      </c>
      <c r="AY34" s="33" t="s">
        <v>16</v>
      </c>
      <c r="BA34" s="33" t="s">
        <v>14</v>
      </c>
      <c r="BB34" s="33" t="s">
        <v>15</v>
      </c>
      <c r="BC34" s="33" t="s">
        <v>16</v>
      </c>
      <c r="BD34" s="34"/>
      <c r="BE34" s="33" t="s">
        <v>14</v>
      </c>
      <c r="BF34" s="33" t="s">
        <v>15</v>
      </c>
      <c r="BG34" s="33" t="s">
        <v>16</v>
      </c>
      <c r="BI34" s="33" t="s">
        <v>14</v>
      </c>
      <c r="BJ34" s="33" t="s">
        <v>15</v>
      </c>
      <c r="BK34" s="33" t="s">
        <v>16</v>
      </c>
      <c r="BL34" s="34"/>
      <c r="BM34" s="33" t="s">
        <v>14</v>
      </c>
      <c r="BN34" s="33" t="s">
        <v>15</v>
      </c>
      <c r="BO34" s="33" t="s">
        <v>16</v>
      </c>
      <c r="BQ34" s="33" t="s">
        <v>14</v>
      </c>
      <c r="BR34" s="33" t="s">
        <v>15</v>
      </c>
      <c r="BS34" s="33" t="s">
        <v>16</v>
      </c>
      <c r="BT34" s="34"/>
      <c r="BU34" s="33" t="s">
        <v>14</v>
      </c>
      <c r="BV34" s="33" t="s">
        <v>15</v>
      </c>
      <c r="BW34" s="33" t="s">
        <v>16</v>
      </c>
      <c r="BY34" s="33" t="s">
        <v>14</v>
      </c>
      <c r="BZ34" s="33" t="s">
        <v>15</v>
      </c>
      <c r="CA34" s="33" t="s">
        <v>16</v>
      </c>
      <c r="CB34" s="34"/>
      <c r="CC34" s="33" t="s">
        <v>14</v>
      </c>
      <c r="CD34" s="33" t="s">
        <v>15</v>
      </c>
      <c r="CE34" s="33" t="s">
        <v>16</v>
      </c>
      <c r="CG34" s="33" t="s">
        <v>14</v>
      </c>
      <c r="CH34" s="33" t="s">
        <v>15</v>
      </c>
      <c r="CI34" s="33" t="s">
        <v>16</v>
      </c>
      <c r="CJ34" s="34"/>
      <c r="CK34" s="33" t="s">
        <v>14</v>
      </c>
      <c r="CL34" s="33" t="s">
        <v>15</v>
      </c>
      <c r="CM34" s="33" t="s">
        <v>16</v>
      </c>
      <c r="CO34" s="33" t="s">
        <v>14</v>
      </c>
      <c r="CP34" s="33" t="s">
        <v>15</v>
      </c>
      <c r="CQ34" s="33" t="s">
        <v>16</v>
      </c>
      <c r="CR34" s="34"/>
      <c r="CS34" s="33" t="s">
        <v>14</v>
      </c>
      <c r="CT34" s="33" t="s">
        <v>15</v>
      </c>
      <c r="CU34" s="33" t="s">
        <v>16</v>
      </c>
      <c r="CW34" s="33" t="s">
        <v>14</v>
      </c>
      <c r="CX34" s="33" t="s">
        <v>15</v>
      </c>
      <c r="CY34" s="33" t="s">
        <v>16</v>
      </c>
      <c r="CZ34" s="34"/>
      <c r="DA34" s="33" t="s">
        <v>14</v>
      </c>
      <c r="DB34" s="33" t="s">
        <v>15</v>
      </c>
      <c r="DC34" s="33" t="s">
        <v>16</v>
      </c>
      <c r="DE34" s="33" t="s">
        <v>14</v>
      </c>
      <c r="DF34" s="33" t="s">
        <v>15</v>
      </c>
      <c r="DG34" s="33" t="s">
        <v>16</v>
      </c>
      <c r="DH34" s="34"/>
      <c r="DI34" s="33" t="s">
        <v>14</v>
      </c>
      <c r="DJ34" s="33" t="s">
        <v>15</v>
      </c>
      <c r="DK34" s="33" t="s">
        <v>16</v>
      </c>
      <c r="DM34" s="33" t="s">
        <v>14</v>
      </c>
      <c r="DN34" s="33" t="s">
        <v>15</v>
      </c>
      <c r="DO34" s="33" t="s">
        <v>16</v>
      </c>
      <c r="DP34" s="34"/>
      <c r="DQ34" s="33" t="s">
        <v>14</v>
      </c>
      <c r="DR34" s="33" t="s">
        <v>15</v>
      </c>
      <c r="DS34" s="33" t="s">
        <v>16</v>
      </c>
      <c r="DU34" s="33" t="s">
        <v>14</v>
      </c>
      <c r="DV34" s="33" t="s">
        <v>15</v>
      </c>
      <c r="DW34" s="33" t="s">
        <v>16</v>
      </c>
      <c r="DX34" s="34"/>
      <c r="DY34" s="33" t="s">
        <v>14</v>
      </c>
      <c r="DZ34" s="33" t="s">
        <v>15</v>
      </c>
      <c r="EA34" s="33" t="s">
        <v>16</v>
      </c>
      <c r="EC34" s="33" t="s">
        <v>14</v>
      </c>
      <c r="ED34" s="33" t="s">
        <v>15</v>
      </c>
      <c r="EE34" s="33" t="s">
        <v>16</v>
      </c>
      <c r="EF34" s="34"/>
      <c r="EG34" s="33" t="s">
        <v>14</v>
      </c>
      <c r="EH34" s="33" t="s">
        <v>15</v>
      </c>
      <c r="EI34" s="33" t="s">
        <v>16</v>
      </c>
    </row>
    <row r="35" spans="1:139" ht="13" x14ac:dyDescent="0.3">
      <c r="A35" s="74" t="s">
        <v>34</v>
      </c>
      <c r="B35" s="74"/>
      <c r="C35" s="7">
        <f>AVERAGE(C2:C3)</f>
        <v>72.5</v>
      </c>
      <c r="D35" s="19">
        <f>F50</f>
        <v>0.65304709141274242</v>
      </c>
      <c r="E35" s="18">
        <f>COUNTIFS(C2:C25,"&lt;72,5",F2:F25,F2)</f>
        <v>1</v>
      </c>
      <c r="F35" s="7">
        <f>COUNTIFS(C2:C25,"&lt;72,5",F2:F25,F5)</f>
        <v>2</v>
      </c>
      <c r="G35" s="7">
        <f>COUNTIFS(C2:C25,"&lt;72,5",F2:F25,F20)</f>
        <v>2</v>
      </c>
      <c r="I35" s="7">
        <f>COUNTIFS(C2:C25,"&gt;72,5",F2:F25,F2)</f>
        <v>6</v>
      </c>
      <c r="J35" s="7">
        <f>COUNTIFS(C2:C25,"&gt;72,5",F2:F25,F5)</f>
        <v>7</v>
      </c>
      <c r="K35" s="7">
        <f>COUNTIFS(C2:C25,"&gt;72,5",F2:F25,F20)</f>
        <v>6</v>
      </c>
      <c r="M35" s="7">
        <f>COUNTIFS(C2:C25,"&lt;81",F2:F25,F2)</f>
        <v>3</v>
      </c>
      <c r="N35" s="7">
        <f>COUNTIFS(C2:C25,"&lt;81",F2:F25,F5)</f>
        <v>2</v>
      </c>
      <c r="O35" s="7">
        <f>COUNTIFS(C2:C25,"&lt;81",F2:F25,F20)</f>
        <v>2</v>
      </c>
      <c r="Q35" s="7">
        <f>COUNTIFS(C2:C25,"&gt;81",F2:F25,F2)</f>
        <v>4</v>
      </c>
      <c r="R35" s="7">
        <f>COUNTIFS(C2:C25,"&gt;81",F2:F25,F5)</f>
        <v>7</v>
      </c>
      <c r="S35" s="7">
        <f>COUNTIFS(C2:C25,"&gt;81",F2:F25,F20)</f>
        <v>6</v>
      </c>
      <c r="U35" s="7">
        <f>COUNTIFS(C2:C25,"&lt;88,5",F2:F25,F2)</f>
        <v>5</v>
      </c>
      <c r="V35" s="7">
        <f>COUNTIFS(C2:C25,"&lt;88,5",F2:F25,F5)</f>
        <v>3</v>
      </c>
      <c r="W35" s="7">
        <f>COUNTIFS(C2:C25,"&lt;88,5",F2:F25,F20)</f>
        <v>2</v>
      </c>
      <c r="Y35" s="7">
        <f>COUNTIFS(C2:C25,"&gt;88,5",F2:F25,F2)</f>
        <v>2</v>
      </c>
      <c r="Z35" s="7">
        <f>COUNTIFS(C2:C25,"&gt;88,5",F2:F25,F5)</f>
        <v>6</v>
      </c>
      <c r="AA35" s="7">
        <f>COUNTIFS(C2:C25,"&gt;88,5",F2:F25,F20)</f>
        <v>6</v>
      </c>
      <c r="AC35" s="7">
        <f>COUNTIFS(C2:C25,"&lt;97,5",F2:F25,F2)</f>
        <v>6</v>
      </c>
      <c r="AD35" s="7">
        <f>COUNTIFS(C2:C25,"&lt;97,5",F2:F25,F5)</f>
        <v>7</v>
      </c>
      <c r="AE35" s="7">
        <f>COUNTIFS(C2:C25,"&lt;97,5",F2:F25,F20)</f>
        <v>4</v>
      </c>
      <c r="AG35" s="7">
        <f>COUNTIFS(C2:C25,"&gt;97,5",F2:F25,F2)</f>
        <v>1</v>
      </c>
      <c r="AH35" s="7">
        <f>COUNTIFS(C2:C25,"&gt;97,5",F2:F25,F5)</f>
        <v>2</v>
      </c>
      <c r="AI35" s="7">
        <f>COUNTIFS(C2:C25,"&gt;97,5",F2:F25,F20)</f>
        <v>4</v>
      </c>
      <c r="AK35" s="7">
        <f>COUNTIFS(C2:C25,"&lt;79,5",F2:F25,F2)</f>
        <v>3</v>
      </c>
      <c r="AL35" s="7">
        <f>COUNTIFS(C2:C25,"&lt;79,5",F2:F25,F5)</f>
        <v>2</v>
      </c>
      <c r="AM35" s="7">
        <f>COUNTIFS(C2:C25,"&lt;79,5",F2:F25,F20)</f>
        <v>2</v>
      </c>
      <c r="AO35" s="7">
        <f>COUNTIFS(C2:C25,"&gt;79,5",F2:F25,F2)</f>
        <v>4</v>
      </c>
      <c r="AP35" s="7">
        <f>COUNTIFS(C2:C25,"&gt;79,5",F2:F25,F5)</f>
        <v>7</v>
      </c>
      <c r="AQ35" s="7">
        <f>COUNTIFS(C2:C25,"&gt;79,5",F2:F25,F20)</f>
        <v>6</v>
      </c>
      <c r="AS35" s="7">
        <f>COUNTIFS(C2:C25,"&lt;64,5",F2:F25,F2)</f>
        <v>0</v>
      </c>
      <c r="AT35" s="7">
        <f>COUNTIFS(C2:C25,"&lt;64,5",F2:F25,F5)</f>
        <v>2</v>
      </c>
      <c r="AU35" s="7">
        <f>COUNTIFS(C2:C25,"&lt;64,5",F2:F25,F20)</f>
        <v>1</v>
      </c>
      <c r="AW35" s="7">
        <f>COUNTIFS(C2:C25,"&gt;64,5",F2:F25,F2)</f>
        <v>7</v>
      </c>
      <c r="AX35" s="7">
        <f>COUNTIFS(C2:C25,"&gt;64,5",F2:F25,F5)</f>
        <v>7</v>
      </c>
      <c r="AY35" s="7">
        <f>COUNTIFS(C2:C25,"&gt;64,5",F2:F25,F20)</f>
        <v>7</v>
      </c>
      <c r="BA35" s="7">
        <f>COUNTIFS(C2:C25,"&lt;96",F2:F25,F2)</f>
        <v>6</v>
      </c>
      <c r="BB35" s="7">
        <f>COUNTIFS(C2:C25,"&lt;96",F2:F25,F5)</f>
        <v>7</v>
      </c>
      <c r="BC35" s="7">
        <f>COUNTIFS(C2:C25,"&lt;96",F2:F25,F20)</f>
        <v>4</v>
      </c>
      <c r="BE35" s="7">
        <f>COUNTIFS(C2:C25,"&gt;96",F2:F25,F2)</f>
        <v>1</v>
      </c>
      <c r="BF35" s="7">
        <f>COUNTIFS(C2:C25,"&gt;96",F2:F25,F5)</f>
        <v>2</v>
      </c>
      <c r="BG35" s="7">
        <f>COUNTIFS(C2:C25,"&gt;96",F2:F25,F20)</f>
        <v>4</v>
      </c>
      <c r="BI35" s="7">
        <f>COUNTIFS(C2:C25,"&lt;99",F2:F25,F2)</f>
        <v>6</v>
      </c>
      <c r="BJ35" s="7">
        <f>COUNTIFS(C2:C25,"&lt;99",F2:F25,F5)</f>
        <v>7</v>
      </c>
      <c r="BK35" s="7">
        <f>COUNTIFS(C2:C25,"&lt;99",F2:F25,F20)</f>
        <v>4</v>
      </c>
      <c r="BM35" s="7">
        <f>COUNTIFS(C2:C25,"&gt;99",F2:F25,F2)</f>
        <v>1</v>
      </c>
      <c r="BN35" s="7">
        <f>COUNTIFS(C2:C25,"&gt;99",F2:F25,F5)</f>
        <v>2</v>
      </c>
      <c r="BO35" s="7">
        <f>COUNTIFS(C2:C25,"&gt;99",F2:F25,F20)</f>
        <v>4</v>
      </c>
      <c r="BQ35" s="7">
        <f>COUNTIFS(C2:C25,"&lt;73,5",F2:F25,F2)</f>
        <v>1</v>
      </c>
      <c r="BR35" s="7">
        <f>COUNTIFS(C2:C25,"&lt;73,5",F2:F25,F5)</f>
        <v>2</v>
      </c>
      <c r="BS35" s="7">
        <f>COUNTIFS(C2:C25,"&lt;73,5",F2:F25,F20)</f>
        <v>2</v>
      </c>
      <c r="BU35" s="7">
        <f>COUNTIFS(C2:C25,"&gt;73,5",F2:F25,F2)</f>
        <v>6</v>
      </c>
      <c r="BV35" s="7">
        <f>COUNTIFS(C2:C25,"&gt;73,5",F2:F25,F5)</f>
        <v>7</v>
      </c>
      <c r="BW35" s="7">
        <f>COUNTIFS(C2:C25,"&gt;73,5",F2:F25,F20)</f>
        <v>6</v>
      </c>
      <c r="BY35" s="7">
        <f>COUNTIFS(C2:C25,"&lt;72",F2:F25,F2)</f>
        <v>1</v>
      </c>
      <c r="BZ35" s="7">
        <f>COUNTIFS(C2:C25,"&lt;72",F2:F25,F5)</f>
        <v>2</v>
      </c>
      <c r="CA35" s="7">
        <f>COUNTIFS(C2:C25,"&lt;72",F2:F25,F20)</f>
        <v>1</v>
      </c>
      <c r="CC35" s="7">
        <f>COUNTIFS(C2:C25,"&gt;72",F2:F25,F2)</f>
        <v>6</v>
      </c>
      <c r="CD35" s="7">
        <f>COUNTIFS(C2:C25,"&gt;72",F2:F25,F5)</f>
        <v>7</v>
      </c>
      <c r="CE35" s="7">
        <f>COUNTIFS(C2:C25,"&gt;72",F2:F25,F20)</f>
        <v>6</v>
      </c>
      <c r="CG35" s="7">
        <f>COUNTIFS(C2:C25,"&lt;89",F2:F25,F2)</f>
        <v>5</v>
      </c>
      <c r="CH35" s="7">
        <f>COUNTIFS(C2:C25,"&lt;89",F2:F25,F5)</f>
        <v>3</v>
      </c>
      <c r="CI35" s="7">
        <f>COUNTIFS(C2:C25,"&lt;89",F2:F25,F20)</f>
        <v>2</v>
      </c>
      <c r="CK35" s="7">
        <f>COUNTIFS(C2:C25,"&gt;89",F2:F25,F2)</f>
        <v>2</v>
      </c>
      <c r="CL35" s="7">
        <f>COUNTIFS(C2:C25,"&gt;89",F2:F25,F5)</f>
        <v>6</v>
      </c>
      <c r="CM35" s="7">
        <f>COUNTIFS(C2:C25,"&gt;89",F2:F25,F20)</f>
        <v>6</v>
      </c>
      <c r="CO35" s="7">
        <f>COUNTIFS(C2:C25,"&lt;96,5",F2:F25,F2)</f>
        <v>6</v>
      </c>
      <c r="CP35" s="7">
        <f>COUNTIFS(C2:C25,"&lt;96,5",F2:F25,F5)</f>
        <v>7</v>
      </c>
      <c r="CQ35" s="7">
        <f>COUNTIFS(C2:C25,"&lt;96,5",F2:F25,F20)</f>
        <v>4</v>
      </c>
      <c r="CS35" s="7">
        <f>COUNTIFS(C2:C25,"&gt;96,5",F2:F25,F2)</f>
        <v>1</v>
      </c>
      <c r="CT35" s="7">
        <f>COUNTIFS(C2:C25,"&gt;96,5",F2:F25,F5)</f>
        <v>2</v>
      </c>
      <c r="CU35" s="7">
        <f>COUNTIFS(C2:C25,"&gt;96,5",F2:F25,F20)</f>
        <v>4</v>
      </c>
      <c r="CW35" s="7">
        <f>COUNTIFS(C2:C25,"&lt;75",F2:F25,F2)</f>
        <v>1</v>
      </c>
      <c r="CX35" s="7">
        <f>COUNTIFS(C2:C25,"&lt;75",F2:F25,F5)</f>
        <v>2</v>
      </c>
      <c r="CY35" s="7">
        <f>COUNTIFS(C2:C25,"&lt;75",F2:F25,F20)</f>
        <v>2</v>
      </c>
      <c r="DA35" s="7">
        <f>COUNTIFS(C2:C25,"&gt;75",F2:F25,F2)</f>
        <v>4</v>
      </c>
      <c r="DB35" s="7">
        <f>COUNTIFS(C2:C25,"&gt;75",F2:F25,F5)</f>
        <v>7</v>
      </c>
      <c r="DC35" s="7">
        <f>COUNTIFS(C2:C25,"&gt;75",F2:F25,F20)</f>
        <v>6</v>
      </c>
      <c r="DE35" s="7">
        <f>COUNTIFS(C2:C25,"&lt;66",F2:F25,F2)</f>
        <v>0</v>
      </c>
      <c r="DF35" s="7">
        <f>COUNTIFS(C2:C25,"&lt;66",F2:F25,F5)</f>
        <v>2</v>
      </c>
      <c r="DG35" s="7">
        <f>COUNTIFS(C2:C25,"&lt;66",F2:F25,F20)</f>
        <v>1</v>
      </c>
      <c r="DI35" s="7">
        <f>COUNTIFS(C2:C25,"&gt;66",F2:F25,F2)</f>
        <v>7</v>
      </c>
      <c r="DJ35" s="7">
        <f>COUNTIFS(C2:C25,"&gt;66",F2:F25,F5)</f>
        <v>7</v>
      </c>
      <c r="DK35" s="7">
        <f>COUNTIFS(C2:C25,"&gt;66",F2:F25,F20)</f>
        <v>7</v>
      </c>
      <c r="DM35" s="7">
        <f>COUNTIFS(C2:C25,"&lt;90",F2:F25,F2)</f>
        <v>5</v>
      </c>
      <c r="DN35" s="7">
        <f>COUNTIFS(C2:C25,"&lt;90",F2:F25,F5)</f>
        <v>3</v>
      </c>
      <c r="DO35" s="7">
        <f>COUNTIFS(C2:C25,"&lt;90",F2:F25,F20)</f>
        <v>2</v>
      </c>
      <c r="DQ35" s="7">
        <f>COUNTIFS(C2:C25,"&gt;90",F2:F25,F2)</f>
        <v>1</v>
      </c>
      <c r="DR35" s="7">
        <f>COUNTIFS(C2:C25,"&gt;90",F2:F25,F5)</f>
        <v>3</v>
      </c>
      <c r="DS35" s="7">
        <f>COUNTIFS(C2:C25,"&gt;90",F2:F25,F20)</f>
        <v>4</v>
      </c>
      <c r="DU35" s="7">
        <f>COUNTIFS(C2:C25,"&lt;117,5",F2:F25,F2)</f>
        <v>7</v>
      </c>
      <c r="DV35" s="7">
        <f>COUNTIFS(C2:C25,"&lt;117,5",F2:F25,F5)</f>
        <v>9</v>
      </c>
      <c r="DW35" s="7">
        <f>COUNTIFS(C2:C25,"&lt;117,5",F2:F25,F20)</f>
        <v>6</v>
      </c>
      <c r="DY35" s="7">
        <f>COUNTIFS(C2:C25,"&gt;117,5",F2:F25,F2)</f>
        <v>0</v>
      </c>
      <c r="DZ35" s="7">
        <f>COUNTIFS(C2:C25,"&gt;117,5",F2:F25,F2)</f>
        <v>0</v>
      </c>
      <c r="EA35" s="7">
        <f>COUNTIFS(C2:C25,"&gt;117,5",F2:F25,F20)</f>
        <v>2</v>
      </c>
      <c r="EC35" s="7">
        <f>COUNTIFS(C2:C25,"&lt;137,5",F2:F25,F2)</f>
        <v>7</v>
      </c>
      <c r="ED35" s="7">
        <f>COUNTIFS(C2:C25,"&lt;137,5",F2:F25,F5)</f>
        <v>9</v>
      </c>
      <c r="EE35" s="7">
        <f>COUNTIFS(C2:C25,"&lt;137,5",F2:F25,F20)</f>
        <v>7</v>
      </c>
      <c r="EG35" s="7">
        <f>COUNTIFS(C2:C25,"&gt;137,5",F2:F25,F2)</f>
        <v>0</v>
      </c>
      <c r="EH35" s="7">
        <f>COUNTIFS(C2:C25,"&gt;137,5",F2:F25,F2)</f>
        <v>0</v>
      </c>
      <c r="EI35" s="7">
        <f>COUNTIFS(C2:C25,"&gt;137,5",F2:F25,F20)</f>
        <v>1</v>
      </c>
    </row>
    <row r="36" spans="1:139" ht="13" x14ac:dyDescent="0.3">
      <c r="A36" s="74" t="s">
        <v>35</v>
      </c>
      <c r="B36" s="74"/>
      <c r="C36" s="7">
        <f>AVERAGE(C3:C4)</f>
        <v>81</v>
      </c>
      <c r="D36" s="19">
        <f>N50</f>
        <v>0.66037591507191118</v>
      </c>
    </row>
    <row r="37" spans="1:139" ht="13" x14ac:dyDescent="0.3">
      <c r="A37" s="74" t="s">
        <v>36</v>
      </c>
      <c r="B37" s="74"/>
      <c r="C37" s="7">
        <f t="shared" ref="C37:C57" si="0">AVERAGE(C4:C5)</f>
        <v>88.5</v>
      </c>
      <c r="D37" s="19">
        <f>V50</f>
        <v>0.62829931972789121</v>
      </c>
      <c r="E37" s="16" t="s">
        <v>99</v>
      </c>
      <c r="M37" s="16" t="s">
        <v>99</v>
      </c>
      <c r="U37" s="16" t="s">
        <v>99</v>
      </c>
      <c r="AC37" s="16" t="s">
        <v>99</v>
      </c>
      <c r="AK37" s="44" t="s">
        <v>99</v>
      </c>
      <c r="AS37" s="44" t="s">
        <v>99</v>
      </c>
      <c r="BA37" s="44" t="s">
        <v>99</v>
      </c>
      <c r="BI37" s="44" t="s">
        <v>99</v>
      </c>
      <c r="BQ37" s="44" t="s">
        <v>99</v>
      </c>
      <c r="BY37" s="44" t="s">
        <v>99</v>
      </c>
      <c r="CG37" s="44" t="s">
        <v>99</v>
      </c>
      <c r="CO37" s="44" t="s">
        <v>99</v>
      </c>
      <c r="CW37" s="44" t="s">
        <v>99</v>
      </c>
      <c r="DE37" s="44" t="s">
        <v>99</v>
      </c>
      <c r="DM37" s="44" t="s">
        <v>99</v>
      </c>
      <c r="DU37" s="44" t="s">
        <v>99</v>
      </c>
      <c r="EC37" s="44" t="s">
        <v>99</v>
      </c>
    </row>
    <row r="38" spans="1:139" ht="15" x14ac:dyDescent="0.3">
      <c r="A38" s="74" t="s">
        <v>37</v>
      </c>
      <c r="B38" s="74"/>
      <c r="C38" s="7">
        <f t="shared" si="0"/>
        <v>97.5</v>
      </c>
      <c r="D38" s="19">
        <f>AD50</f>
        <v>0.59846879928441976</v>
      </c>
      <c r="E38" s="14" t="s">
        <v>62</v>
      </c>
      <c r="F38" s="1" t="s">
        <v>102</v>
      </c>
      <c r="M38" s="14" t="s">
        <v>62</v>
      </c>
      <c r="N38" s="1" t="s">
        <v>109</v>
      </c>
      <c r="U38" s="14" t="s">
        <v>62</v>
      </c>
      <c r="V38" s="1" t="s">
        <v>106</v>
      </c>
      <c r="AC38" s="14" t="s">
        <v>62</v>
      </c>
      <c r="AD38" s="1" t="s">
        <v>113</v>
      </c>
      <c r="AK38" s="14" t="s">
        <v>62</v>
      </c>
      <c r="AL38" s="1" t="s">
        <v>109</v>
      </c>
      <c r="AS38" s="14" t="s">
        <v>62</v>
      </c>
      <c r="AT38" s="1" t="s">
        <v>124</v>
      </c>
      <c r="BA38" s="14" t="s">
        <v>62</v>
      </c>
      <c r="BB38" s="1" t="s">
        <v>113</v>
      </c>
      <c r="BI38" s="14" t="s">
        <v>62</v>
      </c>
      <c r="BJ38" s="1" t="s">
        <v>113</v>
      </c>
      <c r="BQ38" s="14" t="s">
        <v>62</v>
      </c>
      <c r="BR38" s="1" t="s">
        <v>102</v>
      </c>
      <c r="BY38" s="14" t="s">
        <v>62</v>
      </c>
      <c r="BZ38" s="1" t="s">
        <v>102</v>
      </c>
      <c r="CG38" s="14" t="s">
        <v>62</v>
      </c>
      <c r="CH38" s="1" t="s">
        <v>106</v>
      </c>
      <c r="CO38" s="14" t="s">
        <v>62</v>
      </c>
      <c r="CP38" s="1" t="s">
        <v>113</v>
      </c>
      <c r="CW38" s="14" t="s">
        <v>62</v>
      </c>
      <c r="CX38" s="1" t="s">
        <v>138</v>
      </c>
      <c r="DE38" s="14" t="s">
        <v>62</v>
      </c>
      <c r="DF38" s="1" t="s">
        <v>124</v>
      </c>
      <c r="DM38" s="14" t="s">
        <v>62</v>
      </c>
      <c r="DN38" s="1" t="s">
        <v>143</v>
      </c>
      <c r="DU38" s="14" t="s">
        <v>62</v>
      </c>
      <c r="DV38" s="1" t="s">
        <v>148</v>
      </c>
      <c r="EC38" s="14" t="s">
        <v>62</v>
      </c>
      <c r="ED38" s="1" t="s">
        <v>148</v>
      </c>
    </row>
    <row r="39" spans="1:139" ht="15" x14ac:dyDescent="0.3">
      <c r="A39" s="74" t="s">
        <v>38</v>
      </c>
      <c r="B39" s="74"/>
      <c r="C39" s="7">
        <f t="shared" si="0"/>
        <v>79.5</v>
      </c>
      <c r="D39" s="19">
        <f>AL50</f>
        <v>0.66037591507191118</v>
      </c>
      <c r="E39" s="17" t="s">
        <v>62</v>
      </c>
      <c r="F39">
        <f>1-((E35/(E35+F35+G35))^2)-((J35/(I35+J35+K35))^2)-((K35/(I35+J35+K35))^2)</f>
        <v>0.72454293628808863</v>
      </c>
      <c r="H39" s="15"/>
      <c r="M39" s="17" t="s">
        <v>62</v>
      </c>
      <c r="N39">
        <f>1-(M35/(M35+N35+O35))^2-(R35/(Q35+R35+S35))^2-(S35/(Q35+R35+S35))^2</f>
        <v>0.52220888355342143</v>
      </c>
      <c r="P39" s="15"/>
      <c r="U39" s="17" t="s">
        <v>62</v>
      </c>
      <c r="V39">
        <f>1-(U35/(U35+V35+W35))^2-(Z35/(Y35+Z35+AA35))^2-(AA35/(Y35+Z35+AA35))^2</f>
        <v>0.38265306122448983</v>
      </c>
      <c r="X39" s="15"/>
      <c r="AC39" s="17" t="s">
        <v>62</v>
      </c>
      <c r="AD39">
        <f>1-(AC35/(AC35+AD35+AE35))^2-(AH35/(AG35+AH35+AI35))^2-(AI35/(AG35+AH35+AI35))^2</f>
        <v>0.46726926064543467</v>
      </c>
      <c r="AF39" s="15"/>
      <c r="AK39" s="17" t="s">
        <v>62</v>
      </c>
      <c r="AL39">
        <f>1-(AK35/(AK35+AL35+AM35))^2-(AP35/(AO35+AP35+AQ35))^2-(AQ35/(AO35+AP35+AQ35))^2</f>
        <v>0.52220888355342143</v>
      </c>
      <c r="AN39" s="15"/>
      <c r="AS39" s="17" t="s">
        <v>62</v>
      </c>
      <c r="AT39">
        <f>1-(AS35/(AS35+AT35+AU35))^2-(AX35/(AW35+AX35+AY35))^2-(AY35/(AW35+AX35+AY35))^2</f>
        <v>0.77777777777777768</v>
      </c>
      <c r="AV39" s="15"/>
      <c r="BA39" s="17" t="s">
        <v>62</v>
      </c>
      <c r="BB39">
        <f>1-(BA35/(BA35+BB35+BC35))^2-(BF35/(BE35+BF35+BG35))^2-(BG35/(BE35+BF35+BG35))^2</f>
        <v>0.46726926064543467</v>
      </c>
      <c r="BD39" s="15"/>
      <c r="BI39" s="17" t="s">
        <v>62</v>
      </c>
      <c r="BJ39">
        <f>1-(BI35/(BI35+BJ35+BK35))^2-(BN35/(BM35+BN35+BO35))^2-(BO35/(BM35+BN35+BO35))^2</f>
        <v>0.46726926064543467</v>
      </c>
      <c r="BL39" s="15"/>
      <c r="BQ39" s="17" t="s">
        <v>62</v>
      </c>
      <c r="BR39">
        <f>1-(BQ35/(BQ35+BR35+BS35))^2-(BV35/(BU35+BV35+BW35))^2-(BW35/(BU35+BV35+BW35))^2</f>
        <v>0.72454293628808863</v>
      </c>
      <c r="BT39" s="15"/>
      <c r="BY39" s="17" t="s">
        <v>62</v>
      </c>
      <c r="BZ39">
        <f>1-(BY35/(BY35+BZ35+CA35))^2-(CD35/(CC35+CD35+CE35))^2-(CE35/(CC35+CD35+CE35))^2</f>
        <v>0.70204293628808867</v>
      </c>
      <c r="CB39" s="15"/>
      <c r="CG39" s="17" t="s">
        <v>62</v>
      </c>
      <c r="CH39">
        <f>1-(CG35/(CG35+CH35+CI35))^2-(CL35/(CK35+CL35+CM35))^2-(CM35/(CK35+CL35+CM35))^2</f>
        <v>0.38265306122448983</v>
      </c>
      <c r="CJ39" s="15"/>
      <c r="CO39" s="17" t="s">
        <v>62</v>
      </c>
      <c r="CP39">
        <f>1-(CO35/(CO35+CP35+CQ35))^2-(CT35/(CS35+CT35+CU35))^2-(CU35/(CS35+CT35+CU35))^2</f>
        <v>0.46726926064543467</v>
      </c>
      <c r="CR39" s="15"/>
      <c r="CW39" s="17" t="s">
        <v>62</v>
      </c>
      <c r="CX39">
        <f>1-(CW35/(CW35+CX35+CY35))^2-(DB35/(DA35+DB35+DC35))^2-(DC35/(DA35+DB35+DC35))^2</f>
        <v>0.66588235294117648</v>
      </c>
      <c r="CZ39" s="15"/>
      <c r="DE39" s="17" t="s">
        <v>62</v>
      </c>
      <c r="DF39">
        <f>1-(DE35/(DE35+DF35+DG35))^2-(DJ35/(DI35+DJ35+DK35))^2-(DK35/(DI35+DJ35+DK35))^2</f>
        <v>0.77777777777777768</v>
      </c>
      <c r="DH39" s="15"/>
      <c r="DM39" s="17" t="s">
        <v>62</v>
      </c>
      <c r="DN39">
        <f>1-(DM35/(DM35+DN35+DO35))^2-(DR35/(DQ35+DR35+DS35))^2-(DS35/(DQ35+DR35+DS35))^2</f>
        <v>0.359375</v>
      </c>
      <c r="DP39" s="15"/>
      <c r="DU39" s="17" t="s">
        <v>62</v>
      </c>
      <c r="DV39">
        <f>1-(DU35/(DU35+DV35+DW35))^2-(DZ35/(DY35+DZ35+EA35))^2-(EA35/(DY35+DZ35+EA35))^2</f>
        <v>-0.10123966942148765</v>
      </c>
      <c r="DX39" s="15"/>
      <c r="EC39" s="17" t="s">
        <v>62</v>
      </c>
      <c r="ED39">
        <f>1-(EC35/(EC35+ED35+EE35))^2-(EH35/(EG35+EH35+EI35))^2-(EI35/(EG35+EH35+EI35))^2</f>
        <v>-9.2627599243856329E-2</v>
      </c>
      <c r="EF39" s="15"/>
    </row>
    <row r="40" spans="1:139" ht="13" x14ac:dyDescent="0.3">
      <c r="A40" s="74" t="s">
        <v>39</v>
      </c>
      <c r="B40" s="74"/>
      <c r="C40" s="7">
        <f t="shared" si="0"/>
        <v>64.5</v>
      </c>
      <c r="D40" s="19">
        <f>AT50</f>
        <v>0.57407407407407396</v>
      </c>
      <c r="M40" s="6"/>
      <c r="U40" s="6"/>
      <c r="AC40" s="6"/>
      <c r="AK40" s="6"/>
      <c r="AS40" s="6"/>
      <c r="BA40" s="6"/>
      <c r="BI40" s="6"/>
      <c r="BQ40" s="6"/>
      <c r="BY40" s="6"/>
      <c r="CG40" s="6"/>
      <c r="CO40" s="6"/>
      <c r="CW40" s="6"/>
      <c r="DE40" s="6"/>
      <c r="DM40" s="6"/>
      <c r="DU40" s="6"/>
      <c r="EC40" s="6"/>
    </row>
    <row r="41" spans="1:139" ht="13" x14ac:dyDescent="0.3">
      <c r="A41" s="74" t="s">
        <v>40</v>
      </c>
      <c r="B41" s="74"/>
      <c r="C41" s="7">
        <f t="shared" si="0"/>
        <v>81</v>
      </c>
      <c r="D41" s="19">
        <f>D36</f>
        <v>0.66037591507191118</v>
      </c>
      <c r="E41" s="16" t="s">
        <v>100</v>
      </c>
      <c r="M41" s="16" t="s">
        <v>100</v>
      </c>
      <c r="U41" s="16" t="s">
        <v>100</v>
      </c>
      <c r="AC41" s="16" t="s">
        <v>100</v>
      </c>
      <c r="AK41" s="16" t="s">
        <v>100</v>
      </c>
      <c r="AS41" s="16" t="s">
        <v>100</v>
      </c>
      <c r="BA41" s="16" t="s">
        <v>100</v>
      </c>
      <c r="BI41" s="16" t="s">
        <v>100</v>
      </c>
      <c r="BQ41" s="16" t="s">
        <v>100</v>
      </c>
      <c r="BY41" s="16" t="s">
        <v>100</v>
      </c>
      <c r="CG41" s="16" t="s">
        <v>100</v>
      </c>
      <c r="CO41" s="16" t="s">
        <v>100</v>
      </c>
      <c r="CW41" s="16" t="s">
        <v>100</v>
      </c>
      <c r="DE41" s="16" t="s">
        <v>100</v>
      </c>
      <c r="DM41" s="16" t="s">
        <v>100</v>
      </c>
      <c r="DU41" s="16" t="s">
        <v>100</v>
      </c>
      <c r="EC41" s="16" t="s">
        <v>100</v>
      </c>
    </row>
    <row r="42" spans="1:139" ht="15" x14ac:dyDescent="0.3">
      <c r="A42" s="74" t="s">
        <v>41</v>
      </c>
      <c r="B42" s="74"/>
      <c r="C42" s="7">
        <f>AVERAGE(C9:C10)</f>
        <v>96</v>
      </c>
      <c r="D42" s="19">
        <f>BB50</f>
        <v>0.59846879928441976</v>
      </c>
      <c r="E42" s="17" t="s">
        <v>62</v>
      </c>
      <c r="F42" s="1" t="s">
        <v>103</v>
      </c>
      <c r="M42" s="17" t="s">
        <v>62</v>
      </c>
      <c r="N42" s="1" t="s">
        <v>110</v>
      </c>
      <c r="U42" s="17" t="s">
        <v>62</v>
      </c>
      <c r="V42" s="1" t="s">
        <v>107</v>
      </c>
      <c r="AC42" s="17" t="s">
        <v>62</v>
      </c>
      <c r="AD42" s="1" t="s">
        <v>114</v>
      </c>
      <c r="AK42" s="17" t="s">
        <v>62</v>
      </c>
      <c r="AL42" s="1" t="s">
        <v>118</v>
      </c>
      <c r="AS42" s="17" t="s">
        <v>62</v>
      </c>
      <c r="AT42" s="1" t="s">
        <v>125</v>
      </c>
      <c r="BA42" s="17" t="s">
        <v>62</v>
      </c>
      <c r="BB42" s="1" t="s">
        <v>114</v>
      </c>
      <c r="BI42" s="17" t="s">
        <v>62</v>
      </c>
      <c r="BJ42" s="1" t="s">
        <v>114</v>
      </c>
      <c r="BQ42" s="17" t="s">
        <v>62</v>
      </c>
      <c r="BR42" s="1" t="s">
        <v>103</v>
      </c>
      <c r="BY42" s="17" t="s">
        <v>62</v>
      </c>
      <c r="BZ42" s="1" t="s">
        <v>132</v>
      </c>
      <c r="CG42" s="17" t="s">
        <v>62</v>
      </c>
      <c r="CH42" s="1" t="s">
        <v>107</v>
      </c>
      <c r="CO42" s="17" t="s">
        <v>62</v>
      </c>
      <c r="CP42" s="1" t="s">
        <v>114</v>
      </c>
      <c r="CW42" s="17" t="s">
        <v>62</v>
      </c>
      <c r="CX42" s="1" t="s">
        <v>139</v>
      </c>
      <c r="DE42" s="17" t="s">
        <v>62</v>
      </c>
      <c r="DF42" s="1" t="s">
        <v>125</v>
      </c>
      <c r="DM42" s="17" t="s">
        <v>62</v>
      </c>
      <c r="DN42" s="1" t="s">
        <v>144</v>
      </c>
      <c r="DU42" s="17" t="s">
        <v>62</v>
      </c>
      <c r="DV42" s="1" t="s">
        <v>149</v>
      </c>
      <c r="EC42" s="17" t="s">
        <v>62</v>
      </c>
      <c r="ED42" s="1" t="s">
        <v>153</v>
      </c>
    </row>
    <row r="43" spans="1:139" ht="13" x14ac:dyDescent="0.3">
      <c r="A43" s="74" t="s">
        <v>42</v>
      </c>
      <c r="B43" s="74"/>
      <c r="C43" s="7">
        <f t="shared" si="0"/>
        <v>97.5</v>
      </c>
      <c r="D43" s="19">
        <f>D38</f>
        <v>0.59846879928441976</v>
      </c>
      <c r="E43" s="17" t="s">
        <v>62</v>
      </c>
      <c r="F43">
        <f>1-((F35/(E35+F35+G35))^2)-((I35/(I35+J35+K35))^2)-((K35/(I35+J35+K35))^2)</f>
        <v>0.6405540166204986</v>
      </c>
      <c r="M43" s="17" t="s">
        <v>62</v>
      </c>
      <c r="N43">
        <f>1-(N35/(M35+N35+O35))^2-(Q35/(Q35+R35+S35))^2-(S35/(Q35+R35+S35))^2</f>
        <v>0.73843655109102468</v>
      </c>
      <c r="U43" s="17" t="s">
        <v>62</v>
      </c>
      <c r="V43">
        <f>1-(V35/(U35+V35+W35))^2-(Y35/(Y35+Z35+AA35))^2-(AA35/(Y35+Z35+AA35))^2</f>
        <v>0.7059183673469388</v>
      </c>
      <c r="AC43" s="17" t="s">
        <v>62</v>
      </c>
      <c r="AD43">
        <f>1-(AD35/(AC35+AD35+AE35))^2-(AG35/(AG35+AH35+AI35))^2-(AI35/(AG35+AH35+AI35))^2</f>
        <v>0.48351105147941537</v>
      </c>
      <c r="AK43" s="17" t="s">
        <v>62</v>
      </c>
      <c r="AL43">
        <f>1-(AL35/(AK35+AL35+AM35))^2-(AO35/(AO35+AP35+AQ35))^2-(AQ35/(AO35+AP35+AQ35))^2</f>
        <v>0.73843655109102468</v>
      </c>
      <c r="AS43" s="17" t="s">
        <v>62</v>
      </c>
      <c r="AT43">
        <f>1-(AT35/(AS35+AT35+AU35))^2-(AW35/(AW35+AX35+AY35))^2-(AY35/(AW35+AX35+AY35))^2</f>
        <v>0.33333333333333337</v>
      </c>
      <c r="BA43" s="17" t="s">
        <v>62</v>
      </c>
      <c r="BB43">
        <f>1-(BB35/(BA35+BB35+BC35))^2-(BE35/(BE35+BF35+BG35))^2-(BG35/(BE35+BF35+BG35))^2</f>
        <v>0.48351105147941537</v>
      </c>
      <c r="BI43" s="17" t="s">
        <v>62</v>
      </c>
      <c r="BJ43">
        <f>1-(BJ35/(BI35+BJ35+BK35))^2-(BM35/(BM35+BN35+BO35))^2-(BO35/(BM35+BN35+BO35))^2</f>
        <v>0.48351105147941537</v>
      </c>
      <c r="BQ43" s="17" t="s">
        <v>62</v>
      </c>
      <c r="BR43">
        <f>1-(BR35/(BQ35+BR35+BS35))^2-(BU35/(BU35+BV35+BW35))^2-(BW35/(BU35+BV35+BW35))^2</f>
        <v>0.6405540166204986</v>
      </c>
      <c r="BY43" s="17" t="s">
        <v>62</v>
      </c>
      <c r="BZ43">
        <f>1-(BZ35/(BY35+BZ35+CA35))^2-(CC35/(CC35+CD35+CE35))^2-(CE35/(CC35+CD35+CE35))^2</f>
        <v>0.55055401662049874</v>
      </c>
      <c r="CG43" s="17" t="s">
        <v>62</v>
      </c>
      <c r="CH43">
        <f>1-(CH35/(CG35+CH35+CI35))^2-(CK35/(CK35+CL35+CM35))^2-(CM35/(CK35+CL35+CM35))^2</f>
        <v>0.7059183673469388</v>
      </c>
      <c r="CO43" s="17" t="s">
        <v>62</v>
      </c>
      <c r="CP43">
        <f>1-(CP35/(CO35+CP35+CQ35))^2-(CS35/(CS35+CT35+CU35))^2-(CU35/(CS35+CT35+CU35))^2</f>
        <v>0.48351105147941537</v>
      </c>
      <c r="CW43" s="17" t="s">
        <v>62</v>
      </c>
      <c r="CX43">
        <f>1-(CX35/(CW35+CX35+CY35))^2-(DA35/(DA35+DB35+DC35))^2-(DC35/(DA35+DB35+DC35))^2</f>
        <v>0.66006920415224912</v>
      </c>
      <c r="DE43" s="17" t="s">
        <v>62</v>
      </c>
      <c r="DF43">
        <f>1-(DF35/(DE35+DF35+DG35))^2-(DI35/(DI35+DJ35+DK35))^2-(DK35/(DI35+DJ35+DK35))^2</f>
        <v>0.33333333333333337</v>
      </c>
      <c r="DM43" s="17" t="s">
        <v>62</v>
      </c>
      <c r="DN43">
        <f>1-(DN35/(DM35+DN35+DO35))^2-(DQ35/(DQ35+DR35+DS35))^2-(DS35/(DQ35+DR35+DS35))^2</f>
        <v>0.64437500000000003</v>
      </c>
      <c r="DU43" s="17" t="s">
        <v>62</v>
      </c>
      <c r="DV43">
        <f>1-(DV35/(DU35+DV35+DW35))^2-(DY35/(DY35+DZ35+EA35))^2-(EA35/(DY35+DZ35+EA35))^2</f>
        <v>-0.1673553719008265</v>
      </c>
      <c r="EC43" s="17" t="s">
        <v>62</v>
      </c>
      <c r="ED43">
        <f>1-(ED35/(EC35+ED35+EE35))^2-(EG35/(EG35+EH35+EI35))^2-(EI35/(EG35+EH35+EI35))^2</f>
        <v>-0.15311909262759926</v>
      </c>
    </row>
    <row r="44" spans="1:139" ht="13" x14ac:dyDescent="0.3">
      <c r="A44" s="74" t="s">
        <v>43</v>
      </c>
      <c r="B44" s="74"/>
      <c r="C44" s="7">
        <f t="shared" si="0"/>
        <v>97.5</v>
      </c>
      <c r="D44" s="19">
        <f>D43</f>
        <v>0.59846879928441976</v>
      </c>
      <c r="M44" s="6"/>
      <c r="U44" s="6"/>
      <c r="AC44" s="6"/>
      <c r="AK44" s="6"/>
      <c r="AS44" s="6"/>
      <c r="BA44" s="6"/>
      <c r="BI44" s="6"/>
      <c r="BQ44" s="6"/>
      <c r="BY44" s="6"/>
      <c r="CG44" s="6"/>
      <c r="CO44" s="6"/>
      <c r="CW44" s="6"/>
      <c r="DE44" s="6"/>
      <c r="DM44" s="6"/>
      <c r="DU44" s="6"/>
      <c r="EC44" s="6"/>
    </row>
    <row r="45" spans="1:139" ht="13" x14ac:dyDescent="0.3">
      <c r="A45" s="74" t="s">
        <v>44</v>
      </c>
      <c r="B45" s="74"/>
      <c r="C45" s="7">
        <f t="shared" si="0"/>
        <v>99</v>
      </c>
      <c r="D45" s="19">
        <f>BJ50</f>
        <v>0.59846879928441976</v>
      </c>
      <c r="E45" s="16" t="s">
        <v>101</v>
      </c>
      <c r="M45" s="16" t="s">
        <v>101</v>
      </c>
      <c r="U45" s="16" t="s">
        <v>101</v>
      </c>
      <c r="AC45" s="16" t="s">
        <v>101</v>
      </c>
      <c r="AK45" s="16" t="s">
        <v>101</v>
      </c>
      <c r="AS45" s="16" t="s">
        <v>101</v>
      </c>
      <c r="BA45" s="16" t="s">
        <v>101</v>
      </c>
      <c r="BI45" s="16" t="s">
        <v>101</v>
      </c>
      <c r="BQ45" s="16" t="s">
        <v>101</v>
      </c>
      <c r="BY45" s="16" t="s">
        <v>101</v>
      </c>
      <c r="CG45" s="16" t="s">
        <v>101</v>
      </c>
      <c r="CO45" s="16" t="s">
        <v>101</v>
      </c>
      <c r="CW45" s="16" t="s">
        <v>101</v>
      </c>
      <c r="DE45" s="16" t="s">
        <v>101</v>
      </c>
      <c r="DM45" s="16" t="s">
        <v>101</v>
      </c>
      <c r="DU45" s="16" t="s">
        <v>101</v>
      </c>
      <c r="EC45" s="16" t="s">
        <v>101</v>
      </c>
    </row>
    <row r="46" spans="1:139" ht="15" x14ac:dyDescent="0.3">
      <c r="A46" s="74" t="s">
        <v>47</v>
      </c>
      <c r="B46" s="74"/>
      <c r="C46" s="7">
        <f t="shared" si="0"/>
        <v>73.5</v>
      </c>
      <c r="D46" s="19">
        <f>BR50</f>
        <v>0.65304709141274242</v>
      </c>
      <c r="E46" s="17" t="s">
        <v>62</v>
      </c>
      <c r="F46" s="1" t="s">
        <v>104</v>
      </c>
      <c r="M46" s="17" t="s">
        <v>62</v>
      </c>
      <c r="N46" s="1" t="s">
        <v>111</v>
      </c>
      <c r="U46" s="17" t="s">
        <v>62</v>
      </c>
      <c r="V46" s="1" t="s">
        <v>108</v>
      </c>
      <c r="AC46" s="17" t="s">
        <v>62</v>
      </c>
      <c r="AD46" s="1" t="s">
        <v>115</v>
      </c>
      <c r="AK46" s="17" t="s">
        <v>62</v>
      </c>
      <c r="AL46" s="1" t="s">
        <v>119</v>
      </c>
      <c r="AS46" s="17" t="s">
        <v>62</v>
      </c>
      <c r="AT46" s="1" t="s">
        <v>126</v>
      </c>
      <c r="BA46" s="17" t="s">
        <v>62</v>
      </c>
      <c r="BB46" s="1" t="s">
        <v>115</v>
      </c>
      <c r="BI46" s="17" t="s">
        <v>62</v>
      </c>
      <c r="BJ46" s="1" t="s">
        <v>115</v>
      </c>
      <c r="BQ46" s="17" t="s">
        <v>62</v>
      </c>
      <c r="BR46" s="1" t="s">
        <v>129</v>
      </c>
      <c r="BY46" s="17" t="s">
        <v>62</v>
      </c>
      <c r="BZ46" s="1" t="s">
        <v>133</v>
      </c>
      <c r="CG46" s="17" t="s">
        <v>62</v>
      </c>
      <c r="CH46" s="1" t="s">
        <v>108</v>
      </c>
      <c r="CO46" s="17" t="s">
        <v>62</v>
      </c>
      <c r="CP46" s="1" t="s">
        <v>115</v>
      </c>
      <c r="CW46" s="17" t="s">
        <v>62</v>
      </c>
      <c r="CX46" s="1" t="s">
        <v>115</v>
      </c>
      <c r="DE46" s="17" t="s">
        <v>62</v>
      </c>
      <c r="DF46" s="1" t="s">
        <v>126</v>
      </c>
      <c r="DM46" s="17" t="s">
        <v>62</v>
      </c>
      <c r="DN46" s="1" t="s">
        <v>145</v>
      </c>
      <c r="DU46" s="17" t="s">
        <v>62</v>
      </c>
      <c r="DV46" s="1" t="s">
        <v>150</v>
      </c>
      <c r="EC46" s="17" t="s">
        <v>62</v>
      </c>
      <c r="ED46" s="1" t="s">
        <v>154</v>
      </c>
    </row>
    <row r="47" spans="1:139" ht="13" x14ac:dyDescent="0.3">
      <c r="A47" s="74" t="s">
        <v>48</v>
      </c>
      <c r="B47" s="74"/>
      <c r="C47" s="7">
        <f t="shared" si="0"/>
        <v>72</v>
      </c>
      <c r="D47" s="19">
        <f>BZ50</f>
        <v>0.61598280240073877</v>
      </c>
      <c r="E47" s="17" t="s">
        <v>62</v>
      </c>
      <c r="F47">
        <f>1-(G35/(E35+F35+G35))^2-(I35/(I35+J35+K35))^2-(J35/(I35+J35+K35))^2</f>
        <v>0.60454293628808853</v>
      </c>
      <c r="M47" s="17" t="s">
        <v>62</v>
      </c>
      <c r="N47">
        <f>1-((O35/(M35+N35+O35))^2)-((Q35/(Q35+R35+S35))^2)-((R35/(Q35+R35+S35))^2)</f>
        <v>0.69345385212908695</v>
      </c>
      <c r="U47" s="17" t="s">
        <v>62</v>
      </c>
      <c r="V47">
        <f>1-(W35/(U35+V35+W35))^2-(Y35/(Y35+Z35+AA35))^2-(Z35/(Y35+Z35+AA35))^2</f>
        <v>0.75591836734693874</v>
      </c>
      <c r="AC47" s="17" t="s">
        <v>62</v>
      </c>
      <c r="AD47">
        <f>1-(AE35/(AC35+AD35+AE35))^2-(AG35/(AG35+AH35+AI35))^2-(AH35/(AG35+AH35+AI35))^2</f>
        <v>0.84259586187416147</v>
      </c>
      <c r="AK47" s="17" t="s">
        <v>62</v>
      </c>
      <c r="AL47">
        <f>1-(AM35/(AK35+AL35+AM35))^2-(AO35/(AO35+AP35+AQ35))^2-(AP35/(AO35+AP35+AQ35))^2</f>
        <v>0.69345385212908695</v>
      </c>
      <c r="AS47" s="17" t="s">
        <v>62</v>
      </c>
      <c r="AT47">
        <f>1-(AU35/(AS35+AT35+AU35))^2-(AW35/(AW35+AX35+AY35))^2-(AX35/(AW35+AX35+AY35))^2</f>
        <v>0.66666666666666652</v>
      </c>
      <c r="BA47" s="17" t="s">
        <v>62</v>
      </c>
      <c r="BB47">
        <f>1-(BC35/(BA35+BB35+BC35))^2-(BE35/(BE35+BF35+BG35))^2-(BF35/(BE35+BF35+BG35))^2</f>
        <v>0.84259586187416147</v>
      </c>
      <c r="BI47" s="17" t="s">
        <v>62</v>
      </c>
      <c r="BJ47">
        <f>1-(BK35/(BI35+BJ35+BK35))^2-(BM35/(BM35+BN35+BO35))^2-(BN35/(BM35+BN35+BO35))^2</f>
        <v>0.84259586187416147</v>
      </c>
      <c r="BQ47" s="17" t="s">
        <v>62</v>
      </c>
      <c r="BR47">
        <f>1-(BS35/(BQ35+BR35+BS35))^2-(BU35/(BU35+BV35+BW35))^2-(BV35/(BU35+BV35+BW35))^2</f>
        <v>0.60454293628808853</v>
      </c>
      <c r="BY47" s="17" t="s">
        <v>62</v>
      </c>
      <c r="BZ47">
        <f>1-(CA35/(BY35+BZ35+CA35))^2-(CC35/(CC35+CD35+CE35))^2-(CD35/(CC35+CD35+CE35))^2</f>
        <v>0.70204293628808867</v>
      </c>
      <c r="CG47" s="17" t="s">
        <v>62</v>
      </c>
      <c r="CH47">
        <f>1-(CI35/(CG35+CH35+CI35))^2-(CK35/(CK35+CL35+CM35))^2-(CL35/(CK35+CL35+CM35))^2</f>
        <v>0.75591836734693874</v>
      </c>
      <c r="CO47" s="17" t="s">
        <v>62</v>
      </c>
      <c r="CP47">
        <f>1-(CQ35/(CO35+CP35+CQ35))^2-(CS35/(CS35+CT35+CU35))^2-(CT35/(CS35+CT35+CU35))^2</f>
        <v>0.84259586187416147</v>
      </c>
      <c r="CW47" s="17" t="s">
        <v>62</v>
      </c>
      <c r="CX47">
        <f>1-(CY35/(CW35+CX35+CY35))^2-(DA35/(DA35+DB35+DC35))^2-(DB35/(DA35+DB35+DC35))^2</f>
        <v>0.61508650519031138</v>
      </c>
      <c r="DE47" s="17" t="s">
        <v>62</v>
      </c>
      <c r="DF47">
        <f>1-(DG35/(DE35+DF35+DG35))^2-(DI35/(DI35+DJ35+DK35))^2-(DJ35/(DI35+DJ35+DK35))^2</f>
        <v>0.66666666666666652</v>
      </c>
      <c r="DM47" s="17" t="s">
        <v>62</v>
      </c>
      <c r="DN47">
        <f>1-(DO35/(DM35+DN35+DO35))^2-(DQ35/(DQ35+DR35+DS35))^2-(DR35/(DQ35+DR35+DS35))^2</f>
        <v>0.80374999999999996</v>
      </c>
      <c r="DU47" s="17" t="s">
        <v>62</v>
      </c>
      <c r="DV47">
        <f>1-(DW35/(DU35+DV35+DW35))^2-(DY35/(DY35+DZ35+EA35))^2-(DZ35/(DY35+DZ35+EA35))^2</f>
        <v>0.92561983471074383</v>
      </c>
      <c r="EC47" s="17" t="s">
        <v>62</v>
      </c>
      <c r="ED47">
        <f>1-(EE35/(EC35+ED35+EE35))^2-(EG35/(EG35+EH35+EI35))^2-(EH35/(EG35+EH35+EI35))^2</f>
        <v>0.90737240075614367</v>
      </c>
    </row>
    <row r="48" spans="1:139" ht="13" x14ac:dyDescent="0.3">
      <c r="A48" s="74" t="s">
        <v>49</v>
      </c>
      <c r="B48" s="74"/>
      <c r="C48" s="7">
        <f t="shared" si="0"/>
        <v>89</v>
      </c>
      <c r="D48" s="19">
        <f>CH50</f>
        <v>0.62829931972789121</v>
      </c>
      <c r="M48" s="6"/>
      <c r="U48" s="6"/>
      <c r="AC48" s="6"/>
      <c r="AK48" s="6"/>
      <c r="AS48" s="6"/>
      <c r="BA48" s="6"/>
      <c r="BI48" s="6"/>
      <c r="BQ48" s="6"/>
      <c r="BY48" s="6"/>
      <c r="CG48" s="6"/>
      <c r="CO48" s="6"/>
      <c r="CW48" s="6"/>
      <c r="DE48" s="6"/>
      <c r="DM48" s="6"/>
      <c r="DU48" s="6"/>
      <c r="EC48" s="6"/>
    </row>
    <row r="49" spans="1:139" ht="13" x14ac:dyDescent="0.3">
      <c r="A49" s="74" t="s">
        <v>50</v>
      </c>
      <c r="B49" s="74"/>
      <c r="C49" s="7">
        <f t="shared" si="0"/>
        <v>96.5</v>
      </c>
      <c r="D49" s="19">
        <f>CP50</f>
        <v>0.59846879928441976</v>
      </c>
      <c r="E49" s="13" t="s">
        <v>79</v>
      </c>
      <c r="F49" s="1" t="s">
        <v>120</v>
      </c>
      <c r="M49" s="13" t="s">
        <v>112</v>
      </c>
      <c r="N49" s="1" t="s">
        <v>121</v>
      </c>
      <c r="U49" s="13" t="s">
        <v>105</v>
      </c>
      <c r="V49" s="1" t="s">
        <v>122</v>
      </c>
      <c r="AC49" s="13" t="s">
        <v>117</v>
      </c>
      <c r="AD49" s="1" t="s">
        <v>123</v>
      </c>
      <c r="AK49" s="13" t="s">
        <v>105</v>
      </c>
      <c r="AL49" s="1" t="s">
        <v>116</v>
      </c>
      <c r="AS49" s="16" t="s">
        <v>80</v>
      </c>
      <c r="AT49" s="1" t="s">
        <v>127</v>
      </c>
      <c r="BA49" s="16" t="s">
        <v>81</v>
      </c>
      <c r="BB49" s="1" t="s">
        <v>128</v>
      </c>
      <c r="BI49" s="16" t="s">
        <v>82</v>
      </c>
      <c r="BJ49" s="1" t="s">
        <v>128</v>
      </c>
      <c r="BQ49" s="16" t="s">
        <v>83</v>
      </c>
      <c r="BR49" s="1" t="s">
        <v>130</v>
      </c>
      <c r="BY49" s="16" t="s">
        <v>131</v>
      </c>
      <c r="BZ49" s="1" t="s">
        <v>134</v>
      </c>
      <c r="CG49" s="16" t="s">
        <v>135</v>
      </c>
      <c r="CH49" s="1" t="s">
        <v>122</v>
      </c>
      <c r="CO49" s="16" t="s">
        <v>136</v>
      </c>
      <c r="CP49" s="1" t="s">
        <v>128</v>
      </c>
      <c r="CW49" s="16" t="s">
        <v>137</v>
      </c>
      <c r="CX49" s="1" t="s">
        <v>140</v>
      </c>
      <c r="DE49" s="16" t="s">
        <v>141</v>
      </c>
      <c r="DF49" s="1" t="s">
        <v>127</v>
      </c>
      <c r="DM49" s="16" t="s">
        <v>142</v>
      </c>
      <c r="DN49" s="1" t="s">
        <v>146</v>
      </c>
      <c r="DU49" s="16" t="s">
        <v>147</v>
      </c>
      <c r="DV49" s="1" t="s">
        <v>151</v>
      </c>
      <c r="EC49" s="16" t="s">
        <v>152</v>
      </c>
      <c r="ED49" s="1" t="s">
        <v>155</v>
      </c>
    </row>
    <row r="50" spans="1:139" ht="13" x14ac:dyDescent="0.3">
      <c r="A50" s="74" t="s">
        <v>51</v>
      </c>
      <c r="B50" s="74"/>
      <c r="C50" s="7">
        <f t="shared" si="0"/>
        <v>97.5</v>
      </c>
      <c r="D50" s="19">
        <f>D44</f>
        <v>0.59846879928441976</v>
      </c>
      <c r="E50" s="43" t="s">
        <v>62</v>
      </c>
      <c r="F50" s="10">
        <f>((E35+I35)/24*F39)+((F35+J35)/24*F43)+((G35+K35)/24*F47)</f>
        <v>0.65304709141274242</v>
      </c>
      <c r="G50" s="10"/>
      <c r="H50" s="10"/>
      <c r="I50" s="10"/>
      <c r="J50" s="10"/>
      <c r="K50" s="10"/>
      <c r="L50" s="10"/>
      <c r="M50" s="43" t="s">
        <v>62</v>
      </c>
      <c r="N50" s="10">
        <f>((M35+Q35)/24*N39)+((N35+R35)/24*N43)+((O35+S35)/24*N47)</f>
        <v>0.66037591507191118</v>
      </c>
      <c r="O50" s="10"/>
      <c r="P50" s="10"/>
      <c r="Q50" s="10"/>
      <c r="R50" s="10"/>
      <c r="S50" s="10"/>
      <c r="T50" s="10"/>
      <c r="U50" s="43" t="s">
        <v>62</v>
      </c>
      <c r="V50" s="10">
        <f>((U35+Y35)/24*V39)+((V35+Z35)/24*V43)+((W35+AA35)/24*V47)</f>
        <v>0.62829931972789121</v>
      </c>
      <c r="W50" s="10"/>
      <c r="X50" s="10"/>
      <c r="Y50" s="10"/>
      <c r="Z50" s="10"/>
      <c r="AA50" s="10"/>
      <c r="AB50" s="10"/>
      <c r="AC50" s="43" t="s">
        <v>62</v>
      </c>
      <c r="AD50" s="10">
        <f>((AC35+AG35)/24*AD39)+((AD35+AH35)/24*AD43)+((AE35+AI35)/24*AD47)</f>
        <v>0.59846879928441976</v>
      </c>
      <c r="AE50" s="10"/>
      <c r="AF50" s="10"/>
      <c r="AG50" s="10"/>
      <c r="AH50" s="10"/>
      <c r="AI50" s="10"/>
      <c r="AJ50" s="10"/>
      <c r="AK50" s="43" t="s">
        <v>62</v>
      </c>
      <c r="AL50" s="10">
        <f>((AK35+AO35)/24*AL39)+((AL35+AP35)/24*AL43)+((AM35+AQ35)/24*AL47)</f>
        <v>0.66037591507191118</v>
      </c>
      <c r="AM50" s="10"/>
      <c r="AN50" s="10"/>
      <c r="AO50" s="10"/>
      <c r="AP50" s="10"/>
      <c r="AQ50" s="10"/>
      <c r="AR50" s="10"/>
      <c r="AS50" s="43" t="s">
        <v>62</v>
      </c>
      <c r="AT50" s="10">
        <f>((AS35+AW35)/24*AT39)+((AT35+AX35)/24*AT43)+((AU35+AY35)/24*AT47)</f>
        <v>0.57407407407407396</v>
      </c>
      <c r="AU50" s="10"/>
      <c r="AV50" s="10"/>
      <c r="AW50" s="10"/>
      <c r="AX50" s="10"/>
      <c r="AY50" s="10"/>
      <c r="AZ50" s="10"/>
      <c r="BA50" s="43" t="s">
        <v>62</v>
      </c>
      <c r="BB50" s="10">
        <f>((BA35+BE35)/24*BB39)+((BB35+BF35)/24*BB43)+((BC35+BG35)/24*BB47)</f>
        <v>0.59846879928441976</v>
      </c>
      <c r="BC50" s="10"/>
      <c r="BD50" s="10"/>
      <c r="BE50" s="10"/>
      <c r="BF50" s="10"/>
      <c r="BG50" s="10"/>
      <c r="BH50" s="10"/>
      <c r="BI50" s="43" t="s">
        <v>62</v>
      </c>
      <c r="BJ50" s="10">
        <f>((BI35+BM35)/24*BJ39)+((BJ35+BN35)/24*BJ43)+((BK35+BO35)/24*BJ47)</f>
        <v>0.59846879928441976</v>
      </c>
      <c r="BK50" s="10"/>
      <c r="BL50" s="10"/>
      <c r="BM50" s="10"/>
      <c r="BN50" s="10"/>
      <c r="BO50" s="10"/>
      <c r="BP50" s="10"/>
      <c r="BQ50" s="43" t="s">
        <v>62</v>
      </c>
      <c r="BR50" s="10">
        <f>((BQ35+BU35)/24*BR39)+((BR35+BV35)/24*BR43)+((BS35+BW35)/24*BR47)</f>
        <v>0.65304709141274242</v>
      </c>
      <c r="BS50" s="10"/>
      <c r="BT50" s="10"/>
      <c r="BU50" s="10"/>
      <c r="BV50" s="10"/>
      <c r="BW50" s="10"/>
      <c r="BX50" s="10"/>
      <c r="BY50" s="43" t="s">
        <v>62</v>
      </c>
      <c r="BZ50" s="10">
        <f>((BY35+CC35)/24*BZ39)+((BZ35+CD35)/24*BZ43)+((CA35+CE35)/24*BZ47)</f>
        <v>0.61598280240073877</v>
      </c>
      <c r="CA50" s="10"/>
      <c r="CB50" s="10"/>
      <c r="CC50" s="10"/>
      <c r="CD50" s="10"/>
      <c r="CE50" s="10"/>
      <c r="CF50" s="10"/>
      <c r="CG50" s="43" t="s">
        <v>62</v>
      </c>
      <c r="CH50" s="10">
        <f>((CG35+CK35)/24*CH39)+((CH35+CL35)/24*CH43)+((CI35+CM35)/24*CH47)</f>
        <v>0.62829931972789121</v>
      </c>
      <c r="CI50" s="10"/>
      <c r="CJ50" s="10"/>
      <c r="CK50" s="10"/>
      <c r="CL50" s="10"/>
      <c r="CM50" s="10"/>
      <c r="CN50" s="10"/>
      <c r="CO50" s="43" t="s">
        <v>62</v>
      </c>
      <c r="CP50" s="10">
        <f>((CO35+CS35)/24*CP39)+((CP35+CT35)/24*CP43)+((CQ35+CU35)/24*CP47)</f>
        <v>0.59846879928441976</v>
      </c>
      <c r="CQ50" s="10"/>
      <c r="CR50" s="10"/>
      <c r="CS50" s="10"/>
      <c r="CT50" s="10"/>
      <c r="CU50" s="10"/>
      <c r="CV50" s="10"/>
      <c r="CW50" s="43" t="s">
        <v>62</v>
      </c>
      <c r="CX50" s="10">
        <f>((CW35+DA35)/24*CX39)+((CX35+DB35)/24*CX43)+((CY35+DC35)/24*CX47)</f>
        <v>0.591280276816609</v>
      </c>
      <c r="CY50" s="10"/>
      <c r="CZ50" s="10"/>
      <c r="DA50" s="10"/>
      <c r="DB50" s="10"/>
      <c r="DC50" s="10"/>
      <c r="DD50" s="10"/>
      <c r="DE50" s="43" t="s">
        <v>62</v>
      </c>
      <c r="DF50" s="10">
        <f>((DE35+DI35)/24*DF39)+((DF35+DJ35)/24*DF43)+((DG35+DK35)/24*DF47)</f>
        <v>0.57407407407407396</v>
      </c>
      <c r="DG50" s="10"/>
      <c r="DH50" s="10"/>
      <c r="DI50" s="10"/>
      <c r="DJ50" s="10"/>
      <c r="DK50" s="10"/>
      <c r="DL50" s="10"/>
      <c r="DM50" s="43" t="s">
        <v>62</v>
      </c>
      <c r="DN50" s="10">
        <f>((DM35+DQ35)/24*DN39)+((DN35+DR35)/24*DN43)+((DO35+DS35)/24*DN47)</f>
        <v>0.45187500000000003</v>
      </c>
      <c r="DO50" s="10"/>
      <c r="DP50" s="10"/>
      <c r="DQ50" s="10"/>
      <c r="DR50" s="10"/>
      <c r="DS50" s="10"/>
      <c r="DT50" s="10"/>
      <c r="DU50" s="43" t="s">
        <v>62</v>
      </c>
      <c r="DV50" s="10">
        <f>((DU35+DY35)/24*DV39)+((DV35+DZ35)/24*DV43)+((DW35+EA35)/24*DV47)</f>
        <v>0.21625344352617076</v>
      </c>
      <c r="DW50" s="10"/>
      <c r="DX50" s="10"/>
      <c r="DY50" s="10"/>
      <c r="DZ50" s="10"/>
      <c r="EA50" s="10"/>
      <c r="EB50" s="10"/>
      <c r="EC50" s="43" t="s">
        <v>62</v>
      </c>
      <c r="ED50" s="10">
        <f>((EC35+EG35)/24*ED39)+((ED35+EH35)/24*ED43)+((EE35+EI35)/24*ED47)</f>
        <v>0.2180214240705734</v>
      </c>
      <c r="EE50" s="10"/>
      <c r="EF50" s="10"/>
      <c r="EG50" s="10"/>
      <c r="EH50" s="10"/>
      <c r="EI50" s="10"/>
    </row>
    <row r="51" spans="1:139" ht="13" x14ac:dyDescent="0.3">
      <c r="A51" s="74" t="s">
        <v>52</v>
      </c>
      <c r="B51" s="74"/>
      <c r="C51" s="7">
        <f t="shared" si="0"/>
        <v>75</v>
      </c>
      <c r="D51" s="19">
        <f>CX50</f>
        <v>0.591280276816609</v>
      </c>
    </row>
    <row r="52" spans="1:139" ht="13" x14ac:dyDescent="0.3">
      <c r="A52" s="74" t="s">
        <v>53</v>
      </c>
      <c r="B52" s="74"/>
      <c r="C52" s="7">
        <f t="shared" si="0"/>
        <v>66</v>
      </c>
      <c r="D52" s="19">
        <f>DF50</f>
        <v>0.57407407407407396</v>
      </c>
    </row>
    <row r="53" spans="1:139" ht="13" x14ac:dyDescent="0.3">
      <c r="A53" s="74" t="s">
        <v>54</v>
      </c>
      <c r="B53" s="74"/>
      <c r="C53" s="7">
        <f t="shared" si="0"/>
        <v>81</v>
      </c>
      <c r="D53" s="19">
        <f>D36</f>
        <v>0.66037591507191118</v>
      </c>
    </row>
    <row r="54" spans="1:139" ht="13" x14ac:dyDescent="0.3">
      <c r="A54" s="74" t="s">
        <v>55</v>
      </c>
      <c r="B54" s="74"/>
      <c r="C54" s="7">
        <f t="shared" si="0"/>
        <v>90</v>
      </c>
      <c r="D54" s="19">
        <f>DN50</f>
        <v>0.45187500000000003</v>
      </c>
    </row>
    <row r="55" spans="1:139" ht="13" x14ac:dyDescent="0.3">
      <c r="A55" s="74" t="s">
        <v>56</v>
      </c>
      <c r="B55" s="74"/>
      <c r="C55" s="7">
        <f t="shared" si="0"/>
        <v>97.5</v>
      </c>
      <c r="D55" s="19">
        <f>D44</f>
        <v>0.59846879928441976</v>
      </c>
    </row>
    <row r="56" spans="1:139" ht="13" x14ac:dyDescent="0.3">
      <c r="A56" s="74" t="s">
        <v>57</v>
      </c>
      <c r="B56" s="74"/>
      <c r="C56" s="7">
        <f t="shared" si="0"/>
        <v>117.5</v>
      </c>
      <c r="D56" s="19">
        <f>DV50</f>
        <v>0.21625344352617076</v>
      </c>
    </row>
    <row r="57" spans="1:139" ht="13.5" thickBot="1" x14ac:dyDescent="0.35">
      <c r="A57" s="74" t="s">
        <v>58</v>
      </c>
      <c r="B57" s="74"/>
      <c r="C57" s="53">
        <f t="shared" si="0"/>
        <v>137.5</v>
      </c>
      <c r="D57" s="20">
        <f>ED50</f>
        <v>0.2180214240705734</v>
      </c>
    </row>
    <row r="58" spans="1:139" ht="19.5" customHeight="1" thickBot="1" x14ac:dyDescent="0.3">
      <c r="C58" s="21" t="s">
        <v>84</v>
      </c>
      <c r="D58" s="22">
        <f>MIN(D35:D57)</f>
        <v>0.21625344352617076</v>
      </c>
    </row>
    <row r="61" spans="1:139" ht="18" x14ac:dyDescent="0.25">
      <c r="A61" s="24" t="s">
        <v>2</v>
      </c>
    </row>
    <row r="62" spans="1:139" x14ac:dyDescent="0.25">
      <c r="F62" s="11" t="s">
        <v>60</v>
      </c>
      <c r="G62" s="90" t="s">
        <v>85</v>
      </c>
      <c r="H62" s="90"/>
      <c r="I62" s="12" t="s">
        <v>61</v>
      </c>
      <c r="J62" s="12"/>
      <c r="M62" s="6"/>
      <c r="N62" s="11" t="s">
        <v>60</v>
      </c>
      <c r="O62" s="90" t="s">
        <v>87</v>
      </c>
      <c r="P62" s="90"/>
      <c r="Q62" s="12" t="s">
        <v>61</v>
      </c>
      <c r="R62" s="12"/>
      <c r="U62" s="6"/>
      <c r="V62" s="11" t="s">
        <v>60</v>
      </c>
      <c r="W62" s="90" t="s">
        <v>88</v>
      </c>
      <c r="X62" s="90"/>
      <c r="Y62" s="12" t="s">
        <v>61</v>
      </c>
      <c r="Z62" s="12"/>
      <c r="AC62" s="6"/>
      <c r="AD62" s="11" t="s">
        <v>60</v>
      </c>
      <c r="AE62" s="90" t="s">
        <v>91</v>
      </c>
      <c r="AF62" s="90"/>
      <c r="AG62" s="12" t="s">
        <v>61</v>
      </c>
      <c r="AH62" s="12"/>
      <c r="AK62" s="6"/>
      <c r="AL62" s="11" t="s">
        <v>60</v>
      </c>
      <c r="AM62" s="90" t="s">
        <v>93</v>
      </c>
      <c r="AN62" s="90"/>
      <c r="AO62" s="12" t="s">
        <v>61</v>
      </c>
      <c r="AP62" s="12"/>
      <c r="AS62" s="6"/>
      <c r="AT62" s="11" t="s">
        <v>60</v>
      </c>
      <c r="AU62" s="90" t="s">
        <v>95</v>
      </c>
      <c r="AV62" s="90"/>
      <c r="AW62" s="12" t="s">
        <v>61</v>
      </c>
      <c r="AX62" s="12"/>
      <c r="BA62" s="6"/>
      <c r="BB62" s="11" t="s">
        <v>60</v>
      </c>
      <c r="BC62" s="90" t="s">
        <v>97</v>
      </c>
      <c r="BD62" s="90"/>
      <c r="BE62" s="12" t="s">
        <v>61</v>
      </c>
      <c r="BF62" s="12"/>
      <c r="BI62" s="6"/>
      <c r="BJ62" s="11" t="s">
        <v>60</v>
      </c>
      <c r="BK62" s="90" t="s">
        <v>184</v>
      </c>
      <c r="BL62" s="90"/>
      <c r="BM62" s="12" t="s">
        <v>61</v>
      </c>
      <c r="BN62" s="12"/>
      <c r="BQ62" s="6"/>
      <c r="BR62" s="11" t="s">
        <v>60</v>
      </c>
      <c r="BS62" s="90" t="s">
        <v>190</v>
      </c>
      <c r="BT62" s="90"/>
      <c r="BU62" s="12" t="s">
        <v>61</v>
      </c>
      <c r="BV62" s="12"/>
      <c r="BY62" s="6"/>
      <c r="BZ62" s="11" t="s">
        <v>60</v>
      </c>
      <c r="CA62" s="90" t="s">
        <v>196</v>
      </c>
      <c r="CB62" s="90"/>
      <c r="CC62" s="12" t="s">
        <v>61</v>
      </c>
      <c r="CD62" s="12"/>
      <c r="CG62" s="6"/>
      <c r="CH62" s="11" t="s">
        <v>60</v>
      </c>
      <c r="CI62" s="90" t="s">
        <v>202</v>
      </c>
      <c r="CJ62" s="90"/>
      <c r="CK62" s="12" t="s">
        <v>61</v>
      </c>
      <c r="CL62" s="12"/>
      <c r="CO62" s="6"/>
      <c r="CP62" s="11" t="s">
        <v>60</v>
      </c>
      <c r="CQ62" s="90" t="s">
        <v>204</v>
      </c>
      <c r="CR62" s="90"/>
      <c r="CS62" s="12" t="s">
        <v>61</v>
      </c>
      <c r="CT62" s="12"/>
      <c r="CW62" s="6"/>
      <c r="CX62" s="11" t="s">
        <v>60</v>
      </c>
      <c r="CY62" s="90" t="s">
        <v>210</v>
      </c>
      <c r="CZ62" s="90"/>
      <c r="DA62" s="12" t="s">
        <v>61</v>
      </c>
      <c r="DB62" s="12"/>
      <c r="DE62" s="6"/>
      <c r="DF62" s="11" t="s">
        <v>60</v>
      </c>
      <c r="DG62" s="90" t="s">
        <v>213</v>
      </c>
      <c r="DH62" s="90"/>
      <c r="DI62" s="12" t="s">
        <v>61</v>
      </c>
      <c r="DJ62" s="12"/>
    </row>
    <row r="63" spans="1:139" x14ac:dyDescent="0.25">
      <c r="M63" s="6"/>
      <c r="U63" s="6"/>
      <c r="AC63" s="6"/>
      <c r="AK63" s="6"/>
      <c r="AS63" s="6"/>
      <c r="BA63" s="6"/>
      <c r="BI63" s="6"/>
      <c r="BQ63" s="6"/>
      <c r="BY63" s="6"/>
      <c r="CG63" s="6"/>
      <c r="CO63" s="6"/>
      <c r="CW63" s="6"/>
      <c r="DE63" s="6"/>
    </row>
    <row r="64" spans="1:139" s="37" customFormat="1" ht="18" customHeight="1" x14ac:dyDescent="0.25">
      <c r="A64" s="75" t="s">
        <v>33</v>
      </c>
      <c r="B64" s="75"/>
      <c r="C64" s="75"/>
      <c r="D64" s="75"/>
      <c r="E64" s="83" t="s">
        <v>30</v>
      </c>
      <c r="F64" s="84"/>
      <c r="G64" s="84"/>
      <c r="I64" s="83" t="s">
        <v>30</v>
      </c>
      <c r="J64" s="84"/>
      <c r="K64" s="84"/>
      <c r="M64" s="83" t="s">
        <v>30</v>
      </c>
      <c r="N64" s="84"/>
      <c r="O64" s="84"/>
      <c r="Q64" s="83" t="s">
        <v>30</v>
      </c>
      <c r="R64" s="84"/>
      <c r="S64" s="84"/>
      <c r="U64" s="83" t="s">
        <v>30</v>
      </c>
      <c r="V64" s="84"/>
      <c r="W64" s="84"/>
      <c r="Y64" s="83" t="s">
        <v>30</v>
      </c>
      <c r="Z64" s="84"/>
      <c r="AA64" s="84"/>
      <c r="AC64" s="83" t="s">
        <v>30</v>
      </c>
      <c r="AD64" s="84"/>
      <c r="AE64" s="84"/>
      <c r="AG64" s="83" t="s">
        <v>30</v>
      </c>
      <c r="AH64" s="84"/>
      <c r="AI64" s="84"/>
      <c r="AK64" s="83" t="s">
        <v>30</v>
      </c>
      <c r="AL64" s="84"/>
      <c r="AM64" s="84"/>
      <c r="AO64" s="83" t="s">
        <v>30</v>
      </c>
      <c r="AP64" s="84"/>
      <c r="AQ64" s="84"/>
      <c r="AS64" s="83" t="s">
        <v>30</v>
      </c>
      <c r="AT64" s="84"/>
      <c r="AU64" s="84"/>
      <c r="AW64" s="83" t="s">
        <v>30</v>
      </c>
      <c r="AX64" s="84"/>
      <c r="AY64" s="84"/>
      <c r="BA64" s="83" t="s">
        <v>30</v>
      </c>
      <c r="BB64" s="84"/>
      <c r="BC64" s="84"/>
      <c r="BE64" s="83" t="s">
        <v>30</v>
      </c>
      <c r="BF64" s="84"/>
      <c r="BG64" s="84"/>
      <c r="BI64" s="83" t="s">
        <v>30</v>
      </c>
      <c r="BJ64" s="84"/>
      <c r="BK64" s="84"/>
      <c r="BM64" s="83" t="s">
        <v>30</v>
      </c>
      <c r="BN64" s="84"/>
      <c r="BO64" s="84"/>
      <c r="BQ64" s="83" t="s">
        <v>30</v>
      </c>
      <c r="BR64" s="84"/>
      <c r="BS64" s="84"/>
      <c r="BU64" s="83" t="s">
        <v>30</v>
      </c>
      <c r="BV64" s="84"/>
      <c r="BW64" s="84"/>
      <c r="BY64" s="83" t="s">
        <v>30</v>
      </c>
      <c r="BZ64" s="84"/>
      <c r="CA64" s="84"/>
      <c r="CC64" s="83" t="s">
        <v>30</v>
      </c>
      <c r="CD64" s="84"/>
      <c r="CE64" s="84"/>
      <c r="CG64" s="83" t="s">
        <v>30</v>
      </c>
      <c r="CH64" s="84"/>
      <c r="CI64" s="84"/>
      <c r="CK64" s="83" t="s">
        <v>30</v>
      </c>
      <c r="CL64" s="84"/>
      <c r="CM64" s="84"/>
      <c r="CO64" s="83" t="s">
        <v>30</v>
      </c>
      <c r="CP64" s="84"/>
      <c r="CQ64" s="84"/>
      <c r="CS64" s="83" t="s">
        <v>30</v>
      </c>
      <c r="CT64" s="84"/>
      <c r="CU64" s="84"/>
      <c r="CW64" s="83" t="s">
        <v>30</v>
      </c>
      <c r="CX64" s="84"/>
      <c r="CY64" s="84"/>
      <c r="DA64" s="83" t="s">
        <v>30</v>
      </c>
      <c r="DB64" s="84"/>
      <c r="DC64" s="84"/>
      <c r="DE64" s="83" t="s">
        <v>30</v>
      </c>
      <c r="DF64" s="84"/>
      <c r="DG64" s="84"/>
      <c r="DI64" s="83" t="s">
        <v>30</v>
      </c>
      <c r="DJ64" s="84"/>
      <c r="DK64" s="84"/>
    </row>
    <row r="65" spans="1:115" s="47" customFormat="1" ht="25.5" customHeight="1" x14ac:dyDescent="0.25">
      <c r="A65" s="95" t="s">
        <v>46</v>
      </c>
      <c r="B65" s="95"/>
      <c r="C65" s="38" t="s">
        <v>221</v>
      </c>
      <c r="D65" s="39" t="s">
        <v>32</v>
      </c>
      <c r="E65" s="45" t="s">
        <v>14</v>
      </c>
      <c r="F65" s="45" t="s">
        <v>15</v>
      </c>
      <c r="G65" s="45" t="s">
        <v>16</v>
      </c>
      <c r="H65" s="46"/>
      <c r="I65" s="45" t="s">
        <v>14</v>
      </c>
      <c r="J65" s="45" t="s">
        <v>15</v>
      </c>
      <c r="K65" s="45" t="s">
        <v>16</v>
      </c>
      <c r="M65" s="45" t="s">
        <v>14</v>
      </c>
      <c r="N65" s="45" t="s">
        <v>15</v>
      </c>
      <c r="O65" s="45" t="s">
        <v>16</v>
      </c>
      <c r="P65" s="46"/>
      <c r="Q65" s="45" t="s">
        <v>14</v>
      </c>
      <c r="R65" s="45" t="s">
        <v>15</v>
      </c>
      <c r="S65" s="45" t="s">
        <v>16</v>
      </c>
      <c r="U65" s="45" t="s">
        <v>14</v>
      </c>
      <c r="V65" s="45" t="s">
        <v>15</v>
      </c>
      <c r="W65" s="45" t="s">
        <v>16</v>
      </c>
      <c r="X65" s="46"/>
      <c r="Y65" s="45" t="s">
        <v>14</v>
      </c>
      <c r="Z65" s="45" t="s">
        <v>15</v>
      </c>
      <c r="AA65" s="45" t="s">
        <v>16</v>
      </c>
      <c r="AC65" s="45" t="s">
        <v>14</v>
      </c>
      <c r="AD65" s="45" t="s">
        <v>15</v>
      </c>
      <c r="AE65" s="45" t="s">
        <v>16</v>
      </c>
      <c r="AF65" s="46"/>
      <c r="AG65" s="45" t="s">
        <v>14</v>
      </c>
      <c r="AH65" s="45" t="s">
        <v>15</v>
      </c>
      <c r="AI65" s="45" t="s">
        <v>16</v>
      </c>
      <c r="AK65" s="45" t="s">
        <v>14</v>
      </c>
      <c r="AL65" s="45" t="s">
        <v>15</v>
      </c>
      <c r="AM65" s="45" t="s">
        <v>16</v>
      </c>
      <c r="AN65" s="46"/>
      <c r="AO65" s="45" t="s">
        <v>14</v>
      </c>
      <c r="AP65" s="45" t="s">
        <v>15</v>
      </c>
      <c r="AQ65" s="45" t="s">
        <v>16</v>
      </c>
      <c r="AS65" s="45" t="s">
        <v>14</v>
      </c>
      <c r="AT65" s="45" t="s">
        <v>15</v>
      </c>
      <c r="AU65" s="45" t="s">
        <v>16</v>
      </c>
      <c r="AV65" s="46"/>
      <c r="AW65" s="45" t="s">
        <v>14</v>
      </c>
      <c r="AX65" s="45" t="s">
        <v>15</v>
      </c>
      <c r="AY65" s="45" t="s">
        <v>16</v>
      </c>
      <c r="BA65" s="45" t="s">
        <v>14</v>
      </c>
      <c r="BB65" s="45" t="s">
        <v>15</v>
      </c>
      <c r="BC65" s="45" t="s">
        <v>16</v>
      </c>
      <c r="BD65" s="46"/>
      <c r="BE65" s="45" t="s">
        <v>14</v>
      </c>
      <c r="BF65" s="45" t="s">
        <v>15</v>
      </c>
      <c r="BG65" s="45" t="s">
        <v>16</v>
      </c>
      <c r="BI65" s="45" t="s">
        <v>14</v>
      </c>
      <c r="BJ65" s="45" t="s">
        <v>15</v>
      </c>
      <c r="BK65" s="45" t="s">
        <v>16</v>
      </c>
      <c r="BL65" s="46"/>
      <c r="BM65" s="45" t="s">
        <v>14</v>
      </c>
      <c r="BN65" s="45" t="s">
        <v>15</v>
      </c>
      <c r="BO65" s="45" t="s">
        <v>16</v>
      </c>
      <c r="BQ65" s="45" t="s">
        <v>14</v>
      </c>
      <c r="BR65" s="45" t="s">
        <v>15</v>
      </c>
      <c r="BS65" s="45" t="s">
        <v>16</v>
      </c>
      <c r="BT65" s="46"/>
      <c r="BU65" s="45" t="s">
        <v>14</v>
      </c>
      <c r="BV65" s="45" t="s">
        <v>15</v>
      </c>
      <c r="BW65" s="45" t="s">
        <v>16</v>
      </c>
      <c r="BY65" s="45" t="s">
        <v>14</v>
      </c>
      <c r="BZ65" s="45" t="s">
        <v>15</v>
      </c>
      <c r="CA65" s="45" t="s">
        <v>16</v>
      </c>
      <c r="CB65" s="46"/>
      <c r="CC65" s="45" t="s">
        <v>14</v>
      </c>
      <c r="CD65" s="45" t="s">
        <v>15</v>
      </c>
      <c r="CE65" s="45" t="s">
        <v>16</v>
      </c>
      <c r="CG65" s="45" t="s">
        <v>14</v>
      </c>
      <c r="CH65" s="45" t="s">
        <v>15</v>
      </c>
      <c r="CI65" s="45" t="s">
        <v>16</v>
      </c>
      <c r="CJ65" s="46"/>
      <c r="CK65" s="45" t="s">
        <v>14</v>
      </c>
      <c r="CL65" s="45" t="s">
        <v>15</v>
      </c>
      <c r="CM65" s="45" t="s">
        <v>16</v>
      </c>
      <c r="CO65" s="45" t="s">
        <v>14</v>
      </c>
      <c r="CP65" s="45" t="s">
        <v>15</v>
      </c>
      <c r="CQ65" s="45" t="s">
        <v>16</v>
      </c>
      <c r="CR65" s="46"/>
      <c r="CS65" s="45" t="s">
        <v>14</v>
      </c>
      <c r="CT65" s="45" t="s">
        <v>15</v>
      </c>
      <c r="CU65" s="45" t="s">
        <v>16</v>
      </c>
      <c r="CW65" s="45" t="s">
        <v>14</v>
      </c>
      <c r="CX65" s="45" t="s">
        <v>15</v>
      </c>
      <c r="CY65" s="45" t="s">
        <v>16</v>
      </c>
      <c r="CZ65" s="46"/>
      <c r="DA65" s="45" t="s">
        <v>14</v>
      </c>
      <c r="DB65" s="45" t="s">
        <v>15</v>
      </c>
      <c r="DC65" s="45" t="s">
        <v>16</v>
      </c>
      <c r="DE65" s="45" t="s">
        <v>14</v>
      </c>
      <c r="DF65" s="45" t="s">
        <v>15</v>
      </c>
      <c r="DG65" s="45" t="s">
        <v>16</v>
      </c>
      <c r="DH65" s="46"/>
      <c r="DI65" s="45" t="s">
        <v>14</v>
      </c>
      <c r="DJ65" s="45" t="s">
        <v>15</v>
      </c>
      <c r="DK65" s="45" t="s">
        <v>16</v>
      </c>
    </row>
    <row r="66" spans="1:115" ht="13" x14ac:dyDescent="0.3">
      <c r="A66" s="74" t="s">
        <v>34</v>
      </c>
      <c r="B66" s="74"/>
      <c r="C66" s="7">
        <f>AVERAGE(D2:D3)</f>
        <v>37.5</v>
      </c>
      <c r="D66" s="19">
        <f>F81</f>
        <v>0.56770833333333337</v>
      </c>
      <c r="E66" s="18">
        <f>COUNTIFS(D2:D25,"&lt;37,5",F2:F25,F2)</f>
        <v>5</v>
      </c>
      <c r="F66" s="7">
        <f>COUNTIFS(D2:D25,"&lt;37,5",F2:F25,F5)</f>
        <v>3</v>
      </c>
      <c r="G66" s="7">
        <f>COUNTIFS(D2:D25,"&lt;37,5",F2:F25,F20)</f>
        <v>0</v>
      </c>
      <c r="I66" s="7">
        <f>COUNTIFS(D2:D25,"&gt;37,5",F2:F25,F2)</f>
        <v>2</v>
      </c>
      <c r="J66" s="7">
        <f>COUNTIFS(D2:D25,"&gt;37,5",F2:F25,F5)</f>
        <v>6</v>
      </c>
      <c r="K66" s="7">
        <f>COUNTIFS(D2:D25,"&gt;37,5",F2:F25,F20)</f>
        <v>8</v>
      </c>
      <c r="M66" s="7">
        <f>COUNTIFS(D2:D25,"&lt;43",F2:F25,F2)</f>
        <v>6</v>
      </c>
      <c r="N66" s="7">
        <f>COUNTIFS(D2:D25,"&lt;43",F2:F25,F5)</f>
        <v>4</v>
      </c>
      <c r="O66" s="7">
        <f>COUNTIFS(D2:D25,"&lt;43",F2:F25,F20)</f>
        <v>1</v>
      </c>
      <c r="Q66" s="7">
        <f>COUNTIFS(D2:D25,"&gt;43",F2:F25,F2)</f>
        <v>1</v>
      </c>
      <c r="R66" s="7">
        <f>COUNTIFS(D2:D25,"&gt;43",F2:F25,F5)</f>
        <v>5</v>
      </c>
      <c r="S66" s="7">
        <f>COUNTIFS(D2:D25,"&gt;43",F2:F25,F20)</f>
        <v>7</v>
      </c>
      <c r="U66" s="7">
        <f>COUNTIFS(D2:D25,"&lt;48",F2:F25,F2)</f>
        <v>7</v>
      </c>
      <c r="V66" s="7">
        <f>COUNTIFS(D2:D25,"&lt;48",F2:F25,F5)</f>
        <v>5</v>
      </c>
      <c r="W66" s="7">
        <f>COUNTIFS(D2:D25,"&lt;48",F2:F25,F20)</f>
        <v>1</v>
      </c>
      <c r="Y66" s="7">
        <f>COUNTIFS(D2:D25,"&gt;48",F2:F25,F2)</f>
        <v>0</v>
      </c>
      <c r="Z66" s="7">
        <f>COUNTIFS(D2:D25,"&gt;48",F2:F25,F5)</f>
        <v>4</v>
      </c>
      <c r="AA66" s="7">
        <f>COUNTIFS(D2:D25,"&gt;48",F2:F25,F20)</f>
        <v>7</v>
      </c>
      <c r="AC66" s="7">
        <f>COUNTIFS(D2:D25,"&lt;51,5",F2:F25,F2)</f>
        <v>7</v>
      </c>
      <c r="AD66" s="7">
        <f>COUNTIFS(D2:D25,"&lt;51,5",F2:F25,F5)</f>
        <v>7</v>
      </c>
      <c r="AE66" s="7">
        <f>COUNTIFS(D2:D25,"&lt;51,5",F2:F25,F20)</f>
        <v>1</v>
      </c>
      <c r="AG66" s="7">
        <f>COUNTIFS(D2:D25,"&gt;51,5",F2:F25,F2)</f>
        <v>0</v>
      </c>
      <c r="AH66" s="7">
        <f>COUNTIFS(D2:D25,"&gt;51,5",F2:F25,F5)</f>
        <v>2</v>
      </c>
      <c r="AI66" s="7">
        <f>COUNTIFS(D2:D25,"&gt;51,5",F2:F25,F20)</f>
        <v>7</v>
      </c>
      <c r="AK66" s="7">
        <f>COUNTIFS(D2:D25,"&lt;54",F2:F25,F2)</f>
        <v>7</v>
      </c>
      <c r="AL66" s="7">
        <f>COUNTIFS(D2:D25,"&lt;54",F2:F25,F5)</f>
        <v>7</v>
      </c>
      <c r="AM66" s="7">
        <f>COUNTIFS(D2:D25,"&lt;54",F2:F25,F20)</f>
        <v>1</v>
      </c>
      <c r="AO66" s="7">
        <f>COUNTIFS(D2:D25,"&gt;54",F2:F25,F2)</f>
        <v>0</v>
      </c>
      <c r="AP66" s="7">
        <f>COUNTIFS(D2:D25,"&gt;54",F2:F25,F5)</f>
        <v>0</v>
      </c>
      <c r="AQ66" s="7">
        <f>COUNTIFS(D2:D25,"&gt;54",F2:F25,F20)</f>
        <v>6</v>
      </c>
      <c r="AS66" s="7">
        <f>COUNTIFS(D2:D25,"&lt;45",F2:F25,F2)</f>
        <v>6</v>
      </c>
      <c r="AT66" s="7">
        <f>COUNTIFS(D2:D25,"&lt;45",F2:F25,F5)</f>
        <v>4</v>
      </c>
      <c r="AU66" s="7">
        <f>COUNTIFS(D2:D25,"&lt;45",F2:F25,F20)</f>
        <v>1</v>
      </c>
      <c r="AW66" s="7">
        <f>COUNTIFS(D2:D25,"&gt;45",F2:F25,F2)</f>
        <v>1</v>
      </c>
      <c r="AX66" s="7">
        <f>COUNTIFS(D2:D25,"&gt;45",F2:F25,F5)</f>
        <v>5</v>
      </c>
      <c r="AY66" s="7">
        <f>COUNTIFS(D2:D25,"&gt;45",F2:F25,F20)</f>
        <v>7</v>
      </c>
      <c r="BA66" s="7">
        <f>COUNTIFS(D2:D25,"&lt;36",F2:F25,F2)</f>
        <v>0</v>
      </c>
      <c r="BB66" s="7">
        <f>COUNTIFS(D2:D25,"&lt;36",F2:F25,F5)</f>
        <v>0</v>
      </c>
      <c r="BC66" s="7">
        <f>COUNTIFS(D2:D25,"&lt;36",F2:F25,F20)</f>
        <v>0</v>
      </c>
      <c r="BE66" s="7">
        <f>COUNTIFS(D2:D25,"&gt;36",F2:F25,F2)</f>
        <v>2</v>
      </c>
      <c r="BF66" s="7">
        <f>COUNTIFS(D2:D25,"&gt;36",F2:F25,F5)</f>
        <v>6</v>
      </c>
      <c r="BG66" s="7">
        <f>COUNTIFS(D2:D25,"&gt;36",F2:F25,F20)</f>
        <v>8</v>
      </c>
      <c r="BI66" s="7">
        <f>COUNTIFS(D2:D25,"&lt;39",F2:F25,F2)</f>
        <v>5</v>
      </c>
      <c r="BJ66" s="7">
        <f>COUNTIFS(D2:D25,"&lt;39",F2:F25,F5)</f>
        <v>3</v>
      </c>
      <c r="BK66" s="7">
        <f>COUNTIFS(D2:D25,"&lt;39",F2:F25,F20)</f>
        <v>0</v>
      </c>
      <c r="BM66" s="7">
        <f>COUNTIFS(D2:D25,"&gt;39",F2:F25,F2)</f>
        <v>1</v>
      </c>
      <c r="BN66" s="7">
        <f>COUNTIFS(D2:D25,"&gt;39",F2:F25,F5)</f>
        <v>5</v>
      </c>
      <c r="BO66" s="7">
        <f>COUNTIFS(D2:D25,"&gt;39",F2:F25,F20)</f>
        <v>7</v>
      </c>
      <c r="BQ66" s="7">
        <f>COUNTIFS(D2:D25,"&lt;54,5",F2:F25,F2)</f>
        <v>7</v>
      </c>
      <c r="BR66" s="7">
        <f>COUNTIFS(D2:D25,"&lt;54,5",F2:F25,F5)</f>
        <v>9</v>
      </c>
      <c r="BS66" s="7">
        <f>COUNTIFS(D2:D25,"&lt;54,5",F2:F25,F20)</f>
        <v>2</v>
      </c>
      <c r="BU66" s="7">
        <f>COUNTIFS(D2:D25,"&gt;54,5",F2:F25,F2)</f>
        <v>0</v>
      </c>
      <c r="BV66" s="7">
        <f>COUNTIFS(D2:D25,"&gt;54,5",F2:F25,F5)</f>
        <v>0</v>
      </c>
      <c r="BW66" s="7">
        <f>COUNTIFS(D2:D25,"&gt;54,5",F2:F25,F20)</f>
        <v>6</v>
      </c>
      <c r="BY66" s="7">
        <f>COUNTIFS(D2:D25,"&lt;60",F2:F25,F2)</f>
        <v>7</v>
      </c>
      <c r="BZ66" s="7">
        <f>COUNTIFS(D2:D25,"&lt;60",F2:F25,F5)</f>
        <v>9</v>
      </c>
      <c r="CA66" s="7">
        <f>COUNTIFS(D2:D25,"&lt;60",F2:F25,F20)</f>
        <v>2</v>
      </c>
      <c r="CC66" s="7">
        <f>COUNTIFS(D2:D25,"&gt;60",F2:F25,F2)</f>
        <v>0</v>
      </c>
      <c r="CD66" s="7">
        <f>COUNTIFS(D2:D25,"&gt;60",F2:F25,F5)</f>
        <v>0</v>
      </c>
      <c r="CE66" s="7">
        <f>COUNTIFS(D2:D25,"&lt;60",F2:F25,F20)</f>
        <v>2</v>
      </c>
      <c r="CG66" s="7">
        <f>COUNTIFS(D2:D25,"&lt;65",F2:F25,F2)</f>
        <v>7</v>
      </c>
      <c r="CH66" s="7">
        <f>COUNTIFS(D2:D25,"&lt;65",F2:F25,F5)</f>
        <v>9</v>
      </c>
      <c r="CI66" s="7">
        <f>COUNTIFS(D2:D25,"&lt;65",F2:F25,F20)</f>
        <v>4</v>
      </c>
      <c r="CK66" s="7">
        <f>COUNTIFS(D2:D25,"&gt;65",F2:F25,F2)</f>
        <v>0</v>
      </c>
      <c r="CL66" s="7">
        <f>COUNTIFS(D2:D25,"&gt;65",F2:F25,F5)</f>
        <v>0</v>
      </c>
      <c r="CM66" s="7">
        <f>COUNTIFS(D2:D25,"&gt;65",F2:F25,F20)</f>
        <v>4</v>
      </c>
      <c r="CO66" s="7">
        <f>COUNTIFS(D2:D25,"&lt;70",F2:F25,F2)</f>
        <v>7</v>
      </c>
      <c r="CP66" s="7">
        <f>COUNTIFS(D2:D25,"&lt;70",F2:F25,F5)</f>
        <v>9</v>
      </c>
      <c r="CQ66" s="7">
        <f>COUNTIFS(D2:D25,"&lt;70",F2:F25,F20)</f>
        <v>4</v>
      </c>
      <c r="CS66" s="7">
        <f>COUNTIFS(D2:D25,"&gt;70",F2:F25,F2)</f>
        <v>0</v>
      </c>
      <c r="CT66" s="7">
        <f>COUNTIFS(D2:D25,"&gt;70",F2:F25,F5)</f>
        <v>0</v>
      </c>
      <c r="CU66" s="7">
        <f>COUNTIFS(D2:D25,"&gt;70",F2:F25,F20)</f>
        <v>2</v>
      </c>
      <c r="CW66" s="7">
        <f>COUNTIFS(D2:D25,"&lt;95",F2:F25,F2)</f>
        <v>7</v>
      </c>
      <c r="CX66" s="7">
        <f>COUNTIFS(D2:D25,"&lt;95",F2:F25,F5)</f>
        <v>9</v>
      </c>
      <c r="CY66" s="7">
        <f>COUNTIFS(D2:D25,"&lt;95",F2:F25,F20)</f>
        <v>6</v>
      </c>
      <c r="DA66" s="7">
        <f>COUNTIFS(D2:D25,"&gt;95",F2:F25,F2)</f>
        <v>0</v>
      </c>
      <c r="DB66" s="7">
        <f>COUNTIFS(D2:D25,"&gt;95",F2:F25,F5)</f>
        <v>0</v>
      </c>
      <c r="DC66" s="7">
        <f>COUNTIFS(D2:D25,"&gt;95",F2:F25,F20)</f>
        <v>2</v>
      </c>
      <c r="DE66" s="7">
        <f>COUNTIFS(D2:D25,"&lt;120",F2:F25,F2)</f>
        <v>7</v>
      </c>
      <c r="DF66" s="7">
        <f>COUNTIFS(D2:D25,"&lt;120",F2:F25,F5)</f>
        <v>9</v>
      </c>
      <c r="DG66" s="7">
        <f>COUNTIFS(D2:D25,"&lt;120",F2:F25,F20)</f>
        <v>6</v>
      </c>
      <c r="DI66" s="7">
        <f>COUNTIFS(D2:D25,"&gt;120",F2:F25,F2)</f>
        <v>0</v>
      </c>
      <c r="DJ66" s="7">
        <f>COUNTIFS(D2:D25,"&gt;120",F2:F25,F5)</f>
        <v>0</v>
      </c>
      <c r="DK66" s="7">
        <f>COUNTIFS(D2:D25,"&gt;120",F2:F25,F20)</f>
        <v>0</v>
      </c>
    </row>
    <row r="67" spans="1:115" ht="13" x14ac:dyDescent="0.3">
      <c r="A67" s="74" t="s">
        <v>35</v>
      </c>
      <c r="B67" s="74"/>
      <c r="C67" s="7">
        <f>AVERAGE(D3:D4)</f>
        <v>43</v>
      </c>
      <c r="D67" s="19">
        <f>N81</f>
        <v>0.57094071429735771</v>
      </c>
    </row>
    <row r="68" spans="1:115" ht="13" x14ac:dyDescent="0.3">
      <c r="A68" s="74" t="s">
        <v>36</v>
      </c>
      <c r="B68" s="74"/>
      <c r="C68" s="7">
        <f t="shared" ref="C68:C88" si="1">AVERAGE(D4:D5)</f>
        <v>48</v>
      </c>
      <c r="D68" s="19">
        <f>V81</f>
        <v>0.50537108579066614</v>
      </c>
      <c r="E68" s="16" t="s">
        <v>99</v>
      </c>
      <c r="M68" s="16" t="s">
        <v>99</v>
      </c>
      <c r="U68" s="16" t="s">
        <v>99</v>
      </c>
      <c r="AC68" s="16" t="s">
        <v>99</v>
      </c>
      <c r="AK68" s="16" t="s">
        <v>99</v>
      </c>
      <c r="AS68" s="16" t="s">
        <v>99</v>
      </c>
      <c r="BA68" s="16" t="s">
        <v>99</v>
      </c>
      <c r="BI68" s="16" t="s">
        <v>99</v>
      </c>
      <c r="BQ68" s="16" t="s">
        <v>99</v>
      </c>
      <c r="BY68" s="16" t="s">
        <v>99</v>
      </c>
      <c r="CG68" s="16" t="s">
        <v>99</v>
      </c>
      <c r="CO68" s="16" t="s">
        <v>99</v>
      </c>
      <c r="CW68" s="16" t="s">
        <v>99</v>
      </c>
      <c r="DE68" s="16" t="s">
        <v>99</v>
      </c>
    </row>
    <row r="69" spans="1:115" ht="15" x14ac:dyDescent="0.3">
      <c r="A69" s="74" t="s">
        <v>37</v>
      </c>
      <c r="B69" s="74"/>
      <c r="C69" s="7">
        <f t="shared" si="1"/>
        <v>51.5</v>
      </c>
      <c r="D69" s="19">
        <f>AD81</f>
        <v>0.41917695473251015</v>
      </c>
      <c r="E69" s="14" t="s">
        <v>62</v>
      </c>
      <c r="F69" s="1" t="s">
        <v>157</v>
      </c>
      <c r="M69" s="14" t="s">
        <v>62</v>
      </c>
      <c r="N69" s="1" t="s">
        <v>161</v>
      </c>
      <c r="U69" s="14" t="s">
        <v>62</v>
      </c>
      <c r="V69" s="1" t="s">
        <v>165</v>
      </c>
      <c r="AC69" s="14" t="s">
        <v>62</v>
      </c>
      <c r="AD69" s="1" t="s">
        <v>169</v>
      </c>
      <c r="AK69" s="14" t="s">
        <v>62</v>
      </c>
      <c r="AL69" s="1" t="s">
        <v>173</v>
      </c>
      <c r="AS69" s="14" t="s">
        <v>62</v>
      </c>
      <c r="AT69" s="1" t="s">
        <v>177</v>
      </c>
      <c r="BA69" s="14" t="s">
        <v>62</v>
      </c>
      <c r="BB69" s="1" t="s">
        <v>180</v>
      </c>
      <c r="BI69" s="14" t="s">
        <v>62</v>
      </c>
      <c r="BJ69" s="1" t="s">
        <v>185</v>
      </c>
      <c r="BQ69" s="14" t="s">
        <v>62</v>
      </c>
      <c r="BR69" s="1" t="s">
        <v>191</v>
      </c>
      <c r="BY69" s="14" t="s">
        <v>62</v>
      </c>
      <c r="BZ69" s="1" t="s">
        <v>197</v>
      </c>
      <c r="CG69" s="14" t="s">
        <v>62</v>
      </c>
      <c r="CH69" s="1" t="s">
        <v>206</v>
      </c>
      <c r="CO69" s="14" t="s">
        <v>62</v>
      </c>
      <c r="CP69" s="1" t="s">
        <v>209</v>
      </c>
      <c r="CW69" s="14" t="s">
        <v>62</v>
      </c>
      <c r="CX69" s="1" t="s">
        <v>211</v>
      </c>
      <c r="DE69" s="14" t="s">
        <v>62</v>
      </c>
      <c r="DF69" s="1" t="s">
        <v>214</v>
      </c>
    </row>
    <row r="70" spans="1:115" ht="15" x14ac:dyDescent="0.3">
      <c r="A70" s="74" t="s">
        <v>38</v>
      </c>
      <c r="B70" s="74"/>
      <c r="C70" s="7">
        <f t="shared" si="1"/>
        <v>54</v>
      </c>
      <c r="D70" s="19">
        <f>AL81</f>
        <v>0.1633333333333333</v>
      </c>
      <c r="E70" s="17" t="s">
        <v>62</v>
      </c>
      <c r="F70">
        <f>1-(E66/(E66+F66+G66))^2-(J66/(I66+J66+K66))^2-(K66/(I66+J66+K66))^2</f>
        <v>0.21875</v>
      </c>
      <c r="H70" s="15"/>
      <c r="M70" s="17" t="s">
        <v>62</v>
      </c>
      <c r="N70">
        <f>1-(M66/(M66+N66+O66))^2-(R66/(Q66+R66+S66))^2-(S66/(Q66+R66+S66))^2</f>
        <v>0.26460951635776825</v>
      </c>
      <c r="P70" s="15"/>
      <c r="U70" s="17" t="s">
        <v>62</v>
      </c>
      <c r="V70">
        <f>1-(U66/(U66+V66+W66))^2-(Z66/(Y66+Z66+AA66))^2-(AA66/(Y66+Z66+AA66))^2</f>
        <v>0.17286908895300512</v>
      </c>
      <c r="X70" s="15"/>
      <c r="AC70" s="17" t="s">
        <v>62</v>
      </c>
      <c r="AD70">
        <f>1-(AC66/(AC66+AD66+AE66))^2-(AH66/(AG66+AH66+AI66))^2-(AI66/(AG66+AH66+AI66))^2</f>
        <v>0.12790123456790115</v>
      </c>
      <c r="AF70" s="15"/>
      <c r="AK70" s="17" t="s">
        <v>62</v>
      </c>
      <c r="AL70">
        <f>1-(AK66/(AK66+AL66+AM66))^2-(AP66/(AO66+AP66+AQ66))^2-(AQ66/(AO66+AP66+AQ66))^2</f>
        <v>-0.21777777777777785</v>
      </c>
      <c r="AN70" s="15"/>
      <c r="AS70" s="17" t="s">
        <v>62</v>
      </c>
      <c r="AT70">
        <f>1-(AS66/(AS66+AT66+AU66))^2-(AX66/(AW66+AX66+AY66))^2-(AY66/(AW66+AX66+AY66))^2</f>
        <v>0.26460951635776825</v>
      </c>
      <c r="AV70" s="15"/>
      <c r="BA70" s="17" t="s">
        <v>62</v>
      </c>
      <c r="BB70">
        <f>1-(BF66/(BE66+BF66+BG66))^2-(BG66/(BE66+BF66+BG66))^2</f>
        <v>0.609375</v>
      </c>
      <c r="BD70" s="15"/>
      <c r="BI70" s="17" t="s">
        <v>62</v>
      </c>
      <c r="BJ70">
        <f>1-(BI66/(BI66+BJ66+BK66))^2-(BN66/(BM66+BN66+BO66))^2-(BO66/(BM66+BN66+BO66))^2</f>
        <v>0.17150517751479294</v>
      </c>
      <c r="BL70" s="15"/>
      <c r="BQ70" s="17" t="s">
        <v>62</v>
      </c>
      <c r="BR70">
        <f>1-(BQ66/(BQ66+BR66+BS66))^2-(BV66/(BU66+BV66+BW66))^2-(BW66/(BU66+BV66+BW66))^2</f>
        <v>-0.15123456790123457</v>
      </c>
      <c r="BT70" s="15"/>
      <c r="BY70" s="17" t="s">
        <v>62</v>
      </c>
      <c r="BZ70">
        <f>1-(BY66/(BY66+BZ66+CA66))^2-(CD66/(CC66+CD66+CE66))^2-(CE66/(CC66+CD66+CE66))^2</f>
        <v>-0.15123456790123457</v>
      </c>
      <c r="CB70" s="15"/>
      <c r="CG70" s="17" t="s">
        <v>62</v>
      </c>
      <c r="CH70">
        <f>1-(CG66/(CG66+CH66+CI66))^2-(CL66/(CK66+CL66+CM66))^2-(CM66/(CK66+CL66+CM66))^2</f>
        <v>-0.12249999999999994</v>
      </c>
      <c r="CJ70" s="15"/>
      <c r="CO70" s="17" t="s">
        <v>62</v>
      </c>
      <c r="CP70">
        <f>1-(CO66/(CO66+CP66+CQ66))^2-(CT66/(CS66+CT66+CU66))^2-(CU66/(CS66+CT66+CU66))^2</f>
        <v>-0.12249999999999994</v>
      </c>
      <c r="CR70" s="15"/>
      <c r="CW70" s="17" t="s">
        <v>62</v>
      </c>
      <c r="CX70">
        <f>1-(CW66/(CW66+CX66+CY66))^2-(DB66/(DA66+DB66+DC66))^2-(DC66/(DA66+DB66+DC66))^2</f>
        <v>-0.10123966942148765</v>
      </c>
      <c r="CZ70" s="15"/>
      <c r="DE70" s="17" t="s">
        <v>62</v>
      </c>
      <c r="DF70">
        <f>1-(DE66/(DE66+DF66+DG66))^2</f>
        <v>0.89876033057851235</v>
      </c>
      <c r="DH70" s="15"/>
    </row>
    <row r="71" spans="1:115" ht="13" x14ac:dyDescent="0.3">
      <c r="A71" s="74" t="s">
        <v>39</v>
      </c>
      <c r="B71" s="74"/>
      <c r="C71" s="7">
        <f t="shared" si="1"/>
        <v>45</v>
      </c>
      <c r="D71" s="19">
        <f>AT81</f>
        <v>0.57094071429735771</v>
      </c>
      <c r="M71" s="6"/>
      <c r="U71" s="6"/>
      <c r="AC71" s="6"/>
      <c r="AK71" s="6"/>
      <c r="AS71" s="6"/>
      <c r="BA71" s="6"/>
      <c r="BI71" s="6"/>
      <c r="BQ71" s="6"/>
      <c r="BY71" s="6"/>
      <c r="CG71" s="6"/>
      <c r="CO71" s="6"/>
      <c r="CW71" s="6"/>
      <c r="DE71" s="6"/>
    </row>
    <row r="72" spans="1:115" ht="13" x14ac:dyDescent="0.3">
      <c r="A72" s="74" t="s">
        <v>40</v>
      </c>
      <c r="B72" s="74"/>
      <c r="C72" s="7">
        <f t="shared" si="1"/>
        <v>36</v>
      </c>
      <c r="D72" s="19">
        <f>BB81</f>
        <v>0.515625</v>
      </c>
      <c r="E72" s="16" t="s">
        <v>100</v>
      </c>
      <c r="M72" s="16" t="s">
        <v>100</v>
      </c>
      <c r="U72" s="16" t="s">
        <v>100</v>
      </c>
      <c r="AC72" s="16" t="s">
        <v>100</v>
      </c>
      <c r="AK72" s="16" t="s">
        <v>100</v>
      </c>
      <c r="AS72" s="16" t="s">
        <v>100</v>
      </c>
      <c r="BA72" s="16" t="s">
        <v>100</v>
      </c>
      <c r="BI72" s="16" t="s">
        <v>100</v>
      </c>
      <c r="BQ72" s="16" t="s">
        <v>100</v>
      </c>
      <c r="BY72" s="16" t="s">
        <v>100</v>
      </c>
      <c r="CG72" s="16" t="s">
        <v>100</v>
      </c>
      <c r="CO72" s="16" t="s">
        <v>100</v>
      </c>
      <c r="CW72" s="16" t="s">
        <v>100</v>
      </c>
      <c r="DE72" s="16" t="s">
        <v>100</v>
      </c>
    </row>
    <row r="73" spans="1:115" ht="15" x14ac:dyDescent="0.3">
      <c r="A73" s="74" t="s">
        <v>41</v>
      </c>
      <c r="B73" s="74"/>
      <c r="C73" s="7">
        <f t="shared" si="1"/>
        <v>36</v>
      </c>
      <c r="D73" s="19">
        <f>D72</f>
        <v>0.515625</v>
      </c>
      <c r="E73" s="17" t="s">
        <v>62</v>
      </c>
      <c r="F73" s="1" t="s">
        <v>158</v>
      </c>
      <c r="M73" s="17" t="s">
        <v>62</v>
      </c>
      <c r="N73" s="1" t="s">
        <v>162</v>
      </c>
      <c r="U73" s="17" t="s">
        <v>62</v>
      </c>
      <c r="V73" s="1" t="s">
        <v>166</v>
      </c>
      <c r="AC73" s="17" t="s">
        <v>62</v>
      </c>
      <c r="AD73" s="1" t="s">
        <v>170</v>
      </c>
      <c r="AK73" s="17" t="s">
        <v>62</v>
      </c>
      <c r="AL73" s="1" t="s">
        <v>174</v>
      </c>
      <c r="AS73" s="17" t="s">
        <v>62</v>
      </c>
      <c r="AT73" s="1" t="s">
        <v>178</v>
      </c>
      <c r="BA73" s="17" t="s">
        <v>62</v>
      </c>
      <c r="BB73" s="1" t="s">
        <v>181</v>
      </c>
      <c r="BI73" s="17" t="s">
        <v>62</v>
      </c>
      <c r="BJ73" s="1" t="s">
        <v>187</v>
      </c>
      <c r="BQ73" s="17" t="s">
        <v>62</v>
      </c>
      <c r="BR73" s="1" t="s">
        <v>192</v>
      </c>
      <c r="BY73" s="17" t="s">
        <v>62</v>
      </c>
      <c r="BZ73" s="1" t="s">
        <v>198</v>
      </c>
      <c r="CG73" s="17" t="s">
        <v>62</v>
      </c>
      <c r="CH73" s="1" t="s">
        <v>207</v>
      </c>
      <c r="CO73" s="17" t="s">
        <v>62</v>
      </c>
      <c r="CP73" s="1" t="s">
        <v>207</v>
      </c>
      <c r="CW73" s="17" t="s">
        <v>62</v>
      </c>
      <c r="CX73" s="1" t="s">
        <v>149</v>
      </c>
      <c r="DE73" s="17" t="s">
        <v>62</v>
      </c>
      <c r="DF73" s="1" t="s">
        <v>215</v>
      </c>
    </row>
    <row r="74" spans="1:115" ht="13" x14ac:dyDescent="0.3">
      <c r="A74" s="74" t="s">
        <v>42</v>
      </c>
      <c r="B74" s="74"/>
      <c r="C74" s="7">
        <f t="shared" si="1"/>
        <v>36</v>
      </c>
      <c r="D74" s="19">
        <f>D73</f>
        <v>0.515625</v>
      </c>
      <c r="E74" s="17" t="s">
        <v>62</v>
      </c>
      <c r="F74">
        <f>1-(F66/(E66+F66+G66))^2-(I66/(I66+J66+K66))^2-(K66/(I66+J66+K66))^2</f>
        <v>0.59375</v>
      </c>
      <c r="M74" s="17" t="s">
        <v>62</v>
      </c>
      <c r="N74">
        <f>1-(N66/(M66+N66+O66))^2-(Q66/(Q66+R66+S66))^2-(S66/(Q66+R66+S66))^2</f>
        <v>0.57191060687564188</v>
      </c>
      <c r="U74" s="17" t="s">
        <v>62</v>
      </c>
      <c r="V74">
        <f>1-(V66/(U66+V66+W66))^2-(Y66/(Y66+Z66+AA66))^2-(AA66/(Y66+Z66+AA66))^2</f>
        <v>0.44711232823120939</v>
      </c>
      <c r="AC74" s="17" t="s">
        <v>62</v>
      </c>
      <c r="AD74">
        <f>1-(AD66/(AC66+AD66+AE66))^2-(AG66/(AG66+AH66+AI66))^2-(AI66/(AG66+AH66+AI66))^2</f>
        <v>0.17728395061728386</v>
      </c>
      <c r="AK74" s="17" t="s">
        <v>62</v>
      </c>
      <c r="AL74">
        <f>1-(AL66/(AK66+AL66+AM66))^2-(AO66/(AO66+AP66+AQ66))^2-(AQ66/(AO66+AP66+AQ66))^2</f>
        <v>-0.21777777777777785</v>
      </c>
      <c r="AS74" s="17" t="s">
        <v>62</v>
      </c>
      <c r="AT74">
        <f>1-(AT66/(AS66+AT66+AU66))^2-(AW66/(AW66+AX66+AY66))^2-(AY66/(AW66+AX66+AY66))^2</f>
        <v>0.57191060687564188</v>
      </c>
      <c r="BA74" s="17" t="s">
        <v>62</v>
      </c>
      <c r="BB74">
        <f>1-(BE66/(BE66+BF66+BG66))^2-(BG66/(BE66+BF66+BG66))^2</f>
        <v>0.734375</v>
      </c>
      <c r="BI74" s="17" t="s">
        <v>62</v>
      </c>
      <c r="BJ74">
        <f>1-(BJ66/(BI66+BJ66+BK66))^2-(BM66/(BM66+BN66+BO66))^2-(BO66/(BM66+BN66+BO66))^2</f>
        <v>0.56351701183431957</v>
      </c>
      <c r="BQ74" s="17" t="s">
        <v>62</v>
      </c>
      <c r="BR74">
        <f>1-(BR66/(BQ66+BR66+BS66))^2-(BU66/(BU66+BV66+BW66))^2-(BW66/(BU66+BV66+BW66))^2</f>
        <v>-0.25</v>
      </c>
      <c r="BY74" s="17" t="s">
        <v>62</v>
      </c>
      <c r="BZ74">
        <f>1-(BZ66/(BY66+BZ66+CA66))^2-(CC66/(CC66+CD66+CE66))^2-(CE66/(CC66+CD66+CE66))^2</f>
        <v>-0.25</v>
      </c>
      <c r="CG74" s="17" t="s">
        <v>62</v>
      </c>
      <c r="CH74">
        <f>1-(CH66/(CG66+CH66+CI66))^2-(CK66/(CK66+CL66+CM66))^2-(CM66/(CK66+CL66+CM66))^2</f>
        <v>-0.20250000000000001</v>
      </c>
      <c r="CO74" s="17" t="s">
        <v>62</v>
      </c>
      <c r="CP74">
        <f>1-(CP66/(CO66+CP66+CQ66))^2-(CS66/(CS66+CT66+CU66))^2-(CU66/(CS66+CT66+CU66))^2</f>
        <v>-0.20250000000000001</v>
      </c>
      <c r="CW74" s="17" t="s">
        <v>62</v>
      </c>
      <c r="CX74">
        <f>1-(CX66/(CW66+CX66+CY66))^2-(DA66/(DA66+DB66+DC66))^2-(DC66/(DA66+DB66+DC66))^2</f>
        <v>-0.1673553719008265</v>
      </c>
      <c r="DE74" s="17" t="s">
        <v>62</v>
      </c>
      <c r="DF74">
        <f>1-(DF66/(DE66+DF66+DG66))^2</f>
        <v>0.8326446280991735</v>
      </c>
    </row>
    <row r="75" spans="1:115" ht="13" x14ac:dyDescent="0.3">
      <c r="A75" s="74" t="s">
        <v>43</v>
      </c>
      <c r="B75" s="74"/>
      <c r="C75" s="7">
        <f t="shared" si="1"/>
        <v>36</v>
      </c>
      <c r="D75" s="19">
        <f>D74</f>
        <v>0.515625</v>
      </c>
      <c r="M75" s="6"/>
      <c r="U75" s="6"/>
      <c r="AC75" s="6"/>
      <c r="AK75" s="6"/>
      <c r="AS75" s="6"/>
      <c r="BA75" s="6"/>
      <c r="BI75" s="6"/>
      <c r="BQ75" s="6"/>
      <c r="BY75" s="6"/>
      <c r="CG75" s="6"/>
      <c r="CO75" s="6"/>
      <c r="CW75" s="6"/>
      <c r="DE75" s="6"/>
    </row>
    <row r="76" spans="1:115" ht="13" x14ac:dyDescent="0.3">
      <c r="A76" s="74" t="s">
        <v>44</v>
      </c>
      <c r="B76" s="74"/>
      <c r="C76" s="7">
        <f t="shared" si="1"/>
        <v>36</v>
      </c>
      <c r="D76" s="19">
        <f>D75</f>
        <v>0.515625</v>
      </c>
      <c r="E76" s="16" t="s">
        <v>156</v>
      </c>
      <c r="M76" s="16" t="s">
        <v>156</v>
      </c>
      <c r="U76" s="16" t="s">
        <v>156</v>
      </c>
      <c r="AC76" s="16" t="s">
        <v>156</v>
      </c>
      <c r="AK76" s="16" t="s">
        <v>156</v>
      </c>
      <c r="AS76" s="16" t="s">
        <v>156</v>
      </c>
      <c r="BA76" s="16" t="s">
        <v>156</v>
      </c>
      <c r="BI76" s="16" t="s">
        <v>156</v>
      </c>
      <c r="BQ76" s="16" t="s">
        <v>156</v>
      </c>
      <c r="BY76" s="16" t="s">
        <v>156</v>
      </c>
      <c r="CG76" s="16" t="s">
        <v>156</v>
      </c>
      <c r="CO76" s="16" t="s">
        <v>156</v>
      </c>
      <c r="CW76" s="16" t="s">
        <v>156</v>
      </c>
      <c r="DE76" s="16" t="s">
        <v>156</v>
      </c>
    </row>
    <row r="77" spans="1:115" ht="15" x14ac:dyDescent="0.3">
      <c r="A77" s="74" t="s">
        <v>47</v>
      </c>
      <c r="B77" s="74"/>
      <c r="C77" s="7">
        <f t="shared" si="1"/>
        <v>45</v>
      </c>
      <c r="D77" s="19">
        <f>D71</f>
        <v>0.57094071429735771</v>
      </c>
      <c r="E77" s="17" t="s">
        <v>62</v>
      </c>
      <c r="F77" s="1" t="s">
        <v>159</v>
      </c>
      <c r="M77" s="17" t="s">
        <v>62</v>
      </c>
      <c r="N77" s="1" t="s">
        <v>163</v>
      </c>
      <c r="U77" s="17" t="s">
        <v>62</v>
      </c>
      <c r="V77" s="1" t="s">
        <v>167</v>
      </c>
      <c r="AC77" s="17" t="s">
        <v>62</v>
      </c>
      <c r="AD77" s="1" t="s">
        <v>171</v>
      </c>
      <c r="AK77" s="17" t="s">
        <v>62</v>
      </c>
      <c r="AL77" s="1" t="s">
        <v>175</v>
      </c>
      <c r="AS77" s="17" t="s">
        <v>62</v>
      </c>
      <c r="AT77" s="1" t="s">
        <v>179</v>
      </c>
      <c r="BA77" s="17" t="s">
        <v>62</v>
      </c>
      <c r="BB77" s="1" t="s">
        <v>182</v>
      </c>
      <c r="BI77" s="17" t="s">
        <v>62</v>
      </c>
      <c r="BJ77" s="1" t="s">
        <v>188</v>
      </c>
      <c r="BQ77" s="17" t="s">
        <v>62</v>
      </c>
      <c r="BR77" s="1" t="s">
        <v>193</v>
      </c>
      <c r="BY77" s="17" t="s">
        <v>62</v>
      </c>
      <c r="BZ77" s="1" t="s">
        <v>199</v>
      </c>
      <c r="CG77" s="17" t="s">
        <v>62</v>
      </c>
      <c r="CH77" s="1" t="s">
        <v>208</v>
      </c>
      <c r="CO77" s="17" t="s">
        <v>62</v>
      </c>
      <c r="CP77" s="1" t="s">
        <v>208</v>
      </c>
      <c r="CW77" s="17" t="s">
        <v>62</v>
      </c>
      <c r="CX77" s="1" t="s">
        <v>150</v>
      </c>
      <c r="DE77" s="17" t="s">
        <v>62</v>
      </c>
      <c r="DF77" s="1" t="s">
        <v>216</v>
      </c>
    </row>
    <row r="78" spans="1:115" ht="13" x14ac:dyDescent="0.3">
      <c r="A78" s="74" t="s">
        <v>48</v>
      </c>
      <c r="B78" s="74"/>
      <c r="C78" s="7">
        <f t="shared" si="1"/>
        <v>45</v>
      </c>
      <c r="D78" s="19">
        <f>D71</f>
        <v>0.57094071429735771</v>
      </c>
      <c r="E78" s="17" t="s">
        <v>62</v>
      </c>
      <c r="F78">
        <f>1-(G66/(E66+F66+G66))^2-(I66/(I66+J66+K66))^2-(J66/(I66+J66+K66))^2</f>
        <v>0.84375</v>
      </c>
      <c r="M78" s="17" t="s">
        <v>62</v>
      </c>
      <c r="N78">
        <f>1-(O66/(M66+N66+O66))^2-(Q66/(Q66+R66+S66))^2-(R66/(Q66+R66+S66))^2</f>
        <v>0.83788938334392882</v>
      </c>
      <c r="U78" s="17" t="s">
        <v>62</v>
      </c>
      <c r="V78">
        <f>1-(W66/(U66+V66+W66))^2-(Y66/(Y66+Z66+AA66))^2-(Z66/(Y66+Z66+AA66))^2</f>
        <v>0.86185143527800867</v>
      </c>
      <c r="AC78" s="17" t="s">
        <v>62</v>
      </c>
      <c r="AD78">
        <f>1-(AE66/(AC66+AD66+AE66))^2-(AG66/(AG66+AH66+AI66))^2-(AH66/(AG66+AH66+AI66))^2</f>
        <v>0.94617283950617281</v>
      </c>
      <c r="AK78" s="17" t="s">
        <v>62</v>
      </c>
      <c r="AL78">
        <f>1-(AM66/(AK66+AL66+AM66))^2-(AO66/(AO66+AP66+AQ66))^2-(AP66/(AO66+AP66+AQ66))^2</f>
        <v>0.99555555555555553</v>
      </c>
      <c r="AS78" s="17" t="s">
        <v>62</v>
      </c>
      <c r="AT78">
        <f>1-(AU66/(AS66+AT66+AU66))^2-(AW66/(AW66+AX66+AY66))^2-(AX66/(AW66+AX66+AY66))^2</f>
        <v>0.83788938334392882</v>
      </c>
      <c r="BA78" s="17" t="s">
        <v>62</v>
      </c>
      <c r="BB78">
        <f>1-(BE66/(BE66+BF66+BG66))^2-(BF66/(BE66+BF66+BG66))^2</f>
        <v>0.84375</v>
      </c>
      <c r="BI78" s="17" t="s">
        <v>62</v>
      </c>
      <c r="BJ78">
        <f>1-(BK66/(BI66+BJ66+BK66))^2-(BM66/(BM66+BN66+BO66))^2-(BN66/(BM66+BN66+BO66))^2</f>
        <v>0.84615384615384615</v>
      </c>
      <c r="BQ78" s="17" t="s">
        <v>62</v>
      </c>
      <c r="BR78">
        <f>1-(BS66/(BQ66+BR66+BS66))^2-(BU66/(BU66+BV66+BW66))^2-(BV66/(BU66+BV66+BW66))^2</f>
        <v>0.98765432098765427</v>
      </c>
      <c r="BY78" s="17" t="s">
        <v>62</v>
      </c>
      <c r="BZ78">
        <f>1-(CA66/(BY66+BZ66+CA66))^2-(CC66/(CC66+CD66+CE66))^2-(CD66/(CC66+CD66+CE66))^2</f>
        <v>0.98765432098765427</v>
      </c>
      <c r="CG78" s="17" t="s">
        <v>62</v>
      </c>
      <c r="CH78">
        <f>1-(CI66/(CG66+CH66+CI66))^2-(CK66/(CK66+CL66+CM66))^2-(CL66/(CK66+CL66+CM66))^2</f>
        <v>0.96</v>
      </c>
      <c r="CO78" s="17" t="s">
        <v>62</v>
      </c>
      <c r="CP78">
        <f>1-(CQ66/(CO66+CP66+CQ66))^2-(CS66/(CS66+CT66+CU66))^2-(CT66/(CS66+CT66+CU66))^2</f>
        <v>0.96</v>
      </c>
      <c r="CW78" s="17" t="s">
        <v>62</v>
      </c>
      <c r="CX78">
        <f>1-(CY66/(CW66+CX66+CY66))^2-(DA66/(DA66+DB66+DC66))^2-(DB66/(DA66+DB66+DC66))^2</f>
        <v>0.92561983471074383</v>
      </c>
      <c r="DE78" s="17" t="s">
        <v>62</v>
      </c>
      <c r="DF78">
        <f>1-(DG66/(DE66+DF66+DG66))^2</f>
        <v>0.92561983471074383</v>
      </c>
    </row>
    <row r="79" spans="1:115" ht="13" x14ac:dyDescent="0.3">
      <c r="A79" s="74" t="s">
        <v>49</v>
      </c>
      <c r="B79" s="74"/>
      <c r="C79" s="7">
        <f t="shared" si="1"/>
        <v>37.5</v>
      </c>
      <c r="D79" s="19">
        <f>F81</f>
        <v>0.56770833333333337</v>
      </c>
      <c r="M79" s="6"/>
      <c r="U79" s="6"/>
      <c r="AC79" s="6"/>
      <c r="AK79" s="6"/>
      <c r="AS79" s="6"/>
      <c r="BA79" s="6"/>
      <c r="BI79" s="6"/>
      <c r="BQ79" s="6"/>
      <c r="BY79" s="6"/>
      <c r="CG79" s="6"/>
      <c r="CO79" s="6"/>
      <c r="CW79" s="6"/>
      <c r="DE79" s="6"/>
    </row>
    <row r="80" spans="1:115" ht="13" x14ac:dyDescent="0.3">
      <c r="A80" s="74" t="s">
        <v>50</v>
      </c>
      <c r="B80" s="74"/>
      <c r="C80" s="7">
        <f t="shared" si="1"/>
        <v>39</v>
      </c>
      <c r="D80" s="19">
        <f>BJ81</f>
        <v>0.47751017011834324</v>
      </c>
      <c r="E80" s="16" t="s">
        <v>86</v>
      </c>
      <c r="F80" s="1" t="s">
        <v>160</v>
      </c>
      <c r="M80" s="16" t="s">
        <v>89</v>
      </c>
      <c r="N80" s="1" t="s">
        <v>164</v>
      </c>
      <c r="U80" s="16" t="s">
        <v>90</v>
      </c>
      <c r="V80" s="1" t="s">
        <v>168</v>
      </c>
      <c r="AC80" s="16" t="s">
        <v>92</v>
      </c>
      <c r="AD80" s="1" t="s">
        <v>172</v>
      </c>
      <c r="AK80" s="16" t="s">
        <v>94</v>
      </c>
      <c r="AL80" s="1" t="s">
        <v>176</v>
      </c>
      <c r="AS80" s="16" t="s">
        <v>96</v>
      </c>
      <c r="AT80" s="1" t="s">
        <v>164</v>
      </c>
      <c r="BA80" s="16" t="s">
        <v>98</v>
      </c>
      <c r="BB80" s="1" t="s">
        <v>183</v>
      </c>
      <c r="BI80" s="16" t="s">
        <v>186</v>
      </c>
      <c r="BJ80" s="1" t="s">
        <v>189</v>
      </c>
      <c r="BQ80" s="16" t="s">
        <v>194</v>
      </c>
      <c r="BR80" s="1" t="s">
        <v>195</v>
      </c>
      <c r="BY80" s="16" t="s">
        <v>201</v>
      </c>
      <c r="BZ80" s="1" t="s">
        <v>200</v>
      </c>
      <c r="CG80" s="16" t="s">
        <v>205</v>
      </c>
      <c r="CH80" s="1" t="s">
        <v>203</v>
      </c>
      <c r="CO80" s="16" t="s">
        <v>218</v>
      </c>
      <c r="CP80" s="1" t="s">
        <v>203</v>
      </c>
      <c r="CW80" s="16" t="s">
        <v>212</v>
      </c>
      <c r="CX80" s="1" t="s">
        <v>151</v>
      </c>
      <c r="DE80" s="16" t="s">
        <v>219</v>
      </c>
      <c r="DF80" s="1" t="s">
        <v>217</v>
      </c>
    </row>
    <row r="81" spans="1:172" ht="13" x14ac:dyDescent="0.3">
      <c r="A81" s="74" t="s">
        <v>51</v>
      </c>
      <c r="B81" s="74"/>
      <c r="C81" s="7">
        <f t="shared" si="1"/>
        <v>43</v>
      </c>
      <c r="D81" s="19">
        <f>D67</f>
        <v>0.57094071429735771</v>
      </c>
      <c r="E81" s="43" t="s">
        <v>62</v>
      </c>
      <c r="F81" s="10">
        <f>((E66+I66)/24*F70)+((F66+J66)/24*F74)+((G66+K66)/24*F78)</f>
        <v>0.56770833333333337</v>
      </c>
      <c r="M81" s="43" t="s">
        <v>62</v>
      </c>
      <c r="N81" s="10">
        <f>((M66+Q66)/24*N70)+((N66+R66)/24*N74)+((O66+S66)/24*N78)</f>
        <v>0.57094071429735771</v>
      </c>
      <c r="U81" s="43" t="s">
        <v>62</v>
      </c>
      <c r="V81" s="10">
        <f>((U66+Y66)/24*V70)+((V66+Z66)/24*V74)+((W66+AA66)/24*V78)</f>
        <v>0.50537108579066614</v>
      </c>
      <c r="AC81" s="43" t="s">
        <v>62</v>
      </c>
      <c r="AD81" s="10">
        <f>((AC66+AG66)/24*AD70)+((AD66+AH66)/24*AD74)+((AE66+AI66)/24*AD78)</f>
        <v>0.41917695473251015</v>
      </c>
      <c r="AK81" s="43" t="s">
        <v>62</v>
      </c>
      <c r="AL81" s="10">
        <f>((AK66+AO66)/24*AL70)+((AL66+AP66)/24*AL74)+((AM66+AQ66)/24*AL78)</f>
        <v>0.1633333333333333</v>
      </c>
      <c r="AS81" s="43" t="s">
        <v>62</v>
      </c>
      <c r="AT81" s="10">
        <f>((AS66+AW66)/24*AT70)+((AT66+AX66)/24*AT74)+((AU66+AY66)/24*AT78)</f>
        <v>0.57094071429735771</v>
      </c>
      <c r="BA81" s="43" t="s">
        <v>62</v>
      </c>
      <c r="BB81" s="10">
        <f>((BA66+BE66)/24*BB70)+((BB66+BF66)/24*BB74)+((BC66+BG66)/24*BB78)</f>
        <v>0.515625</v>
      </c>
      <c r="BI81" s="43" t="s">
        <v>62</v>
      </c>
      <c r="BJ81" s="10">
        <f>((BI66+BM66)/24*BJ70)+((BJ66+BN66)/24*BJ74)+((BK66+BO66)/24*BJ78)</f>
        <v>0.47751017011834324</v>
      </c>
      <c r="BQ81" s="43" t="s">
        <v>62</v>
      </c>
      <c r="BR81" s="10">
        <f>((BQ66+BU66)/24*BR70)+((BR66+BV66)/24*BR74)+((BS66+BW66)/24*BR78)</f>
        <v>0.19135802469135796</v>
      </c>
      <c r="BY81" s="43" t="s">
        <v>62</v>
      </c>
      <c r="BZ81" s="10">
        <f>((BY66+CC66)/24*BZ70)+((BZ66+CD66)/24*BZ74)+((CA66+CE66)/24*BZ78)</f>
        <v>2.6748971193415599E-2</v>
      </c>
      <c r="CG81" s="43" t="s">
        <v>62</v>
      </c>
      <c r="CH81" s="10">
        <f>((CG66+CK66)/24*CH70)+((CH66+CL66)/24*CH74)+((CI66+CM66)/24*CH78)</f>
        <v>0.20833333333333329</v>
      </c>
      <c r="CO81" s="43" t="s">
        <v>62</v>
      </c>
      <c r="CP81" s="10">
        <f>((CO66+CS66)/24*CP70)+((CP66+CT66)/24*CP74)+((CQ66+CU66)/24*CP78)</f>
        <v>0.12833333333333333</v>
      </c>
      <c r="CW81" s="43" t="s">
        <v>62</v>
      </c>
      <c r="CX81" s="10">
        <f>((CW66+DA66)/24*CX70)+((CX66+DB66)/24*CX74)+((CY66+DC66)/24*CX78)</f>
        <v>0.21625344352617076</v>
      </c>
      <c r="DE81" s="43" t="s">
        <v>62</v>
      </c>
      <c r="DF81" s="10">
        <f>((DE66+DI66)/24*DF70)+((DF66+DJ66)/24*DF74)+((DG66+DK66)/24*DF78)</f>
        <v>0.80578512396694213</v>
      </c>
    </row>
    <row r="82" spans="1:172" ht="13" x14ac:dyDescent="0.3">
      <c r="A82" s="74" t="s">
        <v>52</v>
      </c>
      <c r="B82" s="74"/>
      <c r="C82" s="7">
        <f t="shared" si="1"/>
        <v>48</v>
      </c>
      <c r="D82" s="19">
        <f>D68</f>
        <v>0.50537108579066614</v>
      </c>
    </row>
    <row r="83" spans="1:172" ht="13" x14ac:dyDescent="0.3">
      <c r="A83" s="74" t="s">
        <v>53</v>
      </c>
      <c r="B83" s="74"/>
      <c r="C83" s="7">
        <f t="shared" si="1"/>
        <v>54.5</v>
      </c>
      <c r="D83" s="19">
        <f>BR81</f>
        <v>0.19135802469135796</v>
      </c>
    </row>
    <row r="84" spans="1:172" ht="13" x14ac:dyDescent="0.3">
      <c r="A84" s="74" t="s">
        <v>54</v>
      </c>
      <c r="B84" s="74"/>
      <c r="C84" s="7">
        <f t="shared" si="1"/>
        <v>60</v>
      </c>
      <c r="D84" s="19">
        <f>BZ81</f>
        <v>2.6748971193415599E-2</v>
      </c>
    </row>
    <row r="85" spans="1:172" ht="13" x14ac:dyDescent="0.3">
      <c r="A85" s="74" t="s">
        <v>55</v>
      </c>
      <c r="B85" s="74"/>
      <c r="C85" s="7">
        <f t="shared" si="1"/>
        <v>65</v>
      </c>
      <c r="D85" s="19">
        <f>CH81</f>
        <v>0.20833333333333329</v>
      </c>
    </row>
    <row r="86" spans="1:172" ht="13" x14ac:dyDescent="0.3">
      <c r="A86" s="74" t="s">
        <v>56</v>
      </c>
      <c r="B86" s="74"/>
      <c r="C86" s="7">
        <f t="shared" si="1"/>
        <v>70</v>
      </c>
      <c r="D86" s="19">
        <f>CP81</f>
        <v>0.12833333333333333</v>
      </c>
    </row>
    <row r="87" spans="1:172" ht="13" x14ac:dyDescent="0.3">
      <c r="A87" s="74" t="s">
        <v>57</v>
      </c>
      <c r="B87" s="74"/>
      <c r="C87" s="7">
        <f t="shared" si="1"/>
        <v>95</v>
      </c>
      <c r="D87" s="19">
        <f>CX81</f>
        <v>0.21625344352617076</v>
      </c>
    </row>
    <row r="88" spans="1:172" ht="13.5" thickBot="1" x14ac:dyDescent="0.35">
      <c r="A88" s="74" t="s">
        <v>58</v>
      </c>
      <c r="B88" s="74"/>
      <c r="C88" s="7">
        <f t="shared" si="1"/>
        <v>120</v>
      </c>
      <c r="D88" s="20">
        <f>DF81</f>
        <v>0.80578512396694213</v>
      </c>
    </row>
    <row r="89" spans="1:172" ht="18.5" customHeight="1" thickBot="1" x14ac:dyDescent="0.3">
      <c r="C89" s="40" t="s">
        <v>320</v>
      </c>
      <c r="D89" s="41">
        <f>MIN(D66:D88)</f>
        <v>2.6748971193415599E-2</v>
      </c>
    </row>
    <row r="92" spans="1:172" ht="18" x14ac:dyDescent="0.25">
      <c r="A92" s="48" t="s">
        <v>31</v>
      </c>
      <c r="B92" s="37"/>
    </row>
    <row r="95" spans="1:172" ht="13" x14ac:dyDescent="0.25">
      <c r="A95" s="75" t="s">
        <v>33</v>
      </c>
      <c r="B95" s="75"/>
      <c r="C95" s="75"/>
      <c r="D95" s="75"/>
      <c r="F95" s="11" t="s">
        <v>60</v>
      </c>
      <c r="G95" s="90" t="s">
        <v>222</v>
      </c>
      <c r="H95" s="90"/>
      <c r="I95" s="12" t="s">
        <v>61</v>
      </c>
      <c r="J95" s="12"/>
      <c r="M95" s="6"/>
      <c r="N95" s="11" t="s">
        <v>60</v>
      </c>
      <c r="O95" s="90" t="s">
        <v>232</v>
      </c>
      <c r="P95" s="90"/>
      <c r="Q95" s="12" t="s">
        <v>61</v>
      </c>
      <c r="R95" s="12"/>
      <c r="U95" s="6"/>
      <c r="V95" s="11" t="s">
        <v>60</v>
      </c>
      <c r="W95" s="90" t="s">
        <v>234</v>
      </c>
      <c r="X95" s="90"/>
      <c r="Y95" s="12" t="s">
        <v>61</v>
      </c>
      <c r="Z95" s="12"/>
      <c r="AC95" s="6"/>
      <c r="AD95" s="11" t="s">
        <v>60</v>
      </c>
      <c r="AE95" s="90" t="s">
        <v>238</v>
      </c>
      <c r="AF95" s="90"/>
      <c r="AG95" s="12" t="s">
        <v>61</v>
      </c>
      <c r="AH95" s="12"/>
      <c r="AK95" s="6"/>
      <c r="AL95" s="11" t="s">
        <v>60</v>
      </c>
      <c r="AM95" s="90" t="s">
        <v>243</v>
      </c>
      <c r="AN95" s="90"/>
      <c r="AO95" s="12" t="s">
        <v>61</v>
      </c>
      <c r="AP95" s="12"/>
      <c r="AS95" s="6"/>
      <c r="AT95" s="11" t="s">
        <v>60</v>
      </c>
      <c r="AU95" s="90" t="s">
        <v>245</v>
      </c>
      <c r="AV95" s="90"/>
      <c r="AW95" s="12" t="s">
        <v>61</v>
      </c>
      <c r="AX95" s="12"/>
      <c r="BA95" s="6"/>
      <c r="BB95" s="11" t="s">
        <v>60</v>
      </c>
      <c r="BC95" s="90" t="s">
        <v>250</v>
      </c>
      <c r="BD95" s="90"/>
      <c r="BE95" s="12" t="s">
        <v>61</v>
      </c>
      <c r="BF95" s="12"/>
      <c r="BI95" s="6"/>
      <c r="BJ95" s="11" t="s">
        <v>60</v>
      </c>
      <c r="BK95" s="90" t="s">
        <v>255</v>
      </c>
      <c r="BL95" s="90"/>
      <c r="BM95" s="12" t="s">
        <v>61</v>
      </c>
      <c r="BN95" s="12"/>
      <c r="BQ95" s="6"/>
      <c r="BR95" s="11" t="s">
        <v>60</v>
      </c>
      <c r="BS95" s="90" t="s">
        <v>260</v>
      </c>
      <c r="BT95" s="90"/>
      <c r="BU95" s="12" t="s">
        <v>61</v>
      </c>
      <c r="BV95" s="12"/>
      <c r="BY95" s="6"/>
      <c r="BZ95" s="11" t="s">
        <v>60</v>
      </c>
      <c r="CA95" s="90" t="s">
        <v>265</v>
      </c>
      <c r="CB95" s="90"/>
      <c r="CC95" s="12" t="s">
        <v>61</v>
      </c>
      <c r="CD95" s="12"/>
      <c r="CG95" s="6"/>
      <c r="CH95" s="11" t="s">
        <v>60</v>
      </c>
      <c r="CI95" s="90" t="s">
        <v>270</v>
      </c>
      <c r="CJ95" s="90"/>
      <c r="CK95" s="12" t="s">
        <v>61</v>
      </c>
      <c r="CL95" s="12"/>
      <c r="CO95" s="6"/>
      <c r="CP95" s="11" t="s">
        <v>60</v>
      </c>
      <c r="CQ95" s="90" t="s">
        <v>272</v>
      </c>
      <c r="CR95" s="90"/>
      <c r="CS95" s="12" t="s">
        <v>61</v>
      </c>
      <c r="CT95" s="12"/>
      <c r="CW95" s="6"/>
      <c r="CX95" s="11" t="s">
        <v>60</v>
      </c>
      <c r="CY95" s="90" t="s">
        <v>274</v>
      </c>
      <c r="CZ95" s="90"/>
      <c r="DA95" s="12" t="s">
        <v>61</v>
      </c>
      <c r="DB95" s="12"/>
      <c r="DE95" s="6"/>
      <c r="DF95" s="11" t="s">
        <v>60</v>
      </c>
      <c r="DG95" s="90" t="s">
        <v>276</v>
      </c>
      <c r="DH95" s="90"/>
      <c r="DI95" s="12" t="s">
        <v>61</v>
      </c>
      <c r="DJ95" s="12"/>
      <c r="DM95" s="6"/>
      <c r="DN95" s="11" t="s">
        <v>60</v>
      </c>
      <c r="DO95" s="90" t="s">
        <v>278</v>
      </c>
      <c r="DP95" s="90"/>
      <c r="DQ95" s="12" t="s">
        <v>61</v>
      </c>
      <c r="DR95" s="12"/>
      <c r="DU95" s="6"/>
      <c r="DV95" s="11" t="s">
        <v>60</v>
      </c>
      <c r="DW95" s="90" t="s">
        <v>283</v>
      </c>
      <c r="DX95" s="90"/>
      <c r="DY95" s="12" t="s">
        <v>61</v>
      </c>
      <c r="DZ95" s="12"/>
      <c r="EC95" s="6"/>
      <c r="ED95" s="11" t="s">
        <v>60</v>
      </c>
      <c r="EE95" s="90" t="s">
        <v>288</v>
      </c>
      <c r="EF95" s="90"/>
      <c r="EG95" s="12" t="s">
        <v>61</v>
      </c>
      <c r="EH95" s="12"/>
      <c r="EK95" s="6"/>
      <c r="EL95" s="11" t="s">
        <v>60</v>
      </c>
      <c r="EM95" s="90" t="s">
        <v>292</v>
      </c>
      <c r="EN95" s="90"/>
      <c r="EO95" s="12" t="s">
        <v>61</v>
      </c>
      <c r="EP95" s="12"/>
      <c r="ES95" s="6"/>
      <c r="ET95" s="11" t="s">
        <v>60</v>
      </c>
      <c r="EU95" s="90" t="s">
        <v>298</v>
      </c>
      <c r="EV95" s="90"/>
      <c r="EW95" s="12" t="s">
        <v>61</v>
      </c>
      <c r="EX95" s="12"/>
      <c r="FB95" s="6"/>
      <c r="FC95" s="11" t="s">
        <v>60</v>
      </c>
      <c r="FD95" s="90" t="s">
        <v>304</v>
      </c>
      <c r="FE95" s="90"/>
      <c r="FF95" s="12" t="s">
        <v>61</v>
      </c>
      <c r="FG95" s="12"/>
      <c r="FK95" s="6"/>
      <c r="FL95" s="11" t="s">
        <v>60</v>
      </c>
      <c r="FM95" s="90" t="s">
        <v>309</v>
      </c>
      <c r="FN95" s="90"/>
      <c r="FO95" s="12" t="s">
        <v>61</v>
      </c>
      <c r="FP95" s="12"/>
    </row>
    <row r="96" spans="1:172" ht="26" customHeight="1" x14ac:dyDescent="0.25">
      <c r="A96" s="88" t="s">
        <v>46</v>
      </c>
      <c r="B96" s="88"/>
      <c r="C96" s="51" t="s">
        <v>221</v>
      </c>
      <c r="D96" s="52" t="s">
        <v>32</v>
      </c>
      <c r="M96" s="6"/>
      <c r="U96" s="6"/>
      <c r="AC96" s="6"/>
      <c r="AK96" s="6"/>
      <c r="AS96" s="6"/>
      <c r="BA96" s="6"/>
      <c r="BI96" s="6"/>
      <c r="BQ96" s="6"/>
      <c r="BY96" s="6"/>
      <c r="CG96" s="6"/>
      <c r="CO96" s="6"/>
      <c r="CW96" s="6"/>
      <c r="DE96" s="6"/>
      <c r="DM96" s="6"/>
      <c r="DU96" s="6"/>
      <c r="EC96" s="6"/>
      <c r="EK96" s="6"/>
      <c r="ES96" s="6"/>
      <c r="FB96" s="6"/>
      <c r="FK96" s="6"/>
    </row>
    <row r="97" spans="1:173" ht="13" x14ac:dyDescent="0.3">
      <c r="A97" s="74" t="s">
        <v>34</v>
      </c>
      <c r="B97" s="74"/>
      <c r="C97" s="8">
        <f>AVERAGE(E2:E3)</f>
        <v>375000000</v>
      </c>
      <c r="D97" s="19">
        <f>F114</f>
        <v>0.47899449035812669</v>
      </c>
      <c r="E97" s="83" t="s">
        <v>30</v>
      </c>
      <c r="F97" s="84"/>
      <c r="G97" s="84"/>
      <c r="H97" s="37"/>
      <c r="I97" s="83" t="s">
        <v>30</v>
      </c>
      <c r="J97" s="84"/>
      <c r="K97" s="84"/>
      <c r="M97" s="83" t="s">
        <v>30</v>
      </c>
      <c r="N97" s="84"/>
      <c r="O97" s="84"/>
      <c r="P97" s="37"/>
      <c r="Q97" s="83" t="s">
        <v>30</v>
      </c>
      <c r="R97" s="84"/>
      <c r="S97" s="84"/>
      <c r="U97" s="83" t="s">
        <v>30</v>
      </c>
      <c r="V97" s="84"/>
      <c r="W97" s="84"/>
      <c r="X97" s="37"/>
      <c r="Y97" s="83" t="s">
        <v>30</v>
      </c>
      <c r="Z97" s="84"/>
      <c r="AA97" s="84"/>
      <c r="AC97" s="83" t="s">
        <v>30</v>
      </c>
      <c r="AD97" s="84"/>
      <c r="AE97" s="84"/>
      <c r="AF97" s="37"/>
      <c r="AG97" s="83" t="s">
        <v>30</v>
      </c>
      <c r="AH97" s="84"/>
      <c r="AI97" s="84"/>
      <c r="AK97" s="83" t="s">
        <v>30</v>
      </c>
      <c r="AL97" s="84"/>
      <c r="AM97" s="84"/>
      <c r="AN97" s="37"/>
      <c r="AO97" s="83" t="s">
        <v>30</v>
      </c>
      <c r="AP97" s="84"/>
      <c r="AQ97" s="84"/>
      <c r="AS97" s="83" t="s">
        <v>30</v>
      </c>
      <c r="AT97" s="84"/>
      <c r="AU97" s="84"/>
      <c r="AV97" s="37"/>
      <c r="AW97" s="83" t="s">
        <v>30</v>
      </c>
      <c r="AX97" s="84"/>
      <c r="AY97" s="84"/>
      <c r="BA97" s="83" t="s">
        <v>30</v>
      </c>
      <c r="BB97" s="84"/>
      <c r="BC97" s="84"/>
      <c r="BD97" s="37"/>
      <c r="BE97" s="83" t="s">
        <v>30</v>
      </c>
      <c r="BF97" s="84"/>
      <c r="BG97" s="84"/>
      <c r="BI97" s="83" t="s">
        <v>30</v>
      </c>
      <c r="BJ97" s="84"/>
      <c r="BK97" s="84"/>
      <c r="BL97" s="37"/>
      <c r="BM97" s="83" t="s">
        <v>30</v>
      </c>
      <c r="BN97" s="84"/>
      <c r="BO97" s="84"/>
      <c r="BQ97" s="83" t="s">
        <v>30</v>
      </c>
      <c r="BR97" s="84"/>
      <c r="BS97" s="84"/>
      <c r="BT97" s="37"/>
      <c r="BU97" s="83" t="s">
        <v>30</v>
      </c>
      <c r="BV97" s="84"/>
      <c r="BW97" s="84"/>
      <c r="BY97" s="83" t="s">
        <v>30</v>
      </c>
      <c r="BZ97" s="84"/>
      <c r="CA97" s="84"/>
      <c r="CB97" s="37"/>
      <c r="CC97" s="83" t="s">
        <v>30</v>
      </c>
      <c r="CD97" s="84"/>
      <c r="CE97" s="84"/>
      <c r="CG97" s="83" t="s">
        <v>30</v>
      </c>
      <c r="CH97" s="84"/>
      <c r="CI97" s="84"/>
      <c r="CJ97" s="37"/>
      <c r="CK97" s="83" t="s">
        <v>30</v>
      </c>
      <c r="CL97" s="84"/>
      <c r="CM97" s="84"/>
      <c r="CO97" s="83" t="s">
        <v>30</v>
      </c>
      <c r="CP97" s="84"/>
      <c r="CQ97" s="84"/>
      <c r="CR97" s="37"/>
      <c r="CS97" s="83" t="s">
        <v>30</v>
      </c>
      <c r="CT97" s="84"/>
      <c r="CU97" s="84"/>
      <c r="CW97" s="83" t="s">
        <v>30</v>
      </c>
      <c r="CX97" s="84"/>
      <c r="CY97" s="84"/>
      <c r="CZ97" s="37"/>
      <c r="DA97" s="83" t="s">
        <v>30</v>
      </c>
      <c r="DB97" s="84"/>
      <c r="DC97" s="84"/>
      <c r="DE97" s="83" t="s">
        <v>30</v>
      </c>
      <c r="DF97" s="84"/>
      <c r="DG97" s="84"/>
      <c r="DH97" s="37"/>
      <c r="DI97" s="83" t="s">
        <v>30</v>
      </c>
      <c r="DJ97" s="84"/>
      <c r="DK97" s="84"/>
      <c r="DM97" s="83" t="s">
        <v>30</v>
      </c>
      <c r="DN97" s="84"/>
      <c r="DO97" s="84"/>
      <c r="DP97" s="37"/>
      <c r="DQ97" s="83" t="s">
        <v>30</v>
      </c>
      <c r="DR97" s="84"/>
      <c r="DS97" s="84"/>
      <c r="DU97" s="83" t="s">
        <v>30</v>
      </c>
      <c r="DV97" s="84"/>
      <c r="DW97" s="84"/>
      <c r="DX97" s="37"/>
      <c r="DY97" s="83" t="s">
        <v>30</v>
      </c>
      <c r="DZ97" s="84"/>
      <c r="EA97" s="84"/>
      <c r="EC97" s="83" t="s">
        <v>30</v>
      </c>
      <c r="ED97" s="84"/>
      <c r="EE97" s="84"/>
      <c r="EF97" s="37"/>
      <c r="EG97" s="83" t="s">
        <v>30</v>
      </c>
      <c r="EH97" s="84"/>
      <c r="EI97" s="84"/>
      <c r="EK97" s="83" t="s">
        <v>30</v>
      </c>
      <c r="EL97" s="84"/>
      <c r="EM97" s="84"/>
      <c r="EN97" s="37"/>
      <c r="EO97" s="83" t="s">
        <v>30</v>
      </c>
      <c r="EP97" s="84"/>
      <c r="EQ97" s="84"/>
      <c r="ES97" s="83" t="s">
        <v>30</v>
      </c>
      <c r="ET97" s="84"/>
      <c r="EU97" s="84"/>
      <c r="EV97" s="37"/>
      <c r="EW97" s="83" t="s">
        <v>30</v>
      </c>
      <c r="EX97" s="84"/>
      <c r="EY97" s="84"/>
      <c r="FB97" s="83" t="s">
        <v>30</v>
      </c>
      <c r="FC97" s="84"/>
      <c r="FD97" s="84"/>
      <c r="FE97" s="37"/>
      <c r="FF97" s="83" t="s">
        <v>30</v>
      </c>
      <c r="FG97" s="84"/>
      <c r="FH97" s="84"/>
      <c r="FK97" s="83" t="s">
        <v>30</v>
      </c>
      <c r="FL97" s="84"/>
      <c r="FM97" s="84"/>
      <c r="FN97" s="37"/>
      <c r="FO97" s="83" t="s">
        <v>30</v>
      </c>
      <c r="FP97" s="84"/>
      <c r="FQ97" s="84"/>
    </row>
    <row r="98" spans="1:173" ht="13" x14ac:dyDescent="0.3">
      <c r="A98" s="74" t="s">
        <v>35</v>
      </c>
      <c r="B98" s="74"/>
      <c r="C98" s="8">
        <f>AVERAGE(E3:E4)</f>
        <v>425000000</v>
      </c>
      <c r="D98" s="19">
        <f>N114</f>
        <v>0.45879501385041555</v>
      </c>
      <c r="E98" s="54" t="s">
        <v>14</v>
      </c>
      <c r="F98" s="54" t="s">
        <v>15</v>
      </c>
      <c r="G98" s="54" t="s">
        <v>16</v>
      </c>
      <c r="H98" s="55"/>
      <c r="I98" s="54" t="s">
        <v>14</v>
      </c>
      <c r="J98" s="54" t="s">
        <v>15</v>
      </c>
      <c r="K98" s="54" t="s">
        <v>16</v>
      </c>
      <c r="L98" s="56"/>
      <c r="M98" s="54" t="s">
        <v>14</v>
      </c>
      <c r="N98" s="54" t="s">
        <v>15</v>
      </c>
      <c r="O98" s="54" t="s">
        <v>16</v>
      </c>
      <c r="P98" s="55"/>
      <c r="Q98" s="54" t="s">
        <v>14</v>
      </c>
      <c r="R98" s="54" t="s">
        <v>15</v>
      </c>
      <c r="S98" s="54" t="s">
        <v>16</v>
      </c>
      <c r="T98" s="56"/>
      <c r="U98" s="54" t="s">
        <v>14</v>
      </c>
      <c r="V98" s="54" t="s">
        <v>15</v>
      </c>
      <c r="W98" s="54" t="s">
        <v>16</v>
      </c>
      <c r="X98" s="55"/>
      <c r="Y98" s="54" t="s">
        <v>14</v>
      </c>
      <c r="Z98" s="54" t="s">
        <v>15</v>
      </c>
      <c r="AA98" s="54" t="s">
        <v>16</v>
      </c>
      <c r="AB98" s="56"/>
      <c r="AC98" s="54" t="s">
        <v>14</v>
      </c>
      <c r="AD98" s="54" t="s">
        <v>15</v>
      </c>
      <c r="AE98" s="54" t="s">
        <v>16</v>
      </c>
      <c r="AF98" s="55"/>
      <c r="AG98" s="54" t="s">
        <v>14</v>
      </c>
      <c r="AH98" s="54" t="s">
        <v>15</v>
      </c>
      <c r="AI98" s="54" t="s">
        <v>16</v>
      </c>
      <c r="AJ98" s="56"/>
      <c r="AK98" s="54" t="s">
        <v>14</v>
      </c>
      <c r="AL98" s="54" t="s">
        <v>15</v>
      </c>
      <c r="AM98" s="54" t="s">
        <v>16</v>
      </c>
      <c r="AN98" s="55"/>
      <c r="AO98" s="54" t="s">
        <v>14</v>
      </c>
      <c r="AP98" s="54" t="s">
        <v>15</v>
      </c>
      <c r="AQ98" s="54" t="s">
        <v>16</v>
      </c>
      <c r="AR98" s="56"/>
      <c r="AS98" s="54" t="s">
        <v>14</v>
      </c>
      <c r="AT98" s="54" t="s">
        <v>15</v>
      </c>
      <c r="AU98" s="54" t="s">
        <v>16</v>
      </c>
      <c r="AV98" s="55"/>
      <c r="AW98" s="54" t="s">
        <v>14</v>
      </c>
      <c r="AX98" s="54" t="s">
        <v>15</v>
      </c>
      <c r="AY98" s="54" t="s">
        <v>16</v>
      </c>
      <c r="AZ98" s="56"/>
      <c r="BA98" s="54" t="s">
        <v>14</v>
      </c>
      <c r="BB98" s="54" t="s">
        <v>15</v>
      </c>
      <c r="BC98" s="54" t="s">
        <v>16</v>
      </c>
      <c r="BD98" s="55"/>
      <c r="BE98" s="54" t="s">
        <v>14</v>
      </c>
      <c r="BF98" s="54" t="s">
        <v>15</v>
      </c>
      <c r="BG98" s="54" t="s">
        <v>16</v>
      </c>
      <c r="BH98" s="56"/>
      <c r="BI98" s="54" t="s">
        <v>14</v>
      </c>
      <c r="BJ98" s="54" t="s">
        <v>15</v>
      </c>
      <c r="BK98" s="54" t="s">
        <v>16</v>
      </c>
      <c r="BL98" s="55"/>
      <c r="BM98" s="54" t="s">
        <v>14</v>
      </c>
      <c r="BN98" s="54" t="s">
        <v>15</v>
      </c>
      <c r="BO98" s="54" t="s">
        <v>16</v>
      </c>
      <c r="BP98" s="56"/>
      <c r="BQ98" s="54" t="s">
        <v>14</v>
      </c>
      <c r="BR98" s="54" t="s">
        <v>15</v>
      </c>
      <c r="BS98" s="54" t="s">
        <v>16</v>
      </c>
      <c r="BT98" s="55"/>
      <c r="BU98" s="54" t="s">
        <v>14</v>
      </c>
      <c r="BV98" s="54" t="s">
        <v>15</v>
      </c>
      <c r="BW98" s="54" t="s">
        <v>16</v>
      </c>
      <c r="BX98" s="56"/>
      <c r="BY98" s="54" t="s">
        <v>14</v>
      </c>
      <c r="BZ98" s="54" t="s">
        <v>15</v>
      </c>
      <c r="CA98" s="54" t="s">
        <v>16</v>
      </c>
      <c r="CB98" s="55"/>
      <c r="CC98" s="54" t="s">
        <v>14</v>
      </c>
      <c r="CD98" s="54" t="s">
        <v>15</v>
      </c>
      <c r="CE98" s="54" t="s">
        <v>16</v>
      </c>
      <c r="CF98" s="56"/>
      <c r="CG98" s="54" t="s">
        <v>14</v>
      </c>
      <c r="CH98" s="54" t="s">
        <v>15</v>
      </c>
      <c r="CI98" s="54" t="s">
        <v>16</v>
      </c>
      <c r="CJ98" s="55"/>
      <c r="CK98" s="54" t="s">
        <v>14</v>
      </c>
      <c r="CL98" s="54" t="s">
        <v>15</v>
      </c>
      <c r="CM98" s="54" t="s">
        <v>16</v>
      </c>
      <c r="CN98" s="56"/>
      <c r="CO98" s="54" t="s">
        <v>14</v>
      </c>
      <c r="CP98" s="54" t="s">
        <v>15</v>
      </c>
      <c r="CQ98" s="54" t="s">
        <v>16</v>
      </c>
      <c r="CR98" s="55"/>
      <c r="CS98" s="54" t="s">
        <v>14</v>
      </c>
      <c r="CT98" s="54" t="s">
        <v>15</v>
      </c>
      <c r="CU98" s="54" t="s">
        <v>16</v>
      </c>
      <c r="CV98" s="56"/>
      <c r="CW98" s="54" t="s">
        <v>14</v>
      </c>
      <c r="CX98" s="54" t="s">
        <v>15</v>
      </c>
      <c r="CY98" s="54" t="s">
        <v>16</v>
      </c>
      <c r="CZ98" s="55"/>
      <c r="DA98" s="54" t="s">
        <v>14</v>
      </c>
      <c r="DB98" s="54" t="s">
        <v>15</v>
      </c>
      <c r="DC98" s="54" t="s">
        <v>16</v>
      </c>
      <c r="DD98" s="56"/>
      <c r="DE98" s="54" t="s">
        <v>14</v>
      </c>
      <c r="DF98" s="54" t="s">
        <v>15</v>
      </c>
      <c r="DG98" s="54" t="s">
        <v>16</v>
      </c>
      <c r="DH98" s="55"/>
      <c r="DI98" s="54" t="s">
        <v>14</v>
      </c>
      <c r="DJ98" s="54" t="s">
        <v>15</v>
      </c>
      <c r="DK98" s="54" t="s">
        <v>16</v>
      </c>
      <c r="DL98" s="56"/>
      <c r="DM98" s="54" t="s">
        <v>14</v>
      </c>
      <c r="DN98" s="54" t="s">
        <v>15</v>
      </c>
      <c r="DO98" s="54" t="s">
        <v>16</v>
      </c>
      <c r="DP98" s="55"/>
      <c r="DQ98" s="54" t="s">
        <v>14</v>
      </c>
      <c r="DR98" s="54" t="s">
        <v>15</v>
      </c>
      <c r="DS98" s="54" t="s">
        <v>16</v>
      </c>
      <c r="DT98" s="56"/>
      <c r="DU98" s="54" t="s">
        <v>14</v>
      </c>
      <c r="DV98" s="54" t="s">
        <v>15</v>
      </c>
      <c r="DW98" s="54" t="s">
        <v>16</v>
      </c>
      <c r="DX98" s="55"/>
      <c r="DY98" s="54" t="s">
        <v>14</v>
      </c>
      <c r="DZ98" s="54" t="s">
        <v>15</v>
      </c>
      <c r="EA98" s="54" t="s">
        <v>16</v>
      </c>
      <c r="EB98" s="56"/>
      <c r="EC98" s="54" t="s">
        <v>14</v>
      </c>
      <c r="ED98" s="54" t="s">
        <v>15</v>
      </c>
      <c r="EE98" s="54" t="s">
        <v>16</v>
      </c>
      <c r="EF98" s="55"/>
      <c r="EG98" s="54" t="s">
        <v>14</v>
      </c>
      <c r="EH98" s="54" t="s">
        <v>15</v>
      </c>
      <c r="EI98" s="54" t="s">
        <v>16</v>
      </c>
      <c r="EJ98" s="56"/>
      <c r="EK98" s="54" t="s">
        <v>14</v>
      </c>
      <c r="EL98" s="54" t="s">
        <v>15</v>
      </c>
      <c r="EM98" s="54" t="s">
        <v>16</v>
      </c>
      <c r="EN98" s="55"/>
      <c r="EO98" s="54" t="s">
        <v>14</v>
      </c>
      <c r="EP98" s="54" t="s">
        <v>15</v>
      </c>
      <c r="EQ98" s="54" t="s">
        <v>16</v>
      </c>
      <c r="ER98" s="56"/>
      <c r="ES98" s="54" t="s">
        <v>14</v>
      </c>
      <c r="ET98" s="54" t="s">
        <v>15</v>
      </c>
      <c r="EU98" s="54" t="s">
        <v>16</v>
      </c>
      <c r="EV98" s="55"/>
      <c r="EW98" s="54" t="s">
        <v>14</v>
      </c>
      <c r="EX98" s="54" t="s">
        <v>15</v>
      </c>
      <c r="EY98" s="54" t="s">
        <v>16</v>
      </c>
      <c r="EZ98" s="56"/>
      <c r="FA98" s="56"/>
      <c r="FB98" s="54" t="s">
        <v>14</v>
      </c>
      <c r="FC98" s="54" t="s">
        <v>15</v>
      </c>
      <c r="FD98" s="54" t="s">
        <v>16</v>
      </c>
      <c r="FE98" s="55"/>
      <c r="FF98" s="54" t="s">
        <v>14</v>
      </c>
      <c r="FG98" s="54" t="s">
        <v>15</v>
      </c>
      <c r="FH98" s="54" t="s">
        <v>16</v>
      </c>
      <c r="FI98" s="56"/>
      <c r="FJ98" s="56"/>
      <c r="FK98" s="54" t="s">
        <v>14</v>
      </c>
      <c r="FL98" s="54" t="s">
        <v>15</v>
      </c>
      <c r="FM98" s="54" t="s">
        <v>16</v>
      </c>
      <c r="FN98" s="55"/>
      <c r="FO98" s="54" t="s">
        <v>14</v>
      </c>
      <c r="FP98" s="54" t="s">
        <v>15</v>
      </c>
      <c r="FQ98" s="54" t="s">
        <v>16</v>
      </c>
    </row>
    <row r="99" spans="1:173" ht="13" x14ac:dyDescent="0.3">
      <c r="A99" s="74" t="s">
        <v>36</v>
      </c>
      <c r="B99" s="74"/>
      <c r="C99" s="8">
        <f t="shared" ref="C99:C119" si="2">AVERAGE(E4:E5)</f>
        <v>475000000</v>
      </c>
      <c r="D99" s="19">
        <f>V114</f>
        <v>0.35416666666666663</v>
      </c>
      <c r="E99" s="18">
        <f>COUNTIFS(E2:E25,"&lt;375000000",F2:F25,F2)</f>
        <v>2</v>
      </c>
      <c r="F99" s="7">
        <f>COUNTIFS(E2:E25,"&lt;375000000",F2:F25,F5)</f>
        <v>0</v>
      </c>
      <c r="G99" s="7">
        <f>COUNTIFS(E2:E25,"&lt;375000000",F2:F25,F20)</f>
        <v>0</v>
      </c>
      <c r="I99" s="7">
        <f>COUNTIFS(E2:E25,"&gt;375000000",F2:F25,F2)</f>
        <v>5</v>
      </c>
      <c r="J99" s="7">
        <f>COUNTIFS(E2:E25,"&gt;375000000",F2:F25,F5)</f>
        <v>9</v>
      </c>
      <c r="K99" s="7">
        <f>COUNTIFS(E2:E25,"&gt;375000000",F2:F25,F20)</f>
        <v>8</v>
      </c>
      <c r="M99" s="7">
        <f>COUNTIFS(E2:E25,"&lt;425000000",F2:F25,F2)</f>
        <v>4</v>
      </c>
      <c r="N99" s="7">
        <f>COUNTIFS(E2:E25,"&lt;425000000",F2:F25,F5)</f>
        <v>0</v>
      </c>
      <c r="O99" s="7">
        <f>COUNTIFS(E2:E25,"&lt;425000000",F2:F25,F20)</f>
        <v>0</v>
      </c>
      <c r="Q99" s="7">
        <f>COUNTIFS(E2:E25,"&gt;425000000",F2:F25,F2)</f>
        <v>2</v>
      </c>
      <c r="R99" s="7">
        <f>COUNTIFS(E2:E25,"&gt;425000000",F2:F25,F5)</f>
        <v>9</v>
      </c>
      <c r="S99" s="7">
        <f>COUNTIFS(E2:E25,"&gt;425000000",F2:F25,F20)</f>
        <v>8</v>
      </c>
      <c r="U99" s="7">
        <f>COUNTIFS(E2:E25,"&lt;475000000",F2:F25,F2)</f>
        <v>7</v>
      </c>
      <c r="V99" s="7">
        <f>COUNTIFS(E2:E25,"&lt;475000000",F2:F25,F5)</f>
        <v>0</v>
      </c>
      <c r="W99" s="7">
        <f>COUNTIFS(E2:E25,"&lt;475000000",F2:F25,F20)</f>
        <v>0</v>
      </c>
      <c r="Y99" s="7">
        <f>COUNTIFS(E2:E25,"&gt;475000000",F2:F25,F2)</f>
        <v>0</v>
      </c>
      <c r="Z99" s="7">
        <f>COUNTIFS(E2:E25,"&gt;475000000",F2:F25,F5)</f>
        <v>8</v>
      </c>
      <c r="AA99" s="7">
        <f>COUNTIFS(E2:E25,"&gt;475000000",F2:F25,F20)</f>
        <v>8</v>
      </c>
      <c r="AC99" s="7">
        <f>COUNTIFS(E2:E25,"&lt;550000000",F2:F25,F2)</f>
        <v>7</v>
      </c>
      <c r="AD99" s="7">
        <f>COUNTIFS(E2:E25,"&lt;550000000",F2:F25,F5)</f>
        <v>4</v>
      </c>
      <c r="AE99" s="7">
        <f>COUNTIFS(E2:E25,"&lt;550000000",F2:F25,F20)</f>
        <v>0</v>
      </c>
      <c r="AG99" s="7">
        <f>COUNTIFS(E2:E25,"&gt;550000000",F2:F25,F2)</f>
        <v>0</v>
      </c>
      <c r="AH99" s="7">
        <f>COUNTIFS(E2:E25,"&gt;550000000",F2:F25,F5)</f>
        <v>5</v>
      </c>
      <c r="AI99" s="7">
        <f>COUNTIFS(E2:E25,"&gt;550000000",F2:F25,F20)</f>
        <v>8</v>
      </c>
      <c r="AK99" s="7">
        <f>COUNTIFS(E2:E25,"&lt;675000000",F2:F25,F2)</f>
        <v>7</v>
      </c>
      <c r="AL99" s="7">
        <f>COUNTIFS(E2:E25,"&lt;675000000",F2:F25,F5)</f>
        <v>7</v>
      </c>
      <c r="AM99" s="7">
        <f>COUNTIFS(E2:E25,"&lt;675000000",F2:F25,F20)</f>
        <v>1</v>
      </c>
      <c r="AO99" s="7">
        <f>COUNTIFS(E2:E25,"&gt;675000000",F2:F25,F2)</f>
        <v>0</v>
      </c>
      <c r="AP99" s="7">
        <f>COUNTIFS(E2:E25,"&gt;675000000",F2:F25,F5)</f>
        <v>2</v>
      </c>
      <c r="AQ99" s="7">
        <f>COUNTIFS(E2:E25,"&gt;675000000",F2:F25,F20)</f>
        <v>7</v>
      </c>
      <c r="AS99" s="7">
        <f>COUNTIFS(E2:E25,"&lt;525000000",F2:F25,F2)</f>
        <v>7</v>
      </c>
      <c r="AT99" s="7">
        <f>COUNTIFS(E2:E25,"&lt;525000000",F2:F25,F5)</f>
        <v>4</v>
      </c>
      <c r="AU99" s="7">
        <f>COUNTIFS(E2:E25,"&lt;525000000",F2:F25,F20)</f>
        <v>0</v>
      </c>
      <c r="AW99" s="7">
        <f>COUNTIFS(E2:E25,"&gt;525000000",F2:F25,F2)</f>
        <v>0</v>
      </c>
      <c r="AX99" s="7">
        <f>COUNTIFS(E2:E25,"&gt;525000000",F2:F25,F5)</f>
        <v>5</v>
      </c>
      <c r="AY99" s="7">
        <f>COUNTIFS(E2:E25,"&gt;525000000",F2:F25,F20)</f>
        <v>8</v>
      </c>
      <c r="BA99" s="7">
        <f>COUNTIFS(E2:E25,"&lt;350000000",F2:F25,F2)</f>
        <v>1</v>
      </c>
      <c r="BB99" s="7">
        <f>COUNTIFS(E2:E25,"&lt;350000000",F2:F25,F5)</f>
        <v>0</v>
      </c>
      <c r="BC99" s="7">
        <f>COUNTIFS(E2:E25,"&lt;350000000",F2:F25,F20)</f>
        <v>0</v>
      </c>
      <c r="BE99" s="7">
        <f>COUNTIFS(E2:E25,"&gt;350000000",F2:F25,F2)</f>
        <v>5</v>
      </c>
      <c r="BF99" s="7">
        <f>COUNTIFS(E2:E25,"&gt;350000000",F2:F25,F5)</f>
        <v>9</v>
      </c>
      <c r="BG99" s="7">
        <f>COUNTIFS(E2:E25,"&gt;350000000",F2:F25,F20)</f>
        <v>8</v>
      </c>
      <c r="BI99" s="7">
        <f>COUNTIFS(E2:E25,"&lt;437000000",F2:F25,F2)</f>
        <v>5</v>
      </c>
      <c r="BJ99" s="7">
        <f>COUNTIFS(E2:E25,"&lt;437000000",F2:F25,F5)</f>
        <v>0</v>
      </c>
      <c r="BK99" s="7">
        <f>COUNTIFS(E2:E25,"&lt;437000000",F2:F25,F20)</f>
        <v>0</v>
      </c>
      <c r="BM99" s="7">
        <f>COUNTIFS(E2:E25,"&gt;437000000",F2:F25,F2)</f>
        <v>2</v>
      </c>
      <c r="BN99" s="7">
        <f>COUNTIFS(E2:E25,"&gt;437000000",F2:F25,F5)</f>
        <v>9</v>
      </c>
      <c r="BO99" s="7">
        <f>COUNTIFS(E2:E25,"&gt;437000000",F2:F25,F20)</f>
        <v>8</v>
      </c>
      <c r="BQ99" s="7">
        <f>COUNTIFS(E2:E25,"&lt;450000000",F2:F25,F2)</f>
        <v>5</v>
      </c>
      <c r="BR99" s="7">
        <f>COUNTIFS(E2:E25,"&lt;450000000",F2:F25,F5)</f>
        <v>0</v>
      </c>
      <c r="BS99" s="7">
        <f>COUNTIFS(E2:E25,"&lt;450000000",F2:F25,F20)</f>
        <v>0</v>
      </c>
      <c r="BU99" s="7">
        <f>COUNTIFS(E2:E25,"&gt;450000000",F2:F25,F2)</f>
        <v>0</v>
      </c>
      <c r="BV99" s="7">
        <f>COUNTIFS(E2:E25,"&gt;450000000",F2:F25,F5)</f>
        <v>9</v>
      </c>
      <c r="BW99" s="7">
        <f>COUNTIFS(E2:E25,"&gt;450000000",F2:F25,F20)</f>
        <v>8</v>
      </c>
      <c r="BY99" s="7">
        <f>COUNTIFS(E2:E25,"&lt;487000000",F2:F25,F2)</f>
        <v>7</v>
      </c>
      <c r="BZ99" s="7">
        <f>COUNTIFS(E2:E25,"&lt;487000000",F2:F25,F5)</f>
        <v>1</v>
      </c>
      <c r="CA99" s="7">
        <f>COUNTIFS(E2:E25,"&lt;487000000",F2:F25,F20)</f>
        <v>0</v>
      </c>
      <c r="CC99" s="7">
        <f>COUNTIFS(E2:E25,"&gt;487000000",F2:F25,F2)</f>
        <v>0</v>
      </c>
      <c r="CD99" s="7">
        <f>COUNTIFS(E2:E25,"&gt;487000000",F2:F25,F5)</f>
        <v>8</v>
      </c>
      <c r="CE99" s="7">
        <f>COUNTIFS(E2:E25,"&gt;487000000",F2:F25,F20)</f>
        <v>8</v>
      </c>
      <c r="CG99" s="7">
        <f>COUNTIFS(E2:E25,"&lt;650000000",F2:F25,F2)</f>
        <v>7</v>
      </c>
      <c r="CH99" s="7">
        <f>COUNTIFS(E2:E25,"&lt;650000000",F2:F25,F5)</f>
        <v>7</v>
      </c>
      <c r="CI99" s="7">
        <f>COUNTIFS(E2:E25,"&lt;650000000",F2:F25,F20)</f>
        <v>1</v>
      </c>
      <c r="CK99" s="7">
        <f>COUNTIFS(E2:E25,"&gt;650000000",F2:F25,F2)</f>
        <v>0</v>
      </c>
      <c r="CL99" s="7">
        <f>COUNTIFS(E2:E25,"&gt;650000000",F2:F25,F5)</f>
        <v>2</v>
      </c>
      <c r="CM99" s="7">
        <f>COUNTIFS(E2:E25,"&gt;650000000",F2:F25,F20)</f>
        <v>7</v>
      </c>
      <c r="CO99" s="7">
        <f>COUNTIFS(E2:E25,"&lt;687000000",F2:F25,F2)</f>
        <v>7</v>
      </c>
      <c r="CP99" s="7">
        <f>COUNTIFS(E2:E25,"&lt;687000000",F2:F25,F5)</f>
        <v>7</v>
      </c>
      <c r="CQ99" s="7">
        <f>COUNTIFS(E2:E25,"&lt;687000000",F2:F25,F20)</f>
        <v>1</v>
      </c>
      <c r="CS99" s="7">
        <f>COUNTIFS(E2:E25,"&gt;687000000",F2:F25,F2)</f>
        <v>0</v>
      </c>
      <c r="CT99" s="7">
        <f>COUNTIFS(E2:E25,"&gt;687000000",F2:F25,F5)</f>
        <v>2</v>
      </c>
      <c r="CU99" s="7">
        <f>COUNTIFS(E2:E25,"&gt;687000000",F2:F25,F20)</f>
        <v>7</v>
      </c>
      <c r="CW99" s="7">
        <f>COUNTIFS(E2:E25,"&lt;537000000",F2:F25,F2)</f>
        <v>7</v>
      </c>
      <c r="CX99" s="7">
        <f>COUNTIFS(E2:E25,"&lt;537000000",F2:F25,F5)</f>
        <v>4</v>
      </c>
      <c r="CY99" s="7">
        <f>COUNTIFS(E2:E25,"&lt;537000000",F2:F25,F20)</f>
        <v>0</v>
      </c>
      <c r="DA99" s="7">
        <f>COUNTIFS(E2:E25,"&gt;537000000",F2:F25,F2)</f>
        <v>0</v>
      </c>
      <c r="DB99" s="7">
        <f>COUNTIFS(E2:E25,"&gt;537000000",F2:F25,F5)</f>
        <v>5</v>
      </c>
      <c r="DC99" s="7">
        <f>COUNTIFS(E2:E25,"&gt;537000000",F2:F25,F20)</f>
        <v>8</v>
      </c>
      <c r="DE99" s="7">
        <f>COUNTIFS(E2:E25,"&lt;562000000",F2:F25,F2)</f>
        <v>7</v>
      </c>
      <c r="DF99" s="7">
        <f>COUNTIFS(E2:E25,"&lt;562000000",F2:F25,F5)</f>
        <v>4</v>
      </c>
      <c r="DG99" s="7">
        <f>COUNTIFS(E2:E25,"&lt;562000000",F2:F25,F20)</f>
        <v>0</v>
      </c>
      <c r="DI99" s="7">
        <f>COUNTIFS(E2:E25,"&gt;562000000",F2:F25,F2)</f>
        <v>0</v>
      </c>
      <c r="DJ99" s="7">
        <f>COUNTIFS(E2:E25,"&gt;562000000",F2:F25,F5)</f>
        <v>5</v>
      </c>
      <c r="DK99" s="7">
        <f>COUNTIFS(E2:E25,"&gt;562000000",F2:F25,F20)</f>
        <v>8</v>
      </c>
      <c r="DM99" s="7">
        <f>COUNTIFS(E2:E25,"&lt;612000000",F2:F25,F2)</f>
        <v>7</v>
      </c>
      <c r="DN99" s="7">
        <f>COUNTIFS(E2:E25,"&lt;612000000",F2:F25,F5)</f>
        <v>7</v>
      </c>
      <c r="DO99" s="7">
        <f>COUNTIFS(E2:E25,"&lt;612000000",F2:F25,F20)</f>
        <v>0</v>
      </c>
      <c r="DQ99" s="7">
        <f>COUNTIFS(E2:E25,"&gt;612000000",F2:F25,F2)</f>
        <v>0</v>
      </c>
      <c r="DR99" s="7">
        <f>COUNTIFS(E2:E25,"&gt;612000000",F2:F25,F5)</f>
        <v>2</v>
      </c>
      <c r="DS99" s="7">
        <f>COUNTIFS(E2:E25,"&gt;612000000",F2:F25,F20)</f>
        <v>8</v>
      </c>
      <c r="DU99" s="7">
        <f>COUNTIFS(E2:E25,"&lt;750000000",F2:F25,F2)</f>
        <v>7</v>
      </c>
      <c r="DV99" s="7">
        <f>COUNTIFS(E2:E25,"&lt;750000000",F2:F25,F5)</f>
        <v>8</v>
      </c>
      <c r="DW99" s="7">
        <f>COUNTIFS(E2:E25,"&lt;750000000",F2:F25,F20)</f>
        <v>1</v>
      </c>
      <c r="DY99" s="7">
        <f>COUNTIFS(E2:E25,"&gt;750000000",F2:F25,F2)</f>
        <v>0</v>
      </c>
      <c r="DZ99" s="7">
        <f>COUNTIFS(E2:E25,"&gt;750000000",F2:F25,F5)</f>
        <v>1</v>
      </c>
      <c r="EA99" s="7">
        <f>COUNTIFS(E2:E25,"&gt;750000000",F2:F25,F20)</f>
        <v>6</v>
      </c>
      <c r="EC99" s="7">
        <f>COUNTIFS(E2:E25,"&lt;810000000",F2:F25,F2)</f>
        <v>7</v>
      </c>
      <c r="ED99" s="7">
        <f>COUNTIFS(E2:E25,"&lt;810000000",F2:F25,F5)</f>
        <v>9</v>
      </c>
      <c r="EE99" s="7">
        <f>COUNTIFS(E2:E25,"&lt;810000000",F2:F25,F20)</f>
        <v>3</v>
      </c>
      <c r="EG99" s="7">
        <f>COUNTIFS(E2:E25,"&gt;810000000",F2:F25,F2)</f>
        <v>0</v>
      </c>
      <c r="EH99" s="7">
        <f>COUNTIFS(E2:E25,"&gt;810000000",F2:F25,F5)</f>
        <v>0</v>
      </c>
      <c r="EI99" s="7">
        <f>COUNTIFS(E2:E25,"&gt;810000000",F2:F25,F20)</f>
        <v>5</v>
      </c>
      <c r="EK99" s="7">
        <f>COUNTIFS(E2:E25,"&lt;835000000",F2:F25,F2)</f>
        <v>7</v>
      </c>
      <c r="EL99" s="7">
        <f>COUNTIFS(E2:E25,"&lt;835000000",F2:F25,F5)</f>
        <v>9</v>
      </c>
      <c r="EM99" s="7">
        <f>COUNTIFS(E2:E25,"&lt;835000000",F2:F25,F20)</f>
        <v>4</v>
      </c>
      <c r="EO99" s="7">
        <f>COUNTIFS(E2:E25,"&gt;835000000",F2:F25,F2)</f>
        <v>0</v>
      </c>
      <c r="EP99" s="7">
        <f>COUNTIFS(E2:E25,"&gt;835000000",F2:F25,F5)</f>
        <v>0</v>
      </c>
      <c r="EQ99" s="7">
        <f>COUNTIFS(E2:E25,"&gt;835000000",F2:F25,F20)</f>
        <v>4</v>
      </c>
      <c r="ES99" s="7">
        <f>COUNTIFS(E2:E25,"&lt;925000000",F2:F25,F2)</f>
        <v>7</v>
      </c>
      <c r="ET99" s="7">
        <f>COUNTIFS(E2:E25,"&lt;925000000",F2:F25,F5)</f>
        <v>9</v>
      </c>
      <c r="EU99" s="7">
        <f>COUNTIFS(E2:E25,"&lt;925000000",F2:F25,F20)</f>
        <v>7</v>
      </c>
      <c r="EW99" s="7">
        <f>COUNTIFS(E2:E25,"&gt;925000000",F2:F25,F2)</f>
        <v>0</v>
      </c>
      <c r="EX99" s="7">
        <f>COUNTIFS(E2:E25,"&gt;925000000",F2:F25,F5)</f>
        <v>0</v>
      </c>
      <c r="EY99" s="7">
        <f>COUNTIFS(E2:E25,"&gt;925000000",F2:F25,F20)</f>
        <v>1</v>
      </c>
      <c r="FB99" s="7">
        <f>COUNTIFS(E2:E25,"&lt;865000000",F2:F25,F2)</f>
        <v>7</v>
      </c>
      <c r="FC99" s="7">
        <f>COUNTIFS(E2:E25,"&lt;865000000",F2:F25,F5)</f>
        <v>9</v>
      </c>
      <c r="FD99" s="7">
        <f>COUNTIFS(E2:E25,"&lt;865000000",F2:F25,F20)</f>
        <v>5</v>
      </c>
      <c r="FF99" s="7">
        <f>COUNTIFS(E2:E25,"&gt;865000000",F2:F25,F2)</f>
        <v>0</v>
      </c>
      <c r="FG99" s="7">
        <f>COUNTIFS(E2:E25,"&gt;865000000",F2:F25,F5)</f>
        <v>0</v>
      </c>
      <c r="FH99" s="7">
        <f>COUNTIFS(E2:E25,"&gt;865000000",F2:F25,F20)</f>
        <v>3</v>
      </c>
      <c r="FK99" s="7">
        <f>COUNTIFS(E2:E25,"&lt;890000000",F2:F25,F2)</f>
        <v>7</v>
      </c>
      <c r="FL99" s="7">
        <f>COUNTIFS(E2:E25,"&lt;890000000",F2:F25,F5)</f>
        <v>9</v>
      </c>
      <c r="FM99" s="7">
        <f>COUNTIFS(E2:E25,"&lt;890000000",F2:F25,F20)</f>
        <v>6</v>
      </c>
      <c r="FO99" s="7">
        <f>COUNTIFS(E2:E25,"&gt;890000000",F2:F25,F2)</f>
        <v>0</v>
      </c>
      <c r="FP99" s="7">
        <f>COUNTIFS(E2:E25,"&gt;890000000",F2:F25,F5)</f>
        <v>0</v>
      </c>
      <c r="FQ99" s="7">
        <f>COUNTIFS(E2:E25,"&gt;890000000",F2:F25,F20)</f>
        <v>2</v>
      </c>
    </row>
    <row r="100" spans="1:173" ht="13" x14ac:dyDescent="0.3">
      <c r="A100" s="74" t="s">
        <v>37</v>
      </c>
      <c r="B100" s="74"/>
      <c r="C100" s="8">
        <f t="shared" si="2"/>
        <v>550000000</v>
      </c>
      <c r="D100" s="19">
        <f>AD114</f>
        <v>0.48737917094560451</v>
      </c>
    </row>
    <row r="101" spans="1:173" ht="13" x14ac:dyDescent="0.3">
      <c r="A101" s="74" t="s">
        <v>38</v>
      </c>
      <c r="B101" s="74"/>
      <c r="C101" s="8">
        <f t="shared" si="2"/>
        <v>675000000</v>
      </c>
      <c r="D101" s="19">
        <f>AL114</f>
        <v>0.41917695473251015</v>
      </c>
      <c r="E101" s="16" t="s">
        <v>99</v>
      </c>
      <c r="M101" s="16" t="s">
        <v>99</v>
      </c>
      <c r="U101" s="16" t="s">
        <v>99</v>
      </c>
      <c r="AC101" s="16" t="s">
        <v>99</v>
      </c>
      <c r="AK101" s="16" t="s">
        <v>99</v>
      </c>
      <c r="AS101" s="16" t="s">
        <v>99</v>
      </c>
      <c r="BA101" s="16" t="s">
        <v>99</v>
      </c>
      <c r="BI101" s="16" t="s">
        <v>99</v>
      </c>
      <c r="BQ101" s="16" t="s">
        <v>99</v>
      </c>
      <c r="BY101" s="16" t="s">
        <v>99</v>
      </c>
      <c r="CG101" s="16" t="s">
        <v>99</v>
      </c>
      <c r="CO101" s="16" t="s">
        <v>99</v>
      </c>
      <c r="CW101" s="16" t="s">
        <v>99</v>
      </c>
      <c r="DE101" s="16" t="s">
        <v>99</v>
      </c>
      <c r="DM101" s="16" t="s">
        <v>99</v>
      </c>
      <c r="DU101" s="16" t="s">
        <v>99</v>
      </c>
      <c r="EC101" s="16" t="s">
        <v>99</v>
      </c>
      <c r="EK101" s="16" t="s">
        <v>99</v>
      </c>
      <c r="ES101" s="16" t="s">
        <v>99</v>
      </c>
      <c r="FB101" s="16" t="s">
        <v>99</v>
      </c>
      <c r="FK101" s="16" t="s">
        <v>99</v>
      </c>
    </row>
    <row r="102" spans="1:173" ht="15" x14ac:dyDescent="0.3">
      <c r="A102" s="74" t="s">
        <v>39</v>
      </c>
      <c r="B102" s="74"/>
      <c r="C102" s="8">
        <f t="shared" si="2"/>
        <v>525000000</v>
      </c>
      <c r="D102" s="19">
        <f>AT114</f>
        <v>0.48737917094560451</v>
      </c>
      <c r="E102" s="14" t="s">
        <v>62</v>
      </c>
      <c r="F102" s="1" t="s">
        <v>223</v>
      </c>
      <c r="M102" s="14" t="s">
        <v>62</v>
      </c>
      <c r="N102" s="1" t="s">
        <v>227</v>
      </c>
      <c r="U102" s="14" t="s">
        <v>62</v>
      </c>
      <c r="V102" s="1" t="s">
        <v>235</v>
      </c>
      <c r="AC102" s="14" t="s">
        <v>62</v>
      </c>
      <c r="AD102" s="1" t="s">
        <v>239</v>
      </c>
      <c r="AK102" s="14" t="s">
        <v>62</v>
      </c>
      <c r="AL102" s="1" t="s">
        <v>169</v>
      </c>
      <c r="AS102" s="14" t="s">
        <v>62</v>
      </c>
      <c r="AT102" s="1" t="s">
        <v>246</v>
      </c>
      <c r="BA102" s="14" t="s">
        <v>62</v>
      </c>
      <c r="BB102" s="1" t="s">
        <v>251</v>
      </c>
      <c r="BI102" s="14" t="s">
        <v>62</v>
      </c>
      <c r="BJ102" s="1" t="s">
        <v>256</v>
      </c>
      <c r="BQ102" s="14" t="s">
        <v>62</v>
      </c>
      <c r="BR102" s="1" t="s">
        <v>261</v>
      </c>
      <c r="BY102" s="14" t="s">
        <v>62</v>
      </c>
      <c r="BZ102" s="1" t="s">
        <v>266</v>
      </c>
      <c r="CG102" s="14" t="s">
        <v>62</v>
      </c>
      <c r="CH102" s="1" t="s">
        <v>169</v>
      </c>
      <c r="CO102" s="14" t="s">
        <v>62</v>
      </c>
      <c r="CP102" s="1" t="s">
        <v>169</v>
      </c>
      <c r="CW102" s="14" t="s">
        <v>62</v>
      </c>
      <c r="CX102" s="1" t="s">
        <v>239</v>
      </c>
      <c r="DE102" s="14" t="s">
        <v>62</v>
      </c>
      <c r="DF102" s="1" t="s">
        <v>239</v>
      </c>
      <c r="DM102" s="14" t="s">
        <v>62</v>
      </c>
      <c r="DN102" s="1" t="s">
        <v>279</v>
      </c>
      <c r="DU102" s="14" t="s">
        <v>62</v>
      </c>
      <c r="DV102" s="1" t="s">
        <v>284</v>
      </c>
      <c r="EC102" s="14" t="s">
        <v>62</v>
      </c>
      <c r="ED102" s="1" t="s">
        <v>289</v>
      </c>
      <c r="EK102" s="14" t="s">
        <v>62</v>
      </c>
      <c r="EL102" s="1" t="s">
        <v>294</v>
      </c>
      <c r="ES102" s="14" t="s">
        <v>62</v>
      </c>
      <c r="ET102" s="1" t="s">
        <v>299</v>
      </c>
      <c r="FB102" s="14" t="s">
        <v>62</v>
      </c>
      <c r="FC102" s="1" t="s">
        <v>305</v>
      </c>
      <c r="FK102" s="14" t="s">
        <v>62</v>
      </c>
      <c r="FL102" s="1" t="s">
        <v>310</v>
      </c>
    </row>
    <row r="103" spans="1:173" ht="15" x14ac:dyDescent="0.3">
      <c r="A103" s="74" t="s">
        <v>40</v>
      </c>
      <c r="B103" s="74"/>
      <c r="C103" s="8">
        <f t="shared" si="2"/>
        <v>350000000</v>
      </c>
      <c r="D103" s="19">
        <f>BB114</f>
        <v>0.49147727272727271</v>
      </c>
      <c r="E103" s="17" t="s">
        <v>62</v>
      </c>
      <c r="F103">
        <f>1-(E99/(E99+F99+G99))^2-(J99/(I99+J99+K99))^2-(K99/(I99+J99+K99))^2</f>
        <v>-0.29958677685950419</v>
      </c>
      <c r="H103" s="15"/>
      <c r="M103" s="17" t="s">
        <v>62</v>
      </c>
      <c r="N103">
        <f>1-(M99/(M99+N99+O99))^2-(R99/(Q99+R99+S99))^2-(S99/(Q99+R99+S99))^2</f>
        <v>-0.40166204986149578</v>
      </c>
      <c r="P103" s="15"/>
      <c r="U103" s="17" t="s">
        <v>62</v>
      </c>
      <c r="V103">
        <f>1-(U99/(U99+V99+W99))^2-(Z99/(Y99+Z99+AA99))^2-(AA99/(Y99+Z99+AA99))^2</f>
        <v>-0.5</v>
      </c>
      <c r="X103" s="15"/>
      <c r="AC103" s="17" t="s">
        <v>62</v>
      </c>
      <c r="AD103">
        <f>1-(AC99/(AC99+AD99+AE99))^2-(AH99/(AG99+AH99+AI99))^2-(AI99/(AG99+AH99+AI99))^2</f>
        <v>6.8414103379138336E-2</v>
      </c>
      <c r="AF103" s="15"/>
      <c r="AK103" s="17" t="s">
        <v>62</v>
      </c>
      <c r="AL103">
        <f>1-(AK99/(AK99+AL99+AM99))^2-(AP99/(AO99+AP99+AQ99))^2-(AQ99/(AO99+AP99+AQ99))^2</f>
        <v>0.12790123456790115</v>
      </c>
      <c r="AN103" s="15"/>
      <c r="AS103" s="17" t="s">
        <v>62</v>
      </c>
      <c r="AT103">
        <f>1-(AS99/(AS99+AT99+AU99))^2-(AX99/(AW99+AX99+AY99))^2-(AY99/(AW99+AX99+AY99))^2</f>
        <v>6.8414103379138336E-2</v>
      </c>
      <c r="AV103" s="15"/>
      <c r="BA103" s="17" t="s">
        <v>62</v>
      </c>
      <c r="BB103">
        <f>1-(BA99/(BA99+BB99+BC99))^2-(BF99/(BE99+BF99+BG99))^2-(BG99/(BE99+BF99+BG99))^2</f>
        <v>-0.29958677685950419</v>
      </c>
      <c r="BD103" s="15"/>
      <c r="BI103" s="17" t="s">
        <v>62</v>
      </c>
      <c r="BJ103">
        <f>1-(BI99/(BI99+BJ99+BK99))^2-(BN99/(BM99+BN99+BO99))^2-(BO99/(BM99+BN99+BO99))^2</f>
        <v>-0.40166204986149578</v>
      </c>
      <c r="BL103" s="15"/>
      <c r="BQ103" s="17" t="s">
        <v>62</v>
      </c>
      <c r="BR103">
        <f>1-(BQ99/(BQ99+BR99+BS99))^2-(BV99/(BU99+BV99+BW99))^2-(BW99/(BU99+BV99+BW99))^2</f>
        <v>-0.5017301038062284</v>
      </c>
      <c r="BT103" s="15"/>
      <c r="BY103" s="17" t="s">
        <v>62</v>
      </c>
      <c r="BZ103">
        <f>1-(BY99/(BY99+BZ99+CA99))^2-(CD99/(CC99+CD99+CE99))^2-(CE99/(CC99+CD99+CE99))^2</f>
        <v>-0.265625</v>
      </c>
      <c r="CB103" s="15"/>
      <c r="CG103" s="17" t="s">
        <v>62</v>
      </c>
      <c r="CH103">
        <f>1-(CG99/(CG99+CH99+CI99))^2-(CL99/(CK99+CL99+CM99))^2-(CM99/(CK99+CL99+CM99))^2</f>
        <v>0.12790123456790115</v>
      </c>
      <c r="CJ103" s="15"/>
      <c r="CO103" s="17" t="s">
        <v>62</v>
      </c>
      <c r="CP103">
        <f>1-(CO99/(CO99+CP99+CQ99))^2-(CT99/(CS99+CT99+CU99))^2-(CU99/(CS99+CT99+CU99))^2</f>
        <v>0.12790123456790115</v>
      </c>
      <c r="CR103" s="15"/>
      <c r="CW103" s="17" t="s">
        <v>62</v>
      </c>
      <c r="CX103">
        <f>1-(CW99/(CW99+CX99+CY99))^2-(DB99/(DA99+DB99+DC99))^2-(DC99/(DA99+DB99+DC99))^2</f>
        <v>6.8414103379138336E-2</v>
      </c>
      <c r="CZ103" s="15"/>
      <c r="DE103" s="17" t="s">
        <v>62</v>
      </c>
      <c r="DF103">
        <f>1-(DE99/(DE99+DF99+DG99))^2-(DJ99/(DI99+DJ99+DK99))^2-(DK99/(DI99+DJ99+DK99))^2</f>
        <v>6.8414103379138336E-2</v>
      </c>
      <c r="DH103" s="15"/>
      <c r="DM103" s="17" t="s">
        <v>62</v>
      </c>
      <c r="DN103">
        <f>1-(DM99/(DM99+DN99+DO99))^2-(DR99/(DQ99+DR99+DS99))^2-(DS99/(DQ99+DR99+DS99))^2</f>
        <v>6.999999999999984E-2</v>
      </c>
      <c r="DP103" s="15"/>
      <c r="DU103" s="17" t="s">
        <v>62</v>
      </c>
      <c r="DV103">
        <f>1-(DU99/(DU99+DV99+DW99))^2-(DZ99/(DY99+DZ99+EA99))^2-(EA99/(DY99+DZ99+EA99))^2</f>
        <v>5.3491709183673519E-2</v>
      </c>
      <c r="DX103" s="15"/>
      <c r="EC103" s="17" t="s">
        <v>62</v>
      </c>
      <c r="ED103">
        <f>1-(EC99/(EC99+ED99+EE99))^2-(EH99/(EG99+EH99+EI99))^2-(EI99/(EG99+EH99+EI99))^2</f>
        <v>-0.1357340720221607</v>
      </c>
      <c r="EF103" s="15"/>
      <c r="EK103" s="17" t="s">
        <v>62</v>
      </c>
      <c r="EL103">
        <f>1-(EK99/(EK99+EL99+EM99))^2-(EP99/(EO99+EP99+EQ99))^2-(EQ99/(EO99+EP99+EQ99))^2</f>
        <v>-0.12249999999999994</v>
      </c>
      <c r="EN103" s="15"/>
      <c r="ES103" s="17" t="s">
        <v>62</v>
      </c>
      <c r="ET103">
        <f>1-(ES99/(ES99+ET99+EU99))^2-(EX99/(EW99+EX99+EY99))^2-(EY99/(EW99+EX99+EY99))^2</f>
        <v>-9.2627599243856329E-2</v>
      </c>
      <c r="EV103" s="15"/>
      <c r="FB103" s="17" t="s">
        <v>62</v>
      </c>
      <c r="FC103">
        <f>1-(FB99/(FB99+FC99+FD99))^2-(FG99/(FF99+FG99+FH99))^2-(FH99/(FF99+FG99+FH99))^2</f>
        <v>-0.11111111111111116</v>
      </c>
      <c r="FE103" s="15"/>
      <c r="FK103" s="17" t="s">
        <v>62</v>
      </c>
      <c r="FL103">
        <f>1-(FK99/(FK99+FL99+FM99))^2-(FP99/(FO99+FP99+FQ99))^2-(FQ99/(FO99+FP99+FQ99))^2</f>
        <v>-0.10123966942148765</v>
      </c>
      <c r="FN103" s="15"/>
    </row>
    <row r="104" spans="1:173" ht="13" x14ac:dyDescent="0.3">
      <c r="A104" s="74" t="s">
        <v>41</v>
      </c>
      <c r="B104" s="74"/>
      <c r="C104" s="8">
        <f t="shared" si="2"/>
        <v>425000000</v>
      </c>
      <c r="D104" s="19">
        <f>N114</f>
        <v>0.45879501385041555</v>
      </c>
      <c r="M104" s="6"/>
      <c r="U104" s="6"/>
      <c r="AC104" s="6"/>
      <c r="AK104" s="6"/>
      <c r="AS104" s="6"/>
      <c r="BA104" s="6"/>
      <c r="BI104" s="6"/>
      <c r="BQ104" s="6"/>
      <c r="BY104" s="6"/>
      <c r="CG104" s="6"/>
      <c r="CO104" s="6"/>
      <c r="CW104" s="6"/>
      <c r="DE104" s="6"/>
      <c r="DM104" s="6"/>
      <c r="DU104" s="6"/>
      <c r="EC104" s="6"/>
      <c r="EK104" s="6"/>
      <c r="ES104" s="6"/>
      <c r="FB104" s="6"/>
      <c r="FK104" s="6"/>
    </row>
    <row r="105" spans="1:173" ht="13" x14ac:dyDescent="0.3">
      <c r="A105" s="74" t="s">
        <v>42</v>
      </c>
      <c r="B105" s="74"/>
      <c r="C105" s="8">
        <f t="shared" si="2"/>
        <v>437500000</v>
      </c>
      <c r="D105" s="19">
        <f>BJ114</f>
        <v>0.44205909510618657</v>
      </c>
      <c r="E105" s="16" t="s">
        <v>100</v>
      </c>
      <c r="M105" s="16" t="s">
        <v>100</v>
      </c>
      <c r="U105" s="16" t="s">
        <v>100</v>
      </c>
      <c r="AC105" s="16" t="s">
        <v>100</v>
      </c>
      <c r="AK105" s="16" t="s">
        <v>100</v>
      </c>
      <c r="AS105" s="16" t="s">
        <v>100</v>
      </c>
      <c r="BA105" s="16" t="s">
        <v>100</v>
      </c>
      <c r="BI105" s="16" t="s">
        <v>100</v>
      </c>
      <c r="BQ105" s="16" t="s">
        <v>100</v>
      </c>
      <c r="BY105" s="16" t="s">
        <v>100</v>
      </c>
      <c r="CG105" s="16" t="s">
        <v>100</v>
      </c>
      <c r="CO105" s="16" t="s">
        <v>100</v>
      </c>
      <c r="CW105" s="16" t="s">
        <v>100</v>
      </c>
      <c r="DE105" s="16" t="s">
        <v>100</v>
      </c>
      <c r="DM105" s="16" t="s">
        <v>100</v>
      </c>
      <c r="DU105" s="16" t="s">
        <v>100</v>
      </c>
      <c r="EC105" s="16" t="s">
        <v>100</v>
      </c>
      <c r="EK105" s="16" t="s">
        <v>100</v>
      </c>
      <c r="ES105" s="16" t="s">
        <v>100</v>
      </c>
      <c r="FB105" s="16" t="s">
        <v>100</v>
      </c>
      <c r="FK105" s="16" t="s">
        <v>100</v>
      </c>
    </row>
    <row r="106" spans="1:173" ht="15" x14ac:dyDescent="0.3">
      <c r="A106" s="74" t="s">
        <v>43</v>
      </c>
      <c r="B106" s="74"/>
      <c r="C106" s="8">
        <f t="shared" si="2"/>
        <v>450000000</v>
      </c>
      <c r="D106" s="19">
        <f>BR114</f>
        <v>0.42733564013840819</v>
      </c>
      <c r="E106" s="17" t="s">
        <v>62</v>
      </c>
      <c r="F106" s="1" t="s">
        <v>224</v>
      </c>
      <c r="M106" s="17" t="s">
        <v>62</v>
      </c>
      <c r="N106" s="1" t="s">
        <v>228</v>
      </c>
      <c r="U106" s="17" t="s">
        <v>62</v>
      </c>
      <c r="V106" s="1" t="s">
        <v>236</v>
      </c>
      <c r="AC106" s="17" t="s">
        <v>62</v>
      </c>
      <c r="AD106" s="1" t="s">
        <v>240</v>
      </c>
      <c r="AK106" s="17" t="s">
        <v>62</v>
      </c>
      <c r="AL106" s="1" t="s">
        <v>170</v>
      </c>
      <c r="AS106" s="17" t="s">
        <v>62</v>
      </c>
      <c r="AT106" s="1" t="s">
        <v>247</v>
      </c>
      <c r="BA106" s="17" t="s">
        <v>62</v>
      </c>
      <c r="BB106" s="1" t="s">
        <v>252</v>
      </c>
      <c r="BI106" s="17" t="s">
        <v>62</v>
      </c>
      <c r="BJ106" s="1" t="s">
        <v>257</v>
      </c>
      <c r="BQ106" s="17" t="s">
        <v>62</v>
      </c>
      <c r="BR106" s="1" t="s">
        <v>262</v>
      </c>
      <c r="BY106" s="17" t="s">
        <v>62</v>
      </c>
      <c r="BZ106" s="1" t="s">
        <v>267</v>
      </c>
      <c r="CG106" s="17" t="s">
        <v>62</v>
      </c>
      <c r="CH106" s="1" t="s">
        <v>170</v>
      </c>
      <c r="CO106" s="17" t="s">
        <v>62</v>
      </c>
      <c r="CP106" s="1" t="s">
        <v>170</v>
      </c>
      <c r="CW106" s="17" t="s">
        <v>62</v>
      </c>
      <c r="CX106" s="1" t="s">
        <v>240</v>
      </c>
      <c r="DE106" s="17" t="s">
        <v>62</v>
      </c>
      <c r="DF106" s="1" t="s">
        <v>240</v>
      </c>
      <c r="DM106" s="17" t="s">
        <v>62</v>
      </c>
      <c r="DN106" s="1" t="s">
        <v>280</v>
      </c>
      <c r="DU106" s="17" t="s">
        <v>62</v>
      </c>
      <c r="DV106" s="1" t="s">
        <v>285</v>
      </c>
      <c r="EC106" s="17" t="s">
        <v>62</v>
      </c>
      <c r="ED106" s="1" t="s">
        <v>290</v>
      </c>
      <c r="EK106" s="17" t="s">
        <v>62</v>
      </c>
      <c r="EL106" s="1" t="s">
        <v>295</v>
      </c>
      <c r="ES106" s="17" t="s">
        <v>62</v>
      </c>
      <c r="ET106" s="1" t="s">
        <v>300</v>
      </c>
      <c r="FB106" s="17" t="s">
        <v>62</v>
      </c>
      <c r="FC106" s="1" t="s">
        <v>306</v>
      </c>
      <c r="FK106" s="17" t="s">
        <v>62</v>
      </c>
      <c r="FL106" s="1" t="s">
        <v>312</v>
      </c>
    </row>
    <row r="107" spans="1:173" ht="13" x14ac:dyDescent="0.3">
      <c r="A107" s="74" t="s">
        <v>44</v>
      </c>
      <c r="B107" s="74"/>
      <c r="C107" s="8">
        <f t="shared" si="2"/>
        <v>487500000</v>
      </c>
      <c r="D107" s="19">
        <f>BZ114</f>
        <v>0.44791666666666663</v>
      </c>
      <c r="E107" s="17" t="s">
        <v>62</v>
      </c>
      <c r="F107">
        <f>1-(F99/(E99+F99+G99))^2-(I99/(I99+J99+K99))^2-(K99/(I99+J99+K99))^2</f>
        <v>0.81611570247933884</v>
      </c>
      <c r="M107" s="17" t="s">
        <v>62</v>
      </c>
      <c r="N107">
        <f>1-(N99/(M99+N99+O99))^2-(Q99/(Q99+R99+S99))^2-(S99/(Q99+R99+S99))^2</f>
        <v>0.81163434903047094</v>
      </c>
      <c r="U107" s="17" t="s">
        <v>62</v>
      </c>
      <c r="V107">
        <f>1-(V99/(U99+V99+W99))^2-(Y99/(Y99+Z99+AA99))^2-(AA99/(Y99+Z99+AA99))^2</f>
        <v>0.75</v>
      </c>
      <c r="AC107" s="17" t="s">
        <v>62</v>
      </c>
      <c r="AD107">
        <f>1-(AD99/(AC99+AD99+AE99))^2-(AG99/(AG99+AH99+AI99))^2-(AI99/(AG99+AH99+AI99))^2</f>
        <v>0.48907037018925126</v>
      </c>
      <c r="AK107" s="17" t="s">
        <v>62</v>
      </c>
      <c r="AL107">
        <f>1-(AL99/(AK99+AL99+AM99))^2-(AO99/(AO99+AP99+AQ99))^2-(AQ99/(AO99+AP99+AQ99))^2</f>
        <v>0.17728395061728386</v>
      </c>
      <c r="AS107" s="17" t="s">
        <v>62</v>
      </c>
      <c r="AT107">
        <f>1-(AT99/(AS99+AT99+AU99))^2-(AW99/(AW99+AX99+AY99))^2-(AY99/(AW99+AX99+AY99))^2</f>
        <v>0.48907037018925126</v>
      </c>
      <c r="BA107" s="17" t="s">
        <v>62</v>
      </c>
      <c r="BB107">
        <f>1-(BB99/(BA99+BB99+BC99))^2-(BE99/(BE99+BF99+BG99))^2-(BG99/(BE99+BF99+BG99))^2</f>
        <v>0.81611570247933884</v>
      </c>
      <c r="BI107" s="17" t="s">
        <v>62</v>
      </c>
      <c r="BJ107">
        <f>1-(BJ99/(BI99+BJ99+BK99))^2-(BM99/(BM99+BN99+BO99))^2-(BO99/(BM99+BN99+BO99))^2</f>
        <v>0.81163434903047094</v>
      </c>
      <c r="BQ107" s="17" t="s">
        <v>62</v>
      </c>
      <c r="BR107">
        <f>1-(BR99/(BQ99+BR99+BS99))^2-(BU99/(BU99+BV99+BW99))^2-(BW99/(BU99+BV99+BW99))^2</f>
        <v>0.7785467128027681</v>
      </c>
      <c r="BY107" s="17" t="s">
        <v>62</v>
      </c>
      <c r="BZ107">
        <f>1-(BZ99/(BY99+BZ99+CA99))^2-(CC99/(CC99+CD99+CE99))^2-(CE99/(CC99+CD99+CE99))^2</f>
        <v>0.734375</v>
      </c>
      <c r="CG107" s="17" t="s">
        <v>62</v>
      </c>
      <c r="CH107">
        <f>1-(CH99/(CG99+CH99+CI99))^2-(CK99/(CK99+CL99+CM99))^2-(CM99/(CK99+CL99+CM99))^2</f>
        <v>0.17728395061728386</v>
      </c>
      <c r="CO107" s="17" t="s">
        <v>62</v>
      </c>
      <c r="CP107">
        <f>1-(CP99/(CO99+CP99+CQ99))^2-(CS99/(CS99+CT99+CU99))^2-(CU99/(CS99+CT99+CU99))^2</f>
        <v>0.17728395061728386</v>
      </c>
      <c r="CW107" s="17" t="s">
        <v>62</v>
      </c>
      <c r="CX107">
        <f>1-(CX99/(CW99+CX99+CY99))^2-(DA99/(DA99+DB99+DC99))^2-(DC99/(DA99+DB99+DC99))^2</f>
        <v>0.48907037018925126</v>
      </c>
      <c r="DE107" s="17" t="s">
        <v>62</v>
      </c>
      <c r="DF107">
        <f>1-(DF99/(DE99+DF99+DG99))^2-(DI99/(DI99+DJ99+DK99))^2-(DK99/(DI99+DJ99+DK99))^2</f>
        <v>0.48907037018925126</v>
      </c>
      <c r="DM107" s="17" t="s">
        <v>62</v>
      </c>
      <c r="DN107">
        <f>1-(DN99/(DM99+DN99+DO99))^2-(DQ99/(DQ99+DR99+DS99))^2-(DS99/(DQ99+DR99+DS99))^2</f>
        <v>0.10999999999999988</v>
      </c>
      <c r="DU107" s="17" t="s">
        <v>62</v>
      </c>
      <c r="DV107">
        <f>1-(DV99/(DU99+DV99+DW99))^2-(DY99/(DY99+DZ99+EA99))^2-(EA99/(DY99+DZ99+EA99))^2</f>
        <v>1.5306122448979664E-2</v>
      </c>
      <c r="EC107" s="17" t="s">
        <v>62</v>
      </c>
      <c r="ED107">
        <f>1-(ED99/(EC99+ED99+EE99))^2-(EG99/(EG99+EH99+EI99))^2-(EI99/(EG99+EH99+EI99))^2</f>
        <v>-0.22437673130193903</v>
      </c>
      <c r="EK107" s="17" t="s">
        <v>62</v>
      </c>
      <c r="EL107">
        <f>1-(EL99/(EK99+EL99+EM99))^2-(EO99/(EO99+EP99+EQ99))^2-(EQ99/(EO99+EP99+EQ99))^2</f>
        <v>-0.20250000000000001</v>
      </c>
      <c r="ES107" s="17" t="s">
        <v>62</v>
      </c>
      <c r="ET107">
        <f>1-(ET99/(ES99+ET99+EU99))^2-(EW99/(EW99+EX99+EY99))^2-(EY99/(EW99+EX99+EY99))^2</f>
        <v>-0.15311909262759926</v>
      </c>
      <c r="FB107" s="17" t="s">
        <v>62</v>
      </c>
      <c r="FC107">
        <f>1-(FC99/(FB99+FC99+FD99))^2-(FF99/(FF99+FG99+FH99))^2-(FH99/(FF99+FG99+FH99))^2</f>
        <v>-0.18367346938775508</v>
      </c>
      <c r="FK107" s="17" t="s">
        <v>62</v>
      </c>
      <c r="FL107">
        <f>1-(FL99/(FK99+FL99+FM99))^2-(FO99/(FO99+FP99+FQ99))^2-(FQ99/(FO99+FP99+FQ99))^2</f>
        <v>-0.1673553719008265</v>
      </c>
    </row>
    <row r="108" spans="1:173" ht="13" x14ac:dyDescent="0.3">
      <c r="A108" s="74" t="s">
        <v>47</v>
      </c>
      <c r="B108" s="74"/>
      <c r="C108" s="8">
        <f t="shared" si="2"/>
        <v>650000000</v>
      </c>
      <c r="D108" s="19">
        <f>CH114</f>
        <v>0.41917695473251015</v>
      </c>
      <c r="M108" s="6"/>
      <c r="U108" s="6"/>
      <c r="AC108" s="6"/>
      <c r="AK108" s="6"/>
      <c r="AS108" s="6"/>
      <c r="BA108" s="6"/>
      <c r="BI108" s="6"/>
      <c r="BQ108" s="6"/>
      <c r="BY108" s="6"/>
      <c r="CG108" s="6"/>
      <c r="CO108" s="6"/>
      <c r="CW108" s="6"/>
      <c r="DE108" s="6"/>
      <c r="DM108" s="6"/>
      <c r="DU108" s="6"/>
      <c r="EC108" s="6"/>
      <c r="EK108" s="6"/>
      <c r="ES108" s="6"/>
      <c r="FB108" s="6"/>
      <c r="FK108" s="6"/>
    </row>
    <row r="109" spans="1:173" ht="13" x14ac:dyDescent="0.3">
      <c r="A109" s="74" t="s">
        <v>48</v>
      </c>
      <c r="B109" s="74"/>
      <c r="C109" s="8">
        <f t="shared" si="2"/>
        <v>687500000</v>
      </c>
      <c r="D109" s="19">
        <f>CP114</f>
        <v>0.41917695473251015</v>
      </c>
      <c r="E109" s="16" t="s">
        <v>156</v>
      </c>
      <c r="M109" s="16" t="s">
        <v>156</v>
      </c>
      <c r="U109" s="16" t="s">
        <v>156</v>
      </c>
      <c r="AC109" s="16" t="s">
        <v>156</v>
      </c>
      <c r="AK109" s="16" t="s">
        <v>156</v>
      </c>
      <c r="AS109" s="16" t="s">
        <v>156</v>
      </c>
      <c r="BA109" s="16" t="s">
        <v>156</v>
      </c>
      <c r="BI109" s="16" t="s">
        <v>156</v>
      </c>
      <c r="BQ109" s="16" t="s">
        <v>156</v>
      </c>
      <c r="BY109" s="16" t="s">
        <v>156</v>
      </c>
      <c r="CG109" s="16" t="s">
        <v>156</v>
      </c>
      <c r="CO109" s="16" t="s">
        <v>156</v>
      </c>
      <c r="CW109" s="16" t="s">
        <v>156</v>
      </c>
      <c r="DE109" s="16" t="s">
        <v>156</v>
      </c>
      <c r="DM109" s="16" t="s">
        <v>156</v>
      </c>
      <c r="DU109" s="16" t="s">
        <v>156</v>
      </c>
      <c r="EC109" s="16" t="s">
        <v>156</v>
      </c>
      <c r="EK109" s="16" t="s">
        <v>156</v>
      </c>
      <c r="ES109" s="16" t="s">
        <v>156</v>
      </c>
      <c r="FB109" s="16" t="s">
        <v>156</v>
      </c>
      <c r="FK109" s="16" t="s">
        <v>156</v>
      </c>
    </row>
    <row r="110" spans="1:173" ht="15" x14ac:dyDescent="0.3">
      <c r="A110" s="74" t="s">
        <v>49</v>
      </c>
      <c r="B110" s="74"/>
      <c r="C110" s="8">
        <f t="shared" si="2"/>
        <v>537500000</v>
      </c>
      <c r="D110" s="19">
        <f>CX114</f>
        <v>0.48737917094560451</v>
      </c>
      <c r="E110" s="17" t="s">
        <v>62</v>
      </c>
      <c r="F110" s="1" t="s">
        <v>225</v>
      </c>
      <c r="M110" s="17" t="s">
        <v>62</v>
      </c>
      <c r="N110" s="1" t="s">
        <v>229</v>
      </c>
      <c r="U110" s="17" t="s">
        <v>62</v>
      </c>
      <c r="V110" s="1" t="s">
        <v>237</v>
      </c>
      <c r="AC110" s="17" t="s">
        <v>62</v>
      </c>
      <c r="AD110" s="1" t="s">
        <v>241</v>
      </c>
      <c r="AK110" s="17" t="s">
        <v>62</v>
      </c>
      <c r="AL110" s="1" t="s">
        <v>171</v>
      </c>
      <c r="AS110" s="17" t="s">
        <v>62</v>
      </c>
      <c r="AT110" s="1" t="s">
        <v>248</v>
      </c>
      <c r="BA110" s="17" t="s">
        <v>62</v>
      </c>
      <c r="BB110" s="1" t="s">
        <v>253</v>
      </c>
      <c r="BI110" s="17" t="s">
        <v>62</v>
      </c>
      <c r="BJ110" s="1" t="s">
        <v>258</v>
      </c>
      <c r="BQ110" s="17" t="s">
        <v>62</v>
      </c>
      <c r="BR110" s="1" t="s">
        <v>263</v>
      </c>
      <c r="BY110" s="17" t="s">
        <v>62</v>
      </c>
      <c r="BZ110" s="1" t="s">
        <v>268</v>
      </c>
      <c r="CG110" s="17" t="s">
        <v>62</v>
      </c>
      <c r="CH110" s="1" t="s">
        <v>169</v>
      </c>
      <c r="CO110" s="17" t="s">
        <v>62</v>
      </c>
      <c r="CP110" s="1" t="s">
        <v>169</v>
      </c>
      <c r="CW110" s="17" t="s">
        <v>62</v>
      </c>
      <c r="CX110" s="1" t="s">
        <v>241</v>
      </c>
      <c r="DE110" s="17" t="s">
        <v>62</v>
      </c>
      <c r="DF110" s="1" t="s">
        <v>241</v>
      </c>
      <c r="DM110" s="17" t="s">
        <v>62</v>
      </c>
      <c r="DN110" s="1" t="s">
        <v>281</v>
      </c>
      <c r="DU110" s="17" t="s">
        <v>62</v>
      </c>
      <c r="DV110" s="1" t="s">
        <v>286</v>
      </c>
      <c r="EC110" s="17" t="s">
        <v>62</v>
      </c>
      <c r="ED110" s="1" t="s">
        <v>291</v>
      </c>
      <c r="EK110" s="17" t="s">
        <v>62</v>
      </c>
      <c r="EL110" s="1" t="s">
        <v>296</v>
      </c>
      <c r="ES110" s="17" t="s">
        <v>62</v>
      </c>
      <c r="ET110" s="1" t="s">
        <v>301</v>
      </c>
      <c r="FB110" s="17" t="s">
        <v>62</v>
      </c>
      <c r="FC110" s="1" t="s">
        <v>307</v>
      </c>
      <c r="FK110" s="17" t="s">
        <v>62</v>
      </c>
      <c r="FL110" s="1" t="s">
        <v>311</v>
      </c>
    </row>
    <row r="111" spans="1:173" ht="13" x14ac:dyDescent="0.3">
      <c r="A111" s="74" t="s">
        <v>50</v>
      </c>
      <c r="B111" s="74"/>
      <c r="C111" s="8">
        <f t="shared" si="2"/>
        <v>562500000</v>
      </c>
      <c r="D111" s="19">
        <f>DF114</f>
        <v>0.48737917094560451</v>
      </c>
      <c r="E111" s="17" t="s">
        <v>62</v>
      </c>
      <c r="F111">
        <f>1-(G99/(E99+F99+G99))^2-(I99/(I99+J99+K99))^2-(J99/(I99+J99+K99))^2</f>
        <v>0.78099173553719003</v>
      </c>
      <c r="M111" s="17" t="s">
        <v>62</v>
      </c>
      <c r="N111">
        <f>1-(O99/(M99+N99+O99))^2-(Q99/(Q99+R99+S99))^2-(R99/(Q99+R99+S99))^2</f>
        <v>0.76454293628808867</v>
      </c>
      <c r="U111" s="17" t="s">
        <v>62</v>
      </c>
      <c r="V111">
        <f>1-(W99/(U99+V99+W99))^2-(Y99/(Y99+Z99+AA99))^2-(Z99/(Y99+Z99+AA99))^2</f>
        <v>0.75</v>
      </c>
      <c r="AC111" s="17" t="s">
        <v>62</v>
      </c>
      <c r="AD111">
        <f>1-(AE99/(AC99+AD99+AE99))^2-(AG99/(AG99+AH99+AI99))^2-(AH99/(AG99+AH99+AI99))^2</f>
        <v>0.85207100591715978</v>
      </c>
      <c r="AK111" s="17" t="s">
        <v>62</v>
      </c>
      <c r="AL111">
        <f>1-(AM99/(AK99+AL99+AM99))^2-(AO99/(AO99+AP99+AQ99))^2-(AP99/(AO99+AP99+AQ99))^2</f>
        <v>0.94617283950617281</v>
      </c>
      <c r="AS111" s="17" t="s">
        <v>62</v>
      </c>
      <c r="AT111">
        <f>1-(AU99/(AS99+AT99+AU99))^2-(AW99/(AW99+AX99+AY99))^2-(AX99/(AW99+AX99+AY99))^2</f>
        <v>0.85207100591715978</v>
      </c>
      <c r="BA111" s="17" t="s">
        <v>62</v>
      </c>
      <c r="BB111">
        <f>1-(BC99/(BA99+BB99+BC99))^2-(BE99/(BE99+BF99+BG99))^2-(BF99/(BE99+BF99+BG99))^2</f>
        <v>0.78099173553719003</v>
      </c>
      <c r="BI111" s="17" t="s">
        <v>62</v>
      </c>
      <c r="BJ111">
        <f>1-(BK99/(BI99+BJ99+BK99))^2-(BM99/(BM99+BN99+BO99))^2-(BN99/(BM99+BN99+BO99))^2</f>
        <v>0.76454293628808867</v>
      </c>
      <c r="BQ111" s="17" t="s">
        <v>62</v>
      </c>
      <c r="BR111">
        <f>1-(BS99/(BQ99+BR99+BS99))^2-(BU99/(BU99+BV99+BW99))^2-(BV99/(BU99+BV99+BW99))^2</f>
        <v>0.71972318339100338</v>
      </c>
      <c r="BY111" s="17" t="s">
        <v>62</v>
      </c>
      <c r="BZ111">
        <f>1-(CA99/(BY99+BZ99+CA99))^2-(CC99/(CC99+CD99+CE99))^2-(CD99/(CC99+CD99+CE99))^2</f>
        <v>0.75</v>
      </c>
      <c r="CG111" s="17" t="s">
        <v>62</v>
      </c>
      <c r="CH111">
        <f>1-(CI99/(CG99+CH99+CI99))^2-(CK99/(CK99+CL99+CM99))^2-(CL99/(CK99+CL99+CM99))^2</f>
        <v>0.94617283950617281</v>
      </c>
      <c r="CO111" s="17" t="s">
        <v>62</v>
      </c>
      <c r="CP111">
        <f>1-(CQ99/(CO99+CP99+CQ99))^2-(CS99/(CS99+CT99+CU99))^2-(CT99/(CS99+CT99+CU99))^2</f>
        <v>0.94617283950617281</v>
      </c>
      <c r="CW111" s="17" t="s">
        <v>62</v>
      </c>
      <c r="CX111">
        <f>1-(CY99/(CW99+CX99+CY99))^2-(DA99/(DA99+DB99+DC99))^2-(DB99/(DA99+DB99+DC99))^2</f>
        <v>0.85207100591715978</v>
      </c>
      <c r="DE111" s="17" t="s">
        <v>62</v>
      </c>
      <c r="DF111">
        <f>1-(DG99/(DE99+DF99+DG99))^2-(DI99/(DI99+DJ99+DK99))^2-(DJ99/(DI99+DJ99+DK99))^2</f>
        <v>0.85207100591715978</v>
      </c>
      <c r="DM111" s="17" t="s">
        <v>62</v>
      </c>
      <c r="DN111">
        <f>1-(DO99/(DM99+DN99+DO99))^2-(DQ99/(DQ99+DR99+DS99))^2-(DR99/(DQ99+DR99+DS99))^2</f>
        <v>0.96</v>
      </c>
      <c r="DU111" s="17" t="s">
        <v>62</v>
      </c>
      <c r="DV111">
        <f>1-(DW99/(DU99+DV99+DW99))^2-(DY99/(DY99+DZ99+EA99))^2-(DZ99/(DY99+DZ99+EA99))^2</f>
        <v>0.97568558673469385</v>
      </c>
      <c r="EC111" s="17" t="s">
        <v>62</v>
      </c>
      <c r="ED111">
        <f>1-(EE99/(EC99+ED99+EE99))^2-(EG99/(EG99+EH99+EI99))^2-(EH99/(EG99+EH99+EI99))^2</f>
        <v>0.97506925207756234</v>
      </c>
      <c r="EK111" s="17" t="s">
        <v>62</v>
      </c>
      <c r="EL111">
        <f>1-(EM99/(EK99+EL99+EM99))^2-(EO99/(EO99+EP99+EQ99))^2-(EP99/(EO99+EP99+EQ99))^2</f>
        <v>0.96</v>
      </c>
      <c r="ES111" s="17" t="s">
        <v>62</v>
      </c>
      <c r="ET111">
        <f>1-(EU99/(ES99+ET99+EU99))^2-(EW99/(EW99+EX99+EY99))^2-(EX99/(EW99+EX99+EY99))^2</f>
        <v>0.90737240075614367</v>
      </c>
      <c r="FB111" s="17" t="s">
        <v>62</v>
      </c>
      <c r="FC111">
        <f>1-(FD99/(FB99+FC99+FD99))^2-(FF99/(FF99+FG99+FH99))^2-(FG99/(FF99+FG99+FH99))^2</f>
        <v>0.94331065759637189</v>
      </c>
      <c r="FK111" s="17" t="s">
        <v>62</v>
      </c>
      <c r="FL111">
        <f>1-(FM99/(FK99+FL99+FM99))^2-(FO99/(FO99+FP99+FQ99))^2-(FP99/(FO99+FP99+FQ99))^2</f>
        <v>0.92561983471074383</v>
      </c>
    </row>
    <row r="112" spans="1:173" ht="13" x14ac:dyDescent="0.3">
      <c r="A112" s="74" t="s">
        <v>51</v>
      </c>
      <c r="B112" s="74"/>
      <c r="C112" s="8">
        <f t="shared" si="2"/>
        <v>612500000</v>
      </c>
      <c r="D112" s="19">
        <f>DN114</f>
        <v>0.38166666666666654</v>
      </c>
      <c r="M112" s="6"/>
      <c r="U112" s="6"/>
      <c r="AC112" s="6"/>
      <c r="AK112" s="6"/>
      <c r="AS112" s="6"/>
      <c r="BA112" s="6"/>
      <c r="BI112" s="6"/>
      <c r="BQ112" s="6"/>
      <c r="BY112" s="6"/>
      <c r="CG112" s="6"/>
      <c r="CO112" s="6"/>
      <c r="CW112" s="6"/>
      <c r="DE112" s="6"/>
      <c r="DM112" s="6"/>
      <c r="DU112" s="6"/>
      <c r="EC112" s="6"/>
      <c r="EK112" s="6"/>
      <c r="ES112" s="6"/>
      <c r="FB112" s="6"/>
      <c r="FK112" s="6"/>
    </row>
    <row r="113" spans="1:168" ht="13" x14ac:dyDescent="0.3">
      <c r="A113" s="74" t="s">
        <v>52</v>
      </c>
      <c r="B113" s="74"/>
      <c r="C113" s="8">
        <f t="shared" si="2"/>
        <v>650000000</v>
      </c>
      <c r="D113" s="19">
        <f>CH114</f>
        <v>0.41917695473251015</v>
      </c>
      <c r="E113" s="16" t="s">
        <v>231</v>
      </c>
      <c r="F113" s="1" t="s">
        <v>226</v>
      </c>
      <c r="M113" s="16" t="s">
        <v>233</v>
      </c>
      <c r="N113" s="1" t="s">
        <v>230</v>
      </c>
      <c r="U113" s="16" t="s">
        <v>303</v>
      </c>
      <c r="V113" s="1"/>
      <c r="AC113" s="16" t="s">
        <v>242</v>
      </c>
      <c r="AD113" s="1"/>
      <c r="AK113" s="16" t="s">
        <v>244</v>
      </c>
      <c r="AL113" s="1"/>
      <c r="AS113" s="16" t="s">
        <v>249</v>
      </c>
      <c r="AT113" s="1"/>
      <c r="BA113" s="16" t="s">
        <v>254</v>
      </c>
      <c r="BB113" s="1"/>
      <c r="BI113" s="16" t="s">
        <v>259</v>
      </c>
      <c r="BJ113" s="1"/>
      <c r="BQ113" s="16" t="s">
        <v>264</v>
      </c>
      <c r="BR113" s="1"/>
      <c r="BY113" s="16" t="s">
        <v>269</v>
      </c>
      <c r="BZ113" s="1"/>
      <c r="CG113" s="16" t="s">
        <v>271</v>
      </c>
      <c r="CH113" s="1"/>
      <c r="CO113" s="16" t="s">
        <v>273</v>
      </c>
      <c r="CP113" s="1"/>
      <c r="CW113" s="16" t="s">
        <v>275</v>
      </c>
      <c r="CX113" s="1"/>
      <c r="DE113" s="16" t="s">
        <v>277</v>
      </c>
      <c r="DF113" s="1"/>
      <c r="DM113" s="16" t="s">
        <v>282</v>
      </c>
      <c r="DN113" s="1"/>
      <c r="DU113" s="16" t="s">
        <v>287</v>
      </c>
      <c r="DV113" s="1"/>
      <c r="EC113" s="16" t="s">
        <v>293</v>
      </c>
      <c r="ED113" s="1"/>
      <c r="EK113" s="16" t="s">
        <v>297</v>
      </c>
      <c r="EL113" s="1"/>
      <c r="ES113" s="16" t="s">
        <v>302</v>
      </c>
      <c r="ET113" s="1"/>
      <c r="FB113" s="16" t="s">
        <v>308</v>
      </c>
      <c r="FC113" s="1"/>
      <c r="FK113" s="16" t="s">
        <v>313</v>
      </c>
      <c r="FL113" s="1"/>
    </row>
    <row r="114" spans="1:168" ht="13" x14ac:dyDescent="0.3">
      <c r="A114" s="74" t="s">
        <v>53</v>
      </c>
      <c r="B114" s="74"/>
      <c r="C114" s="8">
        <f t="shared" si="2"/>
        <v>750000000</v>
      </c>
      <c r="D114" s="19">
        <f>DV114</f>
        <v>0.30591650722789121</v>
      </c>
      <c r="E114" s="43" t="s">
        <v>62</v>
      </c>
      <c r="F114" s="10">
        <f>((E99+I99)/24*F103)+((F99+J99)/24*F107)+((G99+K99)/24*F111)</f>
        <v>0.47899449035812669</v>
      </c>
      <c r="M114" s="43" t="s">
        <v>62</v>
      </c>
      <c r="N114" s="10">
        <f>((M99+Q99)/24*N103)+((N99+R99)/24*N107)+((O99+S99)/24*N111)</f>
        <v>0.45879501385041555</v>
      </c>
      <c r="U114" s="43" t="s">
        <v>62</v>
      </c>
      <c r="V114" s="10">
        <f>((U99+Y99)/24*V103)+((V99+Z99)/24*V107)+((W99+AA99)/24*V111)</f>
        <v>0.35416666666666663</v>
      </c>
      <c r="AC114" s="43" t="s">
        <v>62</v>
      </c>
      <c r="AD114" s="10">
        <f>((AC99+AG99)/24*AD103)+((AD99+AH99)/24*AD107)+((AE99+AI99)/24*AD111)</f>
        <v>0.48737917094560451</v>
      </c>
      <c r="AK114" s="43" t="s">
        <v>62</v>
      </c>
      <c r="AL114" s="10">
        <f>((AK99+AO99)/24*AL103)+((AL99+AP99)/24*AL107)+((AM99+AQ99)/24*AL111)</f>
        <v>0.41917695473251015</v>
      </c>
      <c r="AS114" s="43" t="s">
        <v>62</v>
      </c>
      <c r="AT114" s="10">
        <f>((AS99+AW99)/24*AT103)+((AT99+AX99)/24*AT107)+((AU99+AY99)/24*AT111)</f>
        <v>0.48737917094560451</v>
      </c>
      <c r="BA114" s="43" t="s">
        <v>62</v>
      </c>
      <c r="BB114" s="10">
        <f>((BA99+BE99)/24*BB103)+((BB99+BF99)/24*BB107)+((BC99+BG99)/24*BB111)</f>
        <v>0.49147727272727271</v>
      </c>
      <c r="BI114" s="43" t="s">
        <v>62</v>
      </c>
      <c r="BJ114" s="10">
        <f>((BI99+BM99)/24*BJ103)+((BJ99+BN99)/24*BJ107)+((BK99+BO99)/24*BJ111)</f>
        <v>0.44205909510618657</v>
      </c>
      <c r="BQ114" s="43" t="s">
        <v>62</v>
      </c>
      <c r="BR114" s="10">
        <f>((BQ99+BU99)/24*BR103)+((BR99+BV99)/24*BR107)+((BS99+BW99)/24*BR111)</f>
        <v>0.42733564013840819</v>
      </c>
      <c r="BY114" s="43" t="s">
        <v>62</v>
      </c>
      <c r="BZ114" s="10">
        <f>((BY99+CC99)/24*BZ103)+((BZ99+CD99)/24*BZ107)+((CA99+CE99)/24*BZ111)</f>
        <v>0.44791666666666663</v>
      </c>
      <c r="CG114" s="43" t="s">
        <v>62</v>
      </c>
      <c r="CH114" s="10">
        <f>((CG99+CK99)/24*CH103)+((CH99+CL99)/24*CH107)+((CI99+CM99)/24*CH111)</f>
        <v>0.41917695473251015</v>
      </c>
      <c r="CO114" s="43" t="s">
        <v>62</v>
      </c>
      <c r="CP114" s="10">
        <f>((CO99+CS99)/24*CP103)+((CP99+CT99)/24*CP107)+((CQ99+CU99)/24*CP111)</f>
        <v>0.41917695473251015</v>
      </c>
      <c r="CW114" s="43" t="s">
        <v>62</v>
      </c>
      <c r="CX114" s="10">
        <f>((CW99+DA99)/24*CX103)+((CX99+DB99)/24*CX107)+((CY99+DC99)/24*CX111)</f>
        <v>0.48737917094560451</v>
      </c>
      <c r="DE114" s="43" t="s">
        <v>62</v>
      </c>
      <c r="DF114" s="10">
        <f>((DE99+DI99)/24*DF103)+((DF99+DJ99)/24*DF107)+((DG99+DK99)/24*DF111)</f>
        <v>0.48737917094560451</v>
      </c>
      <c r="DM114" s="43" t="s">
        <v>62</v>
      </c>
      <c r="DN114" s="10">
        <f>((DM99+DQ99)/24*DN103)+((DN99+DR99)/24*DN107)+((DO99+DS99)/24*DN111)</f>
        <v>0.38166666666666654</v>
      </c>
      <c r="DU114" s="43" t="s">
        <v>62</v>
      </c>
      <c r="DV114" s="10">
        <f>((DU99+DY99)/24*DV103)+((DV99+DZ99)/24*DV107)+((DW99+EA99)/24*DV111)</f>
        <v>0.30591650722789121</v>
      </c>
      <c r="EC114" s="43" t="s">
        <v>62</v>
      </c>
      <c r="ED114" s="10">
        <f>((EC99+EG99)/24*ED103)+((ED99+EH99)/24*ED107)+((EE99+EI99)/24*ED111)</f>
        <v>0.20129270544783012</v>
      </c>
      <c r="EK114" s="43" t="s">
        <v>62</v>
      </c>
      <c r="EL114" s="10">
        <f>((EK99+EO99)/24*EL103)+((EL99+EP99)/24*EL107)+((EM99+EQ99)/24*EL111)</f>
        <v>0.20833333333333329</v>
      </c>
      <c r="ES114" s="43" t="s">
        <v>62</v>
      </c>
      <c r="ET114" s="10">
        <f>((ES99+EW99)/24*ET103)+((ET99+EX99)/24*ET107)+((EU99+EY99)/24*ET111)</f>
        <v>0.2180214240705734</v>
      </c>
      <c r="FB114" s="43" t="s">
        <v>62</v>
      </c>
      <c r="FC114" s="10">
        <f>((FB99+FF99)/24*FC103)+((FC99+FG99)/24*FC107)+((FD99+FH99)/24*FC111)</f>
        <v>0.21315192743764166</v>
      </c>
      <c r="FK114" s="43" t="s">
        <v>62</v>
      </c>
      <c r="FL114" s="10">
        <f>((FK99+FO99)/24*FL103)+((FL99+FP99)/24*FL107)+((FM99+FQ99)/24*FL111)</f>
        <v>0.21625344352617076</v>
      </c>
    </row>
    <row r="115" spans="1:168" ht="13" x14ac:dyDescent="0.3">
      <c r="A115" s="74" t="s">
        <v>54</v>
      </c>
      <c r="B115" s="74"/>
      <c r="C115" s="8">
        <f t="shared" si="2"/>
        <v>810000000</v>
      </c>
      <c r="D115" s="19">
        <f>ED114</f>
        <v>0.20129270544783012</v>
      </c>
    </row>
    <row r="116" spans="1:168" ht="13" x14ac:dyDescent="0.3">
      <c r="A116" s="74" t="s">
        <v>55</v>
      </c>
      <c r="B116" s="74"/>
      <c r="C116" s="8">
        <f t="shared" si="2"/>
        <v>835000000</v>
      </c>
      <c r="D116" s="19">
        <f>EL114</f>
        <v>0.20833333333333329</v>
      </c>
    </row>
    <row r="117" spans="1:168" ht="13" x14ac:dyDescent="0.3">
      <c r="A117" s="74" t="s">
        <v>56</v>
      </c>
      <c r="B117" s="74"/>
      <c r="C117" s="8">
        <f t="shared" si="2"/>
        <v>865000000</v>
      </c>
      <c r="D117" s="19">
        <f>FC114</f>
        <v>0.21315192743764166</v>
      </c>
    </row>
    <row r="118" spans="1:168" ht="13" x14ac:dyDescent="0.3">
      <c r="A118" s="74" t="s">
        <v>57</v>
      </c>
      <c r="B118" s="74"/>
      <c r="C118" s="8">
        <f t="shared" si="2"/>
        <v>890000000</v>
      </c>
      <c r="D118" s="19">
        <f>FL114</f>
        <v>0.21625344352617076</v>
      </c>
    </row>
    <row r="119" spans="1:168" ht="13.5" thickBot="1" x14ac:dyDescent="0.35">
      <c r="A119" s="74" t="s">
        <v>58</v>
      </c>
      <c r="B119" s="74"/>
      <c r="C119" s="8">
        <f t="shared" si="2"/>
        <v>925000000</v>
      </c>
      <c r="D119" s="20">
        <f>ET114</f>
        <v>0.2180214240705734</v>
      </c>
    </row>
    <row r="120" spans="1:168" ht="19" customHeight="1" thickBot="1" x14ac:dyDescent="0.3">
      <c r="C120" s="49" t="s">
        <v>220</v>
      </c>
      <c r="D120" s="50">
        <f>MIN(D97:D119)</f>
        <v>0.20129270544783012</v>
      </c>
    </row>
    <row r="122" spans="1:168" ht="20" customHeight="1" x14ac:dyDescent="0.25">
      <c r="A122" s="67" t="s">
        <v>323</v>
      </c>
      <c r="B122" s="68"/>
    </row>
    <row r="123" spans="1:168" ht="17.5" customHeight="1" x14ac:dyDescent="0.25">
      <c r="A123" s="75" t="s">
        <v>314</v>
      </c>
      <c r="B123" s="75"/>
      <c r="C123" s="42" t="s">
        <v>32</v>
      </c>
    </row>
    <row r="124" spans="1:168" ht="18" customHeight="1" thickBot="1" x14ac:dyDescent="0.3">
      <c r="A124" s="36" t="s">
        <v>315</v>
      </c>
      <c r="B124" s="57" t="s">
        <v>1</v>
      </c>
      <c r="C124" s="36">
        <f>D58</f>
        <v>0.21625344352617076</v>
      </c>
    </row>
    <row r="125" spans="1:168" ht="15.5" customHeight="1" thickBot="1" x14ac:dyDescent="0.3">
      <c r="A125" s="36" t="s">
        <v>316</v>
      </c>
      <c r="B125" s="57" t="s">
        <v>2</v>
      </c>
      <c r="C125" s="36">
        <f>D89</f>
        <v>2.6748971193415599E-2</v>
      </c>
      <c r="H125" s="6"/>
      <c r="I125" s="11" t="s">
        <v>60</v>
      </c>
      <c r="J125" s="91" t="s">
        <v>318</v>
      </c>
      <c r="K125" s="92"/>
      <c r="L125" s="12" t="s">
        <v>61</v>
      </c>
      <c r="M125" s="12"/>
    </row>
    <row r="126" spans="1:168" ht="18" customHeight="1" x14ac:dyDescent="0.25">
      <c r="A126" s="36" t="s">
        <v>317</v>
      </c>
      <c r="B126" s="57" t="s">
        <v>31</v>
      </c>
      <c r="C126" s="36">
        <f>D120</f>
        <v>0.20129270544783012</v>
      </c>
      <c r="H126" s="6"/>
    </row>
    <row r="127" spans="1:168" ht="17" customHeight="1" x14ac:dyDescent="0.25">
      <c r="A127" s="76" t="s">
        <v>322</v>
      </c>
      <c r="B127" s="77"/>
      <c r="C127" s="58">
        <f>MIN(C124:C126)</f>
        <v>2.6748971193415599E-2</v>
      </c>
      <c r="H127" s="78" t="s">
        <v>30</v>
      </c>
      <c r="I127" s="79"/>
      <c r="J127" s="80"/>
      <c r="K127" s="37"/>
      <c r="L127" s="83" t="s">
        <v>30</v>
      </c>
      <c r="M127" s="84"/>
      <c r="N127" s="84"/>
    </row>
    <row r="128" spans="1:168" ht="13" x14ac:dyDescent="0.25">
      <c r="H128" s="45" t="s">
        <v>14</v>
      </c>
      <c r="I128" s="45" t="s">
        <v>15</v>
      </c>
      <c r="J128" s="45" t="s">
        <v>16</v>
      </c>
      <c r="K128" s="59"/>
      <c r="L128" s="45" t="s">
        <v>14</v>
      </c>
      <c r="M128" s="45" t="s">
        <v>15</v>
      </c>
      <c r="N128" s="45" t="s">
        <v>16</v>
      </c>
    </row>
    <row r="129" spans="1:14" x14ac:dyDescent="0.25">
      <c r="H129" s="36">
        <f>COUNTIFS(D2:D25,"&lt;60",F2:F25,F2)</f>
        <v>7</v>
      </c>
      <c r="I129" s="36">
        <f>COUNTIFS(D2:D25,"&lt;60",F2:F25,F5)</f>
        <v>9</v>
      </c>
      <c r="J129" s="36">
        <f>COUNTIFS(D2:D25,"&lt;60",F2:F25,F20)</f>
        <v>2</v>
      </c>
      <c r="K129" s="60"/>
      <c r="L129" s="36">
        <f>COUNTIFS(D2:D25,"&gt;60",F2:F25,F2)</f>
        <v>0</v>
      </c>
      <c r="M129" s="36">
        <f>COUNTIFS(D2:D25,"&gt;60",F2:F25,F5)</f>
        <v>0</v>
      </c>
      <c r="N129" s="36">
        <f>COUNTIFS(D2:D25,"&gt;60",F2:F25,F20)</f>
        <v>4</v>
      </c>
    </row>
    <row r="130" spans="1:14" ht="18" customHeight="1" x14ac:dyDescent="0.25">
      <c r="A130" s="61" t="s">
        <v>319</v>
      </c>
      <c r="B130" s="62"/>
      <c r="C130" s="62"/>
      <c r="D130" s="63"/>
    </row>
    <row r="131" spans="1:14" ht="13" x14ac:dyDescent="0.25">
      <c r="A131" s="75" t="s">
        <v>33</v>
      </c>
      <c r="B131" s="75"/>
      <c r="C131" s="75"/>
      <c r="D131" s="75"/>
    </row>
    <row r="132" spans="1:14" ht="13.5" thickBot="1" x14ac:dyDescent="0.3">
      <c r="A132" s="89" t="s">
        <v>46</v>
      </c>
      <c r="B132" s="89"/>
      <c r="C132" s="31" t="s">
        <v>221</v>
      </c>
      <c r="D132" s="32" t="s">
        <v>32</v>
      </c>
    </row>
    <row r="133" spans="1:14" ht="13.5" thickBot="1" x14ac:dyDescent="0.35">
      <c r="A133" s="74" t="s">
        <v>34</v>
      </c>
      <c r="B133" s="74"/>
      <c r="C133" s="7">
        <f>AVERAGE(C2:C3)</f>
        <v>72.5</v>
      </c>
      <c r="D133" s="19">
        <f>F50</f>
        <v>0.65304709141274242</v>
      </c>
      <c r="F133" s="6"/>
      <c r="G133" s="11" t="s">
        <v>60</v>
      </c>
      <c r="H133" s="81" t="s">
        <v>326</v>
      </c>
      <c r="I133" s="82"/>
      <c r="J133" s="12" t="s">
        <v>61</v>
      </c>
      <c r="K133" s="12"/>
    </row>
    <row r="134" spans="1:14" ht="13" x14ac:dyDescent="0.3">
      <c r="A134" s="74" t="s">
        <v>35</v>
      </c>
      <c r="B134" s="74"/>
      <c r="C134" s="7">
        <f>AVERAGE(C3:C4)</f>
        <v>81</v>
      </c>
      <c r="D134" s="19">
        <f>N50</f>
        <v>0.66037591507191118</v>
      </c>
      <c r="F134" s="6"/>
    </row>
    <row r="135" spans="1:14" ht="13" x14ac:dyDescent="0.3">
      <c r="A135" s="74" t="s">
        <v>36</v>
      </c>
      <c r="B135" s="74"/>
      <c r="C135" s="7">
        <f t="shared" ref="C135:C149" si="3">AVERAGE(C4:C5)</f>
        <v>88.5</v>
      </c>
      <c r="D135" s="19">
        <f>V50</f>
        <v>0.62829931972789121</v>
      </c>
      <c r="F135" s="83" t="s">
        <v>30</v>
      </c>
      <c r="G135" s="84"/>
      <c r="H135" s="84"/>
      <c r="I135" s="37"/>
      <c r="J135" s="83" t="s">
        <v>30</v>
      </c>
      <c r="K135" s="84"/>
      <c r="L135" s="84"/>
    </row>
    <row r="136" spans="1:14" ht="13" x14ac:dyDescent="0.3">
      <c r="A136" s="74" t="s">
        <v>37</v>
      </c>
      <c r="B136" s="74"/>
      <c r="C136" s="7">
        <f t="shared" si="3"/>
        <v>97.5</v>
      </c>
      <c r="D136" s="19">
        <f>AD50</f>
        <v>0.59846879928441976</v>
      </c>
      <c r="F136" s="54" t="s">
        <v>14</v>
      </c>
      <c r="G136" s="54" t="s">
        <v>15</v>
      </c>
      <c r="H136" s="54" t="s">
        <v>16</v>
      </c>
      <c r="I136" s="55"/>
      <c r="J136" s="54" t="s">
        <v>14</v>
      </c>
      <c r="K136" s="54" t="s">
        <v>15</v>
      </c>
      <c r="L136" s="54" t="s">
        <v>16</v>
      </c>
    </row>
    <row r="137" spans="1:14" ht="13" x14ac:dyDescent="0.3">
      <c r="A137" s="74" t="s">
        <v>38</v>
      </c>
      <c r="B137" s="74"/>
      <c r="C137" s="7">
        <f t="shared" si="3"/>
        <v>79.5</v>
      </c>
      <c r="D137" s="19">
        <f>AL50</f>
        <v>0.66037591507191118</v>
      </c>
      <c r="F137" s="7">
        <f>COUNTIFS(E2:E25,"&lt;475000000",F2:F25,F2)</f>
        <v>7</v>
      </c>
      <c r="G137" s="7">
        <f>COUNTIFS(E2:E25,"&lt;475000000",F2:F25,F5)</f>
        <v>0</v>
      </c>
      <c r="H137" s="7">
        <f>COUNTIFS(E2:E25,"&lt;475000000",F2:F25,F20)</f>
        <v>0</v>
      </c>
      <c r="J137" s="7">
        <f>COUNTIFS(E2:E25,"&gt;475000000",F2:F25,F2)</f>
        <v>0</v>
      </c>
      <c r="K137" s="7">
        <f>COUNTIFS(E2:E25,"&gt;475000000",F2:F25,F5)</f>
        <v>8</v>
      </c>
      <c r="L137" s="7">
        <f>COUNTIFS(E2:E25,"&gt;475000000",F2:F25,F20)</f>
        <v>8</v>
      </c>
    </row>
    <row r="138" spans="1:14" ht="13" x14ac:dyDescent="0.3">
      <c r="A138" s="74" t="s">
        <v>39</v>
      </c>
      <c r="B138" s="74"/>
      <c r="C138" s="7">
        <f t="shared" si="3"/>
        <v>64.5</v>
      </c>
      <c r="D138" s="19">
        <f>AT50</f>
        <v>0.57407407407407396</v>
      </c>
    </row>
    <row r="139" spans="1:14" ht="13" x14ac:dyDescent="0.3">
      <c r="A139" s="74" t="s">
        <v>40</v>
      </c>
      <c r="B139" s="74"/>
      <c r="C139" s="7">
        <f t="shared" si="3"/>
        <v>81</v>
      </c>
      <c r="D139" s="19">
        <f>D134</f>
        <v>0.66037591507191118</v>
      </c>
    </row>
    <row r="140" spans="1:14" ht="13" x14ac:dyDescent="0.3">
      <c r="A140" s="74" t="s">
        <v>41</v>
      </c>
      <c r="B140" s="74"/>
      <c r="C140" s="7">
        <f t="shared" si="3"/>
        <v>96</v>
      </c>
      <c r="D140" s="19">
        <f>BB50</f>
        <v>0.59846879928441976</v>
      </c>
      <c r="F140" s="85" t="s">
        <v>327</v>
      </c>
      <c r="G140" s="85"/>
      <c r="H140" s="85"/>
      <c r="I140" s="85"/>
      <c r="J140" s="85"/>
    </row>
    <row r="141" spans="1:14" ht="14" customHeight="1" x14ac:dyDescent="0.3">
      <c r="A141" s="74" t="s">
        <v>42</v>
      </c>
      <c r="B141" s="74"/>
      <c r="C141" s="7">
        <f t="shared" si="3"/>
        <v>97.5</v>
      </c>
      <c r="D141" s="19">
        <f>D136</f>
        <v>0.59846879928441976</v>
      </c>
      <c r="F141" s="86" t="s">
        <v>328</v>
      </c>
      <c r="G141" s="86"/>
      <c r="H141" s="86"/>
      <c r="I141" s="86"/>
      <c r="J141" s="86"/>
    </row>
    <row r="142" spans="1:14" ht="13" x14ac:dyDescent="0.3">
      <c r="A142" s="74" t="s">
        <v>43</v>
      </c>
      <c r="B142" s="74"/>
      <c r="C142" s="7">
        <f t="shared" si="3"/>
        <v>97.5</v>
      </c>
      <c r="D142" s="19">
        <f>D141</f>
        <v>0.59846879928441976</v>
      </c>
      <c r="F142" s="86" t="s">
        <v>329</v>
      </c>
      <c r="G142" s="86"/>
      <c r="H142" s="86"/>
      <c r="I142" s="86"/>
      <c r="J142" s="86"/>
    </row>
    <row r="143" spans="1:14" ht="13" x14ac:dyDescent="0.3">
      <c r="A143" s="74" t="s">
        <v>44</v>
      </c>
      <c r="B143" s="74"/>
      <c r="C143" s="7">
        <f t="shared" si="3"/>
        <v>99</v>
      </c>
      <c r="D143" s="19">
        <f>BJ50</f>
        <v>0.59846879928441976</v>
      </c>
      <c r="F143" s="86" t="s">
        <v>330</v>
      </c>
      <c r="G143" s="86"/>
      <c r="H143" s="86"/>
      <c r="I143" s="86"/>
      <c r="J143" s="86"/>
    </row>
    <row r="144" spans="1:14" ht="13" x14ac:dyDescent="0.3">
      <c r="A144" s="74" t="s">
        <v>47</v>
      </c>
      <c r="B144" s="74"/>
      <c r="C144" s="7">
        <f t="shared" si="3"/>
        <v>73.5</v>
      </c>
      <c r="D144" s="19">
        <f>BR50</f>
        <v>0.65304709141274242</v>
      </c>
      <c r="F144" s="86" t="s">
        <v>331</v>
      </c>
      <c r="G144" s="86"/>
      <c r="H144" s="86"/>
      <c r="I144" s="86"/>
      <c r="J144" s="86"/>
    </row>
    <row r="145" spans="1:10" ht="13" x14ac:dyDescent="0.3">
      <c r="A145" s="74" t="s">
        <v>48</v>
      </c>
      <c r="B145" s="74"/>
      <c r="C145" s="7">
        <f t="shared" si="3"/>
        <v>72</v>
      </c>
      <c r="D145" s="19">
        <f>BZ50</f>
        <v>0.61598280240073877</v>
      </c>
      <c r="F145" s="86" t="s">
        <v>332</v>
      </c>
      <c r="G145" s="86"/>
      <c r="H145" s="86"/>
      <c r="I145" s="86"/>
      <c r="J145" s="86"/>
    </row>
    <row r="146" spans="1:10" ht="13" x14ac:dyDescent="0.3">
      <c r="A146" s="74" t="s">
        <v>49</v>
      </c>
      <c r="B146" s="74"/>
      <c r="C146" s="7">
        <f t="shared" si="3"/>
        <v>89</v>
      </c>
      <c r="D146" s="19">
        <f>CH50</f>
        <v>0.62829931972789121</v>
      </c>
      <c r="F146" s="87" t="s">
        <v>333</v>
      </c>
      <c r="G146" s="87"/>
      <c r="H146" s="87"/>
      <c r="I146" s="87"/>
      <c r="J146" s="87"/>
    </row>
    <row r="147" spans="1:10" ht="13" x14ac:dyDescent="0.3">
      <c r="A147" s="74" t="s">
        <v>50</v>
      </c>
      <c r="B147" s="74"/>
      <c r="C147" s="7">
        <f t="shared" si="3"/>
        <v>96.5</v>
      </c>
      <c r="D147" s="19">
        <f>CP50</f>
        <v>0.59846879928441976</v>
      </c>
    </row>
    <row r="148" spans="1:10" ht="13" x14ac:dyDescent="0.3">
      <c r="A148" s="74" t="s">
        <v>51</v>
      </c>
      <c r="B148" s="74"/>
      <c r="C148" s="7">
        <f t="shared" si="3"/>
        <v>97.5</v>
      </c>
      <c r="D148" s="19">
        <f>D142</f>
        <v>0.59846879928441976</v>
      </c>
    </row>
    <row r="149" spans="1:10" ht="13.5" thickBot="1" x14ac:dyDescent="0.35">
      <c r="A149" s="74" t="s">
        <v>52</v>
      </c>
      <c r="B149" s="74"/>
      <c r="C149" s="7">
        <f t="shared" si="3"/>
        <v>75</v>
      </c>
      <c r="D149" s="19">
        <f>CX50</f>
        <v>0.591280276816609</v>
      </c>
    </row>
    <row r="150" spans="1:10" ht="13.5" thickBot="1" x14ac:dyDescent="0.3">
      <c r="C150" s="21" t="s">
        <v>84</v>
      </c>
      <c r="D150" s="22">
        <f>MIN(D133:D149)</f>
        <v>0.57407407407407396</v>
      </c>
    </row>
    <row r="153" spans="1:10" ht="13" x14ac:dyDescent="0.25">
      <c r="A153" s="64" t="s">
        <v>321</v>
      </c>
      <c r="B153" s="65"/>
      <c r="C153" s="65"/>
      <c r="D153" s="66"/>
    </row>
    <row r="154" spans="1:10" ht="13" x14ac:dyDescent="0.25">
      <c r="A154" s="75" t="s">
        <v>33</v>
      </c>
      <c r="B154" s="75"/>
      <c r="C154" s="75"/>
      <c r="D154" s="75"/>
    </row>
    <row r="155" spans="1:10" ht="13" x14ac:dyDescent="0.25">
      <c r="A155" s="88" t="s">
        <v>46</v>
      </c>
      <c r="B155" s="88"/>
      <c r="C155" s="51" t="s">
        <v>221</v>
      </c>
      <c r="D155" s="52" t="s">
        <v>32</v>
      </c>
    </row>
    <row r="156" spans="1:10" ht="13" x14ac:dyDescent="0.3">
      <c r="A156" s="74" t="s">
        <v>34</v>
      </c>
      <c r="B156" s="74"/>
      <c r="C156" s="8">
        <f>AVERAGE(E2:E3)</f>
        <v>375000000</v>
      </c>
      <c r="D156" s="19">
        <f>F114</f>
        <v>0.47899449035812669</v>
      </c>
    </row>
    <row r="157" spans="1:10" ht="13" x14ac:dyDescent="0.3">
      <c r="A157" s="74" t="s">
        <v>35</v>
      </c>
      <c r="B157" s="74"/>
      <c r="C157" s="8">
        <f>AVERAGE(E3:E4)</f>
        <v>425000000</v>
      </c>
      <c r="D157" s="19">
        <f>N114</f>
        <v>0.45879501385041555</v>
      </c>
    </row>
    <row r="158" spans="1:10" ht="13" x14ac:dyDescent="0.3">
      <c r="A158" s="74" t="s">
        <v>36</v>
      </c>
      <c r="B158" s="74"/>
      <c r="C158" s="8">
        <f t="shared" ref="C158:C172" si="4">AVERAGE(E4:E5)</f>
        <v>475000000</v>
      </c>
      <c r="D158" s="19">
        <f>V114</f>
        <v>0.35416666666666663</v>
      </c>
    </row>
    <row r="159" spans="1:10" ht="13" x14ac:dyDescent="0.3">
      <c r="A159" s="74" t="s">
        <v>37</v>
      </c>
      <c r="B159" s="74"/>
      <c r="C159" s="8">
        <f t="shared" si="4"/>
        <v>550000000</v>
      </c>
      <c r="D159" s="19">
        <f>AD114</f>
        <v>0.48737917094560451</v>
      </c>
    </row>
    <row r="160" spans="1:10" ht="13" x14ac:dyDescent="0.3">
      <c r="A160" s="74" t="s">
        <v>38</v>
      </c>
      <c r="B160" s="74"/>
      <c r="C160" s="8">
        <f t="shared" si="4"/>
        <v>675000000</v>
      </c>
      <c r="D160" s="19">
        <f>AL114</f>
        <v>0.41917695473251015</v>
      </c>
    </row>
    <row r="161" spans="1:4" ht="13" x14ac:dyDescent="0.3">
      <c r="A161" s="74" t="s">
        <v>39</v>
      </c>
      <c r="B161" s="74"/>
      <c r="C161" s="8">
        <f t="shared" si="4"/>
        <v>525000000</v>
      </c>
      <c r="D161" s="19">
        <f>AT114</f>
        <v>0.48737917094560451</v>
      </c>
    </row>
    <row r="162" spans="1:4" ht="13" x14ac:dyDescent="0.3">
      <c r="A162" s="74" t="s">
        <v>40</v>
      </c>
      <c r="B162" s="74"/>
      <c r="C162" s="8">
        <f t="shared" si="4"/>
        <v>350000000</v>
      </c>
      <c r="D162" s="19">
        <f>BB114</f>
        <v>0.49147727272727271</v>
      </c>
    </row>
    <row r="163" spans="1:4" ht="13" x14ac:dyDescent="0.3">
      <c r="A163" s="74" t="s">
        <v>41</v>
      </c>
      <c r="B163" s="74"/>
      <c r="C163" s="8">
        <f t="shared" si="4"/>
        <v>425000000</v>
      </c>
      <c r="D163" s="19">
        <f>D157</f>
        <v>0.45879501385041555</v>
      </c>
    </row>
    <row r="164" spans="1:4" ht="13" x14ac:dyDescent="0.3">
      <c r="A164" s="74" t="s">
        <v>42</v>
      </c>
      <c r="B164" s="74"/>
      <c r="C164" s="8">
        <f t="shared" si="4"/>
        <v>437500000</v>
      </c>
      <c r="D164" s="19">
        <f>BJ114</f>
        <v>0.44205909510618657</v>
      </c>
    </row>
    <row r="165" spans="1:4" ht="13" x14ac:dyDescent="0.3">
      <c r="A165" s="74" t="s">
        <v>43</v>
      </c>
      <c r="B165" s="74"/>
      <c r="C165" s="8">
        <f t="shared" si="4"/>
        <v>450000000</v>
      </c>
      <c r="D165" s="19">
        <f>BR114</f>
        <v>0.42733564013840819</v>
      </c>
    </row>
    <row r="166" spans="1:4" ht="13" x14ac:dyDescent="0.3">
      <c r="A166" s="74" t="s">
        <v>44</v>
      </c>
      <c r="B166" s="74"/>
      <c r="C166" s="8">
        <f t="shared" si="4"/>
        <v>487500000</v>
      </c>
      <c r="D166" s="19">
        <f>BZ114</f>
        <v>0.44791666666666663</v>
      </c>
    </row>
    <row r="167" spans="1:4" ht="13" x14ac:dyDescent="0.3">
      <c r="A167" s="74" t="s">
        <v>47</v>
      </c>
      <c r="B167" s="74"/>
      <c r="C167" s="8">
        <f t="shared" si="4"/>
        <v>650000000</v>
      </c>
      <c r="D167" s="19">
        <f>CH114</f>
        <v>0.41917695473251015</v>
      </c>
    </row>
    <row r="168" spans="1:4" ht="13" x14ac:dyDescent="0.3">
      <c r="A168" s="74" t="s">
        <v>48</v>
      </c>
      <c r="B168" s="74"/>
      <c r="C168" s="8">
        <f t="shared" si="4"/>
        <v>687500000</v>
      </c>
      <c r="D168" s="19">
        <f>CP114</f>
        <v>0.41917695473251015</v>
      </c>
    </row>
    <row r="169" spans="1:4" ht="13" x14ac:dyDescent="0.3">
      <c r="A169" s="74" t="s">
        <v>49</v>
      </c>
      <c r="B169" s="74"/>
      <c r="C169" s="8">
        <f t="shared" si="4"/>
        <v>537500000</v>
      </c>
      <c r="D169" s="19">
        <f>CX114</f>
        <v>0.48737917094560451</v>
      </c>
    </row>
    <row r="170" spans="1:4" ht="13" x14ac:dyDescent="0.3">
      <c r="A170" s="74" t="s">
        <v>50</v>
      </c>
      <c r="B170" s="74"/>
      <c r="C170" s="8">
        <f t="shared" si="4"/>
        <v>562500000</v>
      </c>
      <c r="D170" s="19">
        <f>DF114</f>
        <v>0.48737917094560451</v>
      </c>
    </row>
    <row r="171" spans="1:4" ht="13" x14ac:dyDescent="0.3">
      <c r="A171" s="74" t="s">
        <v>51</v>
      </c>
      <c r="B171" s="74"/>
      <c r="C171" s="8">
        <f t="shared" si="4"/>
        <v>612500000</v>
      </c>
      <c r="D171" s="19">
        <f>DN114</f>
        <v>0.38166666666666654</v>
      </c>
    </row>
    <row r="172" spans="1:4" ht="13.5" thickBot="1" x14ac:dyDescent="0.35">
      <c r="A172" s="74" t="s">
        <v>52</v>
      </c>
      <c r="B172" s="74"/>
      <c r="C172" s="8">
        <f t="shared" si="4"/>
        <v>650000000</v>
      </c>
      <c r="D172" s="19">
        <f>CH114</f>
        <v>0.41917695473251015</v>
      </c>
    </row>
    <row r="173" spans="1:4" ht="13.5" thickBot="1" x14ac:dyDescent="0.3">
      <c r="C173" s="49" t="s">
        <v>220</v>
      </c>
      <c r="D173" s="50">
        <f>MIN(D156:D172)</f>
        <v>0.35416666666666663</v>
      </c>
    </row>
    <row r="175" spans="1:4" ht="16.5" customHeight="1" x14ac:dyDescent="0.25">
      <c r="A175" s="67" t="s">
        <v>324</v>
      </c>
      <c r="B175" s="67"/>
      <c r="C175" s="67"/>
    </row>
    <row r="176" spans="1:4" ht="13" x14ac:dyDescent="0.25">
      <c r="A176" s="75" t="s">
        <v>314</v>
      </c>
      <c r="B176" s="75"/>
      <c r="C176" s="42" t="s">
        <v>32</v>
      </c>
    </row>
    <row r="177" spans="1:10" x14ac:dyDescent="0.25">
      <c r="A177" s="36" t="s">
        <v>315</v>
      </c>
      <c r="B177" s="57" t="s">
        <v>1</v>
      </c>
      <c r="C177" s="36">
        <f>D150</f>
        <v>0.57407407407407396</v>
      </c>
    </row>
    <row r="178" spans="1:10" x14ac:dyDescent="0.25">
      <c r="A178" s="9" t="s">
        <v>316</v>
      </c>
      <c r="B178" s="57" t="s">
        <v>31</v>
      </c>
      <c r="C178" s="36">
        <f>D173</f>
        <v>0.35416666666666663</v>
      </c>
    </row>
    <row r="179" spans="1:10" ht="13" x14ac:dyDescent="0.25">
      <c r="A179" s="76" t="s">
        <v>325</v>
      </c>
      <c r="B179" s="77"/>
      <c r="C179" s="58">
        <f>MIN(C177:C178)</f>
        <v>0.35416666666666663</v>
      </c>
    </row>
    <row r="182" spans="1:10" s="69" customFormat="1" ht="24.5" customHeight="1" x14ac:dyDescent="0.25">
      <c r="D182" s="70"/>
      <c r="E182" s="71"/>
    </row>
    <row r="184" spans="1:10" x14ac:dyDescent="0.25">
      <c r="B184" s="72"/>
      <c r="C184" s="72"/>
      <c r="D184" s="73"/>
      <c r="E184" s="72"/>
      <c r="F184" s="72"/>
      <c r="G184" s="72"/>
      <c r="H184" s="72"/>
      <c r="I184" s="72"/>
      <c r="J184" s="72"/>
    </row>
    <row r="185" spans="1:10" x14ac:dyDescent="0.25">
      <c r="B185" s="72"/>
      <c r="C185" s="72"/>
      <c r="D185" s="73"/>
      <c r="E185" s="72"/>
      <c r="F185" s="60"/>
      <c r="G185" s="60"/>
      <c r="H185" s="60"/>
      <c r="I185" s="72"/>
      <c r="J185" s="72"/>
    </row>
    <row r="187" spans="1:10" x14ac:dyDescent="0.25">
      <c r="F187" s="60"/>
      <c r="G187" s="60"/>
      <c r="H187" s="60"/>
    </row>
    <row r="190" spans="1:10" x14ac:dyDescent="0.25">
      <c r="D190"/>
      <c r="G190" s="1"/>
    </row>
    <row r="191" spans="1:10" x14ac:dyDescent="0.25">
      <c r="D191"/>
    </row>
    <row r="192" spans="1:10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</sheetData>
  <mergeCells count="294">
    <mergeCell ref="A86:B86"/>
    <mergeCell ref="A87:B87"/>
    <mergeCell ref="A88:B88"/>
    <mergeCell ref="A82:B82"/>
    <mergeCell ref="A83:B83"/>
    <mergeCell ref="A84:B84"/>
    <mergeCell ref="AW64:AY64"/>
    <mergeCell ref="AG64:AI64"/>
    <mergeCell ref="AM62:AN62"/>
    <mergeCell ref="AK64:AM64"/>
    <mergeCell ref="AO64:AQ64"/>
    <mergeCell ref="AU62:AV62"/>
    <mergeCell ref="AS64:AU64"/>
    <mergeCell ref="Q64:S64"/>
    <mergeCell ref="W62:X62"/>
    <mergeCell ref="U64:W64"/>
    <mergeCell ref="Y64:AA64"/>
    <mergeCell ref="AE62:AF62"/>
    <mergeCell ref="AC64:AE64"/>
    <mergeCell ref="A54:B54"/>
    <mergeCell ref="A55:B55"/>
    <mergeCell ref="A56:B56"/>
    <mergeCell ref="A57:B57"/>
    <mergeCell ref="G62:H62"/>
    <mergeCell ref="E64:G64"/>
    <mergeCell ref="I64:K64"/>
    <mergeCell ref="M64:O64"/>
    <mergeCell ref="A85:B85"/>
    <mergeCell ref="A64:D64"/>
    <mergeCell ref="A76:B76"/>
    <mergeCell ref="A77:B77"/>
    <mergeCell ref="A78:B78"/>
    <mergeCell ref="A79:B79"/>
    <mergeCell ref="A80:B80"/>
    <mergeCell ref="A81:B81"/>
    <mergeCell ref="A70:B70"/>
    <mergeCell ref="A71:B71"/>
    <mergeCell ref="A72:B72"/>
    <mergeCell ref="A73:B73"/>
    <mergeCell ref="A74:B74"/>
    <mergeCell ref="A75:B75"/>
    <mergeCell ref="A65:B65"/>
    <mergeCell ref="A66:B66"/>
    <mergeCell ref="A67:B67"/>
    <mergeCell ref="A68:B68"/>
    <mergeCell ref="A69:B69"/>
    <mergeCell ref="EG33:EI33"/>
    <mergeCell ref="O62:P62"/>
    <mergeCell ref="DQ33:DS33"/>
    <mergeCell ref="DW31:DX31"/>
    <mergeCell ref="DU33:DW33"/>
    <mergeCell ref="DY33:EA33"/>
    <mergeCell ref="EE31:EF31"/>
    <mergeCell ref="EC33:EE33"/>
    <mergeCell ref="DA33:DC33"/>
    <mergeCell ref="DG31:DH31"/>
    <mergeCell ref="DE33:DG33"/>
    <mergeCell ref="DI33:DK33"/>
    <mergeCell ref="DO31:DP31"/>
    <mergeCell ref="DM33:DO33"/>
    <mergeCell ref="CK33:CM33"/>
    <mergeCell ref="CQ31:CR31"/>
    <mergeCell ref="CO33:CQ33"/>
    <mergeCell ref="CS33:CU33"/>
    <mergeCell ref="CY31:CZ31"/>
    <mergeCell ref="CW33:CY33"/>
    <mergeCell ref="BU33:BW33"/>
    <mergeCell ref="CA31:CB31"/>
    <mergeCell ref="BY33:CA33"/>
    <mergeCell ref="CC33:CE33"/>
    <mergeCell ref="CI31:CJ31"/>
    <mergeCell ref="CG33:CI33"/>
    <mergeCell ref="BE33:BG33"/>
    <mergeCell ref="BK31:BL31"/>
    <mergeCell ref="BI33:BK33"/>
    <mergeCell ref="BM33:BO33"/>
    <mergeCell ref="BS31:BT31"/>
    <mergeCell ref="BQ33:BS33"/>
    <mergeCell ref="AO33:AQ33"/>
    <mergeCell ref="AU31:AV31"/>
    <mergeCell ref="AS33:AU33"/>
    <mergeCell ref="AW33:AY33"/>
    <mergeCell ref="BC31:BD31"/>
    <mergeCell ref="BA33:BC33"/>
    <mergeCell ref="Y33:AA33"/>
    <mergeCell ref="AE31:AF31"/>
    <mergeCell ref="AC33:AE33"/>
    <mergeCell ref="AG33:AI33"/>
    <mergeCell ref="AM31:AN31"/>
    <mergeCell ref="AK33:AM33"/>
    <mergeCell ref="I33:K33"/>
    <mergeCell ref="O31:P31"/>
    <mergeCell ref="M33:O33"/>
    <mergeCell ref="Q33:S33"/>
    <mergeCell ref="W31:X31"/>
    <mergeCell ref="U33:W33"/>
    <mergeCell ref="H28:I28"/>
    <mergeCell ref="G31:H31"/>
    <mergeCell ref="E33:G33"/>
    <mergeCell ref="A48:B48"/>
    <mergeCell ref="A49:B49"/>
    <mergeCell ref="A50:B50"/>
    <mergeCell ref="A51:B51"/>
    <mergeCell ref="A52:B52"/>
    <mergeCell ref="A53:B53"/>
    <mergeCell ref="A42:B42"/>
    <mergeCell ref="A43:B43"/>
    <mergeCell ref="A44:B44"/>
    <mergeCell ref="A45:B45"/>
    <mergeCell ref="A46:B46"/>
    <mergeCell ref="A47:B47"/>
    <mergeCell ref="A34:B34"/>
    <mergeCell ref="A35:B35"/>
    <mergeCell ref="A36:B36"/>
    <mergeCell ref="A37:B37"/>
    <mergeCell ref="A38:B38"/>
    <mergeCell ref="A39:B39"/>
    <mergeCell ref="A40:B40"/>
    <mergeCell ref="A41:B41"/>
    <mergeCell ref="A33:D33"/>
    <mergeCell ref="CQ62:CR62"/>
    <mergeCell ref="CO64:CQ64"/>
    <mergeCell ref="CS64:CU64"/>
    <mergeCell ref="BC62:BD62"/>
    <mergeCell ref="BA64:BC64"/>
    <mergeCell ref="BE64:BG64"/>
    <mergeCell ref="BK62:BL62"/>
    <mergeCell ref="BI64:BK64"/>
    <mergeCell ref="BM64:BO64"/>
    <mergeCell ref="BS62:BT62"/>
    <mergeCell ref="BQ64:BS64"/>
    <mergeCell ref="BU64:BW64"/>
    <mergeCell ref="AW97:AY97"/>
    <mergeCell ref="BC95:BD95"/>
    <mergeCell ref="BA97:BC97"/>
    <mergeCell ref="CA62:CB62"/>
    <mergeCell ref="BY64:CA64"/>
    <mergeCell ref="CC64:CE64"/>
    <mergeCell ref="CI62:CJ62"/>
    <mergeCell ref="CG64:CI64"/>
    <mergeCell ref="CK64:CM64"/>
    <mergeCell ref="A104:B104"/>
    <mergeCell ref="A105:B105"/>
    <mergeCell ref="A106:B106"/>
    <mergeCell ref="CY62:CZ62"/>
    <mergeCell ref="CW64:CY64"/>
    <mergeCell ref="DA64:DC64"/>
    <mergeCell ref="DG62:DH62"/>
    <mergeCell ref="DE64:DG64"/>
    <mergeCell ref="DI64:DK64"/>
    <mergeCell ref="A95:D95"/>
    <mergeCell ref="A96:B96"/>
    <mergeCell ref="A97:B97"/>
    <mergeCell ref="Q97:S97"/>
    <mergeCell ref="W95:X95"/>
    <mergeCell ref="U97:W97"/>
    <mergeCell ref="Y97:AA97"/>
    <mergeCell ref="AE95:AF95"/>
    <mergeCell ref="AC97:AE97"/>
    <mergeCell ref="AG97:AI97"/>
    <mergeCell ref="AM95:AN95"/>
    <mergeCell ref="AK97:AM97"/>
    <mergeCell ref="AO97:AQ97"/>
    <mergeCell ref="AU95:AV95"/>
    <mergeCell ref="AS97:AU97"/>
    <mergeCell ref="A116:B116"/>
    <mergeCell ref="A117:B117"/>
    <mergeCell ref="A118:B118"/>
    <mergeCell ref="A119:B119"/>
    <mergeCell ref="G95:H95"/>
    <mergeCell ref="E97:G97"/>
    <mergeCell ref="I97:K97"/>
    <mergeCell ref="O95:P95"/>
    <mergeCell ref="M97:O97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98:B98"/>
    <mergeCell ref="A99:B99"/>
    <mergeCell ref="A100:B100"/>
    <mergeCell ref="A101:B101"/>
    <mergeCell ref="A102:B102"/>
    <mergeCell ref="A103:B103"/>
    <mergeCell ref="BE97:BG97"/>
    <mergeCell ref="BK95:BL95"/>
    <mergeCell ref="BI97:BK97"/>
    <mergeCell ref="BM97:BO97"/>
    <mergeCell ref="BS95:BT95"/>
    <mergeCell ref="BQ97:BS97"/>
    <mergeCell ref="BU97:BW97"/>
    <mergeCell ref="CA95:CB95"/>
    <mergeCell ref="BY97:CA97"/>
    <mergeCell ref="DO95:DP95"/>
    <mergeCell ref="DM97:DO97"/>
    <mergeCell ref="DQ97:DS97"/>
    <mergeCell ref="DW95:DX95"/>
    <mergeCell ref="DU97:DW97"/>
    <mergeCell ref="CC97:CE97"/>
    <mergeCell ref="CI95:CJ95"/>
    <mergeCell ref="CG97:CI97"/>
    <mergeCell ref="CK97:CM97"/>
    <mergeCell ref="CQ95:CR95"/>
    <mergeCell ref="CO97:CQ97"/>
    <mergeCell ref="CS97:CU97"/>
    <mergeCell ref="CY95:CZ95"/>
    <mergeCell ref="CW97:CY97"/>
    <mergeCell ref="EW97:EY97"/>
    <mergeCell ref="FD95:FE95"/>
    <mergeCell ref="FB97:FD97"/>
    <mergeCell ref="FF97:FH97"/>
    <mergeCell ref="FM95:FN95"/>
    <mergeCell ref="FK97:FM97"/>
    <mergeCell ref="FO97:FQ97"/>
    <mergeCell ref="A123:B123"/>
    <mergeCell ref="A127:B127"/>
    <mergeCell ref="J125:K125"/>
    <mergeCell ref="L127:N127"/>
    <mergeCell ref="DY97:EA97"/>
    <mergeCell ref="EE95:EF95"/>
    <mergeCell ref="EC97:EE97"/>
    <mergeCell ref="EG97:EI97"/>
    <mergeCell ref="EM95:EN95"/>
    <mergeCell ref="EK97:EM97"/>
    <mergeCell ref="EO97:EQ97"/>
    <mergeCell ref="EU95:EV95"/>
    <mergeCell ref="ES97:EU97"/>
    <mergeCell ref="DA97:DC97"/>
    <mergeCell ref="DG95:DH95"/>
    <mergeCell ref="DE97:DG97"/>
    <mergeCell ref="DI97:DK97"/>
    <mergeCell ref="A131:D131"/>
    <mergeCell ref="A132:B132"/>
    <mergeCell ref="A133:B133"/>
    <mergeCell ref="A134:B134"/>
    <mergeCell ref="A135:B135"/>
    <mergeCell ref="A136:B136"/>
    <mergeCell ref="A137:B137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47:B147"/>
    <mergeCell ref="A148:B148"/>
    <mergeCell ref="A169:B169"/>
    <mergeCell ref="A170:B170"/>
    <mergeCell ref="A149:B149"/>
    <mergeCell ref="A154:D154"/>
    <mergeCell ref="A155:B155"/>
    <mergeCell ref="A156:B156"/>
    <mergeCell ref="A157:B157"/>
    <mergeCell ref="A158:B158"/>
    <mergeCell ref="A159:B159"/>
    <mergeCell ref="A160:B160"/>
    <mergeCell ref="A161:B161"/>
    <mergeCell ref="F145:J145"/>
    <mergeCell ref="F146:J146"/>
    <mergeCell ref="A162:B162"/>
    <mergeCell ref="A163:B163"/>
    <mergeCell ref="A164:B164"/>
    <mergeCell ref="A165:B165"/>
    <mergeCell ref="A166:B166"/>
    <mergeCell ref="A167:B167"/>
    <mergeCell ref="A168:B168"/>
    <mergeCell ref="H127:J127"/>
    <mergeCell ref="H133:I133"/>
    <mergeCell ref="F135:H135"/>
    <mergeCell ref="J135:L135"/>
    <mergeCell ref="F140:J140"/>
    <mergeCell ref="F141:J141"/>
    <mergeCell ref="F142:J142"/>
    <mergeCell ref="F143:J143"/>
    <mergeCell ref="F144:J144"/>
    <mergeCell ref="F184:H184"/>
    <mergeCell ref="E184:E185"/>
    <mergeCell ref="D184:D185"/>
    <mergeCell ref="B184:B185"/>
    <mergeCell ref="C184:C185"/>
    <mergeCell ref="I184:I185"/>
    <mergeCell ref="J184:J185"/>
    <mergeCell ref="A171:B171"/>
    <mergeCell ref="A172:B172"/>
    <mergeCell ref="A176:B176"/>
    <mergeCell ref="A179:B179"/>
  </mergeCells>
  <phoneticPr fontId="20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 Rumah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Saputro</dc:creator>
  <cp:lastModifiedBy>Irfan Saputro</cp:lastModifiedBy>
  <dcterms:created xsi:type="dcterms:W3CDTF">2022-12-14T08:54:20Z</dcterms:created>
  <dcterms:modified xsi:type="dcterms:W3CDTF">2022-12-23T06:37:40Z</dcterms:modified>
</cp:coreProperties>
</file>