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705" windowWidth="14520" windowHeight="9975" tabRatio="638" activeTab="6"/>
  </bookViews>
  <sheets>
    <sheet name="Календарь" sheetId="1" r:id="rId1"/>
    <sheet name="Самосвалы" sheetId="5" r:id="rId2"/>
    <sheet name="Бурстанки" sheetId="6" r:id="rId3"/>
    <sheet name="Бульдозера" sheetId="7" r:id="rId4"/>
    <sheet name="Оборудование" sheetId="9" r:id="rId5"/>
    <sheet name="Экскаваторы II" sheetId="10" r:id="rId6"/>
    <sheet name="Лист1" sheetId="11" r:id="rId7"/>
  </sheets>
  <definedNames>
    <definedName name="_xlnm.Print_Titles" localSheetId="5">'Экскаваторы II'!$AT:$AU</definedName>
    <definedName name="_xlnm.Print_Area" localSheetId="0">Календарь!$B$9:$T$406</definedName>
    <definedName name="_xlnm.Print_Area" localSheetId="5">'Экскаваторы II'!#REF!</definedName>
  </definedNames>
  <calcPr calcId="145621"/>
</workbook>
</file>

<file path=xl/calcChain.xml><?xml version="1.0" encoding="utf-8"?>
<calcChain xmlns="http://schemas.openxmlformats.org/spreadsheetml/2006/main">
  <c r="L75" i="5" l="1"/>
  <c r="E57" i="5"/>
  <c r="V57" i="5"/>
  <c r="V75" i="5"/>
  <c r="BH46" i="5"/>
  <c r="BI46" i="5"/>
  <c r="BH47" i="5"/>
  <c r="BI47" i="5"/>
  <c r="BH48" i="5"/>
  <c r="BI48" i="5"/>
  <c r="BH49" i="5"/>
  <c r="BI49" i="5"/>
  <c r="BH50" i="5"/>
  <c r="BI50" i="5"/>
  <c r="L431" i="1" l="1"/>
  <c r="L432" i="1"/>
  <c r="L433" i="1"/>
  <c r="L434" i="1"/>
  <c r="L435" i="1"/>
  <c r="L436" i="1"/>
  <c r="L430" i="1"/>
  <c r="J75" i="5" l="1"/>
  <c r="Y409" i="1" l="1"/>
  <c r="Y282" i="1"/>
  <c r="Y283" i="1"/>
  <c r="Y289" i="1"/>
  <c r="Y292" i="1"/>
  <c r="Y295" i="1"/>
  <c r="Y357" i="1"/>
  <c r="Y358" i="1"/>
  <c r="Y359" i="1"/>
  <c r="Y361" i="1"/>
  <c r="Y363" i="1"/>
  <c r="Y364" i="1"/>
  <c r="Y365" i="1"/>
  <c r="Y367" i="1"/>
  <c r="Y369" i="1"/>
  <c r="Y370" i="1"/>
  <c r="Y371" i="1"/>
  <c r="Y373" i="1"/>
  <c r="Y375" i="1"/>
  <c r="Y376" i="1"/>
  <c r="Y377" i="1"/>
  <c r="Y379" i="1"/>
  <c r="Y321" i="1"/>
  <c r="Y322" i="1"/>
  <c r="Y323" i="1"/>
  <c r="Y324" i="1"/>
  <c r="Y327" i="1"/>
  <c r="Y328" i="1"/>
  <c r="Y329" i="1"/>
  <c r="Y331" i="1"/>
  <c r="Y333" i="1"/>
  <c r="Y334" i="1"/>
  <c r="Y335" i="1"/>
  <c r="Y337" i="1"/>
  <c r="Y339" i="1"/>
  <c r="Y340" i="1"/>
  <c r="Y341" i="1"/>
  <c r="Y343" i="1"/>
  <c r="Y345" i="1"/>
  <c r="Y346" i="1"/>
  <c r="Y347" i="1"/>
  <c r="Y349" i="1"/>
  <c r="Y351" i="1"/>
  <c r="Y352" i="1"/>
  <c r="Y353" i="1"/>
  <c r="Y355" i="1"/>
  <c r="Y315" i="1"/>
  <c r="Y316" i="1"/>
  <c r="Y317" i="1"/>
  <c r="Y318" i="1"/>
  <c r="Y309" i="1"/>
  <c r="Y310" i="1"/>
  <c r="Y311" i="1"/>
  <c r="Y312" i="1"/>
  <c r="Y303" i="1"/>
  <c r="Y304" i="1"/>
  <c r="Y305" i="1"/>
  <c r="Y306" i="1"/>
  <c r="Y388" i="1"/>
  <c r="Y389" i="1"/>
  <c r="Y390" i="1"/>
  <c r="Y392" i="1"/>
  <c r="Y382" i="1"/>
  <c r="Y383" i="1"/>
  <c r="Y384" i="1"/>
  <c r="Y386" i="1"/>
  <c r="Y405" i="1"/>
  <c r="Y404" i="1"/>
  <c r="Y427" i="1" s="1"/>
  <c r="Y403" i="1"/>
  <c r="Y402" i="1"/>
  <c r="Y401" i="1"/>
  <c r="Y400" i="1"/>
  <c r="Y399" i="1"/>
  <c r="Y428" i="1"/>
  <c r="Y426" i="1"/>
  <c r="Y425" i="1"/>
  <c r="Y424" i="1"/>
  <c r="Y423" i="1"/>
  <c r="Y422" i="1"/>
  <c r="Y274" i="1"/>
  <c r="Y150" i="1"/>
  <c r="Y151" i="1"/>
  <c r="Y152" i="1"/>
  <c r="Y153" i="1"/>
  <c r="Y154" i="1"/>
  <c r="Y229" i="1"/>
  <c r="C106" i="1" l="1"/>
  <c r="Z132" i="1" l="1"/>
  <c r="Z133" i="1"/>
  <c r="Z134" i="1"/>
  <c r="Z135" i="1"/>
  <c r="Z136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E125" i="1"/>
  <c r="C125" i="1"/>
  <c r="F97" i="1" l="1"/>
  <c r="G97" i="1"/>
  <c r="H97" i="1"/>
  <c r="I97" i="1"/>
  <c r="E97" i="1"/>
  <c r="F92" i="1"/>
  <c r="G92" i="1"/>
  <c r="H92" i="1"/>
  <c r="I92" i="1"/>
  <c r="J92" i="1"/>
  <c r="J91" i="1" s="1"/>
  <c r="K92" i="1"/>
  <c r="K91" i="1" s="1"/>
  <c r="L92" i="1"/>
  <c r="L91" i="1" s="1"/>
  <c r="M92" i="1"/>
  <c r="M91" i="1" s="1"/>
  <c r="N92" i="1"/>
  <c r="N91" i="1" s="1"/>
  <c r="O92" i="1"/>
  <c r="O91" i="1" s="1"/>
  <c r="P92" i="1"/>
  <c r="P91" i="1" s="1"/>
  <c r="Q92" i="1"/>
  <c r="Q91" i="1" s="1"/>
  <c r="R92" i="1"/>
  <c r="R91" i="1" s="1"/>
  <c r="S92" i="1"/>
  <c r="S91" i="1" s="1"/>
  <c r="T92" i="1"/>
  <c r="T91" i="1" s="1"/>
  <c r="U92" i="1"/>
  <c r="U91" i="1" s="1"/>
  <c r="V92" i="1"/>
  <c r="V91" i="1" s="1"/>
  <c r="W92" i="1"/>
  <c r="W91" i="1" s="1"/>
  <c r="X92" i="1"/>
  <c r="X91" i="1" s="1"/>
  <c r="Y92" i="1"/>
  <c r="Y91" i="1" s="1"/>
  <c r="E92" i="1"/>
  <c r="C97" i="1"/>
  <c r="H91" i="1" l="1"/>
  <c r="G91" i="1"/>
  <c r="E91" i="1"/>
  <c r="F91" i="1"/>
  <c r="I91" i="1"/>
  <c r="Z131" i="1"/>
  <c r="Z130" i="1"/>
  <c r="Z129" i="1"/>
  <c r="Z128" i="1"/>
  <c r="Z127" i="1"/>
  <c r="Z126" i="1"/>
  <c r="Z109" i="1"/>
  <c r="Z107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E111" i="1"/>
  <c r="Z114" i="1"/>
  <c r="Z145" i="1"/>
  <c r="Z146" i="1"/>
  <c r="Z147" i="1"/>
  <c r="Z144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C143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18" i="1"/>
  <c r="Z119" i="1"/>
  <c r="Z117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C116" i="1"/>
  <c r="C120" i="1"/>
  <c r="C92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E137" i="1"/>
  <c r="C137" i="1"/>
  <c r="V115" i="1" l="1"/>
  <c r="J115" i="1"/>
  <c r="W115" i="1"/>
  <c r="S115" i="1"/>
  <c r="O115" i="1"/>
  <c r="K115" i="1"/>
  <c r="G115" i="1"/>
  <c r="R115" i="1"/>
  <c r="N115" i="1"/>
  <c r="Y115" i="1"/>
  <c r="U115" i="1"/>
  <c r="Q115" i="1"/>
  <c r="M115" i="1"/>
  <c r="I115" i="1"/>
  <c r="E115" i="1"/>
  <c r="F115" i="1"/>
  <c r="X115" i="1"/>
  <c r="T115" i="1"/>
  <c r="P115" i="1"/>
  <c r="L115" i="1"/>
  <c r="H115" i="1"/>
  <c r="AB87" i="1"/>
  <c r="Z116" i="1"/>
  <c r="Z143" i="1"/>
  <c r="F105" i="1"/>
  <c r="F90" i="1" s="1"/>
  <c r="G105" i="1"/>
  <c r="G90" i="1" s="1"/>
  <c r="H105" i="1"/>
  <c r="H90" i="1" s="1"/>
  <c r="I105" i="1"/>
  <c r="I90" i="1" s="1"/>
  <c r="J105" i="1"/>
  <c r="J90" i="1" s="1"/>
  <c r="K105" i="1"/>
  <c r="K90" i="1" s="1"/>
  <c r="L105" i="1"/>
  <c r="L90" i="1" s="1"/>
  <c r="M105" i="1"/>
  <c r="M90" i="1" s="1"/>
  <c r="N105" i="1"/>
  <c r="N90" i="1" s="1"/>
  <c r="N88" i="1" s="1"/>
  <c r="O105" i="1"/>
  <c r="O90" i="1" s="1"/>
  <c r="P105" i="1"/>
  <c r="P90" i="1" s="1"/>
  <c r="Q105" i="1"/>
  <c r="Q90" i="1" s="1"/>
  <c r="R105" i="1"/>
  <c r="R90" i="1" s="1"/>
  <c r="S105" i="1"/>
  <c r="S90" i="1" s="1"/>
  <c r="T105" i="1"/>
  <c r="T90" i="1" s="1"/>
  <c r="U105" i="1"/>
  <c r="U90" i="1" s="1"/>
  <c r="V105" i="1"/>
  <c r="V90" i="1" s="1"/>
  <c r="W105" i="1"/>
  <c r="W90" i="1" s="1"/>
  <c r="X105" i="1"/>
  <c r="X90" i="1" s="1"/>
  <c r="Y105" i="1"/>
  <c r="Y90" i="1" s="1"/>
  <c r="E105" i="1"/>
  <c r="E90" i="1" s="1"/>
  <c r="V88" i="1" l="1"/>
  <c r="J88" i="1"/>
  <c r="L88" i="1"/>
  <c r="W88" i="1"/>
  <c r="M88" i="1"/>
  <c r="O88" i="1"/>
  <c r="E88" i="1"/>
  <c r="R88" i="1"/>
  <c r="F88" i="1"/>
  <c r="X88" i="1"/>
  <c r="H88" i="1"/>
  <c r="S88" i="1"/>
  <c r="Y88" i="1"/>
  <c r="Q88" i="1"/>
  <c r="I88" i="1"/>
  <c r="U88" i="1"/>
  <c r="K88" i="1"/>
  <c r="G88" i="1"/>
  <c r="T88" i="1"/>
  <c r="P88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E227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E2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E28" i="1"/>
  <c r="F47" i="1"/>
  <c r="F30" i="1" s="1"/>
  <c r="G47" i="1"/>
  <c r="G30" i="1" s="1"/>
  <c r="H47" i="1"/>
  <c r="H30" i="1" s="1"/>
  <c r="I47" i="1"/>
  <c r="I30" i="1" s="1"/>
  <c r="J47" i="1"/>
  <c r="J30" i="1" s="1"/>
  <c r="K47" i="1"/>
  <c r="L47" i="1"/>
  <c r="M47" i="1"/>
  <c r="N47" i="1"/>
  <c r="O47" i="1"/>
  <c r="P47" i="1"/>
  <c r="Q47" i="1"/>
  <c r="R47" i="1"/>
  <c r="R30" i="1" s="1"/>
  <c r="S47" i="1"/>
  <c r="S30" i="1" s="1"/>
  <c r="T47" i="1"/>
  <c r="T30" i="1" s="1"/>
  <c r="U47" i="1"/>
  <c r="U30" i="1" s="1"/>
  <c r="V47" i="1"/>
  <c r="V30" i="1" s="1"/>
  <c r="W47" i="1"/>
  <c r="W30" i="1" s="1"/>
  <c r="X47" i="1"/>
  <c r="X30" i="1" s="1"/>
  <c r="Y47" i="1"/>
  <c r="Y30" i="1" s="1"/>
  <c r="E47" i="1"/>
  <c r="E30" i="1" s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E31" i="1"/>
  <c r="W56" i="1"/>
  <c r="Q61" i="1"/>
  <c r="Q60" i="1" s="1"/>
  <c r="P61" i="1"/>
  <c r="O61" i="1"/>
  <c r="O60" i="1" s="1"/>
  <c r="N61" i="1"/>
  <c r="N60" i="1" s="1"/>
  <c r="M61" i="1"/>
  <c r="L61" i="1"/>
  <c r="L60" i="1" s="1"/>
  <c r="K61" i="1"/>
  <c r="K60" i="1" s="1"/>
  <c r="F60" i="1"/>
  <c r="G60" i="1"/>
  <c r="H60" i="1"/>
  <c r="I60" i="1"/>
  <c r="J60" i="1"/>
  <c r="M60" i="1"/>
  <c r="P60" i="1"/>
  <c r="R60" i="1"/>
  <c r="S60" i="1"/>
  <c r="T60" i="1"/>
  <c r="U60" i="1"/>
  <c r="V60" i="1"/>
  <c r="E60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40" i="1"/>
  <c r="Z41" i="1"/>
  <c r="Z4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E24" i="1"/>
  <c r="Z62" i="1"/>
  <c r="AA62" i="1" s="1"/>
  <c r="Z59" i="1"/>
  <c r="AA59" i="1" s="1"/>
  <c r="Z58" i="1"/>
  <c r="AB57" i="1"/>
  <c r="Y56" i="1"/>
  <c r="X56" i="1"/>
  <c r="V57" i="1"/>
  <c r="V56" i="1" s="1"/>
  <c r="U57" i="1"/>
  <c r="U56" i="1" s="1"/>
  <c r="U63" i="1" s="1"/>
  <c r="T57" i="1"/>
  <c r="T56" i="1" s="1"/>
  <c r="S57" i="1"/>
  <c r="S56" i="1" s="1"/>
  <c r="S63" i="1" s="1"/>
  <c r="R57" i="1"/>
  <c r="R56" i="1" s="1"/>
  <c r="Q57" i="1"/>
  <c r="Q56" i="1" s="1"/>
  <c r="Q63" i="1" s="1"/>
  <c r="P57" i="1"/>
  <c r="P56" i="1" s="1"/>
  <c r="O57" i="1"/>
  <c r="O56" i="1" s="1"/>
  <c r="O64" i="1" s="1"/>
  <c r="N57" i="1"/>
  <c r="N56" i="1" s="1"/>
  <c r="M57" i="1"/>
  <c r="M56" i="1" s="1"/>
  <c r="L57" i="1"/>
  <c r="L56" i="1" s="1"/>
  <c r="K57" i="1"/>
  <c r="K56" i="1" s="1"/>
  <c r="J57" i="1"/>
  <c r="J56" i="1" s="1"/>
  <c r="I57" i="1"/>
  <c r="I56" i="1" s="1"/>
  <c r="H57" i="1"/>
  <c r="H56" i="1" s="1"/>
  <c r="G57" i="1"/>
  <c r="G56" i="1" s="1"/>
  <c r="F57" i="1"/>
  <c r="F56" i="1" s="1"/>
  <c r="E57" i="1"/>
  <c r="E56" i="1" s="1"/>
  <c r="N30" i="1" l="1"/>
  <c r="M30" i="1"/>
  <c r="O30" i="1"/>
  <c r="K30" i="1"/>
  <c r="Q30" i="1"/>
  <c r="P30" i="1"/>
  <c r="L30" i="1"/>
  <c r="M64" i="1"/>
  <c r="M63" i="1"/>
  <c r="P65" i="1"/>
  <c r="P64" i="1"/>
  <c r="N64" i="1"/>
  <c r="N65" i="1"/>
  <c r="R64" i="1"/>
  <c r="R65" i="1"/>
  <c r="V64" i="1"/>
  <c r="V65" i="1"/>
  <c r="H64" i="1"/>
  <c r="H65" i="1"/>
  <c r="L65" i="1"/>
  <c r="L64" i="1"/>
  <c r="T65" i="1"/>
  <c r="T64" i="1"/>
  <c r="S65" i="1"/>
  <c r="O65" i="1"/>
  <c r="S64" i="1"/>
  <c r="U65" i="1"/>
  <c r="Q65" i="1"/>
  <c r="M65" i="1"/>
  <c r="U64" i="1"/>
  <c r="Q64" i="1"/>
  <c r="K63" i="1"/>
  <c r="K65" i="1"/>
  <c r="K64" i="1"/>
  <c r="J65" i="1"/>
  <c r="J64" i="1"/>
  <c r="I63" i="1"/>
  <c r="I65" i="1"/>
  <c r="I64" i="1"/>
  <c r="G65" i="1"/>
  <c r="G64" i="1"/>
  <c r="F65" i="1"/>
  <c r="F64" i="1"/>
  <c r="Z39" i="1"/>
  <c r="AA39" i="1" s="1"/>
  <c r="Z61" i="1"/>
  <c r="AA61" i="1" s="1"/>
  <c r="F63" i="1"/>
  <c r="J63" i="1"/>
  <c r="N63" i="1"/>
  <c r="R63" i="1"/>
  <c r="V63" i="1"/>
  <c r="E63" i="1"/>
  <c r="H63" i="1"/>
  <c r="L63" i="1"/>
  <c r="P63" i="1"/>
  <c r="T63" i="1"/>
  <c r="Z57" i="1"/>
  <c r="AA57" i="1" s="1"/>
  <c r="G63" i="1"/>
  <c r="O63" i="1"/>
  <c r="X399" i="1"/>
  <c r="X400" i="1"/>
  <c r="X401" i="1"/>
  <c r="X402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E400" i="1"/>
  <c r="E401" i="1"/>
  <c r="E402" i="1"/>
  <c r="E399" i="1"/>
  <c r="X422" i="1"/>
  <c r="X423" i="1"/>
  <c r="X424" i="1"/>
  <c r="X425" i="1"/>
  <c r="C405" i="1"/>
  <c r="C404" i="1"/>
  <c r="C403" i="1"/>
  <c r="C383" i="1"/>
  <c r="S383" i="1" s="1"/>
  <c r="C389" i="1"/>
  <c r="U389" i="1" s="1"/>
  <c r="S388" i="1"/>
  <c r="T388" i="1"/>
  <c r="U388" i="1"/>
  <c r="V388" i="1"/>
  <c r="W388" i="1"/>
  <c r="X388" i="1"/>
  <c r="S382" i="1"/>
  <c r="T382" i="1"/>
  <c r="U382" i="1"/>
  <c r="V382" i="1"/>
  <c r="W382" i="1"/>
  <c r="X382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E327" i="1"/>
  <c r="E333" i="1"/>
  <c r="E339" i="1"/>
  <c r="E345" i="1"/>
  <c r="E351" i="1"/>
  <c r="E357" i="1"/>
  <c r="E363" i="1"/>
  <c r="E369" i="1"/>
  <c r="C392" i="1"/>
  <c r="C390" i="1"/>
  <c r="S390" i="1" s="1"/>
  <c r="C386" i="1"/>
  <c r="C384" i="1"/>
  <c r="C379" i="1"/>
  <c r="I379" i="1" s="1"/>
  <c r="C377" i="1"/>
  <c r="V377" i="1" s="1"/>
  <c r="C376" i="1"/>
  <c r="K376" i="1" s="1"/>
  <c r="C375" i="1"/>
  <c r="I375" i="1" s="1"/>
  <c r="C373" i="1"/>
  <c r="O373" i="1" s="1"/>
  <c r="C371" i="1"/>
  <c r="C370" i="1"/>
  <c r="V370" i="1" s="1"/>
  <c r="C367" i="1"/>
  <c r="P367" i="1" s="1"/>
  <c r="C365" i="1"/>
  <c r="S365" i="1" s="1"/>
  <c r="C364" i="1"/>
  <c r="X364" i="1" s="1"/>
  <c r="C361" i="1"/>
  <c r="P361" i="1" s="1"/>
  <c r="C359" i="1"/>
  <c r="U359" i="1" s="1"/>
  <c r="C358" i="1"/>
  <c r="H358" i="1" s="1"/>
  <c r="C355" i="1"/>
  <c r="J355" i="1" s="1"/>
  <c r="C353" i="1"/>
  <c r="C352" i="1"/>
  <c r="X352" i="1" s="1"/>
  <c r="C349" i="1"/>
  <c r="H349" i="1" s="1"/>
  <c r="C343" i="1"/>
  <c r="E343" i="1" s="1"/>
  <c r="C337" i="1"/>
  <c r="K337" i="1" s="1"/>
  <c r="C331" i="1"/>
  <c r="K331" i="1" s="1"/>
  <c r="C347" i="1"/>
  <c r="P347" i="1" s="1"/>
  <c r="C346" i="1"/>
  <c r="S346" i="1" s="1"/>
  <c r="C341" i="1"/>
  <c r="H341" i="1" s="1"/>
  <c r="C340" i="1"/>
  <c r="K340" i="1" s="1"/>
  <c r="C335" i="1"/>
  <c r="C334" i="1"/>
  <c r="T334" i="1" s="1"/>
  <c r="C329" i="1"/>
  <c r="T329" i="1" s="1"/>
  <c r="C328" i="1"/>
  <c r="Q328" i="1" s="1"/>
  <c r="C324" i="1"/>
  <c r="M324" i="1" s="1"/>
  <c r="C323" i="1"/>
  <c r="H323" i="1" s="1"/>
  <c r="C322" i="1"/>
  <c r="S322" i="1" s="1"/>
  <c r="C321" i="1"/>
  <c r="X321" i="1" s="1"/>
  <c r="C318" i="1"/>
  <c r="V318" i="1" s="1"/>
  <c r="C317" i="1"/>
  <c r="L317" i="1" s="1"/>
  <c r="C316" i="1"/>
  <c r="P316" i="1" s="1"/>
  <c r="C315" i="1"/>
  <c r="E315" i="1" s="1"/>
  <c r="C312" i="1"/>
  <c r="C311" i="1"/>
  <c r="I311" i="1" s="1"/>
  <c r="C310" i="1"/>
  <c r="C304" i="1"/>
  <c r="C309" i="1"/>
  <c r="E309" i="1" s="1"/>
  <c r="C306" i="1"/>
  <c r="C305" i="1"/>
  <c r="U305" i="1" s="1"/>
  <c r="C303" i="1"/>
  <c r="R303" i="1" s="1"/>
  <c r="Z60" i="1" l="1"/>
  <c r="AA60" i="1" s="1"/>
  <c r="K375" i="1"/>
  <c r="Z56" i="1"/>
  <c r="AA56" i="1" s="1"/>
  <c r="R375" i="1"/>
  <c r="P358" i="1"/>
  <c r="H352" i="1"/>
  <c r="R349" i="1"/>
  <c r="S331" i="1"/>
  <c r="V389" i="1"/>
  <c r="E321" i="1"/>
  <c r="O328" i="1"/>
  <c r="T317" i="1"/>
  <c r="E373" i="1"/>
  <c r="E355" i="1"/>
  <c r="J379" i="1"/>
  <c r="R373" i="1"/>
  <c r="H367" i="1"/>
  <c r="Q377" i="1"/>
  <c r="H364" i="1"/>
  <c r="H355" i="1"/>
  <c r="R334" i="1"/>
  <c r="U323" i="1"/>
  <c r="R379" i="1"/>
  <c r="E305" i="1"/>
  <c r="R361" i="1"/>
  <c r="R341" i="1"/>
  <c r="C391" i="1"/>
  <c r="E367" i="1"/>
  <c r="E358" i="1"/>
  <c r="E341" i="1"/>
  <c r="U379" i="1"/>
  <c r="N379" i="1"/>
  <c r="H379" i="1"/>
  <c r="V375" i="1"/>
  <c r="O375" i="1"/>
  <c r="X373" i="1"/>
  <c r="J373" i="1"/>
  <c r="P370" i="1"/>
  <c r="X367" i="1"/>
  <c r="P364" i="1"/>
  <c r="X358" i="1"/>
  <c r="F358" i="1"/>
  <c r="X355" i="1"/>
  <c r="P352" i="1"/>
  <c r="J347" i="1"/>
  <c r="K343" i="1"/>
  <c r="U340" i="1"/>
  <c r="Q329" i="1"/>
  <c r="K316" i="1"/>
  <c r="X370" i="1"/>
  <c r="P305" i="1"/>
  <c r="E364" i="1"/>
  <c r="E349" i="1"/>
  <c r="E323" i="1"/>
  <c r="E311" i="1"/>
  <c r="T379" i="1"/>
  <c r="M379" i="1"/>
  <c r="T375" i="1"/>
  <c r="L375" i="1"/>
  <c r="W373" i="1"/>
  <c r="H373" i="1"/>
  <c r="J367" i="1"/>
  <c r="N364" i="1"/>
  <c r="V358" i="1"/>
  <c r="N352" i="1"/>
  <c r="X341" i="1"/>
  <c r="I329" i="1"/>
  <c r="E361" i="1"/>
  <c r="E352" i="1"/>
  <c r="E331" i="1"/>
  <c r="E317" i="1"/>
  <c r="X379" i="1"/>
  <c r="P379" i="1"/>
  <c r="W375" i="1"/>
  <c r="P375" i="1"/>
  <c r="P349" i="1"/>
  <c r="K303" i="1"/>
  <c r="H312" i="1"/>
  <c r="L312" i="1"/>
  <c r="P312" i="1"/>
  <c r="T312" i="1"/>
  <c r="X312" i="1"/>
  <c r="G312" i="1"/>
  <c r="K312" i="1"/>
  <c r="O312" i="1"/>
  <c r="S312" i="1"/>
  <c r="W312" i="1"/>
  <c r="J312" i="1"/>
  <c r="R312" i="1"/>
  <c r="N312" i="1"/>
  <c r="I312" i="1"/>
  <c r="U312" i="1"/>
  <c r="V312" i="1"/>
  <c r="E312" i="1"/>
  <c r="Q312" i="1"/>
  <c r="F335" i="1"/>
  <c r="J335" i="1"/>
  <c r="N335" i="1"/>
  <c r="R335" i="1"/>
  <c r="V335" i="1"/>
  <c r="H335" i="1"/>
  <c r="L335" i="1"/>
  <c r="P335" i="1"/>
  <c r="T335" i="1"/>
  <c r="X335" i="1"/>
  <c r="M335" i="1"/>
  <c r="U335" i="1"/>
  <c r="K335" i="1"/>
  <c r="S335" i="1"/>
  <c r="F353" i="1"/>
  <c r="J353" i="1"/>
  <c r="N353" i="1"/>
  <c r="R353" i="1"/>
  <c r="V353" i="1"/>
  <c r="H353" i="1"/>
  <c r="L353" i="1"/>
  <c r="P353" i="1"/>
  <c r="T353" i="1"/>
  <c r="X353" i="1"/>
  <c r="I353" i="1"/>
  <c r="Q353" i="1"/>
  <c r="G353" i="1"/>
  <c r="O353" i="1"/>
  <c r="W353" i="1"/>
  <c r="V371" i="1"/>
  <c r="T371" i="1"/>
  <c r="X371" i="1"/>
  <c r="U384" i="1"/>
  <c r="T384" i="1"/>
  <c r="X384" i="1"/>
  <c r="S384" i="1"/>
  <c r="V384" i="1"/>
  <c r="W384" i="1"/>
  <c r="T376" i="1"/>
  <c r="M365" i="1"/>
  <c r="M353" i="1"/>
  <c r="V309" i="1"/>
  <c r="F304" i="1"/>
  <c r="J304" i="1"/>
  <c r="N304" i="1"/>
  <c r="R304" i="1"/>
  <c r="V304" i="1"/>
  <c r="I304" i="1"/>
  <c r="M304" i="1"/>
  <c r="Q304" i="1"/>
  <c r="U304" i="1"/>
  <c r="L304" i="1"/>
  <c r="T304" i="1"/>
  <c r="K304" i="1"/>
  <c r="W304" i="1"/>
  <c r="G304" i="1"/>
  <c r="P304" i="1"/>
  <c r="H304" i="1"/>
  <c r="X304" i="1"/>
  <c r="I321" i="1"/>
  <c r="M321" i="1"/>
  <c r="Q321" i="1"/>
  <c r="U321" i="1"/>
  <c r="G321" i="1"/>
  <c r="L321" i="1"/>
  <c r="R321" i="1"/>
  <c r="W321" i="1"/>
  <c r="J321" i="1"/>
  <c r="O321" i="1"/>
  <c r="T321" i="1"/>
  <c r="K321" i="1"/>
  <c r="V321" i="1"/>
  <c r="H321" i="1"/>
  <c r="S321" i="1"/>
  <c r="C336" i="1"/>
  <c r="H343" i="1"/>
  <c r="L343" i="1"/>
  <c r="P343" i="1"/>
  <c r="T343" i="1"/>
  <c r="X343" i="1"/>
  <c r="F343" i="1"/>
  <c r="J343" i="1"/>
  <c r="N343" i="1"/>
  <c r="R343" i="1"/>
  <c r="V343" i="1"/>
  <c r="I343" i="1"/>
  <c r="Q343" i="1"/>
  <c r="G343" i="1"/>
  <c r="O343" i="1"/>
  <c r="W343" i="1"/>
  <c r="C360" i="1"/>
  <c r="C366" i="1"/>
  <c r="O377" i="1"/>
  <c r="S377" i="1"/>
  <c r="W377" i="1"/>
  <c r="U392" i="1"/>
  <c r="T392" i="1"/>
  <c r="X392" i="1"/>
  <c r="W392" i="1"/>
  <c r="S392" i="1"/>
  <c r="E359" i="1"/>
  <c r="E347" i="1"/>
  <c r="E324" i="1"/>
  <c r="P377" i="1"/>
  <c r="X376" i="1"/>
  <c r="M376" i="1"/>
  <c r="S371" i="1"/>
  <c r="S359" i="1"/>
  <c r="H347" i="1"/>
  <c r="U343" i="1"/>
  <c r="O335" i="1"/>
  <c r="F310" i="1"/>
  <c r="J310" i="1"/>
  <c r="N310" i="1"/>
  <c r="R310" i="1"/>
  <c r="V310" i="1"/>
  <c r="I310" i="1"/>
  <c r="M310" i="1"/>
  <c r="Q310" i="1"/>
  <c r="U310" i="1"/>
  <c r="H310" i="1"/>
  <c r="P310" i="1"/>
  <c r="X310" i="1"/>
  <c r="K310" i="1"/>
  <c r="T310" i="1"/>
  <c r="O310" i="1"/>
  <c r="S310" i="1"/>
  <c r="L310" i="1"/>
  <c r="F322" i="1"/>
  <c r="J322" i="1"/>
  <c r="N322" i="1"/>
  <c r="R322" i="1"/>
  <c r="V322" i="1"/>
  <c r="I322" i="1"/>
  <c r="O322" i="1"/>
  <c r="T322" i="1"/>
  <c r="G322" i="1"/>
  <c r="L322" i="1"/>
  <c r="Q322" i="1"/>
  <c r="W322" i="1"/>
  <c r="M322" i="1"/>
  <c r="X322" i="1"/>
  <c r="K322" i="1"/>
  <c r="U322" i="1"/>
  <c r="H340" i="1"/>
  <c r="L340" i="1"/>
  <c r="P340" i="1"/>
  <c r="T340" i="1"/>
  <c r="X340" i="1"/>
  <c r="F340" i="1"/>
  <c r="J340" i="1"/>
  <c r="N340" i="1"/>
  <c r="R340" i="1"/>
  <c r="V340" i="1"/>
  <c r="I340" i="1"/>
  <c r="Q340" i="1"/>
  <c r="G340" i="1"/>
  <c r="O340" i="1"/>
  <c r="W340" i="1"/>
  <c r="C348" i="1"/>
  <c r="G355" i="1"/>
  <c r="K355" i="1"/>
  <c r="O355" i="1"/>
  <c r="S355" i="1"/>
  <c r="W355" i="1"/>
  <c r="I355" i="1"/>
  <c r="M355" i="1"/>
  <c r="Q355" i="1"/>
  <c r="U355" i="1"/>
  <c r="F355" i="1"/>
  <c r="N355" i="1"/>
  <c r="V355" i="1"/>
  <c r="L355" i="1"/>
  <c r="T355" i="1"/>
  <c r="G361" i="1"/>
  <c r="K361" i="1"/>
  <c r="O361" i="1"/>
  <c r="S361" i="1"/>
  <c r="W361" i="1"/>
  <c r="I361" i="1"/>
  <c r="M361" i="1"/>
  <c r="Q361" i="1"/>
  <c r="U361" i="1"/>
  <c r="F361" i="1"/>
  <c r="N361" i="1"/>
  <c r="V361" i="1"/>
  <c r="L361" i="1"/>
  <c r="T361" i="1"/>
  <c r="I373" i="1"/>
  <c r="M373" i="1"/>
  <c r="Q373" i="1"/>
  <c r="U373" i="1"/>
  <c r="F373" i="1"/>
  <c r="K373" i="1"/>
  <c r="P373" i="1"/>
  <c r="V373" i="1"/>
  <c r="C378" i="1"/>
  <c r="U386" i="1"/>
  <c r="T386" i="1"/>
  <c r="X386" i="1"/>
  <c r="S386" i="1"/>
  <c r="W386" i="1"/>
  <c r="V386" i="1"/>
  <c r="E303" i="1"/>
  <c r="E376" i="1"/>
  <c r="E346" i="1"/>
  <c r="E340" i="1"/>
  <c r="E329" i="1"/>
  <c r="E310" i="1"/>
  <c r="N377" i="1"/>
  <c r="W376" i="1"/>
  <c r="L376" i="1"/>
  <c r="G376" i="1"/>
  <c r="T373" i="1"/>
  <c r="N373" i="1"/>
  <c r="R367" i="1"/>
  <c r="U365" i="1"/>
  <c r="M359" i="1"/>
  <c r="H306" i="1"/>
  <c r="L306" i="1"/>
  <c r="P306" i="1"/>
  <c r="T306" i="1"/>
  <c r="X306" i="1"/>
  <c r="G306" i="1"/>
  <c r="K306" i="1"/>
  <c r="O306" i="1"/>
  <c r="S306" i="1"/>
  <c r="W306" i="1"/>
  <c r="F306" i="1"/>
  <c r="N306" i="1"/>
  <c r="V306" i="1"/>
  <c r="Q306" i="1"/>
  <c r="J306" i="1"/>
  <c r="U306" i="1"/>
  <c r="M306" i="1"/>
  <c r="E306" i="1"/>
  <c r="I306" i="1"/>
  <c r="G311" i="1"/>
  <c r="K311" i="1"/>
  <c r="O311" i="1"/>
  <c r="S311" i="1"/>
  <c r="W311" i="1"/>
  <c r="F311" i="1"/>
  <c r="J311" i="1"/>
  <c r="N311" i="1"/>
  <c r="R311" i="1"/>
  <c r="V311" i="1"/>
  <c r="M311" i="1"/>
  <c r="U311" i="1"/>
  <c r="L311" i="1"/>
  <c r="X311" i="1"/>
  <c r="H311" i="1"/>
  <c r="Q311" i="1"/>
  <c r="T311" i="1"/>
  <c r="P311" i="1"/>
  <c r="G317" i="1"/>
  <c r="K317" i="1"/>
  <c r="O317" i="1"/>
  <c r="S317" i="1"/>
  <c r="W317" i="1"/>
  <c r="H317" i="1"/>
  <c r="M317" i="1"/>
  <c r="R317" i="1"/>
  <c r="X317" i="1"/>
  <c r="J317" i="1"/>
  <c r="P317" i="1"/>
  <c r="U317" i="1"/>
  <c r="F317" i="1"/>
  <c r="Q317" i="1"/>
  <c r="N317" i="1"/>
  <c r="G323" i="1"/>
  <c r="K323" i="1"/>
  <c r="O323" i="1"/>
  <c r="S323" i="1"/>
  <c r="W323" i="1"/>
  <c r="F323" i="1"/>
  <c r="L323" i="1"/>
  <c r="Q323" i="1"/>
  <c r="V323" i="1"/>
  <c r="I323" i="1"/>
  <c r="N323" i="1"/>
  <c r="T323" i="1"/>
  <c r="P323" i="1"/>
  <c r="M323" i="1"/>
  <c r="X323" i="1"/>
  <c r="I334" i="1"/>
  <c r="M334" i="1"/>
  <c r="Q334" i="1"/>
  <c r="U334" i="1"/>
  <c r="G334" i="1"/>
  <c r="K334" i="1"/>
  <c r="O334" i="1"/>
  <c r="S334" i="1"/>
  <c r="W334" i="1"/>
  <c r="H334" i="1"/>
  <c r="P334" i="1"/>
  <c r="X334" i="1"/>
  <c r="F334" i="1"/>
  <c r="N334" i="1"/>
  <c r="V334" i="1"/>
  <c r="C342" i="1"/>
  <c r="I341" i="1"/>
  <c r="M341" i="1"/>
  <c r="Q341" i="1"/>
  <c r="U341" i="1"/>
  <c r="G341" i="1"/>
  <c r="K341" i="1"/>
  <c r="O341" i="1"/>
  <c r="S341" i="1"/>
  <c r="W341" i="1"/>
  <c r="F341" i="1"/>
  <c r="N341" i="1"/>
  <c r="V341" i="1"/>
  <c r="L341" i="1"/>
  <c r="T341" i="1"/>
  <c r="H331" i="1"/>
  <c r="L331" i="1"/>
  <c r="P331" i="1"/>
  <c r="T331" i="1"/>
  <c r="G331" i="1"/>
  <c r="M331" i="1"/>
  <c r="R331" i="1"/>
  <c r="W331" i="1"/>
  <c r="J331" i="1"/>
  <c r="O331" i="1"/>
  <c r="U331" i="1"/>
  <c r="F331" i="1"/>
  <c r="Q331" i="1"/>
  <c r="N331" i="1"/>
  <c r="X331" i="1"/>
  <c r="I352" i="1"/>
  <c r="M352" i="1"/>
  <c r="Q352" i="1"/>
  <c r="U352" i="1"/>
  <c r="G352" i="1"/>
  <c r="K352" i="1"/>
  <c r="O352" i="1"/>
  <c r="S352" i="1"/>
  <c r="W352" i="1"/>
  <c r="L352" i="1"/>
  <c r="T352" i="1"/>
  <c r="J352" i="1"/>
  <c r="R352" i="1"/>
  <c r="I358" i="1"/>
  <c r="M358" i="1"/>
  <c r="Q358" i="1"/>
  <c r="U358" i="1"/>
  <c r="G358" i="1"/>
  <c r="K358" i="1"/>
  <c r="O358" i="1"/>
  <c r="S358" i="1"/>
  <c r="W358" i="1"/>
  <c r="L358" i="1"/>
  <c r="T358" i="1"/>
  <c r="J358" i="1"/>
  <c r="R358" i="1"/>
  <c r="I364" i="1"/>
  <c r="M364" i="1"/>
  <c r="Q364" i="1"/>
  <c r="U364" i="1"/>
  <c r="G364" i="1"/>
  <c r="K364" i="1"/>
  <c r="O364" i="1"/>
  <c r="S364" i="1"/>
  <c r="W364" i="1"/>
  <c r="L364" i="1"/>
  <c r="T364" i="1"/>
  <c r="J364" i="1"/>
  <c r="R364" i="1"/>
  <c r="I370" i="1"/>
  <c r="M370" i="1"/>
  <c r="Q370" i="1"/>
  <c r="U370" i="1"/>
  <c r="K370" i="1"/>
  <c r="O370" i="1"/>
  <c r="S370" i="1"/>
  <c r="W370" i="1"/>
  <c r="L370" i="1"/>
  <c r="T370" i="1"/>
  <c r="J370" i="1"/>
  <c r="R370" i="1"/>
  <c r="F375" i="1"/>
  <c r="J375" i="1"/>
  <c r="H375" i="1"/>
  <c r="M375" i="1"/>
  <c r="Q375" i="1"/>
  <c r="U375" i="1"/>
  <c r="G379" i="1"/>
  <c r="K379" i="1"/>
  <c r="O379" i="1"/>
  <c r="S379" i="1"/>
  <c r="W379" i="1"/>
  <c r="V390" i="1"/>
  <c r="U390" i="1"/>
  <c r="X390" i="1"/>
  <c r="T390" i="1"/>
  <c r="W390" i="1"/>
  <c r="E379" i="1"/>
  <c r="E375" i="1"/>
  <c r="E334" i="1"/>
  <c r="E328" i="1"/>
  <c r="E322" i="1"/>
  <c r="E316" i="1"/>
  <c r="V379" i="1"/>
  <c r="Q379" i="1"/>
  <c r="L379" i="1"/>
  <c r="F379" i="1"/>
  <c r="X377" i="1"/>
  <c r="R377" i="1"/>
  <c r="M377" i="1"/>
  <c r="U376" i="1"/>
  <c r="P376" i="1"/>
  <c r="X375" i="1"/>
  <c r="S375" i="1"/>
  <c r="N375" i="1"/>
  <c r="G375" i="1"/>
  <c r="S373" i="1"/>
  <c r="L373" i="1"/>
  <c r="W371" i="1"/>
  <c r="N370" i="1"/>
  <c r="V364" i="1"/>
  <c r="F364" i="1"/>
  <c r="X361" i="1"/>
  <c r="H361" i="1"/>
  <c r="K359" i="1"/>
  <c r="N358" i="1"/>
  <c r="P355" i="1"/>
  <c r="S353" i="1"/>
  <c r="V352" i="1"/>
  <c r="F352" i="1"/>
  <c r="X349" i="1"/>
  <c r="M343" i="1"/>
  <c r="J341" i="1"/>
  <c r="M340" i="1"/>
  <c r="W335" i="1"/>
  <c r="G335" i="1"/>
  <c r="J334" i="1"/>
  <c r="V331" i="1"/>
  <c r="J323" i="1"/>
  <c r="H322" i="1"/>
  <c r="F321" i="1"/>
  <c r="V317" i="1"/>
  <c r="M312" i="1"/>
  <c r="G310" i="1"/>
  <c r="H318" i="1"/>
  <c r="L318" i="1"/>
  <c r="P318" i="1"/>
  <c r="T318" i="1"/>
  <c r="X318" i="1"/>
  <c r="J318" i="1"/>
  <c r="O318" i="1"/>
  <c r="U318" i="1"/>
  <c r="G318" i="1"/>
  <c r="M318" i="1"/>
  <c r="R318" i="1"/>
  <c r="W318" i="1"/>
  <c r="I318" i="1"/>
  <c r="S318" i="1"/>
  <c r="F318" i="1"/>
  <c r="Q318" i="1"/>
  <c r="F346" i="1"/>
  <c r="J346" i="1"/>
  <c r="N346" i="1"/>
  <c r="R346" i="1"/>
  <c r="V346" i="1"/>
  <c r="H346" i="1"/>
  <c r="L346" i="1"/>
  <c r="P346" i="1"/>
  <c r="T346" i="1"/>
  <c r="X346" i="1"/>
  <c r="I346" i="1"/>
  <c r="Q346" i="1"/>
  <c r="G346" i="1"/>
  <c r="O346" i="1"/>
  <c r="W346" i="1"/>
  <c r="F365" i="1"/>
  <c r="J365" i="1"/>
  <c r="N365" i="1"/>
  <c r="R365" i="1"/>
  <c r="V365" i="1"/>
  <c r="H365" i="1"/>
  <c r="L365" i="1"/>
  <c r="P365" i="1"/>
  <c r="T365" i="1"/>
  <c r="X365" i="1"/>
  <c r="I365" i="1"/>
  <c r="Q365" i="1"/>
  <c r="G365" i="1"/>
  <c r="O365" i="1"/>
  <c r="W365" i="1"/>
  <c r="I309" i="1"/>
  <c r="M309" i="1"/>
  <c r="Q309" i="1"/>
  <c r="U309" i="1"/>
  <c r="H309" i="1"/>
  <c r="L309" i="1"/>
  <c r="P309" i="1"/>
  <c r="T309" i="1"/>
  <c r="X309" i="1"/>
  <c r="K309" i="1"/>
  <c r="S309" i="1"/>
  <c r="G309" i="1"/>
  <c r="R309" i="1"/>
  <c r="N309" i="1"/>
  <c r="W309" i="1"/>
  <c r="O309" i="1"/>
  <c r="J309" i="1"/>
  <c r="H324" i="1"/>
  <c r="L324" i="1"/>
  <c r="P324" i="1"/>
  <c r="T324" i="1"/>
  <c r="X324" i="1"/>
  <c r="I324" i="1"/>
  <c r="N324" i="1"/>
  <c r="S324" i="1"/>
  <c r="F324" i="1"/>
  <c r="K324" i="1"/>
  <c r="Q324" i="1"/>
  <c r="V324" i="1"/>
  <c r="G324" i="1"/>
  <c r="R324" i="1"/>
  <c r="O324" i="1"/>
  <c r="F337" i="1"/>
  <c r="J337" i="1"/>
  <c r="N337" i="1"/>
  <c r="R337" i="1"/>
  <c r="V337" i="1"/>
  <c r="H337" i="1"/>
  <c r="L337" i="1"/>
  <c r="P337" i="1"/>
  <c r="T337" i="1"/>
  <c r="X337" i="1"/>
  <c r="I337" i="1"/>
  <c r="Q337" i="1"/>
  <c r="G337" i="1"/>
  <c r="O337" i="1"/>
  <c r="W337" i="1"/>
  <c r="F359" i="1"/>
  <c r="J359" i="1"/>
  <c r="N359" i="1"/>
  <c r="R359" i="1"/>
  <c r="V359" i="1"/>
  <c r="H359" i="1"/>
  <c r="L359" i="1"/>
  <c r="P359" i="1"/>
  <c r="T359" i="1"/>
  <c r="X359" i="1"/>
  <c r="I359" i="1"/>
  <c r="Q359" i="1"/>
  <c r="G359" i="1"/>
  <c r="O359" i="1"/>
  <c r="W359" i="1"/>
  <c r="F376" i="1"/>
  <c r="J376" i="1"/>
  <c r="N376" i="1"/>
  <c r="R376" i="1"/>
  <c r="V376" i="1"/>
  <c r="E337" i="1"/>
  <c r="O376" i="1"/>
  <c r="I376" i="1"/>
  <c r="U371" i="1"/>
  <c r="M346" i="1"/>
  <c r="U337" i="1"/>
  <c r="Q335" i="1"/>
  <c r="J324" i="1"/>
  <c r="F312" i="1"/>
  <c r="I303" i="1"/>
  <c r="M303" i="1"/>
  <c r="Q303" i="1"/>
  <c r="U303" i="1"/>
  <c r="H303" i="1"/>
  <c r="L303" i="1"/>
  <c r="P303" i="1"/>
  <c r="T303" i="1"/>
  <c r="X303" i="1"/>
  <c r="G303" i="1"/>
  <c r="O303" i="1"/>
  <c r="W303" i="1"/>
  <c r="J303" i="1"/>
  <c r="S303" i="1"/>
  <c r="N303" i="1"/>
  <c r="F303" i="1"/>
  <c r="V303" i="1"/>
  <c r="I315" i="1"/>
  <c r="M315" i="1"/>
  <c r="Q315" i="1"/>
  <c r="U315" i="1"/>
  <c r="H315" i="1"/>
  <c r="L315" i="1"/>
  <c r="P315" i="1"/>
  <c r="T315" i="1"/>
  <c r="X315" i="1"/>
  <c r="G315" i="1"/>
  <c r="O315" i="1"/>
  <c r="W315" i="1"/>
  <c r="F315" i="1"/>
  <c r="R315" i="1"/>
  <c r="K315" i="1"/>
  <c r="V315" i="1"/>
  <c r="S315" i="1"/>
  <c r="F328" i="1"/>
  <c r="J328" i="1"/>
  <c r="N328" i="1"/>
  <c r="R328" i="1"/>
  <c r="V328" i="1"/>
  <c r="H328" i="1"/>
  <c r="M328" i="1"/>
  <c r="S328" i="1"/>
  <c r="X328" i="1"/>
  <c r="K328" i="1"/>
  <c r="P328" i="1"/>
  <c r="U328" i="1"/>
  <c r="L328" i="1"/>
  <c r="W328" i="1"/>
  <c r="I328" i="1"/>
  <c r="T328" i="1"/>
  <c r="G347" i="1"/>
  <c r="K347" i="1"/>
  <c r="O347" i="1"/>
  <c r="S347" i="1"/>
  <c r="W347" i="1"/>
  <c r="I347" i="1"/>
  <c r="M347" i="1"/>
  <c r="Q347" i="1"/>
  <c r="U347" i="1"/>
  <c r="F347" i="1"/>
  <c r="N347" i="1"/>
  <c r="V347" i="1"/>
  <c r="L347" i="1"/>
  <c r="T347" i="1"/>
  <c r="C354" i="1"/>
  <c r="C372" i="1"/>
  <c r="C385" i="1"/>
  <c r="E365" i="1"/>
  <c r="E353" i="1"/>
  <c r="E318" i="1"/>
  <c r="E304" i="1"/>
  <c r="U377" i="1"/>
  <c r="S376" i="1"/>
  <c r="H376" i="1"/>
  <c r="K365" i="1"/>
  <c r="K353" i="1"/>
  <c r="X347" i="1"/>
  <c r="K346" i="1"/>
  <c r="S337" i="1"/>
  <c r="G328" i="1"/>
  <c r="W324" i="1"/>
  <c r="P321" i="1"/>
  <c r="N318" i="1"/>
  <c r="N315" i="1"/>
  <c r="F309" i="1"/>
  <c r="S304" i="1"/>
  <c r="G305" i="1"/>
  <c r="K305" i="1"/>
  <c r="O305" i="1"/>
  <c r="S305" i="1"/>
  <c r="W305" i="1"/>
  <c r="F305" i="1"/>
  <c r="J305" i="1"/>
  <c r="N305" i="1"/>
  <c r="R305" i="1"/>
  <c r="V305" i="1"/>
  <c r="I305" i="1"/>
  <c r="Q305" i="1"/>
  <c r="M305" i="1"/>
  <c r="X305" i="1"/>
  <c r="H305" i="1"/>
  <c r="T305" i="1"/>
  <c r="L305" i="1"/>
  <c r="F316" i="1"/>
  <c r="J316" i="1"/>
  <c r="N316" i="1"/>
  <c r="R316" i="1"/>
  <c r="V316" i="1"/>
  <c r="I316" i="1"/>
  <c r="M316" i="1"/>
  <c r="Q316" i="1"/>
  <c r="U316" i="1"/>
  <c r="L316" i="1"/>
  <c r="T316" i="1"/>
  <c r="H316" i="1"/>
  <c r="S316" i="1"/>
  <c r="O316" i="1"/>
  <c r="X316" i="1"/>
  <c r="G316" i="1"/>
  <c r="W316" i="1"/>
  <c r="C330" i="1"/>
  <c r="G329" i="1"/>
  <c r="K329" i="1"/>
  <c r="O329" i="1"/>
  <c r="S329" i="1"/>
  <c r="W329" i="1"/>
  <c r="J329" i="1"/>
  <c r="P329" i="1"/>
  <c r="U329" i="1"/>
  <c r="H329" i="1"/>
  <c r="M329" i="1"/>
  <c r="R329" i="1"/>
  <c r="X329" i="1"/>
  <c r="N329" i="1"/>
  <c r="L329" i="1"/>
  <c r="V329" i="1"/>
  <c r="G349" i="1"/>
  <c r="K349" i="1"/>
  <c r="O349" i="1"/>
  <c r="S349" i="1"/>
  <c r="W349" i="1"/>
  <c r="I349" i="1"/>
  <c r="M349" i="1"/>
  <c r="Q349" i="1"/>
  <c r="U349" i="1"/>
  <c r="F349" i="1"/>
  <c r="N349" i="1"/>
  <c r="V349" i="1"/>
  <c r="L349" i="1"/>
  <c r="T349" i="1"/>
  <c r="G367" i="1"/>
  <c r="K367" i="1"/>
  <c r="O367" i="1"/>
  <c r="S367" i="1"/>
  <c r="W367" i="1"/>
  <c r="I367" i="1"/>
  <c r="M367" i="1"/>
  <c r="Q367" i="1"/>
  <c r="U367" i="1"/>
  <c r="F367" i="1"/>
  <c r="N367" i="1"/>
  <c r="V367" i="1"/>
  <c r="L367" i="1"/>
  <c r="T367" i="1"/>
  <c r="E335" i="1"/>
  <c r="T377" i="1"/>
  <c r="Q376" i="1"/>
  <c r="G373" i="1"/>
  <c r="J361" i="1"/>
  <c r="R355" i="1"/>
  <c r="U353" i="1"/>
  <c r="J349" i="1"/>
  <c r="R347" i="1"/>
  <c r="U346" i="1"/>
  <c r="S343" i="1"/>
  <c r="P341" i="1"/>
  <c r="S340" i="1"/>
  <c r="M337" i="1"/>
  <c r="I335" i="1"/>
  <c r="L334" i="1"/>
  <c r="I331" i="1"/>
  <c r="F329" i="1"/>
  <c r="U324" i="1"/>
  <c r="R323" i="1"/>
  <c r="P322" i="1"/>
  <c r="N321" i="1"/>
  <c r="K318" i="1"/>
  <c r="I317" i="1"/>
  <c r="J315" i="1"/>
  <c r="W310" i="1"/>
  <c r="R306" i="1"/>
  <c r="O304" i="1"/>
  <c r="V392" i="1"/>
  <c r="X383" i="1"/>
  <c r="W383" i="1"/>
  <c r="T383" i="1"/>
  <c r="S389" i="1"/>
  <c r="W389" i="1"/>
  <c r="U385" i="1"/>
  <c r="V383" i="1"/>
  <c r="U383" i="1"/>
  <c r="X389" i="1"/>
  <c r="T389" i="1"/>
  <c r="C325" i="1"/>
  <c r="Y325" i="1" s="1"/>
  <c r="Y320" i="1" s="1"/>
  <c r="C319" i="1"/>
  <c r="Y319" i="1" s="1"/>
  <c r="Y314" i="1" s="1"/>
  <c r="C313" i="1"/>
  <c r="Y313" i="1" s="1"/>
  <c r="Y308" i="1" s="1"/>
  <c r="Y415" i="1" s="1"/>
  <c r="C307" i="1"/>
  <c r="Y307" i="1" s="1"/>
  <c r="Y302" i="1" s="1"/>
  <c r="Y414" i="1" s="1"/>
  <c r="W391" i="1" l="1"/>
  <c r="Y391" i="1"/>
  <c r="Y387" i="1" s="1"/>
  <c r="X385" i="1"/>
  <c r="Y385" i="1"/>
  <c r="Y381" i="1" s="1"/>
  <c r="T378" i="1"/>
  <c r="Y378" i="1"/>
  <c r="Y374" i="1" s="1"/>
  <c r="S372" i="1"/>
  <c r="Y372" i="1"/>
  <c r="Y368" i="1" s="1"/>
  <c r="F366" i="1"/>
  <c r="Y366" i="1"/>
  <c r="Y362" i="1" s="1"/>
  <c r="F360" i="1"/>
  <c r="Y360" i="1"/>
  <c r="Y356" i="1" s="1"/>
  <c r="H354" i="1"/>
  <c r="Y354" i="1"/>
  <c r="Y350" i="1" s="1"/>
  <c r="U348" i="1"/>
  <c r="Y348" i="1"/>
  <c r="Y344" i="1" s="1"/>
  <c r="O342" i="1"/>
  <c r="Y342" i="1"/>
  <c r="Y338" i="1" s="1"/>
  <c r="T336" i="1"/>
  <c r="Y336" i="1"/>
  <c r="Y332" i="1" s="1"/>
  <c r="T330" i="1"/>
  <c r="Y330" i="1"/>
  <c r="Y326" i="1" s="1"/>
  <c r="X354" i="1"/>
  <c r="X350" i="1" s="1"/>
  <c r="H336" i="1"/>
  <c r="H332" i="1" s="1"/>
  <c r="M360" i="1"/>
  <c r="M356" i="1" s="1"/>
  <c r="T366" i="1"/>
  <c r="T362" i="1" s="1"/>
  <c r="K342" i="1"/>
  <c r="K338" i="1" s="1"/>
  <c r="J378" i="1"/>
  <c r="H378" i="1"/>
  <c r="X378" i="1"/>
  <c r="X374" i="1" s="1"/>
  <c r="W348" i="1"/>
  <c r="W344" i="1" s="1"/>
  <c r="G366" i="1"/>
  <c r="G362" i="1" s="1"/>
  <c r="R372" i="1"/>
  <c r="W366" i="1"/>
  <c r="W362" i="1" s="1"/>
  <c r="X372" i="1"/>
  <c r="X368" i="1" s="1"/>
  <c r="J366" i="1"/>
  <c r="J362" i="1" s="1"/>
  <c r="Q366" i="1"/>
  <c r="Q362" i="1" s="1"/>
  <c r="S342" i="1"/>
  <c r="S338" i="1" s="1"/>
  <c r="N378" i="1"/>
  <c r="N374" i="1" s="1"/>
  <c r="L378" i="1"/>
  <c r="V385" i="1"/>
  <c r="V381" i="1" s="1"/>
  <c r="F362" i="1"/>
  <c r="Q342" i="1"/>
  <c r="Q338" i="1" s="1"/>
  <c r="R378" i="1"/>
  <c r="R374" i="1" s="1"/>
  <c r="P378" i="1"/>
  <c r="P374" i="1" s="1"/>
  <c r="T385" i="1"/>
  <c r="T381" i="1" s="1"/>
  <c r="U381" i="1"/>
  <c r="E342" i="1"/>
  <c r="E338" i="1" s="1"/>
  <c r="V378" i="1"/>
  <c r="V374" i="1" s="1"/>
  <c r="V366" i="1"/>
  <c r="V362" i="1" s="1"/>
  <c r="S366" i="1"/>
  <c r="S362" i="1" s="1"/>
  <c r="P366" i="1"/>
  <c r="P362" i="1" s="1"/>
  <c r="M366" i="1"/>
  <c r="M362" i="1" s="1"/>
  <c r="T372" i="1"/>
  <c r="T368" i="1" s="1"/>
  <c r="N366" i="1"/>
  <c r="N362" i="1" s="1"/>
  <c r="K366" i="1"/>
  <c r="K362" i="1" s="1"/>
  <c r="H366" i="1"/>
  <c r="H362" i="1" s="1"/>
  <c r="X366" i="1"/>
  <c r="X362" i="1" s="1"/>
  <c r="U366" i="1"/>
  <c r="U362" i="1" s="1"/>
  <c r="V372" i="1"/>
  <c r="V368" i="1" s="1"/>
  <c r="U372" i="1"/>
  <c r="U368" i="1" s="1"/>
  <c r="T326" i="1"/>
  <c r="H350" i="1"/>
  <c r="R366" i="1"/>
  <c r="R362" i="1" s="1"/>
  <c r="O366" i="1"/>
  <c r="O362" i="1" s="1"/>
  <c r="L366" i="1"/>
  <c r="L362" i="1" s="1"/>
  <c r="I366" i="1"/>
  <c r="I362" i="1" s="1"/>
  <c r="E366" i="1"/>
  <c r="E362" i="1" s="1"/>
  <c r="W372" i="1"/>
  <c r="W368" i="1" s="1"/>
  <c r="X336" i="1"/>
  <c r="X332" i="1" s="1"/>
  <c r="N360" i="1"/>
  <c r="N356" i="1" s="1"/>
  <c r="O360" i="1"/>
  <c r="O356" i="1" s="1"/>
  <c r="X391" i="1"/>
  <c r="X387" i="1" s="1"/>
  <c r="W387" i="1"/>
  <c r="E330" i="1"/>
  <c r="E326" i="1" s="1"/>
  <c r="S360" i="1"/>
  <c r="S356" i="1" s="1"/>
  <c r="T332" i="1"/>
  <c r="J336" i="1"/>
  <c r="J332" i="1" s="1"/>
  <c r="T360" i="1"/>
  <c r="T356" i="1" s="1"/>
  <c r="M342" i="1"/>
  <c r="M338" i="1" s="1"/>
  <c r="G342" i="1"/>
  <c r="G338" i="1" s="1"/>
  <c r="W342" i="1"/>
  <c r="W338" i="1" s="1"/>
  <c r="U342" i="1"/>
  <c r="U338" i="1" s="1"/>
  <c r="O330" i="1"/>
  <c r="O326" i="1" s="1"/>
  <c r="N336" i="1"/>
  <c r="N332" i="1" s="1"/>
  <c r="L336" i="1"/>
  <c r="L332" i="1" s="1"/>
  <c r="U344" i="1"/>
  <c r="E354" i="1"/>
  <c r="E350" i="1" s="1"/>
  <c r="R360" i="1"/>
  <c r="R356" i="1" s="1"/>
  <c r="H360" i="1"/>
  <c r="H356" i="1" s="1"/>
  <c r="X360" i="1"/>
  <c r="X356" i="1" s="1"/>
  <c r="Q360" i="1"/>
  <c r="Q356" i="1" s="1"/>
  <c r="W360" i="1"/>
  <c r="W356" i="1" s="1"/>
  <c r="F356" i="1"/>
  <c r="T391" i="1"/>
  <c r="T387" i="1" s="1"/>
  <c r="S391" i="1"/>
  <c r="S387" i="1" s="1"/>
  <c r="J330" i="1"/>
  <c r="J326" i="1" s="1"/>
  <c r="U330" i="1"/>
  <c r="U326" i="1" s="1"/>
  <c r="R336" i="1"/>
  <c r="R332" i="1" s="1"/>
  <c r="P336" i="1"/>
  <c r="P332" i="1" s="1"/>
  <c r="R354" i="1"/>
  <c r="R350" i="1" s="1"/>
  <c r="U354" i="1"/>
  <c r="U350" i="1" s="1"/>
  <c r="V360" i="1"/>
  <c r="V356" i="1" s="1"/>
  <c r="L360" i="1"/>
  <c r="L356" i="1" s="1"/>
  <c r="E360" i="1"/>
  <c r="E356" i="1" s="1"/>
  <c r="U360" i="1"/>
  <c r="U356" i="1" s="1"/>
  <c r="V391" i="1"/>
  <c r="V387" i="1" s="1"/>
  <c r="U391" i="1"/>
  <c r="U387" i="1" s="1"/>
  <c r="V330" i="1"/>
  <c r="V326" i="1" s="1"/>
  <c r="V336" i="1"/>
  <c r="V332" i="1" s="1"/>
  <c r="J360" i="1"/>
  <c r="J356" i="1" s="1"/>
  <c r="K360" i="1"/>
  <c r="K356" i="1" s="1"/>
  <c r="P360" i="1"/>
  <c r="P356" i="1" s="1"/>
  <c r="I360" i="1"/>
  <c r="I356" i="1" s="1"/>
  <c r="G360" i="1"/>
  <c r="G356" i="1" s="1"/>
  <c r="S368" i="1"/>
  <c r="X381" i="1"/>
  <c r="F330" i="1"/>
  <c r="F326" i="1" s="1"/>
  <c r="Q330" i="1"/>
  <c r="Q326" i="1" s="1"/>
  <c r="P330" i="1"/>
  <c r="P326" i="1" s="1"/>
  <c r="W330" i="1"/>
  <c r="W326" i="1" s="1"/>
  <c r="G330" i="1"/>
  <c r="G326" i="1" s="1"/>
  <c r="R330" i="1"/>
  <c r="R326" i="1" s="1"/>
  <c r="X330" i="1"/>
  <c r="X326" i="1" s="1"/>
  <c r="H330" i="1"/>
  <c r="H326" i="1" s="1"/>
  <c r="I330" i="1"/>
  <c r="I326" i="1" s="1"/>
  <c r="L330" i="1"/>
  <c r="L326" i="1" s="1"/>
  <c r="S330" i="1"/>
  <c r="S326" i="1" s="1"/>
  <c r="M330" i="1"/>
  <c r="M326" i="1" s="1"/>
  <c r="N330" i="1"/>
  <c r="N326" i="1" s="1"/>
  <c r="G348" i="1"/>
  <c r="G344" i="1" s="1"/>
  <c r="P348" i="1"/>
  <c r="P344" i="1" s="1"/>
  <c r="H348" i="1"/>
  <c r="H344" i="1" s="1"/>
  <c r="X348" i="1"/>
  <c r="X344" i="1" s="1"/>
  <c r="T348" i="1"/>
  <c r="T344" i="1" s="1"/>
  <c r="L348" i="1"/>
  <c r="L344" i="1" s="1"/>
  <c r="N348" i="1"/>
  <c r="N344" i="1" s="1"/>
  <c r="Q348" i="1"/>
  <c r="Q344" i="1" s="1"/>
  <c r="S348" i="1"/>
  <c r="S344" i="1" s="1"/>
  <c r="V348" i="1"/>
  <c r="V344" i="1" s="1"/>
  <c r="I348" i="1"/>
  <c r="I344" i="1" s="1"/>
  <c r="E348" i="1"/>
  <c r="E344" i="1" s="1"/>
  <c r="J348" i="1"/>
  <c r="J344" i="1" s="1"/>
  <c r="M348" i="1"/>
  <c r="M344" i="1" s="1"/>
  <c r="O348" i="1"/>
  <c r="O344" i="1" s="1"/>
  <c r="F348" i="1"/>
  <c r="F344" i="1" s="1"/>
  <c r="K348" i="1"/>
  <c r="K344" i="1" s="1"/>
  <c r="K330" i="1"/>
  <c r="K326" i="1" s="1"/>
  <c r="R348" i="1"/>
  <c r="R344" i="1" s="1"/>
  <c r="F354" i="1"/>
  <c r="F350" i="1" s="1"/>
  <c r="Q354" i="1"/>
  <c r="Q350" i="1" s="1"/>
  <c r="W354" i="1"/>
  <c r="W350" i="1" s="1"/>
  <c r="T354" i="1"/>
  <c r="T350" i="1" s="1"/>
  <c r="S354" i="1"/>
  <c r="S350" i="1" s="1"/>
  <c r="N354" i="1"/>
  <c r="N350" i="1" s="1"/>
  <c r="L354" i="1"/>
  <c r="L350" i="1" s="1"/>
  <c r="M354" i="1"/>
  <c r="M350" i="1" s="1"/>
  <c r="O354" i="1"/>
  <c r="O350" i="1" s="1"/>
  <c r="P354" i="1"/>
  <c r="P350" i="1" s="1"/>
  <c r="K354" i="1"/>
  <c r="K350" i="1" s="1"/>
  <c r="J354" i="1"/>
  <c r="J350" i="1" s="1"/>
  <c r="I354" i="1"/>
  <c r="I350" i="1" s="1"/>
  <c r="G354" i="1"/>
  <c r="G350" i="1" s="1"/>
  <c r="V354" i="1"/>
  <c r="V350" i="1" s="1"/>
  <c r="T374" i="1"/>
  <c r="W385" i="1"/>
  <c r="W381" i="1" s="1"/>
  <c r="S385" i="1"/>
  <c r="S381" i="1" s="1"/>
  <c r="I342" i="1"/>
  <c r="I338" i="1" s="1"/>
  <c r="F342" i="1"/>
  <c r="F338" i="1" s="1"/>
  <c r="N342" i="1"/>
  <c r="N338" i="1" s="1"/>
  <c r="V342" i="1"/>
  <c r="J342" i="1"/>
  <c r="J338" i="1" s="1"/>
  <c r="R342" i="1"/>
  <c r="R338" i="1" s="1"/>
  <c r="P342" i="1"/>
  <c r="P338" i="1" s="1"/>
  <c r="L342" i="1"/>
  <c r="L338" i="1" s="1"/>
  <c r="T342" i="1"/>
  <c r="T338" i="1" s="1"/>
  <c r="X342" i="1"/>
  <c r="X338" i="1" s="1"/>
  <c r="H342" i="1"/>
  <c r="H338" i="1" s="1"/>
  <c r="V338" i="1"/>
  <c r="O338" i="1"/>
  <c r="F378" i="1"/>
  <c r="K378" i="1"/>
  <c r="S378" i="1"/>
  <c r="S374" i="1" s="1"/>
  <c r="Q378" i="1"/>
  <c r="Q374" i="1" s="1"/>
  <c r="U378" i="1"/>
  <c r="U374" i="1" s="1"/>
  <c r="W378" i="1"/>
  <c r="W374" i="1" s="1"/>
  <c r="E378" i="1"/>
  <c r="O378" i="1"/>
  <c r="O374" i="1" s="1"/>
  <c r="G378" i="1"/>
  <c r="I378" i="1"/>
  <c r="M378" i="1"/>
  <c r="M374" i="1" s="1"/>
  <c r="F336" i="1"/>
  <c r="F332" i="1" s="1"/>
  <c r="I336" i="1"/>
  <c r="I332" i="1" s="1"/>
  <c r="Q336" i="1"/>
  <c r="Q332" i="1" s="1"/>
  <c r="M336" i="1"/>
  <c r="M332" i="1" s="1"/>
  <c r="U336" i="1"/>
  <c r="U332" i="1" s="1"/>
  <c r="O336" i="1"/>
  <c r="O332" i="1" s="1"/>
  <c r="K336" i="1"/>
  <c r="K332" i="1" s="1"/>
  <c r="G336" i="1"/>
  <c r="G332" i="1" s="1"/>
  <c r="S336" i="1"/>
  <c r="S332" i="1" s="1"/>
  <c r="E336" i="1"/>
  <c r="E332" i="1" s="1"/>
  <c r="W336" i="1"/>
  <c r="W332" i="1" s="1"/>
  <c r="G325" i="1"/>
  <c r="G320" i="1" s="1"/>
  <c r="K325" i="1"/>
  <c r="K320" i="1" s="1"/>
  <c r="O325" i="1"/>
  <c r="O320" i="1" s="1"/>
  <c r="S325" i="1"/>
  <c r="S320" i="1" s="1"/>
  <c r="W325" i="1"/>
  <c r="W320" i="1" s="1"/>
  <c r="E325" i="1"/>
  <c r="E320" i="1" s="1"/>
  <c r="H325" i="1"/>
  <c r="H320" i="1" s="1"/>
  <c r="L325" i="1"/>
  <c r="L320" i="1" s="1"/>
  <c r="P325" i="1"/>
  <c r="P320" i="1" s="1"/>
  <c r="T325" i="1"/>
  <c r="T320" i="1" s="1"/>
  <c r="X325" i="1"/>
  <c r="X320" i="1" s="1"/>
  <c r="I325" i="1"/>
  <c r="I320" i="1" s="1"/>
  <c r="M325" i="1"/>
  <c r="M320" i="1" s="1"/>
  <c r="Q325" i="1"/>
  <c r="Q320" i="1" s="1"/>
  <c r="U325" i="1"/>
  <c r="U320" i="1" s="1"/>
  <c r="F325" i="1"/>
  <c r="F320" i="1" s="1"/>
  <c r="J325" i="1"/>
  <c r="J320" i="1" s="1"/>
  <c r="N325" i="1"/>
  <c r="N320" i="1" s="1"/>
  <c r="R325" i="1"/>
  <c r="R320" i="1" s="1"/>
  <c r="V325" i="1"/>
  <c r="V320" i="1" s="1"/>
  <c r="G319" i="1"/>
  <c r="G314" i="1" s="1"/>
  <c r="K319" i="1"/>
  <c r="K314" i="1" s="1"/>
  <c r="O319" i="1"/>
  <c r="O314" i="1" s="1"/>
  <c r="S319" i="1"/>
  <c r="S314" i="1" s="1"/>
  <c r="W319" i="1"/>
  <c r="W314" i="1" s="1"/>
  <c r="H319" i="1"/>
  <c r="H314" i="1" s="1"/>
  <c r="L319" i="1"/>
  <c r="L314" i="1" s="1"/>
  <c r="P319" i="1"/>
  <c r="P314" i="1" s="1"/>
  <c r="T319" i="1"/>
  <c r="T314" i="1" s="1"/>
  <c r="X319" i="1"/>
  <c r="X314" i="1" s="1"/>
  <c r="I319" i="1"/>
  <c r="I314" i="1" s="1"/>
  <c r="M319" i="1"/>
  <c r="M314" i="1" s="1"/>
  <c r="Q319" i="1"/>
  <c r="Q314" i="1" s="1"/>
  <c r="U319" i="1"/>
  <c r="U314" i="1" s="1"/>
  <c r="F319" i="1"/>
  <c r="F314" i="1" s="1"/>
  <c r="J319" i="1"/>
  <c r="J314" i="1" s="1"/>
  <c r="N319" i="1"/>
  <c r="N314" i="1" s="1"/>
  <c r="R319" i="1"/>
  <c r="R314" i="1" s="1"/>
  <c r="V319" i="1"/>
  <c r="V314" i="1" s="1"/>
  <c r="E319" i="1"/>
  <c r="E314" i="1" s="1"/>
  <c r="H313" i="1"/>
  <c r="H308" i="1" s="1"/>
  <c r="H415" i="1" s="1"/>
  <c r="L313" i="1"/>
  <c r="L308" i="1" s="1"/>
  <c r="L415" i="1" s="1"/>
  <c r="P313" i="1"/>
  <c r="P308" i="1" s="1"/>
  <c r="P415" i="1" s="1"/>
  <c r="T313" i="1"/>
  <c r="T308" i="1" s="1"/>
  <c r="T415" i="1" s="1"/>
  <c r="X313" i="1"/>
  <c r="X308" i="1" s="1"/>
  <c r="X415" i="1" s="1"/>
  <c r="I313" i="1"/>
  <c r="I308" i="1" s="1"/>
  <c r="I415" i="1" s="1"/>
  <c r="M313" i="1"/>
  <c r="M308" i="1" s="1"/>
  <c r="M415" i="1" s="1"/>
  <c r="Q313" i="1"/>
  <c r="Q308" i="1" s="1"/>
  <c r="Q415" i="1" s="1"/>
  <c r="U313" i="1"/>
  <c r="U308" i="1" s="1"/>
  <c r="U415" i="1" s="1"/>
  <c r="E313" i="1"/>
  <c r="E308" i="1" s="1"/>
  <c r="E415" i="1" s="1"/>
  <c r="N313" i="1"/>
  <c r="N308" i="1" s="1"/>
  <c r="N415" i="1" s="1"/>
  <c r="V313" i="1"/>
  <c r="V308" i="1" s="1"/>
  <c r="V415" i="1" s="1"/>
  <c r="G313" i="1"/>
  <c r="G308" i="1" s="1"/>
  <c r="G415" i="1" s="1"/>
  <c r="K313" i="1"/>
  <c r="K308" i="1" s="1"/>
  <c r="K415" i="1" s="1"/>
  <c r="O313" i="1"/>
  <c r="O308" i="1" s="1"/>
  <c r="O415" i="1" s="1"/>
  <c r="S313" i="1"/>
  <c r="S308" i="1" s="1"/>
  <c r="S415" i="1" s="1"/>
  <c r="W313" i="1"/>
  <c r="W308" i="1" s="1"/>
  <c r="W415" i="1" s="1"/>
  <c r="F313" i="1"/>
  <c r="F308" i="1" s="1"/>
  <c r="F415" i="1" s="1"/>
  <c r="J313" i="1"/>
  <c r="J308" i="1" s="1"/>
  <c r="J415" i="1" s="1"/>
  <c r="R313" i="1"/>
  <c r="R308" i="1" s="1"/>
  <c r="R415" i="1" s="1"/>
  <c r="G307" i="1"/>
  <c r="G302" i="1" s="1"/>
  <c r="G414" i="1" s="1"/>
  <c r="K307" i="1"/>
  <c r="K302" i="1" s="1"/>
  <c r="K414" i="1" s="1"/>
  <c r="O307" i="1"/>
  <c r="O302" i="1" s="1"/>
  <c r="O414" i="1" s="1"/>
  <c r="S307" i="1"/>
  <c r="S302" i="1" s="1"/>
  <c r="S414" i="1" s="1"/>
  <c r="W307" i="1"/>
  <c r="W302" i="1" s="1"/>
  <c r="W414" i="1" s="1"/>
  <c r="H307" i="1"/>
  <c r="H302" i="1" s="1"/>
  <c r="H414" i="1" s="1"/>
  <c r="L307" i="1"/>
  <c r="L302" i="1" s="1"/>
  <c r="L414" i="1" s="1"/>
  <c r="P307" i="1"/>
  <c r="P302" i="1" s="1"/>
  <c r="P414" i="1" s="1"/>
  <c r="T307" i="1"/>
  <c r="T302" i="1" s="1"/>
  <c r="T414" i="1" s="1"/>
  <c r="X307" i="1"/>
  <c r="X302" i="1" s="1"/>
  <c r="X414" i="1" s="1"/>
  <c r="I307" i="1"/>
  <c r="I302" i="1" s="1"/>
  <c r="I414" i="1" s="1"/>
  <c r="M307" i="1"/>
  <c r="M302" i="1" s="1"/>
  <c r="M414" i="1" s="1"/>
  <c r="Q307" i="1"/>
  <c r="Q302" i="1" s="1"/>
  <c r="Q414" i="1" s="1"/>
  <c r="U307" i="1"/>
  <c r="U302" i="1" s="1"/>
  <c r="U414" i="1" s="1"/>
  <c r="F307" i="1"/>
  <c r="F302" i="1" s="1"/>
  <c r="F414" i="1" s="1"/>
  <c r="J307" i="1"/>
  <c r="J302" i="1" s="1"/>
  <c r="J414" i="1" s="1"/>
  <c r="N307" i="1"/>
  <c r="N302" i="1" s="1"/>
  <c r="N414" i="1" s="1"/>
  <c r="R307" i="1"/>
  <c r="R302" i="1" s="1"/>
  <c r="R414" i="1" s="1"/>
  <c r="V307" i="1"/>
  <c r="V302" i="1" s="1"/>
  <c r="V414" i="1" s="1"/>
  <c r="E307" i="1"/>
  <c r="E302" i="1" s="1"/>
  <c r="Y75" i="5"/>
  <c r="X75" i="5"/>
  <c r="W75" i="5"/>
  <c r="W77" i="5" s="1"/>
  <c r="U75" i="5"/>
  <c r="T75" i="5"/>
  <c r="S75" i="5"/>
  <c r="S77" i="5" s="1"/>
  <c r="R75" i="5"/>
  <c r="Q75" i="5"/>
  <c r="P75" i="5"/>
  <c r="O75" i="5"/>
  <c r="O77" i="5" s="1"/>
  <c r="N75" i="5"/>
  <c r="M75" i="5"/>
  <c r="K75" i="5"/>
  <c r="K77" i="5" s="1"/>
  <c r="I75" i="5"/>
  <c r="H75" i="5"/>
  <c r="G75" i="5"/>
  <c r="G77" i="5" s="1"/>
  <c r="F75" i="5"/>
  <c r="E75" i="5"/>
  <c r="D75" i="5"/>
  <c r="D57" i="5"/>
  <c r="I57" i="5" s="1"/>
  <c r="Z54" i="5"/>
  <c r="Y54" i="5"/>
  <c r="Y46" i="5" s="1"/>
  <c r="X54" i="5"/>
  <c r="W54" i="5"/>
  <c r="W46" i="5" s="1"/>
  <c r="V54" i="5"/>
  <c r="U54" i="5"/>
  <c r="U46" i="5" s="1"/>
  <c r="T54" i="5"/>
  <c r="S54" i="5"/>
  <c r="S46" i="5" s="1"/>
  <c r="R54" i="5"/>
  <c r="Q54" i="5"/>
  <c r="P54" i="5"/>
  <c r="O54" i="5"/>
  <c r="N54" i="5"/>
  <c r="M54" i="5"/>
  <c r="L54" i="5"/>
  <c r="K54" i="5"/>
  <c r="K46" i="5" s="1"/>
  <c r="J54" i="5"/>
  <c r="I54" i="5"/>
  <c r="I46" i="5" s="1"/>
  <c r="H54" i="5"/>
  <c r="H46" i="5" s="1"/>
  <c r="G54" i="5"/>
  <c r="G46" i="5" s="1"/>
  <c r="F54" i="5"/>
  <c r="E54" i="5"/>
  <c r="D54" i="5"/>
  <c r="D46" i="5" s="1"/>
  <c r="Z49" i="5"/>
  <c r="X49" i="5"/>
  <c r="V49" i="5"/>
  <c r="T49" i="5"/>
  <c r="T46" i="5" s="1"/>
  <c r="R49" i="5"/>
  <c r="Q49" i="5"/>
  <c r="P49" i="5"/>
  <c r="O49" i="5"/>
  <c r="N49" i="5"/>
  <c r="M49" i="5"/>
  <c r="L49" i="5"/>
  <c r="J49" i="5"/>
  <c r="F49" i="5"/>
  <c r="E49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H42" i="5" s="1"/>
  <c r="G44" i="5"/>
  <c r="F44" i="5"/>
  <c r="E44" i="5"/>
  <c r="D44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Z11" i="5"/>
  <c r="Y11" i="5"/>
  <c r="Y13" i="5" s="1"/>
  <c r="Y14" i="5" s="1"/>
  <c r="X11" i="5"/>
  <c r="X13" i="5" s="1"/>
  <c r="X14" i="5" s="1"/>
  <c r="W11" i="5"/>
  <c r="W13" i="5" s="1"/>
  <c r="W14" i="5" s="1"/>
  <c r="V11" i="5"/>
  <c r="V22" i="5" s="1"/>
  <c r="U11" i="5"/>
  <c r="T11" i="5"/>
  <c r="T13" i="5" s="1"/>
  <c r="T14" i="5" s="1"/>
  <c r="S11" i="5"/>
  <c r="S13" i="5" s="1"/>
  <c r="S14" i="5" s="1"/>
  <c r="R11" i="5"/>
  <c r="R22" i="5" s="1"/>
  <c r="Q11" i="5"/>
  <c r="Q13" i="5" s="1"/>
  <c r="Q14" i="5" s="1"/>
  <c r="P11" i="5"/>
  <c r="P13" i="5" s="1"/>
  <c r="P14" i="5" s="1"/>
  <c r="O11" i="5"/>
  <c r="O13" i="5" s="1"/>
  <c r="O14" i="5" s="1"/>
  <c r="N11" i="5"/>
  <c r="M11" i="5"/>
  <c r="L11" i="5"/>
  <c r="L13" i="5" s="1"/>
  <c r="L14" i="5" s="1"/>
  <c r="K11" i="5"/>
  <c r="K13" i="5" s="1"/>
  <c r="K14" i="5" s="1"/>
  <c r="J11" i="5"/>
  <c r="J22" i="5" s="1"/>
  <c r="I11" i="5"/>
  <c r="I13" i="5" s="1"/>
  <c r="I14" i="5" s="1"/>
  <c r="H11" i="5"/>
  <c r="H13" i="5" s="1"/>
  <c r="H14" i="5" s="1"/>
  <c r="G11" i="5"/>
  <c r="G13" i="5" s="1"/>
  <c r="G14" i="5" s="1"/>
  <c r="F11" i="5"/>
  <c r="E11" i="5"/>
  <c r="E22" i="5" s="1"/>
  <c r="D11" i="5"/>
  <c r="D13" i="5" s="1"/>
  <c r="D14" i="5" s="1"/>
  <c r="V46" i="5" l="1"/>
  <c r="E46" i="5"/>
  <c r="J46" i="5"/>
  <c r="F46" i="5"/>
  <c r="N46" i="5"/>
  <c r="R46" i="5"/>
  <c r="Z46" i="5"/>
  <c r="M46" i="5"/>
  <c r="Q46" i="5"/>
  <c r="X46" i="5"/>
  <c r="J13" i="5"/>
  <c r="J14" i="5" s="1"/>
  <c r="M57" i="5"/>
  <c r="M61" i="5" s="1"/>
  <c r="Z57" i="5"/>
  <c r="Z22" i="5"/>
  <c r="Z24" i="5" s="1"/>
  <c r="Z13" i="5"/>
  <c r="Z14" i="5" s="1"/>
  <c r="V13" i="5"/>
  <c r="V14" i="5" s="1"/>
  <c r="R13" i="5"/>
  <c r="R14" i="5" s="1"/>
  <c r="F22" i="5"/>
  <c r="F24" i="5" s="1"/>
  <c r="F28" i="5" s="1"/>
  <c r="F31" i="5" s="1"/>
  <c r="F32" i="5" s="1"/>
  <c r="F13" i="5"/>
  <c r="F14" i="5" s="1"/>
  <c r="N22" i="5"/>
  <c r="N13" i="5"/>
  <c r="N14" i="5" s="1"/>
  <c r="R24" i="5"/>
  <c r="R28" i="5" s="1"/>
  <c r="R31" i="5" s="1"/>
  <c r="R32" i="5" s="1"/>
  <c r="O46" i="5"/>
  <c r="L46" i="5"/>
  <c r="Y57" i="5"/>
  <c r="Y64" i="5" s="1"/>
  <c r="P46" i="5"/>
  <c r="G57" i="5"/>
  <c r="G64" i="5" s="1"/>
  <c r="D22" i="5"/>
  <c r="D24" i="5" s="1"/>
  <c r="D28" i="5" s="1"/>
  <c r="D31" i="5" s="1"/>
  <c r="D32" i="5" s="1"/>
  <c r="H22" i="5"/>
  <c r="H24" i="5" s="1"/>
  <c r="H28" i="5" s="1"/>
  <c r="H31" i="5" s="1"/>
  <c r="H32" i="5" s="1"/>
  <c r="L22" i="5"/>
  <c r="L24" i="5" s="1"/>
  <c r="L28" i="5" s="1"/>
  <c r="L31" i="5" s="1"/>
  <c r="L32" i="5" s="1"/>
  <c r="P22" i="5"/>
  <c r="P24" i="5" s="1"/>
  <c r="P28" i="5" s="1"/>
  <c r="P31" i="5" s="1"/>
  <c r="P32" i="5" s="1"/>
  <c r="T22" i="5"/>
  <c r="T24" i="5" s="1"/>
  <c r="T28" i="5" s="1"/>
  <c r="T31" i="5" s="1"/>
  <c r="T32" i="5" s="1"/>
  <c r="X22" i="5"/>
  <c r="X24" i="5" s="1"/>
  <c r="X28" i="5" s="1"/>
  <c r="X31" i="5" s="1"/>
  <c r="X32" i="5" s="1"/>
  <c r="E13" i="5"/>
  <c r="E14" i="5" s="1"/>
  <c r="M13" i="5"/>
  <c r="M14" i="5" s="1"/>
  <c r="U13" i="5"/>
  <c r="U14" i="5" s="1"/>
  <c r="U22" i="5"/>
  <c r="U24" i="5" s="1"/>
  <c r="N24" i="5"/>
  <c r="I63" i="5"/>
  <c r="I64" i="5"/>
  <c r="I61" i="5"/>
  <c r="I22" i="5"/>
  <c r="I24" i="5" s="1"/>
  <c r="M22" i="5"/>
  <c r="M24" i="5" s="1"/>
  <c r="V24" i="5"/>
  <c r="E63" i="5"/>
  <c r="E64" i="5"/>
  <c r="X57" i="5"/>
  <c r="T57" i="5"/>
  <c r="P57" i="5"/>
  <c r="L57" i="5"/>
  <c r="H57" i="5"/>
  <c r="W57" i="5"/>
  <c r="S57" i="5"/>
  <c r="O57" i="5"/>
  <c r="E61" i="5"/>
  <c r="V85" i="5"/>
  <c r="V84" i="5" s="1"/>
  <c r="R57" i="5"/>
  <c r="N57" i="5"/>
  <c r="J57" i="5"/>
  <c r="F57" i="5"/>
  <c r="Q57" i="5"/>
  <c r="E24" i="5"/>
  <c r="Y22" i="5"/>
  <c r="Y24" i="5" s="1"/>
  <c r="G22" i="5"/>
  <c r="G24" i="5" s="1"/>
  <c r="K22" i="5"/>
  <c r="K24" i="5" s="1"/>
  <c r="O22" i="5"/>
  <c r="O24" i="5" s="1"/>
  <c r="S22" i="5"/>
  <c r="S24" i="5" s="1"/>
  <c r="W22" i="5"/>
  <c r="W24" i="5" s="1"/>
  <c r="Q22" i="5"/>
  <c r="Q24" i="5" s="1"/>
  <c r="J24" i="5"/>
  <c r="U57" i="5"/>
  <c r="K57" i="5"/>
  <c r="D61" i="5"/>
  <c r="D63" i="5"/>
  <c r="D64" i="5"/>
  <c r="F77" i="5"/>
  <c r="J77" i="5"/>
  <c r="N77" i="5"/>
  <c r="R77" i="5"/>
  <c r="V77" i="5"/>
  <c r="D77" i="5"/>
  <c r="H77" i="5"/>
  <c r="L77" i="5"/>
  <c r="P77" i="5"/>
  <c r="T77" i="5"/>
  <c r="X77" i="5"/>
  <c r="E77" i="5"/>
  <c r="I77" i="5"/>
  <c r="M77" i="5"/>
  <c r="Q77" i="5"/>
  <c r="U77" i="5"/>
  <c r="Y77" i="5"/>
  <c r="Z28" i="5" l="1"/>
  <c r="Z31" i="5" s="1"/>
  <c r="Z32" i="5" s="1"/>
  <c r="J28" i="5"/>
  <c r="J31" i="5" s="1"/>
  <c r="J32" i="5" s="1"/>
  <c r="N28" i="5"/>
  <c r="N31" i="5" s="1"/>
  <c r="N32" i="5" s="1"/>
  <c r="I28" i="5"/>
  <c r="I31" i="5" s="1"/>
  <c r="I32" i="5" s="1"/>
  <c r="I85" i="5"/>
  <c r="I84" i="5" s="1"/>
  <c r="N85" i="5"/>
  <c r="L85" i="5"/>
  <c r="L84" i="5" s="1"/>
  <c r="M64" i="5"/>
  <c r="M63" i="5"/>
  <c r="E28" i="5"/>
  <c r="E31" i="5" s="1"/>
  <c r="E32" i="5" s="1"/>
  <c r="J85" i="5"/>
  <c r="J84" i="5" s="1"/>
  <c r="V28" i="5"/>
  <c r="V31" i="5" s="1"/>
  <c r="V32" i="5" s="1"/>
  <c r="D85" i="5"/>
  <c r="F85" i="5"/>
  <c r="F84" i="5" s="1"/>
  <c r="T85" i="5"/>
  <c r="T84" i="5" s="1"/>
  <c r="Y63" i="5"/>
  <c r="Y61" i="5"/>
  <c r="U28" i="5"/>
  <c r="U31" i="5" s="1"/>
  <c r="U32" i="5" s="1"/>
  <c r="D65" i="5"/>
  <c r="D36" i="5" s="1"/>
  <c r="D34" i="5" s="1"/>
  <c r="G63" i="5"/>
  <c r="G61" i="5"/>
  <c r="I65" i="5"/>
  <c r="I36" i="5" s="1"/>
  <c r="I34" i="5" s="1"/>
  <c r="E65" i="5"/>
  <c r="E36" i="5" s="1"/>
  <c r="E34" i="5" s="1"/>
  <c r="W85" i="5"/>
  <c r="W84" i="5" s="1"/>
  <c r="W28" i="5"/>
  <c r="W31" i="5" s="1"/>
  <c r="W32" i="5" s="1"/>
  <c r="G85" i="5"/>
  <c r="G28" i="5"/>
  <c r="G31" i="5" s="1"/>
  <c r="G32" i="5" s="1"/>
  <c r="S85" i="5"/>
  <c r="S84" i="5" s="1"/>
  <c r="S28" i="5"/>
  <c r="S31" i="5" s="1"/>
  <c r="S32" i="5" s="1"/>
  <c r="Y28" i="5"/>
  <c r="Y31" i="5" s="1"/>
  <c r="Y32" i="5" s="1"/>
  <c r="Y85" i="5"/>
  <c r="Y84" i="5" s="1"/>
  <c r="M28" i="5"/>
  <c r="M31" i="5" s="1"/>
  <c r="M32" i="5" s="1"/>
  <c r="M85" i="5"/>
  <c r="M84" i="5" s="1"/>
  <c r="O85" i="5"/>
  <c r="O84" i="5" s="1"/>
  <c r="O28" i="5"/>
  <c r="O31" i="5" s="1"/>
  <c r="O32" i="5" s="1"/>
  <c r="Q28" i="5"/>
  <c r="Q31" i="5" s="1"/>
  <c r="Q32" i="5" s="1"/>
  <c r="Q85" i="5"/>
  <c r="Q84" i="5" s="1"/>
  <c r="K85" i="5"/>
  <c r="K84" i="5" s="1"/>
  <c r="K28" i="5"/>
  <c r="K31" i="5" s="1"/>
  <c r="K32" i="5" s="1"/>
  <c r="Q63" i="5"/>
  <c r="Q64" i="5"/>
  <c r="Q61" i="5"/>
  <c r="R64" i="5"/>
  <c r="R61" i="5"/>
  <c r="R63" i="5"/>
  <c r="S61" i="5"/>
  <c r="S63" i="5"/>
  <c r="S64" i="5"/>
  <c r="P61" i="5"/>
  <c r="P63" i="5"/>
  <c r="P64" i="5"/>
  <c r="Z64" i="5"/>
  <c r="Z61" i="5"/>
  <c r="Z63" i="5"/>
  <c r="R85" i="5"/>
  <c r="R84" i="5" s="1"/>
  <c r="U85" i="5"/>
  <c r="U84" i="5" s="1"/>
  <c r="E85" i="5"/>
  <c r="E84" i="5" s="1"/>
  <c r="P85" i="5"/>
  <c r="P84" i="5" s="1"/>
  <c r="U63" i="5"/>
  <c r="U64" i="5"/>
  <c r="U61" i="5"/>
  <c r="F64" i="5"/>
  <c r="F61" i="5"/>
  <c r="F63" i="5"/>
  <c r="V64" i="5"/>
  <c r="V61" i="5"/>
  <c r="V63" i="5"/>
  <c r="W61" i="5"/>
  <c r="W63" i="5"/>
  <c r="W64" i="5"/>
  <c r="T61" i="5"/>
  <c r="T63" i="5"/>
  <c r="T64" i="5"/>
  <c r="K61" i="5"/>
  <c r="K63" i="5"/>
  <c r="K64" i="5"/>
  <c r="J64" i="5"/>
  <c r="J61" i="5"/>
  <c r="J63" i="5"/>
  <c r="H61" i="5"/>
  <c r="H63" i="5"/>
  <c r="H64" i="5"/>
  <c r="X61" i="5"/>
  <c r="X63" i="5"/>
  <c r="X64" i="5"/>
  <c r="X85" i="5"/>
  <c r="X84" i="5" s="1"/>
  <c r="H85" i="5"/>
  <c r="N64" i="5"/>
  <c r="N61" i="5"/>
  <c r="N63" i="5"/>
  <c r="O61" i="5"/>
  <c r="O63" i="5"/>
  <c r="O64" i="5"/>
  <c r="L61" i="5"/>
  <c r="L63" i="5"/>
  <c r="L64" i="5"/>
  <c r="M65" i="5" l="1"/>
  <c r="M36" i="5" s="1"/>
  <c r="M34" i="5" s="1"/>
  <c r="M39" i="5" s="1"/>
  <c r="N84" i="5"/>
  <c r="D101" i="5" s="1"/>
  <c r="L408" i="1" s="1"/>
  <c r="D106" i="5"/>
  <c r="L294" i="1" s="1"/>
  <c r="I411" i="1"/>
  <c r="H297" i="1"/>
  <c r="O412" i="1"/>
  <c r="P296" i="1"/>
  <c r="S296" i="1"/>
  <c r="X410" i="1"/>
  <c r="X294" i="1"/>
  <c r="J412" i="1"/>
  <c r="U297" i="1"/>
  <c r="X297" i="1"/>
  <c r="X412" i="1"/>
  <c r="I297" i="1"/>
  <c r="G297" i="1"/>
  <c r="I298" i="1"/>
  <c r="J297" i="1"/>
  <c r="M294" i="1"/>
  <c r="N298" i="1"/>
  <c r="P298" i="1"/>
  <c r="G408" i="1"/>
  <c r="G294" i="1"/>
  <c r="H298" i="1"/>
  <c r="H408" i="1"/>
  <c r="J408" i="1"/>
  <c r="K411" i="1"/>
  <c r="K298" i="1"/>
  <c r="K294" i="1"/>
  <c r="D108" i="5"/>
  <c r="L297" i="1" s="1"/>
  <c r="N294" i="1"/>
  <c r="P294" i="1"/>
  <c r="N411" i="1"/>
  <c r="N297" i="1"/>
  <c r="Q297" i="1"/>
  <c r="R408" i="1"/>
  <c r="R297" i="1"/>
  <c r="Q410" i="1"/>
  <c r="Q296" i="1"/>
  <c r="W412" i="1"/>
  <c r="W408" i="1"/>
  <c r="W410" i="1"/>
  <c r="P411" i="1"/>
  <c r="P297" i="1"/>
  <c r="W298" i="1"/>
  <c r="W294" i="1"/>
  <c r="X298" i="1"/>
  <c r="J298" i="1"/>
  <c r="F297" i="1"/>
  <c r="U410" i="1"/>
  <c r="U296" i="1"/>
  <c r="W411" i="1"/>
  <c r="M298" i="1"/>
  <c r="U294" i="1"/>
  <c r="F412" i="1"/>
  <c r="F298" i="1"/>
  <c r="M297" i="1"/>
  <c r="N296" i="1"/>
  <c r="O296" i="1"/>
  <c r="Q298" i="1"/>
  <c r="Q294" i="1"/>
  <c r="T294" i="1"/>
  <c r="U408" i="1"/>
  <c r="S408" i="1"/>
  <c r="S294" i="1"/>
  <c r="O408" i="1"/>
  <c r="O294" i="1"/>
  <c r="W296" i="1"/>
  <c r="T298" i="1"/>
  <c r="K297" i="1"/>
  <c r="R298" i="1"/>
  <c r="S297" i="1"/>
  <c r="M410" i="1"/>
  <c r="M296" i="1"/>
  <c r="D84" i="5"/>
  <c r="D104" i="5" s="1"/>
  <c r="L412" i="1" s="1"/>
  <c r="D109" i="5"/>
  <c r="L298" i="1" s="1"/>
  <c r="F294" i="1"/>
  <c r="M412" i="1"/>
  <c r="R412" i="1"/>
  <c r="I408" i="1"/>
  <c r="I294" i="1"/>
  <c r="R410" i="1"/>
  <c r="R296" i="1"/>
  <c r="T296" i="1"/>
  <c r="T412" i="1"/>
  <c r="V296" i="1"/>
  <c r="V294" i="1"/>
  <c r="X408" i="1"/>
  <c r="U412" i="1"/>
  <c r="U298" i="1"/>
  <c r="V412" i="1"/>
  <c r="V298" i="1"/>
  <c r="O298" i="1"/>
  <c r="G298" i="1"/>
  <c r="X296" i="1"/>
  <c r="J294" i="1"/>
  <c r="R294" i="1"/>
  <c r="W297" i="1"/>
  <c r="Y65" i="5"/>
  <c r="Y36" i="5" s="1"/>
  <c r="Y34" i="5" s="1"/>
  <c r="Y69" i="5" s="1"/>
  <c r="S298" i="1"/>
  <c r="V297" i="1"/>
  <c r="T297" i="1"/>
  <c r="S412" i="1"/>
  <c r="T65" i="5"/>
  <c r="T36" i="5" s="1"/>
  <c r="T34" i="5" s="1"/>
  <c r="F65" i="5"/>
  <c r="F36" i="5" s="1"/>
  <c r="F34" i="5" s="1"/>
  <c r="U65" i="5"/>
  <c r="U36" i="5" s="1"/>
  <c r="U34" i="5" s="1"/>
  <c r="L65" i="5"/>
  <c r="L36" i="5" s="1"/>
  <c r="L34" i="5" s="1"/>
  <c r="O65" i="5"/>
  <c r="O36" i="5" s="1"/>
  <c r="O34" i="5" s="1"/>
  <c r="J65" i="5"/>
  <c r="J36" i="5" s="1"/>
  <c r="J34" i="5" s="1"/>
  <c r="O297" i="1"/>
  <c r="P65" i="5"/>
  <c r="P36" i="5" s="1"/>
  <c r="P34" i="5" s="1"/>
  <c r="V65" i="5"/>
  <c r="V36" i="5" s="1"/>
  <c r="V34" i="5" s="1"/>
  <c r="R65" i="5"/>
  <c r="R36" i="5" s="1"/>
  <c r="R34" i="5" s="1"/>
  <c r="G65" i="5"/>
  <c r="G36" i="5" s="1"/>
  <c r="G34" i="5" s="1"/>
  <c r="G69" i="5" s="1"/>
  <c r="K65" i="5"/>
  <c r="K36" i="5" s="1"/>
  <c r="K34" i="5" s="1"/>
  <c r="W65" i="5"/>
  <c r="W36" i="5" s="1"/>
  <c r="W34" i="5" s="1"/>
  <c r="H65" i="5"/>
  <c r="H36" i="5" s="1"/>
  <c r="H34" i="5" s="1"/>
  <c r="S65" i="5"/>
  <c r="S36" i="5" s="1"/>
  <c r="S34" i="5" s="1"/>
  <c r="Q65" i="5"/>
  <c r="Q36" i="5" s="1"/>
  <c r="Q34" i="5" s="1"/>
  <c r="N65" i="5"/>
  <c r="N36" i="5" s="1"/>
  <c r="N34" i="5" s="1"/>
  <c r="X65" i="5"/>
  <c r="X36" i="5" s="1"/>
  <c r="X34" i="5" s="1"/>
  <c r="Z65" i="5"/>
  <c r="Z36" i="5" s="1"/>
  <c r="Z34" i="5" s="1"/>
  <c r="D69" i="5"/>
  <c r="D70" i="5"/>
  <c r="D39" i="5"/>
  <c r="E70" i="5"/>
  <c r="E69" i="5"/>
  <c r="E39" i="5"/>
  <c r="I69" i="5"/>
  <c r="I70" i="5"/>
  <c r="I39" i="5"/>
  <c r="G84" i="5"/>
  <c r="M69" i="5"/>
  <c r="M70" i="5"/>
  <c r="H84" i="5"/>
  <c r="G412" i="1"/>
  <c r="H294" i="1"/>
  <c r="Q295" i="1" l="1"/>
  <c r="X295" i="1"/>
  <c r="W295" i="1"/>
  <c r="W409" i="1"/>
  <c r="F408" i="1"/>
  <c r="G411" i="1"/>
  <c r="J411" i="1"/>
  <c r="K412" i="1"/>
  <c r="N408" i="1"/>
  <c r="N410" i="1"/>
  <c r="N409" i="1" s="1"/>
  <c r="O411" i="1"/>
  <c r="P412" i="1"/>
  <c r="Q411" i="1"/>
  <c r="Q409" i="1" s="1"/>
  <c r="R411" i="1"/>
  <c r="R409" i="1" s="1"/>
  <c r="I412" i="1"/>
  <c r="M411" i="1"/>
  <c r="M409" i="1" s="1"/>
  <c r="N412" i="1"/>
  <c r="P410" i="1"/>
  <c r="P409" i="1" s="1"/>
  <c r="Q408" i="1"/>
  <c r="T411" i="1"/>
  <c r="F411" i="1"/>
  <c r="D103" i="5"/>
  <c r="L411" i="1" s="1"/>
  <c r="M408" i="1"/>
  <c r="S411" i="1"/>
  <c r="U411" i="1"/>
  <c r="U409" i="1" s="1"/>
  <c r="V410" i="1"/>
  <c r="V411" i="1"/>
  <c r="X411" i="1"/>
  <c r="X409" i="1" s="1"/>
  <c r="H411" i="1"/>
  <c r="H412" i="1"/>
  <c r="K408" i="1"/>
  <c r="O410" i="1"/>
  <c r="P408" i="1"/>
  <c r="Q412" i="1"/>
  <c r="S410" i="1"/>
  <c r="T408" i="1"/>
  <c r="T410" i="1"/>
  <c r="V408" i="1"/>
  <c r="V295" i="1"/>
  <c r="P295" i="1"/>
  <c r="N295" i="1"/>
  <c r="M295" i="1"/>
  <c r="R295" i="1"/>
  <c r="O295" i="1"/>
  <c r="S295" i="1"/>
  <c r="U295" i="1"/>
  <c r="T295" i="1"/>
  <c r="Y39" i="5"/>
  <c r="Y70" i="5"/>
  <c r="G70" i="5"/>
  <c r="G39" i="5"/>
  <c r="S70" i="5"/>
  <c r="S39" i="5"/>
  <c r="L69" i="5"/>
  <c r="L70" i="5"/>
  <c r="L39" i="5"/>
  <c r="H39" i="5"/>
  <c r="H70" i="5"/>
  <c r="H69" i="5"/>
  <c r="K69" i="5"/>
  <c r="K39" i="5"/>
  <c r="K70" i="5"/>
  <c r="Z69" i="5"/>
  <c r="Z39" i="5"/>
  <c r="Z70" i="5"/>
  <c r="Q69" i="5"/>
  <c r="Q70" i="5"/>
  <c r="Q39" i="5"/>
  <c r="O70" i="5"/>
  <c r="O69" i="5"/>
  <c r="O39" i="5"/>
  <c r="F39" i="5"/>
  <c r="F69" i="5"/>
  <c r="F70" i="5"/>
  <c r="U70" i="5"/>
  <c r="U39" i="5"/>
  <c r="U69" i="5"/>
  <c r="T70" i="5"/>
  <c r="T69" i="5"/>
  <c r="T39" i="5"/>
  <c r="X70" i="5"/>
  <c r="X39" i="5"/>
  <c r="X69" i="5"/>
  <c r="W69" i="5"/>
  <c r="W39" i="5"/>
  <c r="W70" i="5"/>
  <c r="S69" i="5"/>
  <c r="E72" i="5"/>
  <c r="E68" i="5"/>
  <c r="P39" i="5"/>
  <c r="P69" i="5"/>
  <c r="P70" i="5"/>
  <c r="N70" i="5"/>
  <c r="N39" i="5"/>
  <c r="N69" i="5"/>
  <c r="Y68" i="5"/>
  <c r="Y72" i="5"/>
  <c r="Y71" i="5" s="1"/>
  <c r="Y79" i="5" s="1"/>
  <c r="Y81" i="5" s="1"/>
  <c r="V69" i="5"/>
  <c r="V39" i="5"/>
  <c r="V70" i="5"/>
  <c r="I68" i="5"/>
  <c r="I72" i="5"/>
  <c r="I71" i="5" s="1"/>
  <c r="I79" i="5" s="1"/>
  <c r="I81" i="5" s="1"/>
  <c r="D72" i="5"/>
  <c r="D71" i="5" s="1"/>
  <c r="D79" i="5" s="1"/>
  <c r="D68" i="5"/>
  <c r="G72" i="5"/>
  <c r="G71" i="5" s="1"/>
  <c r="G79" i="5" s="1"/>
  <c r="G68" i="5"/>
  <c r="M68" i="5"/>
  <c r="M72" i="5"/>
  <c r="R70" i="5"/>
  <c r="R39" i="5"/>
  <c r="R69" i="5"/>
  <c r="J70" i="5"/>
  <c r="J39" i="5"/>
  <c r="J69" i="5"/>
  <c r="E294" i="1"/>
  <c r="E408" i="1"/>
  <c r="T409" i="1" l="1"/>
  <c r="S409" i="1"/>
  <c r="O409" i="1"/>
  <c r="V409" i="1"/>
  <c r="W289" i="1"/>
  <c r="P289" i="1"/>
  <c r="N289" i="1"/>
  <c r="T289" i="1"/>
  <c r="G81" i="5"/>
  <c r="V72" i="5"/>
  <c r="V68" i="5"/>
  <c r="S72" i="5"/>
  <c r="S68" i="5"/>
  <c r="W72" i="5"/>
  <c r="W68" i="5"/>
  <c r="T72" i="5"/>
  <c r="T68" i="5"/>
  <c r="Z72" i="5"/>
  <c r="Z68" i="5"/>
  <c r="H72" i="5"/>
  <c r="H68" i="5"/>
  <c r="M71" i="5"/>
  <c r="M79" i="5"/>
  <c r="M81" i="5" s="1"/>
  <c r="X72" i="5"/>
  <c r="X68" i="5"/>
  <c r="O72" i="5"/>
  <c r="O68" i="5"/>
  <c r="Q68" i="5"/>
  <c r="Q72" i="5"/>
  <c r="R72" i="5"/>
  <c r="R68" i="5"/>
  <c r="U72" i="5"/>
  <c r="U68" i="5"/>
  <c r="F72" i="5"/>
  <c r="F68" i="5"/>
  <c r="J72" i="5"/>
  <c r="J68" i="5"/>
  <c r="D81" i="5"/>
  <c r="N72" i="5"/>
  <c r="N68" i="5"/>
  <c r="P72" i="5"/>
  <c r="P68" i="5"/>
  <c r="E71" i="5"/>
  <c r="E79" i="5"/>
  <c r="E81" i="5" s="1"/>
  <c r="K72" i="5"/>
  <c r="K71" i="5" s="1"/>
  <c r="K79" i="5" s="1"/>
  <c r="K81" i="5" s="1"/>
  <c r="K68" i="5"/>
  <c r="L72" i="5"/>
  <c r="L68" i="5"/>
  <c r="D95" i="5" l="1"/>
  <c r="R285" i="1"/>
  <c r="U288" i="1"/>
  <c r="J288" i="1"/>
  <c r="M292" i="1"/>
  <c r="F292" i="1"/>
  <c r="W288" i="1"/>
  <c r="X289" i="1"/>
  <c r="U289" i="1"/>
  <c r="P288" i="1"/>
  <c r="X288" i="1"/>
  <c r="J289" i="1"/>
  <c r="O288" i="1"/>
  <c r="O289" i="1"/>
  <c r="N288" i="1"/>
  <c r="I288" i="1"/>
  <c r="V288" i="1"/>
  <c r="V289" i="1"/>
  <c r="T288" i="1"/>
  <c r="S288" i="1"/>
  <c r="R292" i="1"/>
  <c r="S289" i="1"/>
  <c r="R289" i="1"/>
  <c r="R288" i="1"/>
  <c r="Q289" i="1"/>
  <c r="Q288" i="1"/>
  <c r="K291" i="1"/>
  <c r="M289" i="1"/>
  <c r="M288" i="1"/>
  <c r="P71" i="5"/>
  <c r="P79" i="5"/>
  <c r="P81" i="5" s="1"/>
  <c r="F71" i="5"/>
  <c r="F79" i="5"/>
  <c r="F81" i="5" s="1"/>
  <c r="R71" i="5"/>
  <c r="R79" i="5"/>
  <c r="R81" i="5" s="1"/>
  <c r="O71" i="5"/>
  <c r="O79" i="5"/>
  <c r="O81" i="5" s="1"/>
  <c r="Z71" i="5"/>
  <c r="W71" i="5"/>
  <c r="W79" i="5"/>
  <c r="W81" i="5" s="1"/>
  <c r="V71" i="5"/>
  <c r="V79" i="5"/>
  <c r="V81" i="5" s="1"/>
  <c r="Q71" i="5"/>
  <c r="Q79" i="5"/>
  <c r="Q81" i="5" s="1"/>
  <c r="L288" i="1"/>
  <c r="L71" i="5"/>
  <c r="L79" i="5"/>
  <c r="L81" i="5" s="1"/>
  <c r="N71" i="5"/>
  <c r="N79" i="5"/>
  <c r="J71" i="5"/>
  <c r="J79" i="5"/>
  <c r="U71" i="5"/>
  <c r="U79" i="5"/>
  <c r="U81" i="5" s="1"/>
  <c r="X71" i="5"/>
  <c r="X79" i="5"/>
  <c r="X81" i="5" s="1"/>
  <c r="H71" i="5"/>
  <c r="H79" i="5"/>
  <c r="T71" i="5"/>
  <c r="T79" i="5"/>
  <c r="T81" i="5" s="1"/>
  <c r="S71" i="5"/>
  <c r="S79" i="5"/>
  <c r="S81" i="5" s="1"/>
  <c r="D96" i="5"/>
  <c r="L289" i="1" s="1"/>
  <c r="K292" i="1"/>
  <c r="K289" i="1"/>
  <c r="K288" i="1"/>
  <c r="J292" i="1"/>
  <c r="J291" i="1"/>
  <c r="H292" i="1"/>
  <c r="G292" i="1"/>
  <c r="H289" i="1"/>
  <c r="H288" i="1"/>
  <c r="G291" i="1"/>
  <c r="G289" i="1"/>
  <c r="G288" i="1"/>
  <c r="F288" i="1"/>
  <c r="F289" i="1"/>
  <c r="D98" i="5" l="1"/>
  <c r="L291" i="1" s="1"/>
  <c r="J81" i="5"/>
  <c r="D99" i="5" s="1"/>
  <c r="L292" i="1" s="1"/>
  <c r="F291" i="1"/>
  <c r="U285" i="1"/>
  <c r="U282" i="1" s="1"/>
  <c r="U283" i="1" s="1"/>
  <c r="N286" i="1"/>
  <c r="M285" i="1"/>
  <c r="M282" i="1" s="1"/>
  <c r="M283" i="1" s="1"/>
  <c r="R286" i="1"/>
  <c r="Q285" i="1"/>
  <c r="Q282" i="1" s="1"/>
  <c r="Q283" i="1" s="1"/>
  <c r="M286" i="1"/>
  <c r="P286" i="1"/>
  <c r="V285" i="1"/>
  <c r="V282" i="1" s="1"/>
  <c r="V283" i="1" s="1"/>
  <c r="W285" i="1"/>
  <c r="W282" i="1" s="1"/>
  <c r="W283" i="1" s="1"/>
  <c r="P285" i="1"/>
  <c r="P282" i="1" s="1"/>
  <c r="P283" i="1" s="1"/>
  <c r="O285" i="1"/>
  <c r="O282" i="1" s="1"/>
  <c r="O283" i="1" s="1"/>
  <c r="Q286" i="1"/>
  <c r="S285" i="1"/>
  <c r="S282" i="1" s="1"/>
  <c r="S283" i="1" s="1"/>
  <c r="T285" i="1"/>
  <c r="T282" i="1" s="1"/>
  <c r="T283" i="1" s="1"/>
  <c r="X285" i="1"/>
  <c r="X282" i="1" s="1"/>
  <c r="X283" i="1" s="1"/>
  <c r="R282" i="1"/>
  <c r="R283" i="1" s="1"/>
  <c r="M291" i="1"/>
  <c r="I289" i="1"/>
  <c r="K279" i="1"/>
  <c r="K280" i="1"/>
  <c r="H291" i="1"/>
  <c r="F280" i="1"/>
  <c r="X291" i="1"/>
  <c r="X280" i="1"/>
  <c r="X279" i="1"/>
  <c r="X292" i="1"/>
  <c r="W292" i="1"/>
  <c r="W291" i="1"/>
  <c r="W279" i="1"/>
  <c r="W280" i="1"/>
  <c r="V292" i="1"/>
  <c r="V291" i="1"/>
  <c r="V280" i="1"/>
  <c r="V279" i="1"/>
  <c r="U291" i="1"/>
  <c r="U292" i="1"/>
  <c r="U280" i="1"/>
  <c r="U279" i="1"/>
  <c r="T291" i="1"/>
  <c r="R291" i="1"/>
  <c r="T292" i="1"/>
  <c r="T279" i="1"/>
  <c r="T280" i="1"/>
  <c r="S279" i="1"/>
  <c r="S280" i="1"/>
  <c r="S291" i="1"/>
  <c r="S292" i="1"/>
  <c r="Q292" i="1"/>
  <c r="R280" i="1"/>
  <c r="R279" i="1"/>
  <c r="Q279" i="1"/>
  <c r="Q280" i="1"/>
  <c r="Q291" i="1"/>
  <c r="P279" i="1"/>
  <c r="P280" i="1"/>
  <c r="P292" i="1"/>
  <c r="P291" i="1"/>
  <c r="O280" i="1"/>
  <c r="O279" i="1"/>
  <c r="M280" i="1"/>
  <c r="O291" i="1"/>
  <c r="O292" i="1"/>
  <c r="N292" i="1"/>
  <c r="N291" i="1"/>
  <c r="I280" i="1"/>
  <c r="N285" i="1"/>
  <c r="N282" i="1" s="1"/>
  <c r="N283" i="1" s="1"/>
  <c r="N279" i="1"/>
  <c r="N280" i="1"/>
  <c r="H81" i="5"/>
  <c r="N81" i="5"/>
  <c r="D90" i="5" s="1"/>
  <c r="L280" i="1" s="1"/>
  <c r="D89" i="5"/>
  <c r="L279" i="1" s="1"/>
  <c r="J280" i="1"/>
  <c r="J279" i="1"/>
  <c r="H280" i="1"/>
  <c r="I292" i="1"/>
  <c r="I291" i="1"/>
  <c r="H279" i="1"/>
  <c r="G280" i="1"/>
  <c r="G279" i="1"/>
  <c r="F279" i="1" l="1"/>
  <c r="T286" i="1"/>
  <c r="O286" i="1"/>
  <c r="V286" i="1"/>
  <c r="W286" i="1"/>
  <c r="X286" i="1"/>
  <c r="S286" i="1"/>
  <c r="U286" i="1"/>
  <c r="I279" i="1"/>
  <c r="M279" i="1"/>
  <c r="E279" i="1"/>
  <c r="E280" i="1"/>
  <c r="E232" i="1" l="1"/>
  <c r="E377" i="1" l="1"/>
  <c r="E374" i="1" s="1"/>
  <c r="AP73" i="10"/>
  <c r="AO73" i="10"/>
  <c r="AP72" i="10"/>
  <c r="AO72" i="10"/>
  <c r="AP71" i="10"/>
  <c r="AO71" i="10"/>
  <c r="J70" i="10"/>
  <c r="K70" i="10"/>
  <c r="L70" i="10"/>
  <c r="N70" i="10"/>
  <c r="O70" i="10"/>
  <c r="P70" i="10"/>
  <c r="R70" i="10"/>
  <c r="S70" i="10"/>
  <c r="T70" i="10"/>
  <c r="U70" i="10"/>
  <c r="V70" i="10"/>
  <c r="W70" i="10"/>
  <c r="X70" i="10"/>
  <c r="Y70" i="10"/>
  <c r="Z70" i="10"/>
  <c r="AA70" i="10"/>
  <c r="AB70" i="10"/>
  <c r="AC70" i="10"/>
  <c r="AD70" i="10"/>
  <c r="AE70" i="10"/>
  <c r="AF70" i="10"/>
  <c r="AG70" i="10"/>
  <c r="AH70" i="10"/>
  <c r="AI70" i="10"/>
  <c r="AJ70" i="10"/>
  <c r="AM70" i="10"/>
  <c r="AN70" i="10"/>
  <c r="AO70" i="10"/>
  <c r="AP70" i="10"/>
  <c r="G70" i="10"/>
  <c r="H70" i="10"/>
  <c r="F70" i="10"/>
  <c r="D59" i="10" l="1"/>
  <c r="D51" i="10"/>
  <c r="D53" i="10"/>
  <c r="D52" i="10"/>
  <c r="D50" i="10"/>
  <c r="E49" i="10"/>
  <c r="Z48" i="1" l="1"/>
  <c r="C276" i="1" l="1"/>
  <c r="C275" i="1"/>
  <c r="C274" i="1"/>
  <c r="F18" i="7"/>
  <c r="F17" i="7"/>
  <c r="F16" i="7"/>
  <c r="F8" i="7"/>
  <c r="E18" i="7"/>
  <c r="D18" i="7"/>
  <c r="E17" i="7"/>
  <c r="D17" i="7"/>
  <c r="D11" i="7" s="1"/>
  <c r="D24" i="7" s="1"/>
  <c r="D25" i="7" s="1"/>
  <c r="D26" i="7" s="1"/>
  <c r="E16" i="7"/>
  <c r="D16" i="7"/>
  <c r="E8" i="7"/>
  <c r="D8" i="7"/>
  <c r="G404" i="1" l="1"/>
  <c r="K404" i="1"/>
  <c r="O404" i="1"/>
  <c r="S404" i="1"/>
  <c r="W404" i="1"/>
  <c r="Q404" i="1"/>
  <c r="H404" i="1"/>
  <c r="L404" i="1"/>
  <c r="P404" i="1"/>
  <c r="T404" i="1"/>
  <c r="X404" i="1"/>
  <c r="X427" i="1" s="1"/>
  <c r="E404" i="1"/>
  <c r="M404" i="1"/>
  <c r="F404" i="1"/>
  <c r="J404" i="1"/>
  <c r="N404" i="1"/>
  <c r="R404" i="1"/>
  <c r="V404" i="1"/>
  <c r="I404" i="1"/>
  <c r="U404" i="1"/>
  <c r="H405" i="1"/>
  <c r="L405" i="1"/>
  <c r="P405" i="1"/>
  <c r="T405" i="1"/>
  <c r="X405" i="1"/>
  <c r="X428" i="1" s="1"/>
  <c r="J405" i="1"/>
  <c r="R405" i="1"/>
  <c r="I405" i="1"/>
  <c r="M405" i="1"/>
  <c r="Q405" i="1"/>
  <c r="U405" i="1"/>
  <c r="F405" i="1"/>
  <c r="G405" i="1"/>
  <c r="K405" i="1"/>
  <c r="O405" i="1"/>
  <c r="S405" i="1"/>
  <c r="W405" i="1"/>
  <c r="E405" i="1"/>
  <c r="N405" i="1"/>
  <c r="V405" i="1"/>
  <c r="F11" i="7"/>
  <c r="F24" i="7" s="1"/>
  <c r="F25" i="7" s="1"/>
  <c r="F26" i="7" s="1"/>
  <c r="E11" i="7"/>
  <c r="E24" i="7" s="1"/>
  <c r="E25" i="7" s="1"/>
  <c r="E26" i="7" s="1"/>
  <c r="X262" i="1" l="1"/>
  <c r="X258" i="1"/>
  <c r="X250" i="1"/>
  <c r="B261" i="1"/>
  <c r="B397" i="1" s="1"/>
  <c r="B257" i="1"/>
  <c r="B396" i="1" s="1"/>
  <c r="B253" i="1"/>
  <c r="B395" i="1" s="1"/>
  <c r="B249" i="1"/>
  <c r="B394" i="1" s="1"/>
  <c r="F243" i="1"/>
  <c r="F388" i="1" s="1"/>
  <c r="G243" i="1"/>
  <c r="G388" i="1" s="1"/>
  <c r="H243" i="1"/>
  <c r="H388" i="1" s="1"/>
  <c r="I243" i="1"/>
  <c r="I388" i="1" s="1"/>
  <c r="J243" i="1"/>
  <c r="J388" i="1" s="1"/>
  <c r="K243" i="1"/>
  <c r="K388" i="1" s="1"/>
  <c r="L243" i="1"/>
  <c r="L388" i="1" s="1"/>
  <c r="M243" i="1"/>
  <c r="M388" i="1" s="1"/>
  <c r="N243" i="1"/>
  <c r="N388" i="1" s="1"/>
  <c r="O243" i="1"/>
  <c r="O388" i="1" s="1"/>
  <c r="P243" i="1"/>
  <c r="P388" i="1" s="1"/>
  <c r="Q243" i="1"/>
  <c r="Q388" i="1" s="1"/>
  <c r="R243" i="1"/>
  <c r="R388" i="1" s="1"/>
  <c r="I244" i="1"/>
  <c r="I389" i="1" s="1"/>
  <c r="J244" i="1"/>
  <c r="J389" i="1" s="1"/>
  <c r="K244" i="1"/>
  <c r="K389" i="1" s="1"/>
  <c r="L244" i="1"/>
  <c r="L389" i="1" s="1"/>
  <c r="M244" i="1"/>
  <c r="M389" i="1" s="1"/>
  <c r="N244" i="1"/>
  <c r="N389" i="1" s="1"/>
  <c r="O244" i="1"/>
  <c r="O389" i="1" s="1"/>
  <c r="P244" i="1"/>
  <c r="P389" i="1" s="1"/>
  <c r="Q244" i="1"/>
  <c r="Q389" i="1" s="1"/>
  <c r="R244" i="1"/>
  <c r="R389" i="1" s="1"/>
  <c r="R246" i="1"/>
  <c r="R391" i="1" s="1"/>
  <c r="F247" i="1"/>
  <c r="F392" i="1" s="1"/>
  <c r="G247" i="1"/>
  <c r="G392" i="1" s="1"/>
  <c r="H247" i="1"/>
  <c r="H392" i="1" s="1"/>
  <c r="I247" i="1"/>
  <c r="I392" i="1" s="1"/>
  <c r="J247" i="1"/>
  <c r="J392" i="1" s="1"/>
  <c r="K247" i="1"/>
  <c r="K392" i="1" s="1"/>
  <c r="L247" i="1"/>
  <c r="L392" i="1" s="1"/>
  <c r="M247" i="1"/>
  <c r="M392" i="1" s="1"/>
  <c r="N247" i="1"/>
  <c r="N392" i="1" s="1"/>
  <c r="O247" i="1"/>
  <c r="O392" i="1" s="1"/>
  <c r="P247" i="1"/>
  <c r="P392" i="1" s="1"/>
  <c r="Q247" i="1"/>
  <c r="Q392" i="1" s="1"/>
  <c r="R247" i="1"/>
  <c r="R392" i="1" s="1"/>
  <c r="E247" i="1"/>
  <c r="E392" i="1" s="1"/>
  <c r="E243" i="1"/>
  <c r="E388" i="1" s="1"/>
  <c r="F237" i="1"/>
  <c r="F382" i="1" s="1"/>
  <c r="G237" i="1"/>
  <c r="G382" i="1" s="1"/>
  <c r="H237" i="1"/>
  <c r="H382" i="1" s="1"/>
  <c r="I237" i="1"/>
  <c r="I382" i="1" s="1"/>
  <c r="J237" i="1"/>
  <c r="J382" i="1" s="1"/>
  <c r="K237" i="1"/>
  <c r="K382" i="1" s="1"/>
  <c r="L237" i="1"/>
  <c r="L382" i="1" s="1"/>
  <c r="M237" i="1"/>
  <c r="M382" i="1" s="1"/>
  <c r="N237" i="1"/>
  <c r="N382" i="1" s="1"/>
  <c r="O237" i="1"/>
  <c r="O382" i="1" s="1"/>
  <c r="P237" i="1"/>
  <c r="P382" i="1" s="1"/>
  <c r="Q237" i="1"/>
  <c r="Q382" i="1" s="1"/>
  <c r="R237" i="1"/>
  <c r="R382" i="1" s="1"/>
  <c r="I238" i="1"/>
  <c r="I383" i="1" s="1"/>
  <c r="J238" i="1"/>
  <c r="J383" i="1" s="1"/>
  <c r="K238" i="1"/>
  <c r="K383" i="1" s="1"/>
  <c r="L238" i="1"/>
  <c r="L383" i="1" s="1"/>
  <c r="M238" i="1"/>
  <c r="M383" i="1" s="1"/>
  <c r="N238" i="1"/>
  <c r="N383" i="1" s="1"/>
  <c r="O238" i="1"/>
  <c r="O383" i="1" s="1"/>
  <c r="P238" i="1"/>
  <c r="P383" i="1" s="1"/>
  <c r="Q238" i="1"/>
  <c r="Q383" i="1" s="1"/>
  <c r="R238" i="1"/>
  <c r="R383" i="1" s="1"/>
  <c r="R240" i="1"/>
  <c r="R385" i="1" s="1"/>
  <c r="F241" i="1"/>
  <c r="F386" i="1" s="1"/>
  <c r="G241" i="1"/>
  <c r="G386" i="1" s="1"/>
  <c r="H241" i="1"/>
  <c r="H386" i="1" s="1"/>
  <c r="I241" i="1"/>
  <c r="I386" i="1" s="1"/>
  <c r="J241" i="1"/>
  <c r="J386" i="1" s="1"/>
  <c r="K241" i="1"/>
  <c r="K386" i="1" s="1"/>
  <c r="L241" i="1"/>
  <c r="L386" i="1" s="1"/>
  <c r="M241" i="1"/>
  <c r="M386" i="1" s="1"/>
  <c r="N241" i="1"/>
  <c r="N386" i="1" s="1"/>
  <c r="O241" i="1"/>
  <c r="O386" i="1" s="1"/>
  <c r="P241" i="1"/>
  <c r="P386" i="1" s="1"/>
  <c r="Q241" i="1"/>
  <c r="Q386" i="1" s="1"/>
  <c r="R241" i="1"/>
  <c r="R386" i="1" s="1"/>
  <c r="E241" i="1"/>
  <c r="E386" i="1" s="1"/>
  <c r="E237" i="1"/>
  <c r="E382" i="1" s="1"/>
  <c r="AP6" i="10"/>
  <c r="AO6" i="10"/>
  <c r="AP3" i="10"/>
  <c r="AO3" i="10"/>
  <c r="AP78" i="10"/>
  <c r="AO78" i="10"/>
  <c r="AP74" i="10"/>
  <c r="AO74" i="10"/>
  <c r="AP66" i="10"/>
  <c r="AO66" i="10"/>
  <c r="AP62" i="10"/>
  <c r="AO62" i="10"/>
  <c r="AP49" i="10"/>
  <c r="AO49" i="10"/>
  <c r="AP48" i="10"/>
  <c r="AO48" i="10"/>
  <c r="AP28" i="10"/>
  <c r="AP31" i="10" s="1"/>
  <c r="AO28" i="10"/>
  <c r="AO31" i="10" s="1"/>
  <c r="AP15" i="10"/>
  <c r="AO15" i="10"/>
  <c r="AP14" i="10"/>
  <c r="AO14" i="10"/>
  <c r="AP13" i="10"/>
  <c r="AO13" i="10"/>
  <c r="G23" i="6"/>
  <c r="G9" i="6"/>
  <c r="G13" i="6" s="1"/>
  <c r="F23" i="6"/>
  <c r="F9" i="6"/>
  <c r="F13" i="6" s="1"/>
  <c r="E23" i="6"/>
  <c r="E9" i="6"/>
  <c r="E13" i="6" s="1"/>
  <c r="D23" i="6"/>
  <c r="D9" i="6"/>
  <c r="D13" i="6" s="1"/>
  <c r="F16" i="6" l="1"/>
  <c r="F18" i="6" s="1"/>
  <c r="F24" i="6" s="1"/>
  <c r="C260" i="1" s="1"/>
  <c r="X257" i="1" s="1"/>
  <c r="C396" i="1"/>
  <c r="X396" i="1" s="1"/>
  <c r="G16" i="6"/>
  <c r="G18" i="6" s="1"/>
  <c r="G24" i="6" s="1"/>
  <c r="C264" i="1" s="1"/>
  <c r="X261" i="1" s="1"/>
  <c r="C397" i="1"/>
  <c r="X397" i="1" s="1"/>
  <c r="D16" i="6"/>
  <c r="D18" i="6" s="1"/>
  <c r="D24" i="6" s="1"/>
  <c r="C252" i="1" s="1"/>
  <c r="X249" i="1" s="1"/>
  <c r="C394" i="1"/>
  <c r="X394" i="1" s="1"/>
  <c r="E16" i="6"/>
  <c r="E18" i="6" s="1"/>
  <c r="E24" i="6" s="1"/>
  <c r="C256" i="1" s="1"/>
  <c r="C395" i="1"/>
  <c r="X417" i="1"/>
  <c r="X419" i="1"/>
  <c r="X420" i="1"/>
  <c r="AP27" i="10"/>
  <c r="AP30" i="10" s="1"/>
  <c r="AO27" i="10"/>
  <c r="AO30" i="10" s="1"/>
  <c r="AO29" i="10"/>
  <c r="AO32" i="10" s="1"/>
  <c r="AP29" i="10"/>
  <c r="AP32" i="10" s="1"/>
  <c r="AN26" i="10"/>
  <c r="AN25" i="10"/>
  <c r="AN29" i="10" s="1"/>
  <c r="AM26" i="10"/>
  <c r="AM25" i="10"/>
  <c r="AM29" i="10" s="1"/>
  <c r="AL26" i="10"/>
  <c r="AL25" i="10"/>
  <c r="AL28" i="10" s="1"/>
  <c r="AK26" i="10"/>
  <c r="AK25" i="10"/>
  <c r="AK28" i="10" s="1"/>
  <c r="AN5" i="10"/>
  <c r="AN4" i="10"/>
  <c r="AM5" i="10"/>
  <c r="AM4" i="10"/>
  <c r="AL5" i="10"/>
  <c r="AL4" i="10"/>
  <c r="AK5" i="10"/>
  <c r="AK4" i="10"/>
  <c r="AK6" i="10"/>
  <c r="AL6" i="10" s="1"/>
  <c r="AK3" i="10"/>
  <c r="AL3" i="10" s="1"/>
  <c r="AN78" i="10"/>
  <c r="AM78" i="10"/>
  <c r="AN74" i="10"/>
  <c r="AM74" i="10"/>
  <c r="AN66" i="10"/>
  <c r="AM66" i="10"/>
  <c r="AN63" i="10"/>
  <c r="AN62" i="10" s="1"/>
  <c r="AM63" i="10"/>
  <c r="AM62" i="10" s="1"/>
  <c r="AL63" i="10"/>
  <c r="AL62" i="10" s="1"/>
  <c r="AK62" i="10"/>
  <c r="AN49" i="10"/>
  <c r="AM49" i="10"/>
  <c r="AL49" i="10"/>
  <c r="AK49" i="10"/>
  <c r="AK48" i="10"/>
  <c r="AN45" i="10"/>
  <c r="AN48" i="10" s="1"/>
  <c r="AM45" i="10"/>
  <c r="AM48" i="10" s="1"/>
  <c r="AL45" i="10"/>
  <c r="AL48" i="10" s="1"/>
  <c r="AN21" i="10"/>
  <c r="AM21" i="10"/>
  <c r="AO21" i="10" s="1"/>
  <c r="AL21" i="10"/>
  <c r="AN20" i="10"/>
  <c r="AM20" i="10"/>
  <c r="AO20" i="10" s="1"/>
  <c r="AL20" i="10"/>
  <c r="AN19" i="10"/>
  <c r="AM19" i="10"/>
  <c r="AO19" i="10" s="1"/>
  <c r="AL19" i="10"/>
  <c r="AN15" i="10"/>
  <c r="AM15" i="10"/>
  <c r="AL15" i="10"/>
  <c r="AK15" i="10"/>
  <c r="AN14" i="10"/>
  <c r="AM14" i="10"/>
  <c r="AL14" i="10"/>
  <c r="AK14" i="10"/>
  <c r="AN13" i="10"/>
  <c r="AM13" i="10"/>
  <c r="AL13" i="10"/>
  <c r="AK13" i="10"/>
  <c r="AM6" i="10"/>
  <c r="AM3" i="10"/>
  <c r="F232" i="1"/>
  <c r="G232" i="1"/>
  <c r="H232" i="1"/>
  <c r="I232" i="1"/>
  <c r="J232" i="1"/>
  <c r="K232" i="1"/>
  <c r="L232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R368" i="1" s="1"/>
  <c r="E371" i="1"/>
  <c r="Q372" i="1"/>
  <c r="F372" i="1"/>
  <c r="G372" i="1"/>
  <c r="H372" i="1"/>
  <c r="I372" i="1"/>
  <c r="J372" i="1"/>
  <c r="K372" i="1"/>
  <c r="L372" i="1"/>
  <c r="M372" i="1"/>
  <c r="N372" i="1"/>
  <c r="O372" i="1"/>
  <c r="P372" i="1"/>
  <c r="E372" i="1"/>
  <c r="O368" i="1" l="1"/>
  <c r="M368" i="1"/>
  <c r="I368" i="1"/>
  <c r="N368" i="1"/>
  <c r="J368" i="1"/>
  <c r="G377" i="1"/>
  <c r="G374" i="1" s="1"/>
  <c r="P368" i="1"/>
  <c r="L368" i="1"/>
  <c r="K368" i="1"/>
  <c r="J377" i="1"/>
  <c r="J374" i="1" s="1"/>
  <c r="F377" i="1"/>
  <c r="F374" i="1" s="1"/>
  <c r="K377" i="1"/>
  <c r="K374" i="1" s="1"/>
  <c r="I377" i="1"/>
  <c r="I374" i="1" s="1"/>
  <c r="Q368" i="1"/>
  <c r="Z75" i="5"/>
  <c r="Z77" i="5" s="1"/>
  <c r="Z79" i="5" s="1"/>
  <c r="D92" i="5" s="1"/>
  <c r="L377" i="1"/>
  <c r="L374" i="1" s="1"/>
  <c r="H377" i="1"/>
  <c r="H374" i="1" s="1"/>
  <c r="AL17" i="10"/>
  <c r="AM72" i="10"/>
  <c r="AK31" i="10"/>
  <c r="AK18" i="10"/>
  <c r="AN32" i="10"/>
  <c r="H246" i="1"/>
  <c r="H391" i="1" s="1"/>
  <c r="H240" i="1"/>
  <c r="H385" i="1" s="1"/>
  <c r="O246" i="1"/>
  <c r="O391" i="1" s="1"/>
  <c r="O240" i="1"/>
  <c r="O385" i="1" s="1"/>
  <c r="K246" i="1"/>
  <c r="K391" i="1" s="1"/>
  <c r="K240" i="1"/>
  <c r="K385" i="1" s="1"/>
  <c r="G246" i="1"/>
  <c r="G391" i="1" s="1"/>
  <c r="G240" i="1"/>
  <c r="G385" i="1" s="1"/>
  <c r="P246" i="1"/>
  <c r="P391" i="1" s="1"/>
  <c r="P240" i="1"/>
  <c r="P385" i="1" s="1"/>
  <c r="N240" i="1"/>
  <c r="N385" i="1" s="1"/>
  <c r="N246" i="1"/>
  <c r="N391" i="1" s="1"/>
  <c r="J246" i="1"/>
  <c r="J391" i="1" s="1"/>
  <c r="J240" i="1"/>
  <c r="J385" i="1" s="1"/>
  <c r="F246" i="1"/>
  <c r="F391" i="1" s="1"/>
  <c r="F240" i="1"/>
  <c r="F385" i="1" s="1"/>
  <c r="L246" i="1"/>
  <c r="L391" i="1" s="1"/>
  <c r="L240" i="1"/>
  <c r="L385" i="1" s="1"/>
  <c r="E246" i="1"/>
  <c r="E391" i="1" s="1"/>
  <c r="E240" i="1"/>
  <c r="E385" i="1" s="1"/>
  <c r="M246" i="1"/>
  <c r="M391" i="1" s="1"/>
  <c r="M240" i="1"/>
  <c r="M385" i="1" s="1"/>
  <c r="I246" i="1"/>
  <c r="I391" i="1" s="1"/>
  <c r="I240" i="1"/>
  <c r="I385" i="1" s="1"/>
  <c r="Q246" i="1"/>
  <c r="Q391" i="1" s="1"/>
  <c r="Q240" i="1"/>
  <c r="Q385" i="1" s="1"/>
  <c r="R245" i="1"/>
  <c r="R390" i="1" s="1"/>
  <c r="R387" i="1" s="1"/>
  <c r="R239" i="1"/>
  <c r="R384" i="1" s="1"/>
  <c r="R381" i="1" s="1"/>
  <c r="F245" i="1"/>
  <c r="F390" i="1" s="1"/>
  <c r="F239" i="1"/>
  <c r="F384" i="1" s="1"/>
  <c r="E245" i="1"/>
  <c r="E390" i="1" s="1"/>
  <c r="E239" i="1"/>
  <c r="E384" i="1" s="1"/>
  <c r="O245" i="1"/>
  <c r="O390" i="1" s="1"/>
  <c r="O239" i="1"/>
  <c r="O384" i="1" s="1"/>
  <c r="K245" i="1"/>
  <c r="K390" i="1" s="1"/>
  <c r="K239" i="1"/>
  <c r="K384" i="1" s="1"/>
  <c r="G245" i="1"/>
  <c r="G390" i="1" s="1"/>
  <c r="G239" i="1"/>
  <c r="G384" i="1" s="1"/>
  <c r="N245" i="1"/>
  <c r="N390" i="1" s="1"/>
  <c r="N239" i="1"/>
  <c r="N384" i="1" s="1"/>
  <c r="Q239" i="1"/>
  <c r="Q384" i="1" s="1"/>
  <c r="Q245" i="1"/>
  <c r="Q390" i="1" s="1"/>
  <c r="M239" i="1"/>
  <c r="M384" i="1" s="1"/>
  <c r="M245" i="1"/>
  <c r="M390" i="1" s="1"/>
  <c r="I239" i="1"/>
  <c r="I384" i="1" s="1"/>
  <c r="I245" i="1"/>
  <c r="I390" i="1" s="1"/>
  <c r="J245" i="1"/>
  <c r="J390" i="1" s="1"/>
  <c r="J239" i="1"/>
  <c r="J384" i="1" s="1"/>
  <c r="P239" i="1"/>
  <c r="P384" i="1" s="1"/>
  <c r="P245" i="1"/>
  <c r="P390" i="1" s="1"/>
  <c r="L239" i="1"/>
  <c r="L384" i="1" s="1"/>
  <c r="L245" i="1"/>
  <c r="L390" i="1" s="1"/>
  <c r="H239" i="1"/>
  <c r="H384" i="1" s="1"/>
  <c r="H245" i="1"/>
  <c r="H390" i="1" s="1"/>
  <c r="AN3" i="10"/>
  <c r="AM32" i="10"/>
  <c r="AM17" i="10"/>
  <c r="AL31" i="10"/>
  <c r="AL35" i="10" s="1"/>
  <c r="AL38" i="10" s="1"/>
  <c r="AL41" i="10" s="1"/>
  <c r="AL72" i="10" s="1"/>
  <c r="AL16" i="10"/>
  <c r="AL18" i="10"/>
  <c r="AK27" i="10"/>
  <c r="AK30" i="10" s="1"/>
  <c r="AK29" i="10"/>
  <c r="AK32" i="10" s="1"/>
  <c r="AK36" i="10" s="1"/>
  <c r="AK39" i="10" s="1"/>
  <c r="AK42" i="10" s="1"/>
  <c r="AK73" i="10" s="1"/>
  <c r="AM16" i="10"/>
  <c r="AM18" i="10"/>
  <c r="AL27" i="10"/>
  <c r="AL30" i="10" s="1"/>
  <c r="AL29" i="10"/>
  <c r="AL32" i="10" s="1"/>
  <c r="AN6" i="10"/>
  <c r="AM27" i="10"/>
  <c r="AM30" i="10" s="1"/>
  <c r="AM28" i="10"/>
  <c r="AM31" i="10" s="1"/>
  <c r="AM35" i="10" s="1"/>
  <c r="AM38" i="10" s="1"/>
  <c r="AM41" i="10" s="1"/>
  <c r="AK16" i="10"/>
  <c r="AK17" i="10"/>
  <c r="AK35" i="10" s="1"/>
  <c r="AK38" i="10" s="1"/>
  <c r="AK41" i="10" s="1"/>
  <c r="AK72" i="10" s="1"/>
  <c r="AN27" i="10"/>
  <c r="AN30" i="10" s="1"/>
  <c r="AN28" i="10"/>
  <c r="AN31" i="10" s="1"/>
  <c r="Z85" i="5" l="1"/>
  <c r="Z84" i="5" s="1"/>
  <c r="D102" i="5" s="1"/>
  <c r="L410" i="1" s="1"/>
  <c r="L409" i="1" s="1"/>
  <c r="Z81" i="5"/>
  <c r="D93" i="5" s="1"/>
  <c r="L286" i="1" s="1"/>
  <c r="L285" i="1"/>
  <c r="L282" i="1" s="1"/>
  <c r="L283" i="1" s="1"/>
  <c r="K286" i="1"/>
  <c r="K285" i="1"/>
  <c r="K282" i="1" s="1"/>
  <c r="K283" i="1" s="1"/>
  <c r="J286" i="1"/>
  <c r="J285" i="1"/>
  <c r="J282" i="1" s="1"/>
  <c r="J283" i="1" s="1"/>
  <c r="I286" i="1"/>
  <c r="I285" i="1"/>
  <c r="I282" i="1" s="1"/>
  <c r="I283" i="1" s="1"/>
  <c r="H286" i="1"/>
  <c r="H285" i="1"/>
  <c r="H282" i="1" s="1"/>
  <c r="H283" i="1" s="1"/>
  <c r="G286" i="1"/>
  <c r="G285" i="1"/>
  <c r="G282" i="1" s="1"/>
  <c r="G283" i="1" s="1"/>
  <c r="F286" i="1"/>
  <c r="F285" i="1"/>
  <c r="F282" i="1" s="1"/>
  <c r="F283" i="1" s="1"/>
  <c r="N387" i="1"/>
  <c r="I381" i="1"/>
  <c r="J387" i="1"/>
  <c r="Q381" i="1"/>
  <c r="J381" i="1"/>
  <c r="K381" i="1"/>
  <c r="L381" i="1"/>
  <c r="K387" i="1"/>
  <c r="L387" i="1"/>
  <c r="M387" i="1"/>
  <c r="N381" i="1"/>
  <c r="P387" i="1"/>
  <c r="I387" i="1"/>
  <c r="Q387" i="1"/>
  <c r="O381" i="1"/>
  <c r="M381" i="1"/>
  <c r="P381" i="1"/>
  <c r="O387" i="1"/>
  <c r="AL36" i="10"/>
  <c r="AL39" i="10" s="1"/>
  <c r="AL42" i="10" s="1"/>
  <c r="AP17" i="10"/>
  <c r="AP18" i="10"/>
  <c r="AP16" i="10"/>
  <c r="AM36" i="10"/>
  <c r="AM39" i="10" s="1"/>
  <c r="AM42" i="10" s="1"/>
  <c r="AO17" i="10"/>
  <c r="AO18" i="10"/>
  <c r="AO16" i="10"/>
  <c r="AK76" i="10"/>
  <c r="AK80" i="10" s="1"/>
  <c r="C233" i="1" s="1"/>
  <c r="AK68" i="10"/>
  <c r="AK77" i="10"/>
  <c r="AK81" i="10" s="1"/>
  <c r="C234" i="1" s="1"/>
  <c r="AK69" i="10"/>
  <c r="AM76" i="10"/>
  <c r="AM80" i="10" s="1"/>
  <c r="AM68" i="10"/>
  <c r="AN18" i="10"/>
  <c r="AN36" i="10" s="1"/>
  <c r="AN39" i="10" s="1"/>
  <c r="AN42" i="10" s="1"/>
  <c r="AN73" i="10" s="1"/>
  <c r="AN17" i="10"/>
  <c r="AN35" i="10" s="1"/>
  <c r="AN38" i="10" s="1"/>
  <c r="AN41" i="10" s="1"/>
  <c r="AN72" i="10" s="1"/>
  <c r="AN16" i="10"/>
  <c r="AN34" i="10" s="1"/>
  <c r="AN37" i="10" s="1"/>
  <c r="AN40" i="10" s="1"/>
  <c r="AN71" i="10" s="1"/>
  <c r="AL34" i="10"/>
  <c r="AL37" i="10" s="1"/>
  <c r="AL40" i="10" s="1"/>
  <c r="AK34" i="10"/>
  <c r="AK37" i="10" s="1"/>
  <c r="AK40" i="10" s="1"/>
  <c r="AL76" i="10"/>
  <c r="AL80" i="10" s="1"/>
  <c r="AL68" i="10"/>
  <c r="AM34" i="10"/>
  <c r="AM37" i="10" s="1"/>
  <c r="AM40" i="10" s="1"/>
  <c r="AM71" i="10" s="1"/>
  <c r="D107" i="5" l="1"/>
  <c r="L296" i="1" s="1"/>
  <c r="L295" i="1" s="1"/>
  <c r="I410" i="1"/>
  <c r="I409" i="1" s="1"/>
  <c r="I296" i="1"/>
  <c r="I295" i="1" s="1"/>
  <c r="H410" i="1"/>
  <c r="H409" i="1" s="1"/>
  <c r="H296" i="1"/>
  <c r="H295" i="1" s="1"/>
  <c r="K410" i="1"/>
  <c r="K409" i="1" s="1"/>
  <c r="K296" i="1"/>
  <c r="K295" i="1" s="1"/>
  <c r="G410" i="1"/>
  <c r="G409" i="1" s="1"/>
  <c r="G296" i="1"/>
  <c r="G295" i="1" s="1"/>
  <c r="F410" i="1"/>
  <c r="F409" i="1" s="1"/>
  <c r="F296" i="1"/>
  <c r="F295" i="1" s="1"/>
  <c r="J410" i="1"/>
  <c r="J409" i="1" s="1"/>
  <c r="J296" i="1"/>
  <c r="J295" i="1" s="1"/>
  <c r="AL70" i="10"/>
  <c r="AL71" i="10"/>
  <c r="AK71" i="10"/>
  <c r="AK70" i="10"/>
  <c r="AM69" i="10"/>
  <c r="AM73" i="10"/>
  <c r="AM77" i="10" s="1"/>
  <c r="AM81" i="10" s="1"/>
  <c r="AL73" i="10"/>
  <c r="AL69" i="10" s="1"/>
  <c r="AO34" i="10"/>
  <c r="AO37" i="10" s="1"/>
  <c r="AO40" i="10" s="1"/>
  <c r="AO67" i="10"/>
  <c r="AO36" i="10"/>
  <c r="AO39" i="10" s="1"/>
  <c r="AO42" i="10" s="1"/>
  <c r="AO69" i="10"/>
  <c r="AP36" i="10"/>
  <c r="AP39" i="10" s="1"/>
  <c r="AP42" i="10" s="1"/>
  <c r="AP69" i="10"/>
  <c r="AO35" i="10"/>
  <c r="AO38" i="10" s="1"/>
  <c r="AO41" i="10" s="1"/>
  <c r="AO76" i="10"/>
  <c r="AO80" i="10" s="1"/>
  <c r="C240" i="1" s="1"/>
  <c r="C241" i="1" s="1"/>
  <c r="AP35" i="10"/>
  <c r="AP38" i="10" s="1"/>
  <c r="AP41" i="10" s="1"/>
  <c r="AP34" i="10"/>
  <c r="AP37" i="10" s="1"/>
  <c r="AP40" i="10" s="1"/>
  <c r="AP75" i="10"/>
  <c r="AP79" i="10" s="1"/>
  <c r="C244" i="1" s="1"/>
  <c r="AO77" i="10"/>
  <c r="AO81" i="10" s="1"/>
  <c r="C239" i="1" s="1"/>
  <c r="AP67" i="10"/>
  <c r="AP76" i="10"/>
  <c r="AP80" i="10" s="1"/>
  <c r="C246" i="1" s="1"/>
  <c r="C247" i="1" s="1"/>
  <c r="AP68" i="10"/>
  <c r="AL75" i="10"/>
  <c r="AL66" i="10"/>
  <c r="AN75" i="10"/>
  <c r="AN79" i="10" s="1"/>
  <c r="AN67" i="10"/>
  <c r="AN77" i="10"/>
  <c r="AN81" i="10" s="1"/>
  <c r="AN69" i="10"/>
  <c r="AN76" i="10"/>
  <c r="AN80" i="10" s="1"/>
  <c r="AN68" i="10"/>
  <c r="AM67" i="10"/>
  <c r="AM75" i="10"/>
  <c r="AM79" i="10" s="1"/>
  <c r="AK66" i="10"/>
  <c r="AL77" i="10" l="1"/>
  <c r="AL81" i="10" s="1"/>
  <c r="AO68" i="10"/>
  <c r="AP77" i="10"/>
  <c r="AP81" i="10" s="1"/>
  <c r="C245" i="1" s="1"/>
  <c r="M242" i="1" s="1"/>
  <c r="AO75" i="10"/>
  <c r="AO79" i="10" s="1"/>
  <c r="C238" i="1" s="1"/>
  <c r="L236" i="1" s="1"/>
  <c r="AL67" i="10"/>
  <c r="AL79" i="10"/>
  <c r="AL78" i="10" s="1"/>
  <c r="AL74" i="10"/>
  <c r="AK75" i="10"/>
  <c r="AK67" i="10"/>
  <c r="U236" i="1" l="1"/>
  <c r="O236" i="1"/>
  <c r="I236" i="1"/>
  <c r="J236" i="1"/>
  <c r="M236" i="1"/>
  <c r="K236" i="1"/>
  <c r="V236" i="1"/>
  <c r="X236" i="1"/>
  <c r="S236" i="1"/>
  <c r="R236" i="1"/>
  <c r="T236" i="1"/>
  <c r="W236" i="1"/>
  <c r="Q236" i="1"/>
  <c r="N236" i="1"/>
  <c r="P236" i="1"/>
  <c r="T242" i="1"/>
  <c r="N242" i="1"/>
  <c r="J242" i="1"/>
  <c r="P242" i="1"/>
  <c r="S242" i="1"/>
  <c r="Q242" i="1"/>
  <c r="X242" i="1"/>
  <c r="V242" i="1"/>
  <c r="O242" i="1"/>
  <c r="R242" i="1"/>
  <c r="L242" i="1"/>
  <c r="W242" i="1"/>
  <c r="U242" i="1"/>
  <c r="I242" i="1"/>
  <c r="K242" i="1"/>
  <c r="AK79" i="10"/>
  <c r="AK74" i="10"/>
  <c r="AK78" i="10" l="1"/>
  <c r="C230" i="1" s="1"/>
  <c r="C231" i="1"/>
  <c r="E229" i="1" l="1"/>
  <c r="G229" i="1"/>
  <c r="K229" i="1"/>
  <c r="O229" i="1"/>
  <c r="S229" i="1"/>
  <c r="W229" i="1"/>
  <c r="I229" i="1"/>
  <c r="M229" i="1"/>
  <c r="Q229" i="1"/>
  <c r="U229" i="1"/>
  <c r="L229" i="1"/>
  <c r="T229" i="1"/>
  <c r="F229" i="1"/>
  <c r="N229" i="1"/>
  <c r="J229" i="1"/>
  <c r="R229" i="1"/>
  <c r="V229" i="1"/>
  <c r="X229" i="1"/>
  <c r="P229" i="1"/>
  <c r="H229" i="1"/>
  <c r="AJ6" i="10"/>
  <c r="AJ3" i="10"/>
  <c r="AJ26" i="10"/>
  <c r="AJ25" i="10"/>
  <c r="AI6" i="10"/>
  <c r="AJ5" i="10"/>
  <c r="AJ4" i="10"/>
  <c r="AI3" i="10"/>
  <c r="AJ78" i="10"/>
  <c r="AI78" i="10"/>
  <c r="AJ74" i="10"/>
  <c r="AI74" i="10"/>
  <c r="AJ66" i="10"/>
  <c r="AI66" i="10"/>
  <c r="AJ62" i="10"/>
  <c r="AI62" i="10"/>
  <c r="AJ49" i="10"/>
  <c r="AI49" i="10"/>
  <c r="AJ48" i="10"/>
  <c r="AI48" i="10"/>
  <c r="AI26" i="10"/>
  <c r="AJ28" i="10"/>
  <c r="AI25" i="10"/>
  <c r="AI28" i="10" s="1"/>
  <c r="AJ15" i="10"/>
  <c r="AI15" i="10"/>
  <c r="AJ14" i="10"/>
  <c r="AI14" i="10"/>
  <c r="AJ13" i="10"/>
  <c r="AI13" i="10"/>
  <c r="AI5" i="10"/>
  <c r="AI4" i="10"/>
  <c r="AG26" i="10"/>
  <c r="AG25" i="10"/>
  <c r="AG28" i="10" s="1"/>
  <c r="AG5" i="10"/>
  <c r="AG4" i="10"/>
  <c r="AG6" i="10"/>
  <c r="AH6" i="10" s="1"/>
  <c r="AG3" i="10"/>
  <c r="AH3" i="10" s="1"/>
  <c r="AH78" i="10"/>
  <c r="AG78" i="10"/>
  <c r="AH74" i="10"/>
  <c r="AG74" i="10"/>
  <c r="AH66" i="10"/>
  <c r="AG66" i="10"/>
  <c r="AH62" i="10"/>
  <c r="AG62" i="10"/>
  <c r="AH49" i="10"/>
  <c r="AG49" i="10"/>
  <c r="AH48" i="10"/>
  <c r="AG48" i="10"/>
  <c r="AH26" i="10"/>
  <c r="AH25" i="10"/>
  <c r="AH28" i="10" s="1"/>
  <c r="AH21" i="10"/>
  <c r="AH20" i="10"/>
  <c r="AH19" i="10"/>
  <c r="AH15" i="10"/>
  <c r="AG15" i="10"/>
  <c r="AH14" i="10"/>
  <c r="AG14" i="10"/>
  <c r="AH13" i="10"/>
  <c r="AG13" i="10"/>
  <c r="AH5" i="10"/>
  <c r="AH4" i="10"/>
  <c r="I26" i="10"/>
  <c r="I25" i="10"/>
  <c r="I29" i="10" s="1"/>
  <c r="I5" i="10"/>
  <c r="I4" i="10"/>
  <c r="Y6" i="10"/>
  <c r="Z6" i="10" s="1"/>
  <c r="Y3" i="10"/>
  <c r="Z3" i="10" s="1"/>
  <c r="Z78" i="10"/>
  <c r="Y78" i="10"/>
  <c r="Z74" i="10"/>
  <c r="Y74" i="10"/>
  <c r="Z66" i="10"/>
  <c r="Y66" i="10"/>
  <c r="Z63" i="10"/>
  <c r="Z62" i="10" s="1"/>
  <c r="Y62" i="10"/>
  <c r="Z49" i="10"/>
  <c r="Y49" i="10"/>
  <c r="Z48" i="10"/>
  <c r="Y48" i="10"/>
  <c r="Z26" i="10"/>
  <c r="Y26" i="10"/>
  <c r="Z25" i="10"/>
  <c r="Z29" i="10" s="1"/>
  <c r="Y25" i="10"/>
  <c r="Y29" i="10" s="1"/>
  <c r="Z21" i="10"/>
  <c r="Z20" i="10"/>
  <c r="Z19" i="10"/>
  <c r="Z15" i="10"/>
  <c r="Y15" i="10"/>
  <c r="Z14" i="10"/>
  <c r="Y14" i="10"/>
  <c r="Z13" i="10"/>
  <c r="Y13" i="10"/>
  <c r="Z5" i="10"/>
  <c r="Y5" i="10"/>
  <c r="Z4" i="10"/>
  <c r="Y4" i="10"/>
  <c r="T26" i="10"/>
  <c r="T25" i="10"/>
  <c r="T29" i="10" s="1"/>
  <c r="S26" i="10"/>
  <c r="S25" i="10"/>
  <c r="S28" i="10" s="1"/>
  <c r="R26" i="10"/>
  <c r="R25" i="10"/>
  <c r="R29" i="10" s="1"/>
  <c r="Q26" i="10"/>
  <c r="Q25" i="10"/>
  <c r="Q29" i="10" s="1"/>
  <c r="T5" i="10"/>
  <c r="T4" i="10"/>
  <c r="S5" i="10"/>
  <c r="S4" i="10"/>
  <c r="R5" i="10"/>
  <c r="Q5" i="10"/>
  <c r="R4" i="10"/>
  <c r="Q4" i="10"/>
  <c r="Q6" i="10"/>
  <c r="T6" i="10" s="1"/>
  <c r="Q3" i="10"/>
  <c r="S3" i="10" s="1"/>
  <c r="T78" i="10"/>
  <c r="S78" i="10"/>
  <c r="R78" i="10"/>
  <c r="T74" i="10"/>
  <c r="S74" i="10"/>
  <c r="R74" i="10"/>
  <c r="T66" i="10"/>
  <c r="S66" i="10"/>
  <c r="R66" i="10"/>
  <c r="T63" i="10"/>
  <c r="T62" i="10" s="1"/>
  <c r="S63" i="10"/>
  <c r="S62" i="10" s="1"/>
  <c r="R63" i="10"/>
  <c r="R62" i="10" s="1"/>
  <c r="Q62" i="10"/>
  <c r="T49" i="10"/>
  <c r="S49" i="10"/>
  <c r="R49" i="10"/>
  <c r="Q49" i="10"/>
  <c r="Q48" i="10"/>
  <c r="T45" i="10"/>
  <c r="T48" i="10" s="1"/>
  <c r="S45" i="10"/>
  <c r="S48" i="10" s="1"/>
  <c r="R45" i="10"/>
  <c r="R48" i="10" s="1"/>
  <c r="T21" i="10"/>
  <c r="S21" i="10"/>
  <c r="R21" i="10"/>
  <c r="T20" i="10"/>
  <c r="S20" i="10"/>
  <c r="R20" i="10"/>
  <c r="T19" i="10"/>
  <c r="S19" i="10"/>
  <c r="R19" i="10"/>
  <c r="T15" i="10"/>
  <c r="S15" i="10"/>
  <c r="R15" i="10"/>
  <c r="Q15" i="10"/>
  <c r="T14" i="10"/>
  <c r="S14" i="10"/>
  <c r="R14" i="10"/>
  <c r="Q14" i="10"/>
  <c r="T13" i="10"/>
  <c r="S13" i="10"/>
  <c r="R13" i="10"/>
  <c r="Q13" i="10"/>
  <c r="P26" i="10"/>
  <c r="P25" i="10"/>
  <c r="P29" i="10" s="1"/>
  <c r="N26" i="10"/>
  <c r="M26" i="10"/>
  <c r="N25" i="10"/>
  <c r="N29" i="10" s="1"/>
  <c r="M25" i="10"/>
  <c r="M29" i="10" s="1"/>
  <c r="P5" i="10"/>
  <c r="P4" i="10"/>
  <c r="N5" i="10"/>
  <c r="M5" i="10"/>
  <c r="N4" i="10"/>
  <c r="M4" i="10"/>
  <c r="M6" i="10"/>
  <c r="O6" i="10" s="1"/>
  <c r="M3" i="10"/>
  <c r="N3" i="10" s="1"/>
  <c r="P78" i="10"/>
  <c r="O78" i="10"/>
  <c r="N78" i="10"/>
  <c r="P74" i="10"/>
  <c r="O74" i="10"/>
  <c r="N74" i="10"/>
  <c r="P66" i="10"/>
  <c r="O66" i="10"/>
  <c r="N66" i="10"/>
  <c r="P63" i="10"/>
  <c r="P62" i="10" s="1"/>
  <c r="O63" i="10"/>
  <c r="O62" i="10" s="1"/>
  <c r="N63" i="10"/>
  <c r="N62" i="10" s="1"/>
  <c r="M62" i="10"/>
  <c r="P49" i="10"/>
  <c r="O49" i="10"/>
  <c r="N49" i="10"/>
  <c r="M49" i="10"/>
  <c r="M48" i="10"/>
  <c r="P45" i="10"/>
  <c r="P48" i="10" s="1"/>
  <c r="O45" i="10"/>
  <c r="O48" i="10" s="1"/>
  <c r="N45" i="10"/>
  <c r="N48" i="10" s="1"/>
  <c r="O26" i="10"/>
  <c r="O25" i="10"/>
  <c r="O29" i="10" s="1"/>
  <c r="P21" i="10"/>
  <c r="O21" i="10"/>
  <c r="N21" i="10"/>
  <c r="P20" i="10"/>
  <c r="O20" i="10"/>
  <c r="N20" i="10"/>
  <c r="P19" i="10"/>
  <c r="O19" i="10"/>
  <c r="N19" i="10"/>
  <c r="P15" i="10"/>
  <c r="O15" i="10"/>
  <c r="N15" i="10"/>
  <c r="M15" i="10"/>
  <c r="P14" i="10"/>
  <c r="O14" i="10"/>
  <c r="N14" i="10"/>
  <c r="M14" i="10"/>
  <c r="P13" i="10"/>
  <c r="O13" i="10"/>
  <c r="N13" i="10"/>
  <c r="M13" i="10"/>
  <c r="O5" i="10"/>
  <c r="O4" i="10"/>
  <c r="L26" i="10"/>
  <c r="L25" i="10"/>
  <c r="L29" i="10" s="1"/>
  <c r="K26" i="10"/>
  <c r="K25" i="10"/>
  <c r="K29" i="10" s="1"/>
  <c r="J26" i="10"/>
  <c r="J25" i="10"/>
  <c r="J29" i="10" s="1"/>
  <c r="K5" i="10"/>
  <c r="K4" i="10"/>
  <c r="J5" i="10"/>
  <c r="J4" i="10"/>
  <c r="I6" i="10"/>
  <c r="K6" i="10" s="1"/>
  <c r="L5" i="10"/>
  <c r="L4" i="10"/>
  <c r="I3" i="10"/>
  <c r="K3" i="10" s="1"/>
  <c r="L78" i="10"/>
  <c r="K78" i="10"/>
  <c r="J78" i="10"/>
  <c r="L74" i="10"/>
  <c r="K74" i="10"/>
  <c r="J74" i="10"/>
  <c r="L66" i="10"/>
  <c r="K66" i="10"/>
  <c r="J66" i="10"/>
  <c r="L63" i="10"/>
  <c r="L62" i="10" s="1"/>
  <c r="K63" i="10"/>
  <c r="K62" i="10" s="1"/>
  <c r="J63" i="10"/>
  <c r="J62" i="10" s="1"/>
  <c r="I62" i="10"/>
  <c r="L49" i="10"/>
  <c r="K49" i="10"/>
  <c r="J49" i="10"/>
  <c r="I49" i="10"/>
  <c r="I48" i="10"/>
  <c r="L45" i="10"/>
  <c r="L48" i="10" s="1"/>
  <c r="K45" i="10"/>
  <c r="K48" i="10" s="1"/>
  <c r="J45" i="10"/>
  <c r="J48" i="10" s="1"/>
  <c r="L21" i="10"/>
  <c r="K21" i="10"/>
  <c r="J21" i="10"/>
  <c r="L20" i="10"/>
  <c r="K20" i="10"/>
  <c r="J20" i="10"/>
  <c r="L19" i="10"/>
  <c r="K19" i="10"/>
  <c r="J19" i="10"/>
  <c r="L15" i="10"/>
  <c r="K15" i="10"/>
  <c r="J15" i="10"/>
  <c r="I15" i="10"/>
  <c r="L14" i="10"/>
  <c r="K14" i="10"/>
  <c r="J14" i="10"/>
  <c r="I14" i="10"/>
  <c r="L13" i="10"/>
  <c r="K13" i="10"/>
  <c r="J13" i="10"/>
  <c r="I13" i="10"/>
  <c r="H45" i="10"/>
  <c r="G45" i="10"/>
  <c r="F45" i="10"/>
  <c r="AG17" i="10" l="1"/>
  <c r="AG18" i="10"/>
  <c r="AI31" i="10"/>
  <c r="AG31" i="10"/>
  <c r="AG35" i="10" s="1"/>
  <c r="AG38" i="10" s="1"/>
  <c r="AG41" i="10" s="1"/>
  <c r="AG72" i="10" s="1"/>
  <c r="AH17" i="10"/>
  <c r="AI18" i="10"/>
  <c r="AJ17" i="10"/>
  <c r="AI17" i="10"/>
  <c r="AJ31" i="10"/>
  <c r="AJ29" i="10"/>
  <c r="AJ32" i="10" s="1"/>
  <c r="AJ16" i="10"/>
  <c r="AI27" i="10"/>
  <c r="AI30" i="10" s="1"/>
  <c r="AI29" i="10"/>
  <c r="AI32" i="10" s="1"/>
  <c r="AJ27" i="10"/>
  <c r="AJ30" i="10" s="1"/>
  <c r="AH31" i="10"/>
  <c r="AI16" i="10"/>
  <c r="AH27" i="10"/>
  <c r="AH30" i="10" s="1"/>
  <c r="AH16" i="10"/>
  <c r="AH18" i="10"/>
  <c r="AG27" i="10"/>
  <c r="AG30" i="10" s="1"/>
  <c r="AG29" i="10"/>
  <c r="AG32" i="10" s="1"/>
  <c r="AG36" i="10" s="1"/>
  <c r="AG39" i="10" s="1"/>
  <c r="AG42" i="10" s="1"/>
  <c r="AG73" i="10" s="1"/>
  <c r="AH29" i="10"/>
  <c r="AH32" i="10" s="1"/>
  <c r="S31" i="10"/>
  <c r="AG16" i="10"/>
  <c r="S6" i="10"/>
  <c r="S17" i="10" s="1"/>
  <c r="N32" i="10"/>
  <c r="Z32" i="10"/>
  <c r="O3" i="10"/>
  <c r="Y32" i="10"/>
  <c r="R32" i="10"/>
  <c r="T32" i="10"/>
  <c r="Q32" i="10"/>
  <c r="Y17" i="10"/>
  <c r="Y28" i="10"/>
  <c r="Y31" i="10" s="1"/>
  <c r="Z18" i="10"/>
  <c r="Z16" i="10"/>
  <c r="Z17" i="10"/>
  <c r="Z27" i="10"/>
  <c r="Z30" i="10" s="1"/>
  <c r="Y16" i="10"/>
  <c r="Y18" i="10"/>
  <c r="Z28" i="10"/>
  <c r="Z31" i="10" s="1"/>
  <c r="Z35" i="10" s="1"/>
  <c r="Z38" i="10" s="1"/>
  <c r="Z41" i="10" s="1"/>
  <c r="Z72" i="10" s="1"/>
  <c r="T17" i="10"/>
  <c r="Y27" i="10"/>
  <c r="Y30" i="10" s="1"/>
  <c r="Y34" i="10" s="1"/>
  <c r="Y37" i="10" s="1"/>
  <c r="Y40" i="10" s="1"/>
  <c r="Y71" i="10" s="1"/>
  <c r="P32" i="10"/>
  <c r="T3" i="10"/>
  <c r="K32" i="10"/>
  <c r="I32" i="10"/>
  <c r="O18" i="10"/>
  <c r="M32" i="10"/>
  <c r="T16" i="10"/>
  <c r="S27" i="10"/>
  <c r="S30" i="10" s="1"/>
  <c r="Q16" i="10"/>
  <c r="Q17" i="10"/>
  <c r="Q18" i="10"/>
  <c r="T27" i="10"/>
  <c r="T30" i="10" s="1"/>
  <c r="T28" i="10"/>
  <c r="T31" i="10" s="1"/>
  <c r="T18" i="10"/>
  <c r="S29" i="10"/>
  <c r="S32" i="10" s="1"/>
  <c r="R3" i="10"/>
  <c r="R6" i="10"/>
  <c r="Q27" i="10"/>
  <c r="Q30" i="10" s="1"/>
  <c r="Q28" i="10"/>
  <c r="Q31" i="10" s="1"/>
  <c r="N6" i="10"/>
  <c r="N17" i="10" s="1"/>
  <c r="O32" i="10"/>
  <c r="R27" i="10"/>
  <c r="R30" i="10" s="1"/>
  <c r="R28" i="10"/>
  <c r="R31" i="10" s="1"/>
  <c r="O16" i="10"/>
  <c r="O17" i="10"/>
  <c r="N27" i="10"/>
  <c r="N30" i="10" s="1"/>
  <c r="N28" i="10"/>
  <c r="N31" i="10" s="1"/>
  <c r="P3" i="10"/>
  <c r="P6" i="10"/>
  <c r="O27" i="10"/>
  <c r="O30" i="10" s="1"/>
  <c r="O28" i="10"/>
  <c r="O31" i="10" s="1"/>
  <c r="M16" i="10"/>
  <c r="M17" i="10"/>
  <c r="M18" i="10"/>
  <c r="P27" i="10"/>
  <c r="P30" i="10" s="1"/>
  <c r="P28" i="10"/>
  <c r="P31" i="10" s="1"/>
  <c r="J32" i="10"/>
  <c r="M27" i="10"/>
  <c r="M30" i="10" s="1"/>
  <c r="M28" i="10"/>
  <c r="M31" i="10" s="1"/>
  <c r="L32" i="10"/>
  <c r="K18" i="10"/>
  <c r="K17" i="10"/>
  <c r="K16" i="10"/>
  <c r="I17" i="10"/>
  <c r="L27" i="10"/>
  <c r="L30" i="10" s="1"/>
  <c r="L3" i="10"/>
  <c r="L6" i="10"/>
  <c r="K27" i="10"/>
  <c r="K30" i="10" s="1"/>
  <c r="K28" i="10"/>
  <c r="K31" i="10" s="1"/>
  <c r="I18" i="10"/>
  <c r="L28" i="10"/>
  <c r="L31" i="10" s="1"/>
  <c r="J3" i="10"/>
  <c r="J6" i="10"/>
  <c r="I27" i="10"/>
  <c r="I30" i="10" s="1"/>
  <c r="I28" i="10"/>
  <c r="I31" i="10" s="1"/>
  <c r="I16" i="10"/>
  <c r="J27" i="10"/>
  <c r="J30" i="10" s="1"/>
  <c r="J28" i="10"/>
  <c r="J31" i="10" s="1"/>
  <c r="AG68" i="10" l="1"/>
  <c r="AH35" i="10"/>
  <c r="AH38" i="10" s="1"/>
  <c r="AH41" i="10" s="1"/>
  <c r="AH72" i="10" s="1"/>
  <c r="Z36" i="10"/>
  <c r="Z39" i="10" s="1"/>
  <c r="Z42" i="10" s="1"/>
  <c r="Z73" i="10" s="1"/>
  <c r="AI36" i="10"/>
  <c r="AI39" i="10" s="1"/>
  <c r="AI42" i="10" s="1"/>
  <c r="AI73" i="10" s="1"/>
  <c r="AI35" i="10"/>
  <c r="AI38" i="10" s="1"/>
  <c r="AI41" i="10" s="1"/>
  <c r="AI72" i="10" s="1"/>
  <c r="T36" i="10"/>
  <c r="T39" i="10" s="1"/>
  <c r="T42" i="10" s="1"/>
  <c r="T73" i="10" s="1"/>
  <c r="AJ35" i="10"/>
  <c r="AJ38" i="10" s="1"/>
  <c r="AJ41" i="10" s="1"/>
  <c r="AJ18" i="10"/>
  <c r="AJ36" i="10" s="1"/>
  <c r="AJ34" i="10"/>
  <c r="N18" i="10"/>
  <c r="N36" i="10" s="1"/>
  <c r="N39" i="10" s="1"/>
  <c r="N42" i="10" s="1"/>
  <c r="AI34" i="10"/>
  <c r="AG76" i="10"/>
  <c r="AG80" i="10" s="1"/>
  <c r="AG34" i="10"/>
  <c r="AG37" i="10" s="1"/>
  <c r="AG40" i="10" s="1"/>
  <c r="AH34" i="10"/>
  <c r="AG77" i="10"/>
  <c r="AG81" i="10" s="1"/>
  <c r="AG69" i="10"/>
  <c r="S35" i="10"/>
  <c r="S38" i="10" s="1"/>
  <c r="S41" i="10" s="1"/>
  <c r="AH36" i="10"/>
  <c r="S16" i="10"/>
  <c r="S34" i="10" s="1"/>
  <c r="S37" i="10" s="1"/>
  <c r="S40" i="10" s="1"/>
  <c r="S18" i="10"/>
  <c r="S36" i="10" s="1"/>
  <c r="S39" i="10" s="1"/>
  <c r="S42" i="10" s="1"/>
  <c r="Q36" i="10"/>
  <c r="Q39" i="10" s="1"/>
  <c r="Q42" i="10" s="1"/>
  <c r="Y35" i="10"/>
  <c r="Y38" i="10" s="1"/>
  <c r="Y41" i="10" s="1"/>
  <c r="Y36" i="10"/>
  <c r="Y39" i="10" s="1"/>
  <c r="Y42" i="10" s="1"/>
  <c r="T35" i="10"/>
  <c r="T38" i="10" s="1"/>
  <c r="T41" i="10" s="1"/>
  <c r="Z34" i="10"/>
  <c r="Z37" i="10" s="1"/>
  <c r="Z40" i="10" s="1"/>
  <c r="Z76" i="10"/>
  <c r="Z80" i="10" s="1"/>
  <c r="Z68" i="10"/>
  <c r="Y75" i="10"/>
  <c r="Y79" i="10" s="1"/>
  <c r="C189" i="1" s="1"/>
  <c r="Y67" i="10"/>
  <c r="Z77" i="10"/>
  <c r="Z81" i="10" s="1"/>
  <c r="Z69" i="10"/>
  <c r="I35" i="10"/>
  <c r="I38" i="10" s="1"/>
  <c r="I41" i="10" s="1"/>
  <c r="M35" i="10"/>
  <c r="M38" i="10" s="1"/>
  <c r="M41" i="10" s="1"/>
  <c r="O35" i="10"/>
  <c r="O38" i="10" s="1"/>
  <c r="O41" i="10" s="1"/>
  <c r="O36" i="10"/>
  <c r="O39" i="10" s="1"/>
  <c r="O42" i="10" s="1"/>
  <c r="M36" i="10"/>
  <c r="M39" i="10" s="1"/>
  <c r="M42" i="10" s="1"/>
  <c r="T34" i="10"/>
  <c r="T37" i="10" s="1"/>
  <c r="T40" i="10" s="1"/>
  <c r="I36" i="10"/>
  <c r="I39" i="10" s="1"/>
  <c r="I42" i="10" s="1"/>
  <c r="Q34" i="10"/>
  <c r="Q37" i="10" s="1"/>
  <c r="Q40" i="10" s="1"/>
  <c r="K36" i="10"/>
  <c r="K39" i="10" s="1"/>
  <c r="K42" i="10" s="1"/>
  <c r="Q35" i="10"/>
  <c r="Q38" i="10" s="1"/>
  <c r="Q41" i="10" s="1"/>
  <c r="T77" i="10"/>
  <c r="T81" i="10" s="1"/>
  <c r="T69" i="10"/>
  <c r="N35" i="10"/>
  <c r="N38" i="10" s="1"/>
  <c r="N41" i="10" s="1"/>
  <c r="N16" i="10"/>
  <c r="N34" i="10" s="1"/>
  <c r="N37" i="10" s="1"/>
  <c r="N40" i="10" s="1"/>
  <c r="R18" i="10"/>
  <c r="R36" i="10" s="1"/>
  <c r="R39" i="10" s="1"/>
  <c r="R42" i="10" s="1"/>
  <c r="R73" i="10" s="1"/>
  <c r="R17" i="10"/>
  <c r="R35" i="10" s="1"/>
  <c r="R38" i="10" s="1"/>
  <c r="R41" i="10" s="1"/>
  <c r="R72" i="10" s="1"/>
  <c r="R16" i="10"/>
  <c r="R34" i="10" s="1"/>
  <c r="R37" i="10" s="1"/>
  <c r="R40" i="10" s="1"/>
  <c r="R71" i="10" s="1"/>
  <c r="O34" i="10"/>
  <c r="O37" i="10" s="1"/>
  <c r="O40" i="10" s="1"/>
  <c r="M34" i="10"/>
  <c r="M37" i="10" s="1"/>
  <c r="M40" i="10" s="1"/>
  <c r="P18" i="10"/>
  <c r="P36" i="10" s="1"/>
  <c r="P39" i="10" s="1"/>
  <c r="P42" i="10" s="1"/>
  <c r="P73" i="10" s="1"/>
  <c r="P17" i="10"/>
  <c r="P35" i="10" s="1"/>
  <c r="P38" i="10" s="1"/>
  <c r="P41" i="10" s="1"/>
  <c r="P72" i="10" s="1"/>
  <c r="P16" i="10"/>
  <c r="P34" i="10" s="1"/>
  <c r="P37" i="10" s="1"/>
  <c r="P40" i="10" s="1"/>
  <c r="P71" i="10" s="1"/>
  <c r="K34" i="10"/>
  <c r="K37" i="10" s="1"/>
  <c r="K40" i="10" s="1"/>
  <c r="L18" i="10"/>
  <c r="L36" i="10" s="1"/>
  <c r="L39" i="10" s="1"/>
  <c r="L42" i="10" s="1"/>
  <c r="L73" i="10" s="1"/>
  <c r="L17" i="10"/>
  <c r="L35" i="10" s="1"/>
  <c r="L38" i="10" s="1"/>
  <c r="L41" i="10" s="1"/>
  <c r="L72" i="10" s="1"/>
  <c r="L16" i="10"/>
  <c r="L34" i="10" s="1"/>
  <c r="L37" i="10" s="1"/>
  <c r="L40" i="10" s="1"/>
  <c r="L71" i="10" s="1"/>
  <c r="I34" i="10"/>
  <c r="I37" i="10" s="1"/>
  <c r="I40" i="10" s="1"/>
  <c r="K35" i="10"/>
  <c r="K38" i="10" s="1"/>
  <c r="K41" i="10" s="1"/>
  <c r="K72" i="10" s="1"/>
  <c r="J18" i="10"/>
  <c r="J36" i="10" s="1"/>
  <c r="J39" i="10" s="1"/>
  <c r="J42" i="10" s="1"/>
  <c r="J73" i="10" s="1"/>
  <c r="J17" i="10"/>
  <c r="J35" i="10" s="1"/>
  <c r="J38" i="10" s="1"/>
  <c r="J41" i="10" s="1"/>
  <c r="J72" i="10" s="1"/>
  <c r="J16" i="10"/>
  <c r="J34" i="10" s="1"/>
  <c r="J37" i="10" s="1"/>
  <c r="J40" i="10" s="1"/>
  <c r="J71" i="10" s="1"/>
  <c r="Y73" i="10" l="1"/>
  <c r="Y77" i="10" s="1"/>
  <c r="Y81" i="10" s="1"/>
  <c r="C190" i="1" s="1"/>
  <c r="K71" i="10"/>
  <c r="K75" i="10" s="1"/>
  <c r="K79" i="10" s="1"/>
  <c r="C165" i="1" s="1"/>
  <c r="Q71" i="10"/>
  <c r="Q70" i="10"/>
  <c r="Q66" i="10" s="1"/>
  <c r="S75" i="10"/>
  <c r="S79" i="10" s="1"/>
  <c r="S71" i="10"/>
  <c r="N71" i="10"/>
  <c r="N67" i="10" s="1"/>
  <c r="I77" i="10"/>
  <c r="I81" i="10" s="1"/>
  <c r="I73" i="10"/>
  <c r="Y72" i="10"/>
  <c r="Y68" i="10" s="1"/>
  <c r="AJ76" i="10"/>
  <c r="AJ80" i="10" s="1"/>
  <c r="C227" i="1" s="1"/>
  <c r="C228" i="1" s="1"/>
  <c r="Y223" i="1" s="1"/>
  <c r="AJ72" i="10"/>
  <c r="N72" i="10"/>
  <c r="N68" i="10" s="1"/>
  <c r="Q68" i="10"/>
  <c r="Q72" i="10"/>
  <c r="T71" i="10"/>
  <c r="T67" i="10" s="1"/>
  <c r="M68" i="10"/>
  <c r="M72" i="10"/>
  <c r="Z71" i="10"/>
  <c r="Z75" i="10" s="1"/>
  <c r="Z79" i="10" s="1"/>
  <c r="Q69" i="10"/>
  <c r="Q73" i="10"/>
  <c r="S72" i="10"/>
  <c r="S76" i="10" s="1"/>
  <c r="S80" i="10" s="1"/>
  <c r="AG75" i="10"/>
  <c r="AG79" i="10" s="1"/>
  <c r="AG71" i="10"/>
  <c r="I71" i="10"/>
  <c r="I70" i="10"/>
  <c r="M71" i="10"/>
  <c r="M70" i="10"/>
  <c r="O73" i="10"/>
  <c r="O69" i="10" s="1"/>
  <c r="O67" i="10"/>
  <c r="O71" i="10"/>
  <c r="O72" i="10"/>
  <c r="O76" i="10" s="1"/>
  <c r="O80" i="10" s="1"/>
  <c r="N77" i="10"/>
  <c r="N81" i="10" s="1"/>
  <c r="N73" i="10"/>
  <c r="K73" i="10"/>
  <c r="K69" i="10" s="1"/>
  <c r="M69" i="10"/>
  <c r="M73" i="10"/>
  <c r="I72" i="10"/>
  <c r="I68" i="10" s="1"/>
  <c r="T76" i="10"/>
  <c r="T80" i="10" s="1"/>
  <c r="T72" i="10"/>
  <c r="S73" i="10"/>
  <c r="S69" i="10" s="1"/>
  <c r="AH76" i="10"/>
  <c r="AH80" i="10" s="1"/>
  <c r="C215" i="1" s="1"/>
  <c r="C216" i="1" s="1"/>
  <c r="Y211" i="1" s="1"/>
  <c r="AH68" i="10"/>
  <c r="AI69" i="10"/>
  <c r="AI77" i="10"/>
  <c r="AI81" i="10" s="1"/>
  <c r="C220" i="1" s="1"/>
  <c r="AI68" i="10"/>
  <c r="AI76" i="10"/>
  <c r="AI80" i="10" s="1"/>
  <c r="C221" i="1" s="1"/>
  <c r="C222" i="1" s="1"/>
  <c r="Y217" i="1" s="1"/>
  <c r="AJ68" i="10"/>
  <c r="Q77" i="10"/>
  <c r="Q81" i="10" s="1"/>
  <c r="AI37" i="10"/>
  <c r="AI40" i="10" s="1"/>
  <c r="AI71" i="10" s="1"/>
  <c r="AJ37" i="10"/>
  <c r="AJ40" i="10" s="1"/>
  <c r="AH39" i="10"/>
  <c r="AH42" i="10" s="1"/>
  <c r="AH73" i="10" s="1"/>
  <c r="AH37" i="10"/>
  <c r="AH40" i="10" s="1"/>
  <c r="AH71" i="10" s="1"/>
  <c r="AJ39" i="10"/>
  <c r="AJ42" i="10" s="1"/>
  <c r="AJ73" i="10" s="1"/>
  <c r="T68" i="10"/>
  <c r="AG67" i="10"/>
  <c r="N69" i="10"/>
  <c r="Y69" i="10"/>
  <c r="I69" i="10"/>
  <c r="Z67" i="10"/>
  <c r="M77" i="10"/>
  <c r="M81" i="10" s="1"/>
  <c r="C172" i="1" s="1"/>
  <c r="Y76" i="10"/>
  <c r="Y80" i="10" s="1"/>
  <c r="C191" i="1" s="1"/>
  <c r="C192" i="1" s="1"/>
  <c r="Y187" i="1" s="1"/>
  <c r="Q75" i="10"/>
  <c r="T75" i="10"/>
  <c r="T79" i="10" s="1"/>
  <c r="C177" i="1" s="1"/>
  <c r="S77" i="10"/>
  <c r="S81" i="10" s="1"/>
  <c r="K77" i="10"/>
  <c r="K81" i="10" s="1"/>
  <c r="C166" i="1" s="1"/>
  <c r="O68" i="10"/>
  <c r="M76" i="10"/>
  <c r="M80" i="10" s="1"/>
  <c r="C173" i="1" s="1"/>
  <c r="C174" i="1" s="1"/>
  <c r="Y169" i="1" s="1"/>
  <c r="N76" i="10"/>
  <c r="N80" i="10" s="1"/>
  <c r="Q76" i="10"/>
  <c r="Q80" i="10" s="1"/>
  <c r="C178" i="1" s="1"/>
  <c r="S67" i="10"/>
  <c r="R76" i="10"/>
  <c r="R80" i="10" s="1"/>
  <c r="R68" i="10"/>
  <c r="R77" i="10"/>
  <c r="R81" i="10" s="1"/>
  <c r="R69" i="10"/>
  <c r="R75" i="10"/>
  <c r="R79" i="10" s="1"/>
  <c r="R67" i="10"/>
  <c r="Q67" i="10"/>
  <c r="N75" i="10"/>
  <c r="N79" i="10" s="1"/>
  <c r="O75" i="10"/>
  <c r="O79" i="10" s="1"/>
  <c r="P77" i="10"/>
  <c r="P81" i="10" s="1"/>
  <c r="P69" i="10"/>
  <c r="M66" i="10"/>
  <c r="P75" i="10"/>
  <c r="P79" i="10" s="1"/>
  <c r="P67" i="10"/>
  <c r="P76" i="10"/>
  <c r="P80" i="10" s="1"/>
  <c r="P68" i="10"/>
  <c r="K67" i="10"/>
  <c r="L75" i="10"/>
  <c r="L79" i="10" s="1"/>
  <c r="L67" i="10"/>
  <c r="L76" i="10"/>
  <c r="L80" i="10" s="1"/>
  <c r="L68" i="10"/>
  <c r="K76" i="10"/>
  <c r="K80" i="10" s="1"/>
  <c r="C167" i="1" s="1"/>
  <c r="C168" i="1" s="1"/>
  <c r="Y163" i="1" s="1"/>
  <c r="K68" i="10"/>
  <c r="J77" i="10"/>
  <c r="J81" i="10" s="1"/>
  <c r="J69" i="10"/>
  <c r="I66" i="10"/>
  <c r="J67" i="10"/>
  <c r="J75" i="10"/>
  <c r="J79" i="10" s="1"/>
  <c r="J76" i="10"/>
  <c r="J80" i="10" s="1"/>
  <c r="J68" i="10"/>
  <c r="L77" i="10"/>
  <c r="L81" i="10" s="1"/>
  <c r="L69" i="10"/>
  <c r="O77" i="10" l="1"/>
  <c r="O81" i="10" s="1"/>
  <c r="I76" i="10"/>
  <c r="I80" i="10" s="1"/>
  <c r="S68" i="10"/>
  <c r="AJ75" i="10"/>
  <c r="AJ79" i="10" s="1"/>
  <c r="C225" i="1" s="1"/>
  <c r="AJ71" i="10"/>
  <c r="S187" i="1"/>
  <c r="K187" i="1"/>
  <c r="E187" i="1"/>
  <c r="J187" i="1"/>
  <c r="P187" i="1"/>
  <c r="W187" i="1"/>
  <c r="V187" i="1"/>
  <c r="F187" i="1"/>
  <c r="L187" i="1"/>
  <c r="U187" i="1"/>
  <c r="O187" i="1"/>
  <c r="Q187" i="1"/>
  <c r="R187" i="1"/>
  <c r="X187" i="1"/>
  <c r="H187" i="1"/>
  <c r="M187" i="1"/>
  <c r="G187" i="1"/>
  <c r="I187" i="1"/>
  <c r="N187" i="1"/>
  <c r="T187" i="1"/>
  <c r="AI75" i="10"/>
  <c r="AI79" i="10" s="1"/>
  <c r="C219" i="1" s="1"/>
  <c r="AI67" i="10"/>
  <c r="AH75" i="10"/>
  <c r="AH79" i="10" s="1"/>
  <c r="C213" i="1" s="1"/>
  <c r="AH67" i="10"/>
  <c r="AJ69" i="10"/>
  <c r="AJ77" i="10"/>
  <c r="AJ81" i="10" s="1"/>
  <c r="C226" i="1" s="1"/>
  <c r="AH69" i="10"/>
  <c r="AH77" i="10"/>
  <c r="AH81" i="10" s="1"/>
  <c r="C214" i="1" s="1"/>
  <c r="AJ67" i="10"/>
  <c r="C179" i="1"/>
  <c r="C180" i="1" s="1"/>
  <c r="Y175" i="1" s="1"/>
  <c r="Q74" i="10"/>
  <c r="Q79" i="10"/>
  <c r="Q78" i="10" s="1"/>
  <c r="C176" i="1" s="1"/>
  <c r="M75" i="10"/>
  <c r="M67" i="10"/>
  <c r="I75" i="10"/>
  <c r="I67" i="10"/>
  <c r="N223" i="1" l="1"/>
  <c r="I223" i="1"/>
  <c r="W223" i="1"/>
  <c r="Q223" i="1"/>
  <c r="X223" i="1"/>
  <c r="U223" i="1"/>
  <c r="T223" i="1"/>
  <c r="J223" i="1"/>
  <c r="I217" i="1"/>
  <c r="M217" i="1"/>
  <c r="Q217" i="1"/>
  <c r="U217" i="1"/>
  <c r="G217" i="1"/>
  <c r="K217" i="1"/>
  <c r="O217" i="1"/>
  <c r="S217" i="1"/>
  <c r="W217" i="1"/>
  <c r="J217" i="1"/>
  <c r="R217" i="1"/>
  <c r="E217" i="1"/>
  <c r="T217" i="1"/>
  <c r="H217" i="1"/>
  <c r="P217" i="1"/>
  <c r="X217" i="1"/>
  <c r="L217" i="1"/>
  <c r="N217" i="1"/>
  <c r="F217" i="1"/>
  <c r="V217" i="1"/>
  <c r="F175" i="1"/>
  <c r="H175" i="1"/>
  <c r="G175" i="1"/>
  <c r="L175" i="1"/>
  <c r="P175" i="1"/>
  <c r="T175" i="1"/>
  <c r="X175" i="1"/>
  <c r="M175" i="1"/>
  <c r="Q175" i="1"/>
  <c r="K175" i="1"/>
  <c r="O175" i="1"/>
  <c r="S175" i="1"/>
  <c r="W175" i="1"/>
  <c r="I175" i="1"/>
  <c r="U175" i="1"/>
  <c r="R175" i="1"/>
  <c r="V175" i="1"/>
  <c r="E175" i="1"/>
  <c r="N175" i="1"/>
  <c r="J175" i="1"/>
  <c r="K223" i="1"/>
  <c r="L223" i="1"/>
  <c r="R223" i="1"/>
  <c r="H211" i="1"/>
  <c r="L211" i="1"/>
  <c r="P211" i="1"/>
  <c r="T211" i="1"/>
  <c r="X211" i="1"/>
  <c r="F211" i="1"/>
  <c r="J211" i="1"/>
  <c r="N211" i="1"/>
  <c r="R211" i="1"/>
  <c r="V211" i="1"/>
  <c r="E211" i="1"/>
  <c r="M211" i="1"/>
  <c r="U211" i="1"/>
  <c r="O211" i="1"/>
  <c r="W211" i="1"/>
  <c r="K211" i="1"/>
  <c r="S211" i="1"/>
  <c r="G211" i="1"/>
  <c r="Q211" i="1"/>
  <c r="I211" i="1"/>
  <c r="S223" i="1"/>
  <c r="M223" i="1"/>
  <c r="O223" i="1"/>
  <c r="P223" i="1"/>
  <c r="V223" i="1"/>
  <c r="M79" i="10"/>
  <c r="M74" i="10"/>
  <c r="I79" i="10"/>
  <c r="I78" i="10" s="1"/>
  <c r="C164" i="1" s="1"/>
  <c r="I74" i="10"/>
  <c r="F163" i="1" l="1"/>
  <c r="J163" i="1"/>
  <c r="N163" i="1"/>
  <c r="R163" i="1"/>
  <c r="V163" i="1"/>
  <c r="G163" i="1"/>
  <c r="O163" i="1"/>
  <c r="W163" i="1"/>
  <c r="I163" i="1"/>
  <c r="M163" i="1"/>
  <c r="Q163" i="1"/>
  <c r="U163" i="1"/>
  <c r="E163" i="1"/>
  <c r="K163" i="1"/>
  <c r="S163" i="1"/>
  <c r="H163" i="1"/>
  <c r="X163" i="1"/>
  <c r="P163" i="1"/>
  <c r="T163" i="1"/>
  <c r="L163" i="1"/>
  <c r="M78" i="10"/>
  <c r="C170" i="1" s="1"/>
  <c r="C171" i="1"/>
  <c r="G169" i="1" l="1"/>
  <c r="K169" i="1"/>
  <c r="O169" i="1"/>
  <c r="S169" i="1"/>
  <c r="W169" i="1"/>
  <c r="L169" i="1"/>
  <c r="T169" i="1"/>
  <c r="F169" i="1"/>
  <c r="J169" i="1"/>
  <c r="N169" i="1"/>
  <c r="R169" i="1"/>
  <c r="V169" i="1"/>
  <c r="E169" i="1"/>
  <c r="H169" i="1"/>
  <c r="P169" i="1"/>
  <c r="X169" i="1"/>
  <c r="M169" i="1"/>
  <c r="I169" i="1"/>
  <c r="Q169" i="1"/>
  <c r="U169" i="1"/>
  <c r="H26" i="10"/>
  <c r="H25" i="10"/>
  <c r="H29" i="10" s="1"/>
  <c r="G26" i="10"/>
  <c r="G25" i="10"/>
  <c r="G29" i="10" s="1"/>
  <c r="H5" i="10"/>
  <c r="H4" i="10"/>
  <c r="G5" i="10"/>
  <c r="G4" i="10"/>
  <c r="F26" i="10"/>
  <c r="E26" i="10"/>
  <c r="F25" i="10"/>
  <c r="F29" i="10" s="1"/>
  <c r="E25" i="10"/>
  <c r="E27" i="10" s="1"/>
  <c r="F5" i="10"/>
  <c r="F4" i="10"/>
  <c r="E5" i="10"/>
  <c r="E4" i="10"/>
  <c r="E6" i="10"/>
  <c r="F6" i="10" s="1"/>
  <c r="E3" i="10"/>
  <c r="H3" i="10" s="1"/>
  <c r="H78" i="10"/>
  <c r="G78" i="10"/>
  <c r="F78" i="10"/>
  <c r="H74" i="10"/>
  <c r="G74" i="10"/>
  <c r="F74" i="10"/>
  <c r="H66" i="10"/>
  <c r="G66" i="10"/>
  <c r="F66" i="10"/>
  <c r="H63" i="10"/>
  <c r="H62" i="10" s="1"/>
  <c r="G63" i="10"/>
  <c r="G62" i="10" s="1"/>
  <c r="F63" i="10"/>
  <c r="F62" i="10" s="1"/>
  <c r="E62" i="10"/>
  <c r="H49" i="10"/>
  <c r="G49" i="10"/>
  <c r="F49" i="10"/>
  <c r="H48" i="10"/>
  <c r="G48" i="10"/>
  <c r="F48" i="10"/>
  <c r="E48" i="10"/>
  <c r="H21" i="10"/>
  <c r="G21" i="10"/>
  <c r="F21" i="10"/>
  <c r="H20" i="10"/>
  <c r="G20" i="10"/>
  <c r="F20" i="10"/>
  <c r="H19" i="10"/>
  <c r="G19" i="10"/>
  <c r="F19" i="10"/>
  <c r="H15" i="10"/>
  <c r="G15" i="10"/>
  <c r="F15" i="10"/>
  <c r="E15" i="10"/>
  <c r="H14" i="10"/>
  <c r="G14" i="10"/>
  <c r="F14" i="10"/>
  <c r="E14" i="10"/>
  <c r="H13" i="10"/>
  <c r="G13" i="10"/>
  <c r="F13" i="10"/>
  <c r="E13" i="10"/>
  <c r="F3" i="10" l="1"/>
  <c r="H6" i="10"/>
  <c r="F32" i="10"/>
  <c r="H32" i="10"/>
  <c r="E30" i="10"/>
  <c r="F17" i="10"/>
  <c r="G32" i="10"/>
  <c r="H18" i="10"/>
  <c r="H36" i="10" s="1"/>
  <c r="H39" i="10" s="1"/>
  <c r="H42" i="10" s="1"/>
  <c r="H73" i="10" s="1"/>
  <c r="H17" i="10"/>
  <c r="H16" i="10"/>
  <c r="F16" i="10"/>
  <c r="E29" i="10"/>
  <c r="E32" i="10" s="1"/>
  <c r="E16" i="10"/>
  <c r="E34" i="10" s="1"/>
  <c r="E37" i="10" s="1"/>
  <c r="E40" i="10" s="1"/>
  <c r="E71" i="10" s="1"/>
  <c r="E17" i="10"/>
  <c r="E18" i="10"/>
  <c r="H27" i="10"/>
  <c r="H30" i="10" s="1"/>
  <c r="H28" i="10"/>
  <c r="H31" i="10" s="1"/>
  <c r="H35" i="10" s="1"/>
  <c r="H38" i="10" s="1"/>
  <c r="H41" i="10" s="1"/>
  <c r="H72" i="10" s="1"/>
  <c r="F18" i="10"/>
  <c r="E28" i="10"/>
  <c r="E31" i="10" s="1"/>
  <c r="G3" i="10"/>
  <c r="G6" i="10"/>
  <c r="F27" i="10"/>
  <c r="F30" i="10" s="1"/>
  <c r="F28" i="10"/>
  <c r="F31" i="10" s="1"/>
  <c r="G27" i="10"/>
  <c r="G30" i="10" s="1"/>
  <c r="G28" i="10"/>
  <c r="G31" i="10" s="1"/>
  <c r="AE6" i="10"/>
  <c r="AE3" i="10"/>
  <c r="AF78" i="10"/>
  <c r="AE78" i="10"/>
  <c r="AF74" i="10"/>
  <c r="AE74" i="10"/>
  <c r="AF66" i="10"/>
  <c r="AE66" i="10"/>
  <c r="AF62" i="10"/>
  <c r="AE62" i="10"/>
  <c r="AF49" i="10"/>
  <c r="AE49" i="10"/>
  <c r="AF48" i="10"/>
  <c r="AE48" i="10"/>
  <c r="AF26" i="10"/>
  <c r="AE26" i="10"/>
  <c r="AF25" i="10"/>
  <c r="AF29" i="10" s="1"/>
  <c r="AE25" i="10"/>
  <c r="AE29" i="10" s="1"/>
  <c r="AF21" i="10"/>
  <c r="AF20" i="10"/>
  <c r="AF19" i="10"/>
  <c r="AF15" i="10"/>
  <c r="AE15" i="10"/>
  <c r="AF14" i="10"/>
  <c r="AE14" i="10"/>
  <c r="AF13" i="10"/>
  <c r="AE13" i="10"/>
  <c r="AF5" i="10"/>
  <c r="AE5" i="10"/>
  <c r="AF4" i="10"/>
  <c r="AE4" i="10"/>
  <c r="AC6" i="10"/>
  <c r="AD6" i="10" s="1"/>
  <c r="AC3" i="10"/>
  <c r="AD3" i="10" s="1"/>
  <c r="AD78" i="10"/>
  <c r="AC78" i="10"/>
  <c r="AD74" i="10"/>
  <c r="AC74" i="10"/>
  <c r="AD66" i="10"/>
  <c r="AC66" i="10"/>
  <c r="AD62" i="10"/>
  <c r="AC62" i="10"/>
  <c r="AD49" i="10"/>
  <c r="AC49" i="10"/>
  <c r="AD48" i="10"/>
  <c r="AC48" i="10"/>
  <c r="AD26" i="10"/>
  <c r="AC26" i="10"/>
  <c r="AD25" i="10"/>
  <c r="AD29" i="10" s="1"/>
  <c r="AC25" i="10"/>
  <c r="AC29" i="10" s="1"/>
  <c r="AD21" i="10"/>
  <c r="AD20" i="10"/>
  <c r="AD19" i="10"/>
  <c r="AD15" i="10"/>
  <c r="AC15" i="10"/>
  <c r="AD14" i="10"/>
  <c r="AC14" i="10"/>
  <c r="AD13" i="10"/>
  <c r="AC13" i="10"/>
  <c r="AD5" i="10"/>
  <c r="AC5" i="10"/>
  <c r="AD4" i="10"/>
  <c r="AC4" i="10"/>
  <c r="E70" i="10" l="1"/>
  <c r="E66" i="10" s="1"/>
  <c r="F36" i="10"/>
  <c r="F39" i="10" s="1"/>
  <c r="F42" i="10" s="1"/>
  <c r="F73" i="10" s="1"/>
  <c r="F69" i="10" s="1"/>
  <c r="AD32" i="10"/>
  <c r="AE32" i="10"/>
  <c r="AF32" i="10"/>
  <c r="AC32" i="10"/>
  <c r="F35" i="10"/>
  <c r="F38" i="10" s="1"/>
  <c r="F41" i="10" s="1"/>
  <c r="E36" i="10"/>
  <c r="E39" i="10" s="1"/>
  <c r="E42" i="10" s="1"/>
  <c r="F34" i="10"/>
  <c r="F37" i="10" s="1"/>
  <c r="F40" i="10" s="1"/>
  <c r="E67" i="10"/>
  <c r="H76" i="10"/>
  <c r="H80" i="10" s="1"/>
  <c r="H68" i="10"/>
  <c r="F77" i="10"/>
  <c r="F81" i="10" s="1"/>
  <c r="H77" i="10"/>
  <c r="H81" i="10" s="1"/>
  <c r="H69" i="10"/>
  <c r="G18" i="10"/>
  <c r="G36" i="10" s="1"/>
  <c r="G39" i="10" s="1"/>
  <c r="G42" i="10" s="1"/>
  <c r="G73" i="10" s="1"/>
  <c r="G17" i="10"/>
  <c r="G35" i="10" s="1"/>
  <c r="G38" i="10" s="1"/>
  <c r="G41" i="10" s="1"/>
  <c r="G72" i="10" s="1"/>
  <c r="G16" i="10"/>
  <c r="G34" i="10" s="1"/>
  <c r="G37" i="10" s="1"/>
  <c r="G40" i="10" s="1"/>
  <c r="G71" i="10" s="1"/>
  <c r="E35" i="10"/>
  <c r="E38" i="10" s="1"/>
  <c r="E41" i="10" s="1"/>
  <c r="E72" i="10" s="1"/>
  <c r="H34" i="10"/>
  <c r="H37" i="10" s="1"/>
  <c r="H40" i="10" s="1"/>
  <c r="H71" i="10" s="1"/>
  <c r="AD18" i="10"/>
  <c r="AD36" i="10" s="1"/>
  <c r="AD39" i="10" s="1"/>
  <c r="AD42" i="10" s="1"/>
  <c r="AD73" i="10" s="1"/>
  <c r="AF3" i="10"/>
  <c r="AF6" i="10"/>
  <c r="AE27" i="10"/>
  <c r="AE30" i="10" s="1"/>
  <c r="AE28" i="10"/>
  <c r="AE31" i="10" s="1"/>
  <c r="AE16" i="10"/>
  <c r="AE18" i="10"/>
  <c r="AE36" i="10" s="1"/>
  <c r="AE39" i="10" s="1"/>
  <c r="AE42" i="10" s="1"/>
  <c r="AE73" i="10" s="1"/>
  <c r="AC18" i="10"/>
  <c r="AC36" i="10" s="1"/>
  <c r="AC39" i="10" s="1"/>
  <c r="AC42" i="10" s="1"/>
  <c r="AC73" i="10" s="1"/>
  <c r="AF27" i="10"/>
  <c r="AF30" i="10" s="1"/>
  <c r="AF28" i="10"/>
  <c r="AF31" i="10" s="1"/>
  <c r="AE17" i="10"/>
  <c r="AC16" i="10"/>
  <c r="AC17" i="10"/>
  <c r="AD16" i="10"/>
  <c r="AD17" i="10"/>
  <c r="AC27" i="10"/>
  <c r="AC30" i="10" s="1"/>
  <c r="AC28" i="10"/>
  <c r="AC31" i="10" s="1"/>
  <c r="AD27" i="10"/>
  <c r="AD30" i="10" s="1"/>
  <c r="AD28" i="10"/>
  <c r="AD31" i="10" s="1"/>
  <c r="AA6" i="10"/>
  <c r="AA3" i="10"/>
  <c r="AB78" i="10"/>
  <c r="AA78" i="10"/>
  <c r="AB74" i="10"/>
  <c r="AA74" i="10"/>
  <c r="AB66" i="10"/>
  <c r="AA66" i="10"/>
  <c r="AB63" i="10"/>
  <c r="AB62" i="10" s="1"/>
  <c r="AA62" i="10"/>
  <c r="AB49" i="10"/>
  <c r="AA49" i="10"/>
  <c r="AB48" i="10"/>
  <c r="AA48" i="10"/>
  <c r="AB26" i="10"/>
  <c r="AA26" i="10"/>
  <c r="AB25" i="10"/>
  <c r="AB29" i="10" s="1"/>
  <c r="AA25" i="10"/>
  <c r="AA29" i="10" s="1"/>
  <c r="AB21" i="10"/>
  <c r="AB20" i="10"/>
  <c r="AB19" i="10"/>
  <c r="AB15" i="10"/>
  <c r="AA15" i="10"/>
  <c r="AB14" i="10"/>
  <c r="AA14" i="10"/>
  <c r="AB13" i="10"/>
  <c r="AA13" i="10"/>
  <c r="AB5" i="10"/>
  <c r="AA5" i="10"/>
  <c r="AB4" i="10"/>
  <c r="AA4" i="10"/>
  <c r="X19" i="10"/>
  <c r="X20" i="10"/>
  <c r="X21" i="10"/>
  <c r="X26" i="10"/>
  <c r="W26" i="10"/>
  <c r="X25" i="10"/>
  <c r="X28" i="10" s="1"/>
  <c r="W25" i="10"/>
  <c r="W29" i="10" s="1"/>
  <c r="V26" i="10"/>
  <c r="V25" i="10"/>
  <c r="U26" i="10"/>
  <c r="U25" i="10"/>
  <c r="X5" i="10"/>
  <c r="W5" i="10"/>
  <c r="X4" i="10"/>
  <c r="W4" i="10"/>
  <c r="V5" i="10"/>
  <c r="V4" i="10"/>
  <c r="U5" i="10"/>
  <c r="U4" i="10"/>
  <c r="W6" i="10"/>
  <c r="W3" i="10"/>
  <c r="X3" i="10" s="1"/>
  <c r="X78" i="10"/>
  <c r="W78" i="10"/>
  <c r="X74" i="10"/>
  <c r="W74" i="10"/>
  <c r="X66" i="10"/>
  <c r="W66" i="10"/>
  <c r="X63" i="10"/>
  <c r="X62" i="10" s="1"/>
  <c r="W62" i="10"/>
  <c r="X49" i="10"/>
  <c r="W49" i="10"/>
  <c r="X48" i="10"/>
  <c r="W48" i="10"/>
  <c r="X15" i="10"/>
  <c r="W15" i="10"/>
  <c r="X14" i="10"/>
  <c r="W14" i="10"/>
  <c r="X13" i="10"/>
  <c r="W13" i="10"/>
  <c r="V63" i="10"/>
  <c r="E73" i="10" l="1"/>
  <c r="E77" i="10" s="1"/>
  <c r="E81" i="10" s="1"/>
  <c r="C160" i="1" s="1"/>
  <c r="F72" i="10"/>
  <c r="F68" i="10" s="1"/>
  <c r="F71" i="10"/>
  <c r="F67" i="10" s="1"/>
  <c r="AB32" i="10"/>
  <c r="W32" i="10"/>
  <c r="AA32" i="10"/>
  <c r="E75" i="10"/>
  <c r="E79" i="10" s="1"/>
  <c r="X31" i="10"/>
  <c r="E76" i="10"/>
  <c r="E80" i="10" s="1"/>
  <c r="C161" i="1" s="1"/>
  <c r="C162" i="1" s="1"/>
  <c r="Y157" i="1" s="1"/>
  <c r="E68" i="10"/>
  <c r="G75" i="10"/>
  <c r="G79" i="10" s="1"/>
  <c r="G67" i="10"/>
  <c r="G76" i="10"/>
  <c r="G80" i="10" s="1"/>
  <c r="G68" i="10"/>
  <c r="H75" i="10"/>
  <c r="H79" i="10" s="1"/>
  <c r="H67" i="10"/>
  <c r="G77" i="10"/>
  <c r="G81" i="10" s="1"/>
  <c r="G69" i="10"/>
  <c r="AE77" i="10"/>
  <c r="AE81" i="10" s="1"/>
  <c r="C208" i="1" s="1"/>
  <c r="AE69" i="10"/>
  <c r="AE35" i="10"/>
  <c r="AE38" i="10" s="1"/>
  <c r="AE41" i="10" s="1"/>
  <c r="AE72" i="10" s="1"/>
  <c r="AD35" i="10"/>
  <c r="AD38" i="10" s="1"/>
  <c r="AD41" i="10" s="1"/>
  <c r="AE34" i="10"/>
  <c r="AE37" i="10" s="1"/>
  <c r="AE40" i="10" s="1"/>
  <c r="AE71" i="10" s="1"/>
  <c r="AC35" i="10"/>
  <c r="AC38" i="10" s="1"/>
  <c r="AC41" i="10" s="1"/>
  <c r="AF18" i="10"/>
  <c r="AF36" i="10" s="1"/>
  <c r="AF39" i="10" s="1"/>
  <c r="AF42" i="10" s="1"/>
  <c r="AF73" i="10" s="1"/>
  <c r="AF17" i="10"/>
  <c r="AF35" i="10" s="1"/>
  <c r="AF38" i="10" s="1"/>
  <c r="AF41" i="10" s="1"/>
  <c r="AF72" i="10" s="1"/>
  <c r="AF16" i="10"/>
  <c r="AF34" i="10" s="1"/>
  <c r="AF37" i="10" s="1"/>
  <c r="AF40" i="10" s="1"/>
  <c r="AF71" i="10" s="1"/>
  <c r="AD34" i="10"/>
  <c r="AD37" i="10" s="1"/>
  <c r="AD40" i="10" s="1"/>
  <c r="AC34" i="10"/>
  <c r="AC37" i="10" s="1"/>
  <c r="AC40" i="10" s="1"/>
  <c r="AD77" i="10"/>
  <c r="AD81" i="10" s="1"/>
  <c r="AD69" i="10"/>
  <c r="AC77" i="10"/>
  <c r="AC81" i="10" s="1"/>
  <c r="C202" i="1" s="1"/>
  <c r="AC69" i="10"/>
  <c r="AA17" i="10"/>
  <c r="AB3" i="10"/>
  <c r="AB6" i="10"/>
  <c r="AA27" i="10"/>
  <c r="AA30" i="10" s="1"/>
  <c r="AA28" i="10"/>
  <c r="AA31" i="10" s="1"/>
  <c r="AA16" i="10"/>
  <c r="W18" i="10"/>
  <c r="W36" i="10" s="1"/>
  <c r="W39" i="10" s="1"/>
  <c r="W42" i="10" s="1"/>
  <c r="W73" i="10" s="1"/>
  <c r="AB27" i="10"/>
  <c r="AB30" i="10" s="1"/>
  <c r="AB28" i="10"/>
  <c r="AB31" i="10" s="1"/>
  <c r="AA18" i="10"/>
  <c r="X6" i="10"/>
  <c r="X18" i="10" s="1"/>
  <c r="X27" i="10"/>
  <c r="X30" i="10" s="1"/>
  <c r="X29" i="10"/>
  <c r="X32" i="10" s="1"/>
  <c r="W16" i="10"/>
  <c r="W17" i="10"/>
  <c r="W27" i="10"/>
  <c r="W30" i="10" s="1"/>
  <c r="W28" i="10"/>
  <c r="W31" i="10" s="1"/>
  <c r="Z91" i="1"/>
  <c r="Z92" i="1"/>
  <c r="Z93" i="1"/>
  <c r="Z94" i="1"/>
  <c r="Z95" i="1"/>
  <c r="Z96" i="1"/>
  <c r="Z97" i="1"/>
  <c r="AB92" i="1" s="1"/>
  <c r="Z98" i="1"/>
  <c r="Z99" i="1"/>
  <c r="Z100" i="1"/>
  <c r="Z101" i="1"/>
  <c r="Z102" i="1"/>
  <c r="Z103" i="1"/>
  <c r="Z105" i="1"/>
  <c r="Z108" i="1"/>
  <c r="Z110" i="1"/>
  <c r="Z112" i="1"/>
  <c r="Z113" i="1"/>
  <c r="Z115" i="1"/>
  <c r="Z125" i="1"/>
  <c r="Z120" i="1"/>
  <c r="Z121" i="1"/>
  <c r="Z122" i="1"/>
  <c r="Z123" i="1"/>
  <c r="Z124" i="1"/>
  <c r="Z137" i="1"/>
  <c r="Z138" i="1"/>
  <c r="Z139" i="1"/>
  <c r="Z140" i="1"/>
  <c r="Z14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E81" i="1"/>
  <c r="F75" i="10" l="1"/>
  <c r="F79" i="10" s="1"/>
  <c r="AC71" i="10"/>
  <c r="AC75" i="10" s="1"/>
  <c r="AC79" i="10" s="1"/>
  <c r="C201" i="1" s="1"/>
  <c r="F76" i="10"/>
  <c r="F80" i="10" s="1"/>
  <c r="E69" i="10"/>
  <c r="AD71" i="10"/>
  <c r="AD67" i="10" s="1"/>
  <c r="AC72" i="10"/>
  <c r="AC76" i="10" s="1"/>
  <c r="AC80" i="10" s="1"/>
  <c r="C203" i="1" s="1"/>
  <c r="AD72" i="10"/>
  <c r="AD76" i="10" s="1"/>
  <c r="AD80" i="10" s="1"/>
  <c r="E74" i="10"/>
  <c r="X16" i="10"/>
  <c r="AA36" i="10"/>
  <c r="AA39" i="10" s="1"/>
  <c r="AA42" i="10" s="1"/>
  <c r="X36" i="10"/>
  <c r="X39" i="10" s="1"/>
  <c r="X42" i="10" s="1"/>
  <c r="E78" i="10"/>
  <c r="C158" i="1" s="1"/>
  <c r="C159" i="1"/>
  <c r="X17" i="10"/>
  <c r="X35" i="10" s="1"/>
  <c r="X38" i="10" s="1"/>
  <c r="X41" i="10" s="1"/>
  <c r="AA35" i="10"/>
  <c r="AA38" i="10" s="1"/>
  <c r="AA41" i="10" s="1"/>
  <c r="AF75" i="10"/>
  <c r="AF79" i="10" s="1"/>
  <c r="AF67" i="10"/>
  <c r="AF76" i="10"/>
  <c r="AF80" i="10" s="1"/>
  <c r="AF68" i="10"/>
  <c r="AE75" i="10"/>
  <c r="AE79" i="10" s="1"/>
  <c r="C207" i="1" s="1"/>
  <c r="AE67" i="10"/>
  <c r="AF77" i="10"/>
  <c r="AF81" i="10" s="1"/>
  <c r="AF69" i="10"/>
  <c r="AE76" i="10"/>
  <c r="AE80" i="10" s="1"/>
  <c r="C209" i="1" s="1"/>
  <c r="C210" i="1" s="1"/>
  <c r="Y205" i="1" s="1"/>
  <c r="AE68" i="10"/>
  <c r="AA34" i="10"/>
  <c r="AA37" i="10" s="1"/>
  <c r="AA40" i="10" s="1"/>
  <c r="AA71" i="10" s="1"/>
  <c r="AB18" i="10"/>
  <c r="AB36" i="10" s="1"/>
  <c r="AB39" i="10" s="1"/>
  <c r="AB42" i="10" s="1"/>
  <c r="AB73" i="10" s="1"/>
  <c r="AB17" i="10"/>
  <c r="AB35" i="10" s="1"/>
  <c r="AB38" i="10" s="1"/>
  <c r="AB41" i="10" s="1"/>
  <c r="AB72" i="10" s="1"/>
  <c r="AB16" i="10"/>
  <c r="AB34" i="10" s="1"/>
  <c r="AB37" i="10" s="1"/>
  <c r="AB40" i="10" s="1"/>
  <c r="AB71" i="10" s="1"/>
  <c r="W35" i="10"/>
  <c r="W38" i="10" s="1"/>
  <c r="W41" i="10" s="1"/>
  <c r="W34" i="10"/>
  <c r="W37" i="10" s="1"/>
  <c r="W40" i="10" s="1"/>
  <c r="W77" i="10"/>
  <c r="W81" i="10" s="1"/>
  <c r="W69" i="10"/>
  <c r="X34" i="10"/>
  <c r="X37" i="10" s="1"/>
  <c r="X40" i="10" s="1"/>
  <c r="X71" i="10" s="1"/>
  <c r="AC67" i="10" l="1"/>
  <c r="X73" i="10"/>
  <c r="X77" i="10" s="1"/>
  <c r="X81" i="10" s="1"/>
  <c r="W71" i="10"/>
  <c r="W67" i="10" s="1"/>
  <c r="AA73" i="10"/>
  <c r="AA77" i="10" s="1"/>
  <c r="AA81" i="10" s="1"/>
  <c r="C196" i="1" s="1"/>
  <c r="AC68" i="10"/>
  <c r="X76" i="10"/>
  <c r="X80" i="10" s="1"/>
  <c r="X72" i="10"/>
  <c r="W76" i="10"/>
  <c r="W80" i="10" s="1"/>
  <c r="W72" i="10"/>
  <c r="AA68" i="10"/>
  <c r="AA72" i="10"/>
  <c r="AD75" i="10"/>
  <c r="AD79" i="10" s="1"/>
  <c r="AD68" i="10"/>
  <c r="G205" i="1"/>
  <c r="K205" i="1"/>
  <c r="O205" i="1"/>
  <c r="S205" i="1"/>
  <c r="W205" i="1"/>
  <c r="I205" i="1"/>
  <c r="M205" i="1"/>
  <c r="Q205" i="1"/>
  <c r="U205" i="1"/>
  <c r="H205" i="1"/>
  <c r="P205" i="1"/>
  <c r="X205" i="1"/>
  <c r="R205" i="1"/>
  <c r="F205" i="1"/>
  <c r="N205" i="1"/>
  <c r="V205" i="1"/>
  <c r="J205" i="1"/>
  <c r="E205" i="1"/>
  <c r="L205" i="1"/>
  <c r="T205" i="1"/>
  <c r="F157" i="1"/>
  <c r="J157" i="1"/>
  <c r="N157" i="1"/>
  <c r="R157" i="1"/>
  <c r="V157" i="1"/>
  <c r="E157" i="1"/>
  <c r="G157" i="1"/>
  <c r="I157" i="1"/>
  <c r="M157" i="1"/>
  <c r="Q157" i="1"/>
  <c r="U157" i="1"/>
  <c r="O157" i="1"/>
  <c r="W157" i="1"/>
  <c r="H157" i="1"/>
  <c r="X157" i="1"/>
  <c r="S157" i="1"/>
  <c r="L157" i="1"/>
  <c r="T157" i="1"/>
  <c r="P157" i="1"/>
  <c r="K157" i="1"/>
  <c r="AA69" i="10"/>
  <c r="X68" i="10"/>
  <c r="AA76" i="10"/>
  <c r="AA80" i="10" s="1"/>
  <c r="C197" i="1" s="1"/>
  <c r="C198" i="1" s="1"/>
  <c r="Y193" i="1" s="1"/>
  <c r="C204" i="1"/>
  <c r="AB75" i="10"/>
  <c r="AB79" i="10" s="1"/>
  <c r="AB67" i="10"/>
  <c r="AB76" i="10"/>
  <c r="AB80" i="10" s="1"/>
  <c r="AB68" i="10"/>
  <c r="AA75" i="10"/>
  <c r="AA79" i="10" s="1"/>
  <c r="C195" i="1" s="1"/>
  <c r="AA67" i="10"/>
  <c r="AB77" i="10"/>
  <c r="AB81" i="10" s="1"/>
  <c r="AB69" i="10"/>
  <c r="W75" i="10"/>
  <c r="W79" i="10" s="1"/>
  <c r="W68" i="10"/>
  <c r="X75" i="10"/>
  <c r="X79" i="10" s="1"/>
  <c r="X67" i="10"/>
  <c r="G199" i="1" l="1"/>
  <c r="Y199" i="1"/>
  <c r="X69" i="10"/>
  <c r="S199" i="1"/>
  <c r="Q199" i="1"/>
  <c r="V199" i="1"/>
  <c r="P199" i="1"/>
  <c r="K199" i="1"/>
  <c r="R199" i="1"/>
  <c r="I193" i="1"/>
  <c r="M193" i="1"/>
  <c r="Q193" i="1"/>
  <c r="U193" i="1"/>
  <c r="G193" i="1"/>
  <c r="K193" i="1"/>
  <c r="O193" i="1"/>
  <c r="S193" i="1"/>
  <c r="W193" i="1"/>
  <c r="F193" i="1"/>
  <c r="N193" i="1"/>
  <c r="V193" i="1"/>
  <c r="H193" i="1"/>
  <c r="P193" i="1"/>
  <c r="L193" i="1"/>
  <c r="T193" i="1"/>
  <c r="X193" i="1"/>
  <c r="E193" i="1"/>
  <c r="R193" i="1"/>
  <c r="J193" i="1"/>
  <c r="J199" i="1"/>
  <c r="T199" i="1"/>
  <c r="U199" i="1"/>
  <c r="H199" i="1"/>
  <c r="I199" i="1"/>
  <c r="E199" i="1"/>
  <c r="M199" i="1"/>
  <c r="N199" i="1"/>
  <c r="X199" i="1"/>
  <c r="O199" i="1"/>
  <c r="W199" i="1"/>
  <c r="L199" i="1"/>
  <c r="F199" i="1"/>
  <c r="X86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E25" i="1"/>
  <c r="Z25" i="1" l="1"/>
  <c r="V43" i="1"/>
  <c r="V38" i="1" s="1"/>
  <c r="W43" i="1"/>
  <c r="W38" i="1" s="1"/>
  <c r="X43" i="1"/>
  <c r="X38" i="1" s="1"/>
  <c r="Y43" i="1"/>
  <c r="Y38" i="1" s="1"/>
  <c r="X34" i="1"/>
  <c r="X33" i="1"/>
  <c r="W54" i="1" l="1"/>
  <c r="X54" i="1"/>
  <c r="V54" i="1"/>
  <c r="Y54" i="1"/>
  <c r="X153" i="1"/>
  <c r="X26" i="1"/>
  <c r="X152" i="1" s="1"/>
  <c r="F43" i="1"/>
  <c r="F38" i="1" s="1"/>
  <c r="G43" i="1"/>
  <c r="G38" i="1" s="1"/>
  <c r="H43" i="1"/>
  <c r="H38" i="1" s="1"/>
  <c r="I43" i="1"/>
  <c r="I38" i="1" s="1"/>
  <c r="J43" i="1"/>
  <c r="J38" i="1" s="1"/>
  <c r="K43" i="1"/>
  <c r="K38" i="1" s="1"/>
  <c r="L43" i="1"/>
  <c r="L38" i="1" s="1"/>
  <c r="M43" i="1"/>
  <c r="M38" i="1" s="1"/>
  <c r="N43" i="1"/>
  <c r="N38" i="1" s="1"/>
  <c r="O43" i="1"/>
  <c r="O38" i="1" s="1"/>
  <c r="P43" i="1"/>
  <c r="P38" i="1" s="1"/>
  <c r="Q43" i="1"/>
  <c r="Q38" i="1" s="1"/>
  <c r="R43" i="1"/>
  <c r="R38" i="1" s="1"/>
  <c r="S43" i="1"/>
  <c r="S38" i="1" s="1"/>
  <c r="T43" i="1"/>
  <c r="T38" i="1" s="1"/>
  <c r="U43" i="1"/>
  <c r="U38" i="1" s="1"/>
  <c r="X50" i="1"/>
  <c r="X46" i="1" s="1"/>
  <c r="X55" i="1" s="1"/>
  <c r="E225" i="1"/>
  <c r="E151" i="1" s="1"/>
  <c r="F24" i="1"/>
  <c r="F225" i="1" s="1"/>
  <c r="G24" i="1"/>
  <c r="G225" i="1" s="1"/>
  <c r="H24" i="1"/>
  <c r="H225" i="1" s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N54" i="1" l="1"/>
  <c r="S54" i="1"/>
  <c r="O54" i="1"/>
  <c r="K54" i="1"/>
  <c r="G54" i="1"/>
  <c r="J54" i="1"/>
  <c r="Q54" i="1"/>
  <c r="I54" i="1"/>
  <c r="R54" i="1"/>
  <c r="F54" i="1"/>
  <c r="U54" i="1"/>
  <c r="M54" i="1"/>
  <c r="T54" i="1"/>
  <c r="P54" i="1"/>
  <c r="L54" i="1"/>
  <c r="H54" i="1"/>
  <c r="E223" i="1"/>
  <c r="E370" i="1"/>
  <c r="E368" i="1" s="1"/>
  <c r="G223" i="1"/>
  <c r="G370" i="1"/>
  <c r="G368" i="1" s="1"/>
  <c r="F223" i="1"/>
  <c r="F370" i="1"/>
  <c r="F368" i="1" s="1"/>
  <c r="H223" i="1"/>
  <c r="H370" i="1"/>
  <c r="H368" i="1" s="1"/>
  <c r="X151" i="1"/>
  <c r="T151" i="1"/>
  <c r="P151" i="1"/>
  <c r="L151" i="1"/>
  <c r="H151" i="1"/>
  <c r="V151" i="1"/>
  <c r="R151" i="1"/>
  <c r="N151" i="1"/>
  <c r="J151" i="1"/>
  <c r="F151" i="1"/>
  <c r="U151" i="1"/>
  <c r="Q151" i="1"/>
  <c r="M151" i="1"/>
  <c r="I151" i="1"/>
  <c r="W151" i="1"/>
  <c r="S151" i="1"/>
  <c r="O151" i="1"/>
  <c r="K151" i="1"/>
  <c r="G151" i="1"/>
  <c r="H244" i="1"/>
  <c r="H238" i="1"/>
  <c r="G244" i="1"/>
  <c r="G238" i="1"/>
  <c r="F244" i="1"/>
  <c r="F238" i="1"/>
  <c r="E244" i="1"/>
  <c r="E238" i="1"/>
  <c r="X22" i="1"/>
  <c r="X21" i="1" s="1"/>
  <c r="X87" i="1" s="1"/>
  <c r="T22" i="1"/>
  <c r="P22" i="1"/>
  <c r="H22" i="1"/>
  <c r="L22" i="1"/>
  <c r="V22" i="1"/>
  <c r="R22" i="1"/>
  <c r="N22" i="1"/>
  <c r="J22" i="1"/>
  <c r="F22" i="1"/>
  <c r="Z106" i="1"/>
  <c r="E22" i="1"/>
  <c r="W22" i="1"/>
  <c r="S22" i="1"/>
  <c r="O22" i="1"/>
  <c r="K22" i="1"/>
  <c r="G22" i="1"/>
  <c r="Z111" i="1"/>
  <c r="X79" i="1"/>
  <c r="Y22" i="1"/>
  <c r="U22" i="1"/>
  <c r="Q22" i="1"/>
  <c r="M22" i="1"/>
  <c r="I22" i="1"/>
  <c r="X32" i="1"/>
  <c r="X53" i="1"/>
  <c r="Z23" i="1"/>
  <c r="Z24" i="1"/>
  <c r="E33" i="1"/>
  <c r="X274" i="1" l="1"/>
  <c r="X403" i="1" s="1"/>
  <c r="X426" i="1" s="1"/>
  <c r="X35" i="1"/>
  <c r="X154" i="1" s="1"/>
  <c r="X29" i="1"/>
  <c r="F242" i="1"/>
  <c r="F389" i="1"/>
  <c r="F387" i="1" s="1"/>
  <c r="H242" i="1"/>
  <c r="H389" i="1"/>
  <c r="H387" i="1" s="1"/>
  <c r="E242" i="1"/>
  <c r="E389" i="1"/>
  <c r="E387" i="1" s="1"/>
  <c r="E236" i="1"/>
  <c r="E383" i="1"/>
  <c r="E381" i="1" s="1"/>
  <c r="G236" i="1"/>
  <c r="G383" i="1"/>
  <c r="G381" i="1" s="1"/>
  <c r="G242" i="1"/>
  <c r="G389" i="1"/>
  <c r="G387" i="1" s="1"/>
  <c r="F236" i="1"/>
  <c r="F383" i="1"/>
  <c r="F381" i="1" s="1"/>
  <c r="H236" i="1"/>
  <c r="H383" i="1"/>
  <c r="H381" i="1" s="1"/>
  <c r="X76" i="1"/>
  <c r="X85" i="1"/>
  <c r="X84" i="1" s="1"/>
  <c r="X78" i="1"/>
  <c r="L68" i="1"/>
  <c r="L27" i="1" s="1"/>
  <c r="X75" i="1" l="1"/>
  <c r="X256" i="1"/>
  <c r="X254" i="1" s="1"/>
  <c r="X418" i="1" s="1"/>
  <c r="V21" i="10"/>
  <c r="V20" i="10"/>
  <c r="V19" i="10"/>
  <c r="V6" i="10"/>
  <c r="U6" i="10"/>
  <c r="V78" i="10"/>
  <c r="V74" i="10"/>
  <c r="V66" i="10"/>
  <c r="V62" i="10"/>
  <c r="V49" i="10"/>
  <c r="V48" i="10"/>
  <c r="V29" i="10"/>
  <c r="V15" i="10"/>
  <c r="V14" i="10"/>
  <c r="V13" i="10"/>
  <c r="V3" i="10"/>
  <c r="D81" i="10"/>
  <c r="D80" i="10"/>
  <c r="D78" i="10"/>
  <c r="D77" i="10"/>
  <c r="D76" i="10"/>
  <c r="D74" i="10"/>
  <c r="D73" i="10"/>
  <c r="D72" i="10"/>
  <c r="D70" i="10"/>
  <c r="D69" i="10"/>
  <c r="D68" i="10"/>
  <c r="D66" i="10"/>
  <c r="U48" i="10"/>
  <c r="X253" i="1" l="1"/>
  <c r="X395" i="1"/>
  <c r="V16" i="10"/>
  <c r="V17" i="10"/>
  <c r="V18" i="10"/>
  <c r="V27" i="10"/>
  <c r="V30" i="10" s="1"/>
  <c r="V28" i="10"/>
  <c r="V31" i="10" s="1"/>
  <c r="V32" i="10"/>
  <c r="V36" i="10" l="1"/>
  <c r="V39" i="10" s="1"/>
  <c r="V42" i="10" s="1"/>
  <c r="V35" i="10"/>
  <c r="V38" i="10" s="1"/>
  <c r="V41" i="10" s="1"/>
  <c r="V34" i="10"/>
  <c r="V37" i="10" s="1"/>
  <c r="V40" i="10" s="1"/>
  <c r="V71" i="10" l="1"/>
  <c r="V67" i="10" s="1"/>
  <c r="V72" i="10"/>
  <c r="V76" i="10" s="1"/>
  <c r="V80" i="10" s="1"/>
  <c r="V73" i="10"/>
  <c r="V69" i="10" s="1"/>
  <c r="V75" i="10" l="1"/>
  <c r="V79" i="10" s="1"/>
  <c r="V77" i="10"/>
  <c r="V81" i="10" s="1"/>
  <c r="V68" i="10"/>
  <c r="D42" i="10"/>
  <c r="D41" i="10"/>
  <c r="D40" i="10"/>
  <c r="D39" i="10"/>
  <c r="D38" i="10"/>
  <c r="D37" i="10"/>
  <c r="D36" i="10"/>
  <c r="D35" i="10"/>
  <c r="D34" i="10"/>
  <c r="D32" i="10"/>
  <c r="D31" i="10"/>
  <c r="D30" i="10"/>
  <c r="D29" i="10"/>
  <c r="D28" i="10"/>
  <c r="D27" i="10"/>
  <c r="U29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U14" i="10"/>
  <c r="U15" i="10"/>
  <c r="DO270" i="10"/>
  <c r="DN270" i="10"/>
  <c r="DM270" i="10"/>
  <c r="DL270" i="10"/>
  <c r="DO269" i="10"/>
  <c r="DN269" i="10"/>
  <c r="DM269" i="10"/>
  <c r="DL269" i="10"/>
  <c r="DO268" i="10"/>
  <c r="DN268" i="10"/>
  <c r="DM268" i="10"/>
  <c r="DL268" i="10"/>
  <c r="DO267" i="10"/>
  <c r="DN267" i="10"/>
  <c r="DM267" i="10"/>
  <c r="DL267" i="10"/>
  <c r="U62" i="10"/>
  <c r="U78" i="10"/>
  <c r="U74" i="10"/>
  <c r="U66" i="10"/>
  <c r="DQ232" i="10"/>
  <c r="DP232" i="10"/>
  <c r="DO232" i="10"/>
  <c r="DN232" i="10"/>
  <c r="DM232" i="10"/>
  <c r="DL232" i="10"/>
  <c r="DK232" i="10"/>
  <c r="DJ232" i="10"/>
  <c r="DI232" i="10"/>
  <c r="DH232" i="10"/>
  <c r="DG232" i="10"/>
  <c r="U49" i="10"/>
  <c r="DQ230" i="10"/>
  <c r="DP230" i="10"/>
  <c r="DO230" i="10"/>
  <c r="DN230" i="10"/>
  <c r="DM230" i="10"/>
  <c r="DL230" i="10"/>
  <c r="DK230" i="10"/>
  <c r="DJ230" i="10"/>
  <c r="DI230" i="10"/>
  <c r="DH230" i="10"/>
  <c r="DG230" i="10"/>
  <c r="CQ218" i="10"/>
  <c r="CP218" i="10"/>
  <c r="CO218" i="10"/>
  <c r="CN218" i="10"/>
  <c r="CM218" i="10"/>
  <c r="CL218" i="10"/>
  <c r="CI218" i="10"/>
  <c r="CH218" i="10"/>
  <c r="U13" i="10"/>
  <c r="U3" i="10"/>
  <c r="U28" i="10" l="1"/>
  <c r="U31" i="10" s="1"/>
  <c r="U32" i="10"/>
  <c r="U27" i="10"/>
  <c r="U30" i="10" s="1"/>
  <c r="U17" i="10"/>
  <c r="DG241" i="10"/>
  <c r="DK241" i="10"/>
  <c r="DO241" i="10"/>
  <c r="U16" i="10"/>
  <c r="U18" i="10"/>
  <c r="DH241" i="10"/>
  <c r="DL241" i="10"/>
  <c r="DP241" i="10"/>
  <c r="DM241" i="10"/>
  <c r="DJ241" i="10"/>
  <c r="DN241" i="10"/>
  <c r="DI241" i="10"/>
  <c r="DQ241" i="10"/>
  <c r="U35" i="10" l="1"/>
  <c r="U38" i="10" s="1"/>
  <c r="U41" i="10" s="1"/>
  <c r="U72" i="10" s="1"/>
  <c r="U36" i="10"/>
  <c r="U39" i="10" s="1"/>
  <c r="U42" i="10" s="1"/>
  <c r="U73" i="10" s="1"/>
  <c r="U34" i="10"/>
  <c r="U37" i="10" s="1"/>
  <c r="U40" i="10" s="1"/>
  <c r="U71" i="10" s="1"/>
  <c r="Z69" i="1"/>
  <c r="Z70" i="1"/>
  <c r="F68" i="1"/>
  <c r="F27" i="1" s="1"/>
  <c r="G68" i="1"/>
  <c r="G27" i="1" s="1"/>
  <c r="H68" i="1"/>
  <c r="H27" i="1" s="1"/>
  <c r="I68" i="1"/>
  <c r="I27" i="1" s="1"/>
  <c r="J68" i="1"/>
  <c r="J27" i="1" s="1"/>
  <c r="K68" i="1"/>
  <c r="K27" i="1" s="1"/>
  <c r="X66" i="1"/>
  <c r="X142" i="1" s="1"/>
  <c r="X89" i="1" s="1"/>
  <c r="E68" i="1"/>
  <c r="E27" i="1" s="1"/>
  <c r="U75" i="10" l="1"/>
  <c r="U79" i="10" s="1"/>
  <c r="C183" i="1" s="1"/>
  <c r="U67" i="10"/>
  <c r="U77" i="10"/>
  <c r="U81" i="10" s="1"/>
  <c r="C184" i="1" s="1"/>
  <c r="U69" i="10"/>
  <c r="U76" i="10"/>
  <c r="U80" i="10" s="1"/>
  <c r="U68" i="10"/>
  <c r="S13" i="1"/>
  <c r="N13" i="1"/>
  <c r="X13" i="1"/>
  <c r="X18" i="1"/>
  <c r="C185" i="1" l="1"/>
  <c r="X12" i="1"/>
  <c r="X150" i="1" s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Y50" i="1"/>
  <c r="E50" i="1"/>
  <c r="Z52" i="1"/>
  <c r="Z51" i="1"/>
  <c r="P32" i="1"/>
  <c r="F33" i="1"/>
  <c r="G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Y33" i="1"/>
  <c r="F34" i="1"/>
  <c r="G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Y34" i="1"/>
  <c r="E34" i="1"/>
  <c r="M32" i="1" l="1"/>
  <c r="M46" i="1"/>
  <c r="M55" i="1" s="1"/>
  <c r="Y46" i="1"/>
  <c r="Y55" i="1" s="1"/>
  <c r="W46" i="1"/>
  <c r="W55" i="1" s="1"/>
  <c r="S46" i="1"/>
  <c r="S55" i="1" s="1"/>
  <c r="O46" i="1"/>
  <c r="O55" i="1" s="1"/>
  <c r="K32" i="1"/>
  <c r="K46" i="1"/>
  <c r="K55" i="1" s="1"/>
  <c r="G32" i="1"/>
  <c r="G46" i="1"/>
  <c r="G55" i="1" s="1"/>
  <c r="V46" i="1"/>
  <c r="V55" i="1" s="1"/>
  <c r="R32" i="1"/>
  <c r="R46" i="1"/>
  <c r="R55" i="1" s="1"/>
  <c r="N46" i="1"/>
  <c r="N55" i="1" s="1"/>
  <c r="J32" i="1"/>
  <c r="J46" i="1"/>
  <c r="J55" i="1" s="1"/>
  <c r="F46" i="1"/>
  <c r="F55" i="1" s="1"/>
  <c r="E32" i="1"/>
  <c r="E46" i="1"/>
  <c r="U32" i="1"/>
  <c r="U46" i="1"/>
  <c r="U55" i="1" s="1"/>
  <c r="I32" i="1"/>
  <c r="I46" i="1"/>
  <c r="I55" i="1" s="1"/>
  <c r="Q32" i="1"/>
  <c r="Q46" i="1"/>
  <c r="Q55" i="1" s="1"/>
  <c r="T46" i="1"/>
  <c r="T55" i="1" s="1"/>
  <c r="P46" i="1"/>
  <c r="P55" i="1" s="1"/>
  <c r="L46" i="1"/>
  <c r="L55" i="1" s="1"/>
  <c r="H32" i="1"/>
  <c r="H46" i="1"/>
  <c r="H55" i="1" s="1"/>
  <c r="C186" i="1"/>
  <c r="Y32" i="1"/>
  <c r="T32" i="1"/>
  <c r="X36" i="1"/>
  <c r="X37" i="1"/>
  <c r="L32" i="1"/>
  <c r="S32" i="1"/>
  <c r="W32" i="1"/>
  <c r="V32" i="1"/>
  <c r="N32" i="1"/>
  <c r="F32" i="1"/>
  <c r="O32" i="1"/>
  <c r="Z34" i="1"/>
  <c r="Z33" i="1"/>
  <c r="Z50" i="1"/>
  <c r="V181" i="1" l="1"/>
  <c r="Y181" i="1"/>
  <c r="U181" i="1"/>
  <c r="E181" i="1"/>
  <c r="H181" i="1"/>
  <c r="P181" i="1"/>
  <c r="S181" i="1"/>
  <c r="O181" i="1"/>
  <c r="M181" i="1"/>
  <c r="L181" i="1"/>
  <c r="J181" i="1"/>
  <c r="T181" i="1"/>
  <c r="W181" i="1"/>
  <c r="X181" i="1"/>
  <c r="R181" i="1"/>
  <c r="F181" i="1"/>
  <c r="Q181" i="1"/>
  <c r="K181" i="1"/>
  <c r="N181" i="1"/>
  <c r="I181" i="1"/>
  <c r="G181" i="1"/>
  <c r="Z32" i="1"/>
  <c r="F18" i="1" l="1"/>
  <c r="G18" i="1"/>
  <c r="H18" i="1"/>
  <c r="I18" i="1"/>
  <c r="J18" i="1"/>
  <c r="K18" i="1"/>
  <c r="L18" i="1"/>
  <c r="M18" i="1"/>
  <c r="N18" i="1"/>
  <c r="N12" i="1" s="1"/>
  <c r="N150" i="1" s="1"/>
  <c r="O18" i="1"/>
  <c r="P18" i="1"/>
  <c r="Q18" i="1"/>
  <c r="R18" i="1"/>
  <c r="S18" i="1"/>
  <c r="S12" i="1" s="1"/>
  <c r="S150" i="1" s="1"/>
  <c r="T18" i="1"/>
  <c r="U18" i="1"/>
  <c r="V18" i="1"/>
  <c r="W18" i="1"/>
  <c r="Y18" i="1"/>
  <c r="E18" i="1"/>
  <c r="F13" i="1"/>
  <c r="G13" i="1"/>
  <c r="H13" i="1"/>
  <c r="I13" i="1"/>
  <c r="J13" i="1"/>
  <c r="J12" i="1" s="1"/>
  <c r="J150" i="1" s="1"/>
  <c r="K13" i="1"/>
  <c r="K12" i="1" s="1"/>
  <c r="K150" i="1" s="1"/>
  <c r="L13" i="1"/>
  <c r="L12" i="1" s="1"/>
  <c r="L150" i="1" s="1"/>
  <c r="M13" i="1"/>
  <c r="M12" i="1" s="1"/>
  <c r="M150" i="1" s="1"/>
  <c r="O13" i="1"/>
  <c r="P13" i="1"/>
  <c r="Q13" i="1"/>
  <c r="R13" i="1"/>
  <c r="T13" i="1"/>
  <c r="U13" i="1"/>
  <c r="V13" i="1"/>
  <c r="W13" i="1"/>
  <c r="Y13" i="1"/>
  <c r="E13" i="1"/>
  <c r="R12" i="1" l="1"/>
  <c r="R150" i="1" s="1"/>
  <c r="P12" i="1"/>
  <c r="P150" i="1" s="1"/>
  <c r="Y12" i="1"/>
  <c r="T12" i="1"/>
  <c r="T150" i="1" s="1"/>
  <c r="W12" i="1"/>
  <c r="W150" i="1" s="1"/>
  <c r="O12" i="1"/>
  <c r="O150" i="1" s="1"/>
  <c r="Q12" i="1"/>
  <c r="Q150" i="1" s="1"/>
  <c r="E12" i="1"/>
  <c r="E150" i="1" s="1"/>
  <c r="G12" i="1"/>
  <c r="G150" i="1" s="1"/>
  <c r="U12" i="1"/>
  <c r="U150" i="1" s="1"/>
  <c r="F12" i="1"/>
  <c r="F150" i="1" s="1"/>
  <c r="I12" i="1"/>
  <c r="I150" i="1" s="1"/>
  <c r="V12" i="1"/>
  <c r="V150" i="1" s="1"/>
  <c r="H12" i="1"/>
  <c r="H150" i="1" s="1"/>
  <c r="Z18" i="1"/>
  <c r="Z13" i="1"/>
  <c r="W424" i="1" l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E414" i="1"/>
  <c r="S425" i="1" l="1"/>
  <c r="P425" i="1"/>
  <c r="Q425" i="1"/>
  <c r="U425" i="1"/>
  <c r="O425" i="1"/>
  <c r="W425" i="1"/>
  <c r="T425" i="1"/>
  <c r="N425" i="1"/>
  <c r="R425" i="1"/>
  <c r="V425" i="1"/>
  <c r="J422" i="1"/>
  <c r="V422" i="1"/>
  <c r="F422" i="1"/>
  <c r="R422" i="1"/>
  <c r="N422" i="1"/>
  <c r="U422" i="1"/>
  <c r="P422" i="1"/>
  <c r="K422" i="1"/>
  <c r="E422" i="1"/>
  <c r="T422" i="1"/>
  <c r="O422" i="1"/>
  <c r="I422" i="1"/>
  <c r="S422" i="1"/>
  <c r="M422" i="1"/>
  <c r="H422" i="1"/>
  <c r="W422" i="1"/>
  <c r="Q422" i="1"/>
  <c r="L422" i="1"/>
  <c r="G422" i="1"/>
  <c r="E425" i="1" l="1"/>
  <c r="J425" i="1"/>
  <c r="F425" i="1"/>
  <c r="M425" i="1"/>
  <c r="I425" i="1"/>
  <c r="L425" i="1"/>
  <c r="H425" i="1"/>
  <c r="K425" i="1"/>
  <c r="G425" i="1"/>
  <c r="L153" i="1"/>
  <c r="M153" i="1"/>
  <c r="N153" i="1"/>
  <c r="O153" i="1"/>
  <c r="E153" i="1"/>
  <c r="U153" i="1" l="1"/>
  <c r="Q153" i="1"/>
  <c r="I153" i="1"/>
  <c r="T153" i="1"/>
  <c r="P153" i="1"/>
  <c r="H153" i="1"/>
  <c r="V153" i="1"/>
  <c r="R153" i="1"/>
  <c r="J153" i="1"/>
  <c r="F153" i="1"/>
  <c r="W153" i="1"/>
  <c r="S153" i="1"/>
  <c r="K153" i="1"/>
  <c r="G153" i="1"/>
  <c r="N29" i="1"/>
  <c r="V29" i="1"/>
  <c r="F29" i="1"/>
  <c r="W29" i="1"/>
  <c r="S29" i="1"/>
  <c r="K29" i="1"/>
  <c r="G29" i="1"/>
  <c r="R29" i="1"/>
  <c r="O29" i="1"/>
  <c r="J29" i="1"/>
  <c r="T29" i="1"/>
  <c r="Y29" i="1"/>
  <c r="P29" i="1"/>
  <c r="L29" i="1"/>
  <c r="H29" i="1"/>
  <c r="E29" i="1"/>
  <c r="U29" i="1"/>
  <c r="Q29" i="1"/>
  <c r="M29" i="1"/>
  <c r="I29" i="1"/>
  <c r="Z30" i="1"/>
  <c r="Z31" i="1"/>
  <c r="F26" i="1"/>
  <c r="F152" i="1" s="1"/>
  <c r="G26" i="1"/>
  <c r="G152" i="1" s="1"/>
  <c r="H26" i="1"/>
  <c r="H152" i="1" s="1"/>
  <c r="I26" i="1"/>
  <c r="I152" i="1" s="1"/>
  <c r="L26" i="1"/>
  <c r="L152" i="1" s="1"/>
  <c r="O26" i="1"/>
  <c r="O152" i="1" s="1"/>
  <c r="P26" i="1"/>
  <c r="P152" i="1" s="1"/>
  <c r="R26" i="1"/>
  <c r="R152" i="1" s="1"/>
  <c r="S26" i="1"/>
  <c r="S152" i="1" s="1"/>
  <c r="T26" i="1"/>
  <c r="T152" i="1" s="1"/>
  <c r="U26" i="1"/>
  <c r="U152" i="1" s="1"/>
  <c r="V26" i="1"/>
  <c r="V152" i="1" s="1"/>
  <c r="W26" i="1"/>
  <c r="W152" i="1" s="1"/>
  <c r="Y26" i="1"/>
  <c r="Z47" i="1"/>
  <c r="AA47" i="1" s="1"/>
  <c r="AB43" i="1"/>
  <c r="Y79" i="1" l="1"/>
  <c r="Y76" i="1" s="1"/>
  <c r="Y256" i="1" s="1"/>
  <c r="S79" i="1"/>
  <c r="S76" i="1" s="1"/>
  <c r="S256" i="1" s="1"/>
  <c r="O79" i="1"/>
  <c r="O76" i="1" s="1"/>
  <c r="O256" i="1" s="1"/>
  <c r="W21" i="1"/>
  <c r="W87" i="1" s="1"/>
  <c r="W79" i="1"/>
  <c r="W76" i="1" s="1"/>
  <c r="W256" i="1" s="1"/>
  <c r="G21" i="1"/>
  <c r="G37" i="1" s="1"/>
  <c r="G79" i="1"/>
  <c r="G76" i="1" s="1"/>
  <c r="G256" i="1" s="1"/>
  <c r="U21" i="1"/>
  <c r="U87" i="1" s="1"/>
  <c r="U79" i="1"/>
  <c r="U76" i="1" s="1"/>
  <c r="U256" i="1" s="1"/>
  <c r="I21" i="1"/>
  <c r="I37" i="1" s="1"/>
  <c r="I79" i="1"/>
  <c r="I76" i="1" s="1"/>
  <c r="I256" i="1" s="1"/>
  <c r="T21" i="1"/>
  <c r="T37" i="1" s="1"/>
  <c r="T79" i="1"/>
  <c r="T76" i="1" s="1"/>
  <c r="T256" i="1" s="1"/>
  <c r="P21" i="1"/>
  <c r="P87" i="1" s="1"/>
  <c r="P79" i="1"/>
  <c r="P76" i="1" s="1"/>
  <c r="P256" i="1" s="1"/>
  <c r="L21" i="1"/>
  <c r="L37" i="1" s="1"/>
  <c r="L79" i="1"/>
  <c r="L76" i="1" s="1"/>
  <c r="L256" i="1" s="1"/>
  <c r="H21" i="1"/>
  <c r="H37" i="1" s="1"/>
  <c r="H79" i="1"/>
  <c r="H76" i="1" s="1"/>
  <c r="H256" i="1" s="1"/>
  <c r="V21" i="1"/>
  <c r="V87" i="1" s="1"/>
  <c r="V79" i="1"/>
  <c r="V76" i="1" s="1"/>
  <c r="V256" i="1" s="1"/>
  <c r="R21" i="1"/>
  <c r="R37" i="1" s="1"/>
  <c r="R79" i="1"/>
  <c r="R76" i="1" s="1"/>
  <c r="R256" i="1" s="1"/>
  <c r="F21" i="1"/>
  <c r="F37" i="1" s="1"/>
  <c r="F79" i="1"/>
  <c r="F76" i="1" s="1"/>
  <c r="F256" i="1" s="1"/>
  <c r="S21" i="1"/>
  <c r="S87" i="1" s="1"/>
  <c r="O21" i="1"/>
  <c r="O87" i="1" s="1"/>
  <c r="Y21" i="1"/>
  <c r="Y87" i="1" s="1"/>
  <c r="M26" i="1"/>
  <c r="M152" i="1" s="1"/>
  <c r="J26" i="1"/>
  <c r="J152" i="1" s="1"/>
  <c r="Q26" i="1"/>
  <c r="Q152" i="1" s="1"/>
  <c r="N26" i="1"/>
  <c r="N152" i="1" s="1"/>
  <c r="K26" i="1"/>
  <c r="K152" i="1" s="1"/>
  <c r="Z49" i="1"/>
  <c r="AA49" i="1" s="1"/>
  <c r="Z45" i="1"/>
  <c r="AA45" i="1" s="1"/>
  <c r="Z71" i="1"/>
  <c r="AA71" i="1" s="1"/>
  <c r="W66" i="1"/>
  <c r="S66" i="1"/>
  <c r="S142" i="1" s="1"/>
  <c r="O66" i="1"/>
  <c r="O142" i="1" s="1"/>
  <c r="K66" i="1"/>
  <c r="K142" i="1" s="1"/>
  <c r="G66" i="1"/>
  <c r="G142" i="1" s="1"/>
  <c r="Z68" i="1"/>
  <c r="AA68" i="1" s="1"/>
  <c r="Z67" i="1"/>
  <c r="Y66" i="1"/>
  <c r="V66" i="1"/>
  <c r="U66" i="1"/>
  <c r="T66" i="1"/>
  <c r="T142" i="1" s="1"/>
  <c r="R66" i="1"/>
  <c r="R142" i="1" s="1"/>
  <c r="Q66" i="1"/>
  <c r="Q142" i="1" s="1"/>
  <c r="P66" i="1"/>
  <c r="P142" i="1" s="1"/>
  <c r="N66" i="1"/>
  <c r="N142" i="1" s="1"/>
  <c r="M66" i="1"/>
  <c r="M142" i="1" s="1"/>
  <c r="L66" i="1"/>
  <c r="J66" i="1"/>
  <c r="J142" i="1" s="1"/>
  <c r="I66" i="1"/>
  <c r="I142" i="1" s="1"/>
  <c r="H66" i="1"/>
  <c r="H142" i="1" s="1"/>
  <c r="F66" i="1"/>
  <c r="F142" i="1" s="1"/>
  <c r="E66" i="1"/>
  <c r="E142" i="1" s="1"/>
  <c r="Z44" i="1"/>
  <c r="E43" i="1"/>
  <c r="E38" i="1" s="1"/>
  <c r="O89" i="1" l="1"/>
  <c r="S89" i="1"/>
  <c r="P89" i="1"/>
  <c r="W274" i="1"/>
  <c r="W403" i="1" s="1"/>
  <c r="O274" i="1"/>
  <c r="O403" i="1" s="1"/>
  <c r="U274" i="1"/>
  <c r="U403" i="1" s="1"/>
  <c r="S274" i="1"/>
  <c r="S403" i="1" s="1"/>
  <c r="P274" i="1"/>
  <c r="P403" i="1" s="1"/>
  <c r="V274" i="1"/>
  <c r="V403" i="1" s="1"/>
  <c r="E55" i="1"/>
  <c r="E54" i="1"/>
  <c r="V36" i="1"/>
  <c r="W36" i="1"/>
  <c r="R78" i="1"/>
  <c r="N79" i="1"/>
  <c r="N76" i="1" s="1"/>
  <c r="N256" i="1" s="1"/>
  <c r="Q79" i="1"/>
  <c r="Q76" i="1" s="1"/>
  <c r="Q256" i="1" s="1"/>
  <c r="W37" i="1"/>
  <c r="U36" i="1"/>
  <c r="V78" i="1"/>
  <c r="W78" i="1"/>
  <c r="L78" i="1"/>
  <c r="Z38" i="1"/>
  <c r="P37" i="1"/>
  <c r="P36" i="1"/>
  <c r="Y142" i="1"/>
  <c r="Y89" i="1" s="1"/>
  <c r="J79" i="1"/>
  <c r="J76" i="1" s="1"/>
  <c r="J256" i="1" s="1"/>
  <c r="J21" i="1"/>
  <c r="R36" i="1"/>
  <c r="R87" i="1"/>
  <c r="R89" i="1" s="1"/>
  <c r="M21" i="1"/>
  <c r="M37" i="1" s="1"/>
  <c r="M79" i="1"/>
  <c r="M76" i="1" s="1"/>
  <c r="M256" i="1" s="1"/>
  <c r="U37" i="1"/>
  <c r="V37" i="1"/>
  <c r="H36" i="1"/>
  <c r="H87" i="1"/>
  <c r="H89" i="1" s="1"/>
  <c r="I36" i="1"/>
  <c r="I87" i="1"/>
  <c r="I89" i="1" s="1"/>
  <c r="G36" i="1"/>
  <c r="G87" i="1"/>
  <c r="G89" i="1" s="1"/>
  <c r="U142" i="1"/>
  <c r="U89" i="1" s="1"/>
  <c r="K79" i="1"/>
  <c r="K76" i="1" s="1"/>
  <c r="K256" i="1" s="1"/>
  <c r="K21" i="1"/>
  <c r="F36" i="1"/>
  <c r="F87" i="1"/>
  <c r="F89" i="1" s="1"/>
  <c r="L72" i="1"/>
  <c r="L142" i="1"/>
  <c r="V142" i="1"/>
  <c r="V89" i="1" s="1"/>
  <c r="W142" i="1"/>
  <c r="W89" i="1" s="1"/>
  <c r="L36" i="1"/>
  <c r="L87" i="1"/>
  <c r="L89" i="1" s="1"/>
  <c r="T36" i="1"/>
  <c r="T87" i="1"/>
  <c r="T89" i="1" s="1"/>
  <c r="S36" i="1"/>
  <c r="S37" i="1"/>
  <c r="Q21" i="1"/>
  <c r="O37" i="1"/>
  <c r="O36" i="1"/>
  <c r="N21" i="1"/>
  <c r="Y37" i="1"/>
  <c r="Y36" i="1"/>
  <c r="P78" i="1"/>
  <c r="H78" i="1"/>
  <c r="L74" i="1"/>
  <c r="L73" i="1"/>
  <c r="T78" i="1"/>
  <c r="U78" i="1"/>
  <c r="K74" i="1"/>
  <c r="H73" i="1"/>
  <c r="I74" i="1"/>
  <c r="K73" i="1"/>
  <c r="J73" i="1"/>
  <c r="F78" i="1"/>
  <c r="F73" i="1"/>
  <c r="G74" i="1"/>
  <c r="F74" i="1"/>
  <c r="H74" i="1"/>
  <c r="J74" i="1"/>
  <c r="G78" i="1"/>
  <c r="Y78" i="1"/>
  <c r="S78" i="1"/>
  <c r="O78" i="1"/>
  <c r="I78" i="1"/>
  <c r="I73" i="1"/>
  <c r="G73" i="1"/>
  <c r="Z46" i="1"/>
  <c r="Z66" i="1"/>
  <c r="G72" i="1"/>
  <c r="K72" i="1"/>
  <c r="H72" i="1"/>
  <c r="I72" i="1"/>
  <c r="AA67" i="1"/>
  <c r="J72" i="1"/>
  <c r="F53" i="1"/>
  <c r="J53" i="1"/>
  <c r="N53" i="1"/>
  <c r="R53" i="1"/>
  <c r="V53" i="1"/>
  <c r="H53" i="1"/>
  <c r="P53" i="1"/>
  <c r="Y53" i="1"/>
  <c r="Y35" i="1" s="1"/>
  <c r="Z43" i="1"/>
  <c r="AA43" i="1" s="1"/>
  <c r="L53" i="1"/>
  <c r="L35" i="1" s="1"/>
  <c r="T53" i="1"/>
  <c r="G53" i="1"/>
  <c r="K53" i="1"/>
  <c r="O53" i="1"/>
  <c r="S53" i="1"/>
  <c r="W53" i="1"/>
  <c r="I53" i="1"/>
  <c r="M53" i="1"/>
  <c r="Q53" i="1"/>
  <c r="U53" i="1"/>
  <c r="AB12" i="1"/>
  <c r="Z20" i="1"/>
  <c r="AA20" i="1" s="1"/>
  <c r="Z19" i="1"/>
  <c r="AA19" i="1" s="1"/>
  <c r="Z17" i="1"/>
  <c r="AA17" i="1" s="1"/>
  <c r="Z16" i="1"/>
  <c r="AA16" i="1" s="1"/>
  <c r="Z14" i="1"/>
  <c r="G35" i="1" l="1"/>
  <c r="I274" i="1"/>
  <c r="I403" i="1" s="1"/>
  <c r="R274" i="1"/>
  <c r="R403" i="1" s="1"/>
  <c r="L274" i="1"/>
  <c r="L403" i="1" s="1"/>
  <c r="T274" i="1"/>
  <c r="T403" i="1" s="1"/>
  <c r="F274" i="1"/>
  <c r="F403" i="1" s="1"/>
  <c r="G274" i="1"/>
  <c r="G403" i="1" s="1"/>
  <c r="H274" i="1"/>
  <c r="H403" i="1" s="1"/>
  <c r="Z54" i="1"/>
  <c r="I35" i="1"/>
  <c r="I154" i="1" s="1"/>
  <c r="K35" i="1"/>
  <c r="K154" i="1" s="1"/>
  <c r="F35" i="1"/>
  <c r="F154" i="1" s="1"/>
  <c r="U35" i="1"/>
  <c r="U154" i="1" s="1"/>
  <c r="V35" i="1"/>
  <c r="V154" i="1" s="1"/>
  <c r="W35" i="1"/>
  <c r="W154" i="1" s="1"/>
  <c r="R35" i="1"/>
  <c r="R154" i="1" s="1"/>
  <c r="Q35" i="1"/>
  <c r="Q154" i="1" s="1"/>
  <c r="S35" i="1"/>
  <c r="S154" i="1" s="1"/>
  <c r="T154" i="1"/>
  <c r="T35" i="1"/>
  <c r="P35" i="1"/>
  <c r="P154" i="1" s="1"/>
  <c r="N35" i="1"/>
  <c r="N154" i="1" s="1"/>
  <c r="M35" i="1"/>
  <c r="M154" i="1" s="1"/>
  <c r="O35" i="1"/>
  <c r="O154" i="1" s="1"/>
  <c r="H35" i="1"/>
  <c r="H154" i="1" s="1"/>
  <c r="J35" i="1"/>
  <c r="J154" i="1" s="1"/>
  <c r="AA46" i="1"/>
  <c r="Z55" i="1"/>
  <c r="G154" i="1"/>
  <c r="L154" i="1"/>
  <c r="N78" i="1"/>
  <c r="Q78" i="1"/>
  <c r="Z142" i="1"/>
  <c r="K78" i="1"/>
  <c r="M36" i="1"/>
  <c r="M87" i="1"/>
  <c r="M89" i="1" s="1"/>
  <c r="N87" i="1"/>
  <c r="N89" i="1" s="1"/>
  <c r="Q87" i="1"/>
  <c r="Q89" i="1" s="1"/>
  <c r="K87" i="1"/>
  <c r="K89" i="1" s="1"/>
  <c r="K36" i="1"/>
  <c r="K37" i="1"/>
  <c r="J78" i="1"/>
  <c r="J87" i="1"/>
  <c r="J89" i="1" s="1"/>
  <c r="J36" i="1"/>
  <c r="J37" i="1"/>
  <c r="M78" i="1"/>
  <c r="Q36" i="1"/>
  <c r="Q37" i="1"/>
  <c r="N37" i="1"/>
  <c r="N36" i="1"/>
  <c r="AA14" i="1"/>
  <c r="Z73" i="1"/>
  <c r="Z74" i="1"/>
  <c r="AA66" i="1"/>
  <c r="J274" i="1" l="1"/>
  <c r="J403" i="1" s="1"/>
  <c r="Q274" i="1"/>
  <c r="Q403" i="1" s="1"/>
  <c r="M274" i="1"/>
  <c r="M403" i="1" s="1"/>
  <c r="N274" i="1"/>
  <c r="N403" i="1" s="1"/>
  <c r="K274" i="1"/>
  <c r="K403" i="1" s="1"/>
  <c r="AA38" i="1"/>
  <c r="Z15" i="1"/>
  <c r="F258" i="1" l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Y258" i="1"/>
  <c r="E258" i="1"/>
  <c r="E257" i="1" s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Y262" i="1"/>
  <c r="E262" i="1"/>
  <c r="E261" i="1" s="1"/>
  <c r="Y420" i="1" l="1"/>
  <c r="Y397" i="1"/>
  <c r="Y261" i="1"/>
  <c r="Y257" i="1"/>
  <c r="Y396" i="1"/>
  <c r="Y419" i="1"/>
  <c r="U261" i="1"/>
  <c r="U397" i="1"/>
  <c r="Q261" i="1"/>
  <c r="Q397" i="1"/>
  <c r="M261" i="1"/>
  <c r="M397" i="1"/>
  <c r="I261" i="1"/>
  <c r="I397" i="1"/>
  <c r="P261" i="1"/>
  <c r="P397" i="1"/>
  <c r="H261" i="1"/>
  <c r="H397" i="1"/>
  <c r="W261" i="1"/>
  <c r="W397" i="1"/>
  <c r="S261" i="1"/>
  <c r="S397" i="1"/>
  <c r="O261" i="1"/>
  <c r="O397" i="1"/>
  <c r="K261" i="1"/>
  <c r="K397" i="1"/>
  <c r="G261" i="1"/>
  <c r="G397" i="1"/>
  <c r="T261" i="1"/>
  <c r="T397" i="1"/>
  <c r="L261" i="1"/>
  <c r="L397" i="1"/>
  <c r="V261" i="1"/>
  <c r="V397" i="1"/>
  <c r="R261" i="1"/>
  <c r="R397" i="1"/>
  <c r="N261" i="1"/>
  <c r="N397" i="1"/>
  <c r="J261" i="1"/>
  <c r="J397" i="1"/>
  <c r="F261" i="1"/>
  <c r="F397" i="1"/>
  <c r="U257" i="1"/>
  <c r="U396" i="1"/>
  <c r="Q257" i="1"/>
  <c r="Q396" i="1"/>
  <c r="M257" i="1"/>
  <c r="M396" i="1"/>
  <c r="I257" i="1"/>
  <c r="I396" i="1"/>
  <c r="T257" i="1"/>
  <c r="T396" i="1"/>
  <c r="P257" i="1"/>
  <c r="P396" i="1"/>
  <c r="L257" i="1"/>
  <c r="L396" i="1"/>
  <c r="H257" i="1"/>
  <c r="H396" i="1"/>
  <c r="W257" i="1"/>
  <c r="W396" i="1"/>
  <c r="S257" i="1"/>
  <c r="S396" i="1"/>
  <c r="O257" i="1"/>
  <c r="O396" i="1"/>
  <c r="K257" i="1"/>
  <c r="K396" i="1"/>
  <c r="G257" i="1"/>
  <c r="G396" i="1"/>
  <c r="V257" i="1"/>
  <c r="V396" i="1"/>
  <c r="R257" i="1"/>
  <c r="R396" i="1"/>
  <c r="N257" i="1"/>
  <c r="N396" i="1"/>
  <c r="J257" i="1"/>
  <c r="J396" i="1"/>
  <c r="F257" i="1"/>
  <c r="F396" i="1"/>
  <c r="E420" i="1"/>
  <c r="E419" i="1"/>
  <c r="T420" i="1"/>
  <c r="H420" i="1"/>
  <c r="T419" i="1"/>
  <c r="L419" i="1"/>
  <c r="W420" i="1"/>
  <c r="K420" i="1"/>
  <c r="W419" i="1"/>
  <c r="S419" i="1"/>
  <c r="G419" i="1"/>
  <c r="R420" i="1"/>
  <c r="J420" i="1"/>
  <c r="F420" i="1"/>
  <c r="R419" i="1"/>
  <c r="N419" i="1"/>
  <c r="J419" i="1"/>
  <c r="U420" i="1"/>
  <c r="Q420" i="1"/>
  <c r="M420" i="1"/>
  <c r="I420" i="1"/>
  <c r="U419" i="1"/>
  <c r="Q419" i="1"/>
  <c r="M419" i="1"/>
  <c r="I419" i="1"/>
  <c r="P420" i="1"/>
  <c r="P419" i="1"/>
  <c r="H419" i="1"/>
  <c r="S420" i="1"/>
  <c r="K419" i="1"/>
  <c r="L420" i="1"/>
  <c r="O420" i="1"/>
  <c r="G420" i="1"/>
  <c r="O419" i="1"/>
  <c r="V420" i="1"/>
  <c r="N420" i="1"/>
  <c r="V419" i="1"/>
  <c r="F419" i="1"/>
  <c r="F428" i="1" l="1"/>
  <c r="H428" i="1"/>
  <c r="L428" i="1"/>
  <c r="P428" i="1"/>
  <c r="T428" i="1"/>
  <c r="I428" i="1"/>
  <c r="M428" i="1"/>
  <c r="Q428" i="1"/>
  <c r="U428" i="1"/>
  <c r="E428" i="1"/>
  <c r="J428" i="1"/>
  <c r="N428" i="1"/>
  <c r="R428" i="1"/>
  <c r="V428" i="1"/>
  <c r="O428" i="1"/>
  <c r="S428" i="1"/>
  <c r="G428" i="1"/>
  <c r="W428" i="1"/>
  <c r="K428" i="1"/>
  <c r="E26" i="1" l="1"/>
  <c r="E152" i="1" s="1"/>
  <c r="E21" i="1" l="1"/>
  <c r="Z21" i="1" s="1"/>
  <c r="E79" i="1"/>
  <c r="E76" i="1" s="1"/>
  <c r="E256" i="1" s="1"/>
  <c r="Z27" i="1"/>
  <c r="Z28" i="1"/>
  <c r="AA28" i="1" s="1"/>
  <c r="L75" i="1" l="1"/>
  <c r="Y75" i="1"/>
  <c r="U75" i="1"/>
  <c r="R75" i="1"/>
  <c r="W75" i="1"/>
  <c r="S75" i="1"/>
  <c r="H75" i="1"/>
  <c r="Q75" i="1"/>
  <c r="J75" i="1"/>
  <c r="O75" i="1"/>
  <c r="N75" i="1"/>
  <c r="T75" i="1"/>
  <c r="M75" i="1"/>
  <c r="F75" i="1"/>
  <c r="K75" i="1"/>
  <c r="G75" i="1"/>
  <c r="I75" i="1"/>
  <c r="E78" i="1"/>
  <c r="V75" i="1"/>
  <c r="P75" i="1"/>
  <c r="E75" i="1" l="1"/>
  <c r="E396" i="1" l="1"/>
  <c r="E397" i="1"/>
  <c r="G250" i="1" l="1"/>
  <c r="G394" i="1" s="1"/>
  <c r="S250" i="1"/>
  <c r="W250" i="1"/>
  <c r="O250" i="1"/>
  <c r="K250" i="1"/>
  <c r="K394" i="1" s="1"/>
  <c r="V250" i="1"/>
  <c r="R250" i="1"/>
  <c r="N250" i="1"/>
  <c r="J250" i="1"/>
  <c r="J394" i="1" s="1"/>
  <c r="F250" i="1"/>
  <c r="E250" i="1"/>
  <c r="U250" i="1"/>
  <c r="Q250" i="1"/>
  <c r="Q394" i="1" s="1"/>
  <c r="M250" i="1"/>
  <c r="I250" i="1"/>
  <c r="Y250" i="1"/>
  <c r="T250" i="1"/>
  <c r="T394" i="1" s="1"/>
  <c r="P250" i="1"/>
  <c r="L250" i="1"/>
  <c r="H250" i="1"/>
  <c r="E85" i="1"/>
  <c r="W85" i="1"/>
  <c r="S85" i="1"/>
  <c r="O85" i="1"/>
  <c r="K85" i="1"/>
  <c r="G85" i="1"/>
  <c r="V85" i="1"/>
  <c r="R85" i="1"/>
  <c r="N85" i="1"/>
  <c r="J85" i="1"/>
  <c r="F85" i="1"/>
  <c r="U85" i="1"/>
  <c r="Q85" i="1"/>
  <c r="M85" i="1"/>
  <c r="I85" i="1"/>
  <c r="Y85" i="1"/>
  <c r="T85" i="1"/>
  <c r="P85" i="1"/>
  <c r="L85" i="1"/>
  <c r="H85" i="1"/>
  <c r="Y249" i="1" l="1"/>
  <c r="Y394" i="1"/>
  <c r="Y417" i="1"/>
  <c r="P249" i="1"/>
  <c r="P394" i="1"/>
  <c r="F249" i="1"/>
  <c r="F394" i="1"/>
  <c r="S249" i="1"/>
  <c r="S394" i="1"/>
  <c r="U249" i="1"/>
  <c r="U394" i="1"/>
  <c r="N249" i="1"/>
  <c r="N394" i="1"/>
  <c r="O249" i="1"/>
  <c r="O394" i="1"/>
  <c r="M249" i="1"/>
  <c r="M394" i="1"/>
  <c r="V249" i="1"/>
  <c r="V394" i="1"/>
  <c r="H249" i="1"/>
  <c r="H394" i="1"/>
  <c r="L249" i="1"/>
  <c r="L394" i="1"/>
  <c r="I249" i="1"/>
  <c r="I394" i="1"/>
  <c r="R249" i="1"/>
  <c r="R394" i="1"/>
  <c r="W249" i="1"/>
  <c r="W394" i="1"/>
  <c r="E417" i="1"/>
  <c r="E249" i="1"/>
  <c r="T249" i="1"/>
  <c r="Q249" i="1"/>
  <c r="J249" i="1"/>
  <c r="K249" i="1"/>
  <c r="G249" i="1"/>
  <c r="K417" i="1"/>
  <c r="T417" i="1"/>
  <c r="G417" i="1"/>
  <c r="Q417" i="1"/>
  <c r="J417" i="1"/>
  <c r="H417" i="1"/>
  <c r="U417" i="1"/>
  <c r="E394" i="1"/>
  <c r="P417" i="1"/>
  <c r="M417" i="1"/>
  <c r="F417" i="1"/>
  <c r="I417" i="1"/>
  <c r="L417" i="1"/>
  <c r="R417" i="1"/>
  <c r="W417" i="1"/>
  <c r="N417" i="1"/>
  <c r="V417" i="1"/>
  <c r="O417" i="1"/>
  <c r="S417" i="1"/>
  <c r="Z29" i="1"/>
  <c r="AA29" i="1" s="1"/>
  <c r="Z26" i="1"/>
  <c r="AA26" i="1" l="1"/>
  <c r="AA15" i="1"/>
  <c r="Z12" i="1" l="1"/>
  <c r="AA12" i="1" l="1"/>
  <c r="Z36" i="1"/>
  <c r="Z37" i="1"/>
  <c r="L86" i="1"/>
  <c r="L84" i="1" s="1"/>
  <c r="E86" i="1"/>
  <c r="E84" i="1" s="1"/>
  <c r="Q86" i="1"/>
  <c r="Q84" i="1" s="1"/>
  <c r="R86" i="1"/>
  <c r="R84" i="1" s="1"/>
  <c r="O86" i="1"/>
  <c r="O84" i="1" s="1"/>
  <c r="H86" i="1"/>
  <c r="H84" i="1" s="1"/>
  <c r="Y86" i="1"/>
  <c r="Y84" i="1" s="1"/>
  <c r="M86" i="1"/>
  <c r="M84" i="1" s="1"/>
  <c r="J86" i="1"/>
  <c r="J84" i="1" s="1"/>
  <c r="K86" i="1"/>
  <c r="K84" i="1" s="1"/>
  <c r="T86" i="1"/>
  <c r="T84" i="1" s="1"/>
  <c r="I86" i="1"/>
  <c r="I84" i="1" s="1"/>
  <c r="U86" i="1"/>
  <c r="U84" i="1" s="1"/>
  <c r="F86" i="1"/>
  <c r="F84" i="1" s="1"/>
  <c r="G86" i="1"/>
  <c r="G84" i="1" s="1"/>
  <c r="W86" i="1"/>
  <c r="W84" i="1" s="1"/>
  <c r="P86" i="1"/>
  <c r="P84" i="1" s="1"/>
  <c r="N86" i="1"/>
  <c r="N84" i="1" s="1"/>
  <c r="V86" i="1"/>
  <c r="V84" i="1" s="1"/>
  <c r="S86" i="1"/>
  <c r="S84" i="1" s="1"/>
  <c r="Z65" i="1" l="1"/>
  <c r="Z64" i="1"/>
  <c r="V254" i="1"/>
  <c r="G254" i="1"/>
  <c r="T254" i="1"/>
  <c r="Y254" i="1"/>
  <c r="Q254" i="1"/>
  <c r="W254" i="1"/>
  <c r="I254" i="1"/>
  <c r="M254" i="1"/>
  <c r="R254" i="1"/>
  <c r="P254" i="1"/>
  <c r="U254" i="1"/>
  <c r="J254" i="1"/>
  <c r="O254" i="1"/>
  <c r="L254" i="1"/>
  <c r="S254" i="1"/>
  <c r="N254" i="1"/>
  <c r="F254" i="1"/>
  <c r="K254" i="1"/>
  <c r="H254" i="1"/>
  <c r="E254" i="1"/>
  <c r="E253" i="1" s="1"/>
  <c r="Y253" i="1" l="1"/>
  <c r="Y395" i="1"/>
  <c r="Y418" i="1"/>
  <c r="L253" i="1"/>
  <c r="L395" i="1"/>
  <c r="W253" i="1"/>
  <c r="W395" i="1"/>
  <c r="N253" i="1"/>
  <c r="N395" i="1"/>
  <c r="J253" i="1"/>
  <c r="J395" i="1"/>
  <c r="M253" i="1"/>
  <c r="M395" i="1"/>
  <c r="K253" i="1"/>
  <c r="K395" i="1"/>
  <c r="P253" i="1"/>
  <c r="P395" i="1"/>
  <c r="G253" i="1"/>
  <c r="G395" i="1"/>
  <c r="F253" i="1"/>
  <c r="F395" i="1"/>
  <c r="O253" i="1"/>
  <c r="O395" i="1"/>
  <c r="R253" i="1"/>
  <c r="R395" i="1"/>
  <c r="Q253" i="1"/>
  <c r="Q395" i="1"/>
  <c r="V253" i="1"/>
  <c r="V395" i="1"/>
  <c r="H253" i="1"/>
  <c r="H395" i="1"/>
  <c r="S253" i="1"/>
  <c r="S395" i="1"/>
  <c r="U253" i="1"/>
  <c r="U395" i="1"/>
  <c r="I253" i="1"/>
  <c r="I395" i="1"/>
  <c r="T253" i="1"/>
  <c r="T395" i="1"/>
  <c r="E418" i="1"/>
  <c r="S418" i="1"/>
  <c r="U418" i="1"/>
  <c r="L418" i="1"/>
  <c r="P418" i="1"/>
  <c r="W418" i="1"/>
  <c r="F418" i="1"/>
  <c r="O418" i="1"/>
  <c r="R418" i="1"/>
  <c r="Q418" i="1"/>
  <c r="N418" i="1"/>
  <c r="J418" i="1"/>
  <c r="M418" i="1"/>
  <c r="T418" i="1"/>
  <c r="K418" i="1"/>
  <c r="G418" i="1"/>
  <c r="H418" i="1"/>
  <c r="I418" i="1"/>
  <c r="V418" i="1"/>
  <c r="W7" i="6" l="1"/>
  <c r="W8" i="6"/>
  <c r="W9" i="6"/>
  <c r="W10" i="6"/>
  <c r="W11" i="6"/>
  <c r="W12" i="6"/>
  <c r="X12" i="6" l="1"/>
  <c r="Y12" i="6" s="1"/>
  <c r="X9" i="6"/>
  <c r="Y9" i="6" s="1"/>
  <c r="X8" i="6"/>
  <c r="X7" i="6"/>
  <c r="Y7" i="6" s="1"/>
  <c r="X10" i="6"/>
  <c r="Y10" i="6" s="1"/>
  <c r="X11" i="6"/>
  <c r="Y11" i="6" s="1"/>
  <c r="Y8" i="6" l="1"/>
  <c r="E395" i="1" l="1"/>
  <c r="H427" i="1" l="1"/>
  <c r="L427" i="1"/>
  <c r="P427" i="1"/>
  <c r="T427" i="1"/>
  <c r="I427" i="1"/>
  <c r="M427" i="1"/>
  <c r="Q427" i="1"/>
  <c r="U427" i="1"/>
  <c r="E427" i="1"/>
  <c r="F427" i="1"/>
  <c r="J427" i="1"/>
  <c r="K427" i="1"/>
  <c r="S427" i="1"/>
  <c r="N427" i="1"/>
  <c r="V427" i="1"/>
  <c r="O427" i="1"/>
  <c r="W427" i="1"/>
  <c r="G427" i="1"/>
  <c r="R427" i="1"/>
  <c r="U426" i="1"/>
  <c r="R426" i="1"/>
  <c r="O426" i="1"/>
  <c r="L426" i="1"/>
  <c r="I426" i="1"/>
  <c r="F426" i="1"/>
  <c r="V426" i="1"/>
  <c r="S426" i="1"/>
  <c r="P426" i="1"/>
  <c r="M426" i="1"/>
  <c r="J426" i="1"/>
  <c r="G426" i="1"/>
  <c r="T426" i="1"/>
  <c r="Q426" i="1"/>
  <c r="N426" i="1"/>
  <c r="K426" i="1"/>
  <c r="H426" i="1"/>
  <c r="W426" i="1" l="1"/>
  <c r="C8" i="5"/>
  <c r="E296" i="1" l="1"/>
  <c r="E410" i="1" l="1"/>
  <c r="E298" i="1"/>
  <c r="E297" i="1"/>
  <c r="E295" i="1" s="1"/>
  <c r="E411" i="1"/>
  <c r="E409" i="1" l="1"/>
  <c r="E412" i="1"/>
  <c r="E285" i="1" l="1"/>
  <c r="E288" i="1"/>
  <c r="E286" i="1"/>
  <c r="E282" i="1" l="1"/>
  <c r="E283" i="1" s="1"/>
  <c r="E292" i="1"/>
  <c r="E289" i="1"/>
  <c r="E291" i="1"/>
  <c r="E53" i="1" l="1"/>
  <c r="E35" i="1" l="1"/>
  <c r="E154" i="1" s="1"/>
  <c r="Z22" i="1"/>
  <c r="E87" i="1" l="1"/>
  <c r="E37" i="1"/>
  <c r="E36" i="1"/>
  <c r="AA22" i="1"/>
  <c r="Z88" i="1" l="1"/>
  <c r="E89" i="1"/>
  <c r="Z89" i="1" s="1"/>
  <c r="Z87" i="1"/>
  <c r="E274" i="1"/>
  <c r="AA21" i="1"/>
  <c r="Z90" i="1"/>
  <c r="E403" i="1" l="1"/>
  <c r="E426" i="1" s="1"/>
</calcChain>
</file>

<file path=xl/comments1.xml><?xml version="1.0" encoding="utf-8"?>
<comments xmlns="http://schemas.openxmlformats.org/spreadsheetml/2006/main">
  <authors>
    <author>Софин Олег Владимирович</author>
  </authors>
  <commentList>
    <comment ref="E229" authorId="0">
      <text>
        <r>
          <rPr>
            <b/>
            <sz val="9"/>
            <color indexed="81"/>
            <rFont val="Tahoma"/>
            <family val="2"/>
            <charset val="204"/>
          </rPr>
          <t>+1</t>
        </r>
      </text>
    </comment>
  </commentList>
</comments>
</file>

<file path=xl/comments2.xml><?xml version="1.0" encoding="utf-8"?>
<comments xmlns="http://schemas.openxmlformats.org/spreadsheetml/2006/main">
  <authors>
    <author>Кирсанов Андрей Сергеевич</author>
  </authors>
  <commentList>
    <comment ref="D7" authorId="0">
      <text>
        <r>
          <rPr>
            <b/>
            <sz val="9"/>
            <color indexed="81"/>
            <rFont val="Tahoma"/>
            <family val="2"/>
            <charset val="204"/>
          </rPr>
          <t>Кирсанов Андрей Сергеевич:</t>
        </r>
        <r>
          <rPr>
            <sz val="9"/>
            <color indexed="81"/>
            <rFont val="Tahoma"/>
            <family val="2"/>
            <charset val="204"/>
          </rPr>
          <t xml:space="preserve">
Смотри характеристику бурового станка.</t>
        </r>
      </text>
    </comment>
    <comment ref="E7" authorId="0">
      <text>
        <r>
          <rPr>
            <b/>
            <sz val="9"/>
            <color indexed="81"/>
            <rFont val="Tahoma"/>
            <family val="2"/>
            <charset val="204"/>
          </rPr>
          <t>Кирсанов Андрей Сергеевич:</t>
        </r>
        <r>
          <rPr>
            <sz val="9"/>
            <color indexed="81"/>
            <rFont val="Tahoma"/>
            <family val="2"/>
            <charset val="204"/>
          </rPr>
          <t xml:space="preserve">
Смотри характеристику бурового станка.</t>
        </r>
      </text>
    </comment>
    <comment ref="F7" authorId="0">
      <text>
        <r>
          <rPr>
            <b/>
            <sz val="9"/>
            <color indexed="81"/>
            <rFont val="Tahoma"/>
            <family val="2"/>
            <charset val="204"/>
          </rPr>
          <t>Кирсанов Андрей Сергеевич:</t>
        </r>
        <r>
          <rPr>
            <sz val="9"/>
            <color indexed="81"/>
            <rFont val="Tahoma"/>
            <family val="2"/>
            <charset val="204"/>
          </rPr>
          <t xml:space="preserve">
Смотри характеристику бурового станка.</t>
        </r>
      </text>
    </comment>
    <comment ref="G7" authorId="0">
      <text>
        <r>
          <rPr>
            <b/>
            <sz val="9"/>
            <color indexed="81"/>
            <rFont val="Tahoma"/>
            <family val="2"/>
            <charset val="204"/>
          </rPr>
          <t>Кирсанов Андрей Сергеевич:</t>
        </r>
        <r>
          <rPr>
            <sz val="9"/>
            <color indexed="81"/>
            <rFont val="Tahoma"/>
            <family val="2"/>
            <charset val="204"/>
          </rPr>
          <t xml:space="preserve">
Смотри характеристику бурового станка.</t>
        </r>
      </text>
    </comment>
    <comment ref="D8" authorId="0">
      <text>
        <r>
          <rPr>
            <b/>
            <sz val="9"/>
            <color indexed="81"/>
            <rFont val="Tahoma"/>
            <family val="2"/>
            <charset val="204"/>
          </rPr>
          <t>Кирсанов Андрей Сергеевич:</t>
        </r>
        <r>
          <rPr>
            <sz val="9"/>
            <color indexed="81"/>
            <rFont val="Tahoma"/>
            <family val="2"/>
            <charset val="204"/>
          </rPr>
          <t xml:space="preserve">
Смотри физ.-мех. свойства пород.</t>
        </r>
      </text>
    </comment>
    <comment ref="E8" authorId="0">
      <text>
        <r>
          <rPr>
            <b/>
            <sz val="9"/>
            <color indexed="81"/>
            <rFont val="Tahoma"/>
            <family val="2"/>
            <charset val="204"/>
          </rPr>
          <t>Кирсанов Андрей Сергеевич:</t>
        </r>
        <r>
          <rPr>
            <sz val="9"/>
            <color indexed="81"/>
            <rFont val="Tahoma"/>
            <family val="2"/>
            <charset val="204"/>
          </rPr>
          <t xml:space="preserve">
Смотри физ.-мех. свойства пород.</t>
        </r>
      </text>
    </comment>
    <comment ref="F8" authorId="0">
      <text>
        <r>
          <rPr>
            <b/>
            <sz val="9"/>
            <color indexed="81"/>
            <rFont val="Tahoma"/>
            <family val="2"/>
            <charset val="204"/>
          </rPr>
          <t>Кирсанов Андрей Сергеевич:</t>
        </r>
        <r>
          <rPr>
            <sz val="9"/>
            <color indexed="81"/>
            <rFont val="Tahoma"/>
            <family val="2"/>
            <charset val="204"/>
          </rPr>
          <t xml:space="preserve">
Смотри физ.-мех. свойства пород.</t>
        </r>
      </text>
    </comment>
    <comment ref="G8" authorId="0">
      <text>
        <r>
          <rPr>
            <b/>
            <sz val="9"/>
            <color indexed="81"/>
            <rFont val="Tahoma"/>
            <family val="2"/>
            <charset val="204"/>
          </rPr>
          <t>Кирсанов Андрей Сергеевич:</t>
        </r>
        <r>
          <rPr>
            <sz val="9"/>
            <color indexed="81"/>
            <rFont val="Tahoma"/>
            <family val="2"/>
            <charset val="204"/>
          </rPr>
          <t xml:space="preserve">
Смотри физ.-мех. свойства пород.</t>
        </r>
      </text>
    </comment>
    <comment ref="D11" authorId="0">
      <text>
        <r>
          <rPr>
            <b/>
            <sz val="9"/>
            <color indexed="81"/>
            <rFont val="Tahoma"/>
            <family val="2"/>
            <charset val="204"/>
          </rPr>
          <t>Кирсанов Андрей Сергеевич:</t>
        </r>
        <r>
          <rPr>
            <sz val="9"/>
            <color indexed="81"/>
            <rFont val="Tahoma"/>
            <family val="2"/>
            <charset val="204"/>
          </rPr>
          <t xml:space="preserve">
Смотри характеристику бурового станка.</t>
        </r>
      </text>
    </comment>
    <comment ref="E11" authorId="0">
      <text>
        <r>
          <rPr>
            <b/>
            <sz val="9"/>
            <color indexed="81"/>
            <rFont val="Tahoma"/>
            <family val="2"/>
            <charset val="204"/>
          </rPr>
          <t>Кирсанов Андрей Сергеевич:</t>
        </r>
        <r>
          <rPr>
            <sz val="9"/>
            <color indexed="81"/>
            <rFont val="Tahoma"/>
            <family val="2"/>
            <charset val="204"/>
          </rPr>
          <t xml:space="preserve">
Смотри характеристику бурового станка.</t>
        </r>
      </text>
    </comment>
    <comment ref="F11" authorId="0">
      <text>
        <r>
          <rPr>
            <b/>
            <sz val="9"/>
            <color indexed="81"/>
            <rFont val="Tahoma"/>
            <family val="2"/>
            <charset val="204"/>
          </rPr>
          <t>Кирсанов Андрей Сергеевич:</t>
        </r>
        <r>
          <rPr>
            <sz val="9"/>
            <color indexed="81"/>
            <rFont val="Tahoma"/>
            <family val="2"/>
            <charset val="204"/>
          </rPr>
          <t xml:space="preserve">
Смотри характеристику бурового станка.</t>
        </r>
      </text>
    </comment>
    <comment ref="G11" authorId="0">
      <text>
        <r>
          <rPr>
            <b/>
            <sz val="9"/>
            <color indexed="81"/>
            <rFont val="Tahoma"/>
            <family val="2"/>
            <charset val="204"/>
          </rPr>
          <t>Кирсанов Андрей Сергеевич:</t>
        </r>
        <r>
          <rPr>
            <sz val="9"/>
            <color indexed="81"/>
            <rFont val="Tahoma"/>
            <family val="2"/>
            <charset val="204"/>
          </rPr>
          <t xml:space="preserve">
Смотри характеристику бурового станка.</t>
        </r>
      </text>
    </comment>
    <comment ref="D12" authorId="0">
      <text>
        <r>
          <rPr>
            <b/>
            <sz val="9"/>
            <color indexed="81"/>
            <rFont val="Tahoma"/>
            <family val="2"/>
            <charset val="204"/>
          </rPr>
          <t>Кирсанов Андрей Сергеевич:</t>
        </r>
        <r>
          <rPr>
            <sz val="9"/>
            <color indexed="81"/>
            <rFont val="Tahoma"/>
            <family val="2"/>
            <charset val="204"/>
          </rPr>
          <t xml:space="preserve">
Принимается в диапазоне k</t>
        </r>
        <r>
          <rPr>
            <vertAlign val="subscript"/>
            <sz val="9"/>
            <color indexed="81"/>
            <rFont val="Tahoma"/>
            <family val="2"/>
            <charset val="204"/>
          </rPr>
          <t>з.дв</t>
        </r>
        <r>
          <rPr>
            <sz val="9"/>
            <color indexed="81"/>
            <rFont val="Tahoma"/>
            <family val="2"/>
            <charset val="204"/>
          </rPr>
          <t>=0,7-0,8</t>
        </r>
      </text>
    </comment>
    <comment ref="E12" authorId="0">
      <text>
        <r>
          <rPr>
            <b/>
            <sz val="9"/>
            <color indexed="81"/>
            <rFont val="Tahoma"/>
            <family val="2"/>
            <charset val="204"/>
          </rPr>
          <t>Кирсанов Андрей Сергеевич:</t>
        </r>
        <r>
          <rPr>
            <sz val="9"/>
            <color indexed="81"/>
            <rFont val="Tahoma"/>
            <family val="2"/>
            <charset val="204"/>
          </rPr>
          <t xml:space="preserve">
Принимается в диапазоне k</t>
        </r>
        <r>
          <rPr>
            <vertAlign val="subscript"/>
            <sz val="9"/>
            <color indexed="81"/>
            <rFont val="Tahoma"/>
            <family val="2"/>
            <charset val="204"/>
          </rPr>
          <t>з.дв</t>
        </r>
        <r>
          <rPr>
            <sz val="9"/>
            <color indexed="81"/>
            <rFont val="Tahoma"/>
            <family val="2"/>
            <charset val="204"/>
          </rPr>
          <t>=0,7-0,8</t>
        </r>
      </text>
    </comment>
    <comment ref="F12" authorId="0">
      <text>
        <r>
          <rPr>
            <b/>
            <sz val="9"/>
            <color indexed="81"/>
            <rFont val="Tahoma"/>
            <family val="2"/>
            <charset val="204"/>
          </rPr>
          <t>Кирсанов Андрей Сергеевич:</t>
        </r>
        <r>
          <rPr>
            <sz val="9"/>
            <color indexed="81"/>
            <rFont val="Tahoma"/>
            <family val="2"/>
            <charset val="204"/>
          </rPr>
          <t xml:space="preserve">
Принимается в диапазоне k</t>
        </r>
        <r>
          <rPr>
            <vertAlign val="subscript"/>
            <sz val="9"/>
            <color indexed="81"/>
            <rFont val="Tahoma"/>
            <family val="2"/>
            <charset val="204"/>
          </rPr>
          <t>з.дв</t>
        </r>
        <r>
          <rPr>
            <sz val="9"/>
            <color indexed="81"/>
            <rFont val="Tahoma"/>
            <family val="2"/>
            <charset val="204"/>
          </rPr>
          <t>=0,7-0,8</t>
        </r>
      </text>
    </comment>
    <comment ref="G12" authorId="0">
      <text>
        <r>
          <rPr>
            <b/>
            <sz val="9"/>
            <color indexed="81"/>
            <rFont val="Tahoma"/>
            <family val="2"/>
            <charset val="204"/>
          </rPr>
          <t>Кирсанов Андрей Сергеевич:</t>
        </r>
        <r>
          <rPr>
            <sz val="9"/>
            <color indexed="81"/>
            <rFont val="Tahoma"/>
            <family val="2"/>
            <charset val="204"/>
          </rPr>
          <t xml:space="preserve">
Принимается в диапазоне k</t>
        </r>
        <r>
          <rPr>
            <vertAlign val="subscript"/>
            <sz val="9"/>
            <color indexed="81"/>
            <rFont val="Tahoma"/>
            <family val="2"/>
            <charset val="204"/>
          </rPr>
          <t>з.дв</t>
        </r>
        <r>
          <rPr>
            <sz val="9"/>
            <color indexed="81"/>
            <rFont val="Tahoma"/>
            <family val="2"/>
            <charset val="204"/>
          </rPr>
          <t>=0,7-0,8</t>
        </r>
      </text>
    </comment>
    <comment ref="D13" authorId="0">
      <text>
        <r>
          <rPr>
            <b/>
            <sz val="9"/>
            <color indexed="81"/>
            <rFont val="Tahoma"/>
            <family val="2"/>
            <charset val="204"/>
          </rPr>
          <t>Кирсанов Андрей Сергеевич:</t>
        </r>
        <r>
          <rPr>
            <sz val="9"/>
            <color indexed="81"/>
            <rFont val="Tahoma"/>
            <family val="2"/>
            <charset val="204"/>
          </rPr>
          <t xml:space="preserve">
Справочник по открытым горным работам, Ю.И.Анистратов, К.Ю.Анистратов, 2010г.
Стр.189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Кирсанов Андрей Сергеевич:</t>
        </r>
        <r>
          <rPr>
            <sz val="9"/>
            <color indexed="81"/>
            <rFont val="Tahoma"/>
            <family val="2"/>
            <charset val="204"/>
          </rPr>
          <t xml:space="preserve">
Справочник по открытым горным работам, Ю.И.Анистратов, К.Ю.Анистратов, 2010г.
Стр.189</t>
        </r>
      </text>
    </comment>
    <comment ref="F13" authorId="0">
      <text>
        <r>
          <rPr>
            <b/>
            <sz val="9"/>
            <color indexed="81"/>
            <rFont val="Tahoma"/>
            <family val="2"/>
            <charset val="204"/>
          </rPr>
          <t>Кирсанов Андрей Сергеевич:</t>
        </r>
        <r>
          <rPr>
            <sz val="9"/>
            <color indexed="81"/>
            <rFont val="Tahoma"/>
            <family val="2"/>
            <charset val="204"/>
          </rPr>
          <t xml:space="preserve">
Справочник по открытым горным работам, Ю.И.Анистратов, К.Ю.Анистратов, 2010г.
Стр.189</t>
        </r>
      </text>
    </comment>
    <comment ref="G13" authorId="0">
      <text>
        <r>
          <rPr>
            <b/>
            <sz val="9"/>
            <color indexed="81"/>
            <rFont val="Tahoma"/>
            <family val="2"/>
            <charset val="204"/>
          </rPr>
          <t>Кирсанов Андрей Сергеевич:</t>
        </r>
        <r>
          <rPr>
            <sz val="9"/>
            <color indexed="81"/>
            <rFont val="Tahoma"/>
            <family val="2"/>
            <charset val="204"/>
          </rPr>
          <t xml:space="preserve">
Справочник по открытым горным работам, Ю.И.Анистратов, К.Ю.Анистратов, 2010г.
Стр.189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Кирсанов Андрей Сергеевич:</t>
        </r>
        <r>
          <rPr>
            <sz val="9"/>
            <color indexed="81"/>
            <rFont val="Tahoma"/>
            <family val="2"/>
            <charset val="204"/>
          </rPr>
          <t xml:space="preserve">
Принимается в диапазоне kи=0,5-0,7</t>
        </r>
      </text>
    </comment>
    <comment ref="E14" authorId="0">
      <text>
        <r>
          <rPr>
            <b/>
            <sz val="9"/>
            <color indexed="81"/>
            <rFont val="Tahoma"/>
            <family val="2"/>
            <charset val="204"/>
          </rPr>
          <t>Кирсанов Андрей Сергеевич:</t>
        </r>
        <r>
          <rPr>
            <sz val="9"/>
            <color indexed="81"/>
            <rFont val="Tahoma"/>
            <family val="2"/>
            <charset val="204"/>
          </rPr>
          <t xml:space="preserve">
Принимается в диапазоне kи=0,5-0,7</t>
        </r>
      </text>
    </comment>
    <comment ref="F14" authorId="0">
      <text>
        <r>
          <rPr>
            <b/>
            <sz val="9"/>
            <color indexed="81"/>
            <rFont val="Tahoma"/>
            <family val="2"/>
            <charset val="204"/>
          </rPr>
          <t>Кирсанов Андрей Сергеевич:</t>
        </r>
        <r>
          <rPr>
            <sz val="9"/>
            <color indexed="81"/>
            <rFont val="Tahoma"/>
            <family val="2"/>
            <charset val="204"/>
          </rPr>
          <t xml:space="preserve">
Принимается в диапазоне kи=0,5-0,7</t>
        </r>
      </text>
    </comment>
    <comment ref="G14" authorId="0">
      <text>
        <r>
          <rPr>
            <b/>
            <sz val="9"/>
            <color indexed="81"/>
            <rFont val="Tahoma"/>
            <family val="2"/>
            <charset val="204"/>
          </rPr>
          <t>Кирсанов Андрей Сергеевич:</t>
        </r>
        <r>
          <rPr>
            <sz val="9"/>
            <color indexed="81"/>
            <rFont val="Tahoma"/>
            <family val="2"/>
            <charset val="204"/>
          </rPr>
          <t xml:space="preserve">
Принимается в диапазоне kи=0,5-0,7</t>
        </r>
      </text>
    </comment>
  </commentList>
</comments>
</file>

<file path=xl/comments3.xml><?xml version="1.0" encoding="utf-8"?>
<comments xmlns="http://schemas.openxmlformats.org/spreadsheetml/2006/main">
  <authors>
    <author>Асташенко Светлана Александровна</author>
    <author>Светлана Асташенко</author>
    <author>Софин Олег Владимирович</author>
  </authors>
  <commentList>
    <comment ref="D19" authorId="0">
      <text>
        <r>
          <rPr>
            <b/>
            <sz val="8"/>
            <color indexed="81"/>
            <rFont val="Tahoma"/>
            <family val="2"/>
            <charset val="204"/>
          </rPr>
          <t>Асташенко Светлана Александровна:</t>
        </r>
        <r>
          <rPr>
            <sz val="8"/>
            <color indexed="81"/>
            <rFont val="Tahoma"/>
            <family val="2"/>
            <charset val="204"/>
          </rPr>
          <t xml:space="preserve">
спр открытые горные работы,1994 год, стр406</t>
        </r>
      </text>
    </comment>
    <comment ref="E19" authorId="0">
      <text>
        <r>
          <rPr>
            <b/>
            <sz val="8"/>
            <color indexed="81"/>
            <rFont val="Tahoma"/>
            <family val="2"/>
            <charset val="204"/>
          </rPr>
          <t>Асташенко Светлана Александровна:</t>
        </r>
        <r>
          <rPr>
            <sz val="8"/>
            <color indexed="81"/>
            <rFont val="Tahoma"/>
            <family val="2"/>
            <charset val="204"/>
          </rPr>
          <t xml:space="preserve">
спр открытые горные работы,1994 год, стр406</t>
        </r>
      </text>
    </comment>
    <comment ref="F19" authorId="0">
      <text>
        <r>
          <rPr>
            <b/>
            <sz val="8"/>
            <color indexed="81"/>
            <rFont val="Tahoma"/>
            <family val="2"/>
            <charset val="204"/>
          </rPr>
          <t>Асташенко Светлана Александровна:</t>
        </r>
        <r>
          <rPr>
            <sz val="8"/>
            <color indexed="81"/>
            <rFont val="Tahoma"/>
            <family val="2"/>
            <charset val="204"/>
          </rPr>
          <t xml:space="preserve">
спр открытые горные работы,1994 год, стр406</t>
        </r>
      </text>
    </comment>
    <comment ref="D21" authorId="1">
      <text>
        <r>
          <rPr>
            <b/>
            <sz val="8"/>
            <color indexed="81"/>
            <rFont val="Tahoma"/>
            <family val="2"/>
            <charset val="204"/>
          </rPr>
          <t>стр.406 справочник</t>
        </r>
        <r>
          <rPr>
            <sz val="8"/>
            <color indexed="81"/>
            <rFont val="Tahoma"/>
            <family val="2"/>
            <charset val="204"/>
          </rPr>
          <t xml:space="preserve">
ОГР,1994 года
0.7-0.8</t>
        </r>
      </text>
    </comment>
    <comment ref="E21" authorId="1">
      <text>
        <r>
          <rPr>
            <b/>
            <sz val="8"/>
            <color indexed="81"/>
            <rFont val="Tahoma"/>
            <family val="2"/>
            <charset val="204"/>
          </rPr>
          <t>стр.406 справочник</t>
        </r>
        <r>
          <rPr>
            <sz val="8"/>
            <color indexed="81"/>
            <rFont val="Tahoma"/>
            <family val="2"/>
            <charset val="204"/>
          </rPr>
          <t xml:space="preserve">
ОГР,1994 года
0.7-0.8</t>
        </r>
      </text>
    </comment>
    <comment ref="F21" authorId="1">
      <text>
        <r>
          <rPr>
            <b/>
            <sz val="8"/>
            <color indexed="81"/>
            <rFont val="Tahoma"/>
            <family val="2"/>
            <charset val="204"/>
          </rPr>
          <t>стр.406 справочник</t>
        </r>
        <r>
          <rPr>
            <sz val="8"/>
            <color indexed="81"/>
            <rFont val="Tahoma"/>
            <family val="2"/>
            <charset val="204"/>
          </rPr>
          <t xml:space="preserve">
ОГР,1994 года
0.7-0.8</t>
        </r>
      </text>
    </comment>
    <comment ref="D23" authorId="2">
      <text>
        <r>
          <rPr>
            <b/>
            <sz val="9"/>
            <color indexed="81"/>
            <rFont val="Tahoma"/>
            <family val="2"/>
            <charset val="204"/>
          </rPr>
          <t>Импортные 30 дн
Отечественные 50 дн</t>
        </r>
      </text>
    </comment>
    <comment ref="E23" authorId="2">
      <text>
        <r>
          <rPr>
            <b/>
            <sz val="9"/>
            <color indexed="81"/>
            <rFont val="Tahoma"/>
            <family val="2"/>
            <charset val="204"/>
          </rPr>
          <t>Импортные 30 дн
Отечественные 50 дн</t>
        </r>
      </text>
    </comment>
    <comment ref="F23" authorId="2">
      <text>
        <r>
          <rPr>
            <b/>
            <sz val="9"/>
            <color indexed="81"/>
            <rFont val="Tahoma"/>
            <family val="2"/>
            <charset val="204"/>
          </rPr>
          <t>Импортные 30 дн
Отечественные 50 дн</t>
        </r>
      </text>
    </comment>
    <comment ref="D24" authorId="1">
      <text>
        <r>
          <rPr>
            <b/>
            <sz val="8"/>
            <color indexed="81"/>
            <rFont val="Tahoma"/>
            <family val="2"/>
            <charset val="204"/>
          </rPr>
          <t xml:space="preserve">стр.406 справочник
ОГР,1994 года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E24" authorId="1">
      <text>
        <r>
          <rPr>
            <b/>
            <sz val="8"/>
            <color indexed="81"/>
            <rFont val="Tahoma"/>
            <family val="2"/>
            <charset val="204"/>
          </rPr>
          <t xml:space="preserve">стр.406 справочник
ОГР,1994 года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F24" authorId="1">
      <text>
        <r>
          <rPr>
            <b/>
            <sz val="8"/>
            <color indexed="81"/>
            <rFont val="Tahoma"/>
            <family val="2"/>
            <charset val="204"/>
          </rPr>
          <t xml:space="preserve">стр.406 справочник
ОГР,1994 года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<sst xmlns="http://schemas.openxmlformats.org/spreadsheetml/2006/main" count="1627" uniqueCount="532">
  <si>
    <t>Всего</t>
  </si>
  <si>
    <t>км</t>
  </si>
  <si>
    <t>шт.</t>
  </si>
  <si>
    <t>уголь</t>
  </si>
  <si>
    <t>добыча</t>
  </si>
  <si>
    <t>вскрыша</t>
  </si>
  <si>
    <t>навалы</t>
  </si>
  <si>
    <t>т</t>
  </si>
  <si>
    <t>DML-1200</t>
  </si>
  <si>
    <t>наносы</t>
  </si>
  <si>
    <t>наименование показателей</t>
  </si>
  <si>
    <t>ед.</t>
  </si>
  <si>
    <t>ЭКГ-5а</t>
  </si>
  <si>
    <t>ЭКГ-5у</t>
  </si>
  <si>
    <t>ЭКГ-8и</t>
  </si>
  <si>
    <t>ЭКГ-10</t>
  </si>
  <si>
    <t>ЭКГ-15</t>
  </si>
  <si>
    <t>изм.</t>
  </si>
  <si>
    <t>БелАЗ-</t>
  </si>
  <si>
    <t/>
  </si>
  <si>
    <t>категория породы по трудности экскавации</t>
  </si>
  <si>
    <t>емкость ковша</t>
  </si>
  <si>
    <t>м3</t>
  </si>
  <si>
    <t>Коэффициент разрыхления</t>
  </si>
  <si>
    <t>коэффициент наполнения ковша</t>
  </si>
  <si>
    <t>коэффициент использования ковша</t>
  </si>
  <si>
    <t>объем горной массы в целике в ковше</t>
  </si>
  <si>
    <t>оперативное время на цикл экскавации</t>
  </si>
  <si>
    <t>с</t>
  </si>
  <si>
    <t>расчетное время цикла</t>
  </si>
  <si>
    <t>среднегодовой температурный коэффициент</t>
  </si>
  <si>
    <t>плотность горной массы</t>
  </si>
  <si>
    <t>т/м3</t>
  </si>
  <si>
    <t>м</t>
  </si>
  <si>
    <t>грузоподъемность автосамосвала</t>
  </si>
  <si>
    <t>объем горной массы в кузове автосамосвала</t>
  </si>
  <si>
    <t>с "шапкой"</t>
  </si>
  <si>
    <t>Принятый объем горной массы в кузове</t>
  </si>
  <si>
    <t>автосамосвала в целике</t>
  </si>
  <si>
    <t>время установки автосамосвала под погрузку</t>
  </si>
  <si>
    <t>мин</t>
  </si>
  <si>
    <t>забой тупиковый(1),фронтальный(0)</t>
  </si>
  <si>
    <t>количество ковшей горной массы загруженной</t>
  </si>
  <si>
    <t>шт</t>
  </si>
  <si>
    <t>в автосамосвал</t>
  </si>
  <si>
    <t>nк=Vпр/Vk</t>
  </si>
  <si>
    <t>количество циклов</t>
  </si>
  <si>
    <t>время погрузки автосамосвала</t>
  </si>
  <si>
    <t>продолжительность смены</t>
  </si>
  <si>
    <t>время на личные надобности</t>
  </si>
  <si>
    <t>коэффициент перевода времени из 8 часовой</t>
  </si>
  <si>
    <t>-</t>
  </si>
  <si>
    <t>смены в 12-часовую</t>
  </si>
  <si>
    <t>поправочный коэффициент учитывающий:</t>
  </si>
  <si>
    <t>разработку налипающих и мерзлых пород</t>
  </si>
  <si>
    <t>производство взрывных работ в течение смены</t>
  </si>
  <si>
    <t>орошение забоя в течение смены</t>
  </si>
  <si>
    <t>сменная производительность</t>
  </si>
  <si>
    <t>т/см</t>
  </si>
  <si>
    <t>м3/см</t>
  </si>
  <si>
    <t>суточная производительность</t>
  </si>
  <si>
    <t>Qсут=Qсм*n</t>
  </si>
  <si>
    <t>т/сут</t>
  </si>
  <si>
    <t>м3/сут</t>
  </si>
  <si>
    <t>количество смен в сутки</t>
  </si>
  <si>
    <t>т.м3/год</t>
  </si>
  <si>
    <t>дн</t>
  </si>
  <si>
    <t>Единые нормы выработки на открытые горные</t>
  </si>
  <si>
    <t>работы для предприятий горнодобывающей</t>
  </si>
  <si>
    <t>промышленности. Часть IV</t>
  </si>
  <si>
    <t>Экскавация и транспортирование горной массы автосамосвалами</t>
  </si>
  <si>
    <t>стр.63 Таблица 2.5</t>
  </si>
  <si>
    <t>Коэффициенты разрыхления горной массы,наполнения</t>
  </si>
  <si>
    <t>и использования вместимости ковша экскаватора</t>
  </si>
  <si>
    <t>стр.63 Таблица 2.4</t>
  </si>
  <si>
    <t>категория</t>
  </si>
  <si>
    <t>коэффициенты</t>
  </si>
  <si>
    <t>пород по</t>
  </si>
  <si>
    <t>расчетная</t>
  </si>
  <si>
    <t>разрых-</t>
  </si>
  <si>
    <t>наполнения</t>
  </si>
  <si>
    <t>Краткая техническая характеристика автосамосвалов</t>
  </si>
  <si>
    <t>трудности</t>
  </si>
  <si>
    <t>плотность</t>
  </si>
  <si>
    <t>ления</t>
  </si>
  <si>
    <t xml:space="preserve">      ковша</t>
  </si>
  <si>
    <t>экскавац</t>
  </si>
  <si>
    <t>горн.массы</t>
  </si>
  <si>
    <t>горной</t>
  </si>
  <si>
    <t>прямая</t>
  </si>
  <si>
    <t>драглайн</t>
  </si>
  <si>
    <t>Основные характеристики автосамосвалов</t>
  </si>
  <si>
    <t>массы</t>
  </si>
  <si>
    <t>лопата</t>
  </si>
  <si>
    <t>грузпд</t>
  </si>
  <si>
    <t>объем куз</t>
  </si>
  <si>
    <t>геометрическая вместимость ковша экскаватора</t>
  </si>
  <si>
    <t>забой фр</t>
  </si>
  <si>
    <t>забой туп</t>
  </si>
  <si>
    <t>КрАЗ</t>
  </si>
  <si>
    <t>256Б</t>
  </si>
  <si>
    <t>Татра-</t>
  </si>
  <si>
    <t>БелАЗ</t>
  </si>
  <si>
    <t>k</t>
  </si>
  <si>
    <t>c</t>
  </si>
  <si>
    <t>t</t>
  </si>
  <si>
    <t>tm</t>
  </si>
  <si>
    <t>tc</t>
  </si>
  <si>
    <t>КамАЗ</t>
  </si>
  <si>
    <t>МоАЗ-</t>
  </si>
  <si>
    <t>стр.70 Таблица 3.1</t>
  </si>
  <si>
    <t>Нормативы основного,вспомогательного и оперативного времени(с)</t>
  </si>
  <si>
    <t>на один цикл погрузки горной масссы экскаваторами типа прямая лопата</t>
  </si>
  <si>
    <t>в автосамосвал и количество циклов в мин.</t>
  </si>
  <si>
    <t>затрат</t>
  </si>
  <si>
    <t>времени</t>
  </si>
  <si>
    <t>по ЕНВ</t>
  </si>
  <si>
    <t>чужое</t>
  </si>
  <si>
    <t>Основное время</t>
  </si>
  <si>
    <t>вспомогательное время</t>
  </si>
  <si>
    <t>оперативное время</t>
  </si>
  <si>
    <t>Количество циклов в минуту</t>
  </si>
  <si>
    <t>Часовая производительность</t>
  </si>
  <si>
    <t>т/час</t>
  </si>
  <si>
    <t>PH-2800</t>
  </si>
  <si>
    <t>с учетом его грузоподъемности(в целике)</t>
  </si>
  <si>
    <t>время на ожидание у экскаватора</t>
  </si>
  <si>
    <t>Тр=2*Lпри*60/Vс</t>
  </si>
  <si>
    <t>среднерейсовая скорость движения</t>
  </si>
  <si>
    <t>км/час</t>
  </si>
  <si>
    <t>время на установку под разгрузку</t>
  </si>
  <si>
    <t>время на разгрузку</t>
  </si>
  <si>
    <t>ухудшение дороги из-за атмосферных осадков</t>
  </si>
  <si>
    <t>очистка кузова от налипающих и смерзшихся пород</t>
  </si>
  <si>
    <t>на приведённое расстояние</t>
  </si>
  <si>
    <t>расстояние от гаража до разреза</t>
  </si>
  <si>
    <t>фактическое расстояние транспортирование</t>
  </si>
  <si>
    <t>суммарноя высота подъёма в грузовом направлении</t>
  </si>
  <si>
    <t>суммарноя высота спуска в грузовом направлении</t>
  </si>
  <si>
    <t>число поворотов</t>
  </si>
  <si>
    <t>удельный вес участков пути с покрытием</t>
  </si>
  <si>
    <t>длина участков пути с покрытием</t>
  </si>
  <si>
    <t>коэффициент приведения высоты подъёма</t>
  </si>
  <si>
    <t xml:space="preserve">коэффициент приведения высоты спуска </t>
  </si>
  <si>
    <t>приведённое расстояние транспортирования</t>
  </si>
  <si>
    <t>Lпри=(Lф+Кп*hп+Кс*hс)*(1-0,2*Уус)+0,1*Nпов</t>
  </si>
  <si>
    <t>Qсм=(Tсм-Tпз-Tлн-Тпт)/(Tпа+Туа+To+Тргзр+Тур+Тр)*Vпр*Kпопр</t>
  </si>
  <si>
    <t>количество рейсов в смену</t>
  </si>
  <si>
    <t>дни</t>
  </si>
  <si>
    <t>Среднесуточный грузооборот</t>
  </si>
  <si>
    <t>Коэффициент неравномерности</t>
  </si>
  <si>
    <t>Рабочий парк автосамосвалов</t>
  </si>
  <si>
    <t>Всего автосамосвалов</t>
  </si>
  <si>
    <t>Инвентарный парк автосамосвалов</t>
  </si>
  <si>
    <t>коэффициент инвентарности</t>
  </si>
  <si>
    <t>Расход дизтоплива за год</t>
  </si>
  <si>
    <t>Коэф. наполн. ковша</t>
  </si>
  <si>
    <t>использования вмес-</t>
  </si>
  <si>
    <t>тимости ковша</t>
  </si>
  <si>
    <t>мехлопата</t>
  </si>
  <si>
    <t>Таблица 3.5</t>
  </si>
  <si>
    <t>Таблица 2.10</t>
  </si>
  <si>
    <t>Расстояние</t>
  </si>
  <si>
    <t>КрАЗ-256Б</t>
  </si>
  <si>
    <t>фактическое р</t>
  </si>
  <si>
    <t>Коэфф приведения</t>
  </si>
  <si>
    <t>Автосамосвалы</t>
  </si>
  <si>
    <t>Трудоёмкость по ремонту</t>
  </si>
  <si>
    <t>уст. под погр</t>
  </si>
  <si>
    <t>уст под разгрузку</t>
  </si>
  <si>
    <t>Разгрузка</t>
  </si>
  <si>
    <t>Ожидание</t>
  </si>
  <si>
    <t>транспортирования</t>
  </si>
  <si>
    <t>Татра-148</t>
  </si>
  <si>
    <t>до 30т</t>
  </si>
  <si>
    <t>до 42т</t>
  </si>
  <si>
    <t>до 80 т</t>
  </si>
  <si>
    <t>свыше 80 т</t>
  </si>
  <si>
    <t xml:space="preserve">расстояние </t>
  </si>
  <si>
    <t>грузоподъёмностью</t>
  </si>
  <si>
    <t>на 100машин.час чел/ч</t>
  </si>
  <si>
    <t>у экскаватора</t>
  </si>
  <si>
    <t>транспортирование</t>
  </si>
  <si>
    <t>высоты</t>
  </si>
  <si>
    <t>спуска</t>
  </si>
  <si>
    <t>до гаража</t>
  </si>
  <si>
    <t>Значение</t>
  </si>
  <si>
    <t>до 1,5</t>
  </si>
  <si>
    <t>по тип схем</t>
  </si>
  <si>
    <t>Свыше 1,5 до 3,0</t>
  </si>
  <si>
    <t>Свыше 3,0 до 5,0</t>
  </si>
  <si>
    <t>Свыше 5,0</t>
  </si>
  <si>
    <t>CAT D10T</t>
  </si>
  <si>
    <t>Наименование показателей</t>
  </si>
  <si>
    <t>Ед.измер.</t>
  </si>
  <si>
    <t>Количество</t>
  </si>
  <si>
    <t>Тип бурстанка</t>
  </si>
  <si>
    <t>Межремонтные сроки ,маш. час</t>
  </si>
  <si>
    <t>Продолжительность,cутках</t>
  </si>
  <si>
    <t>капитальн</t>
  </si>
  <si>
    <t>средний</t>
  </si>
  <si>
    <t>текущий</t>
  </si>
  <si>
    <t>Тип бурового станка</t>
  </si>
  <si>
    <t>СБШ-250</t>
  </si>
  <si>
    <t>СВБ_-2м</t>
  </si>
  <si>
    <t>2СБР-125</t>
  </si>
  <si>
    <t>СБР-160-24</t>
  </si>
  <si>
    <t>2СБШ-200Н</t>
  </si>
  <si>
    <t>СБШ-320</t>
  </si>
  <si>
    <t>Количество рабочих дней в году</t>
  </si>
  <si>
    <t>дней</t>
  </si>
  <si>
    <t>Количество рабочих смен в сутки</t>
  </si>
  <si>
    <t>смен</t>
  </si>
  <si>
    <t>Продолжительность смены</t>
  </si>
  <si>
    <t>час</t>
  </si>
  <si>
    <t>f=4</t>
  </si>
  <si>
    <t>мерзлые</t>
  </si>
  <si>
    <t>4&lt;f&lt;6</t>
  </si>
  <si>
    <t>6&lt;f&gt;8</t>
  </si>
  <si>
    <t>f&gt;8</t>
  </si>
  <si>
    <t>CВБ-2М,СБР-</t>
  </si>
  <si>
    <t>160,СБР-125</t>
  </si>
  <si>
    <t>2СБШ-200Н,</t>
  </si>
  <si>
    <t>CБШ-250,</t>
  </si>
  <si>
    <t>3CБШ-200Н</t>
  </si>
  <si>
    <t>Количество ремонтных дней в году</t>
  </si>
  <si>
    <t>Количество дней на перегоны</t>
  </si>
  <si>
    <t>Суточная производительность</t>
  </si>
  <si>
    <t>Годовая производительность</t>
  </si>
  <si>
    <t>Объем бурения</t>
  </si>
  <si>
    <t>Расчет производительности бульдозера</t>
  </si>
  <si>
    <t>Показатели</t>
  </si>
  <si>
    <t>Ед. изм</t>
  </si>
  <si>
    <t>Количество смен</t>
  </si>
  <si>
    <t>Время рабочего цикла</t>
  </si>
  <si>
    <t>сек</t>
  </si>
  <si>
    <t>м/сек</t>
  </si>
  <si>
    <t>Кр породы</t>
  </si>
  <si>
    <t>Сменная производительность</t>
  </si>
  <si>
    <t>tоп</t>
  </si>
  <si>
    <t>Основное время цикла tо</t>
  </si>
  <si>
    <t>Вспомогательное время цикла tв</t>
  </si>
  <si>
    <t>ЭКГ-4у</t>
  </si>
  <si>
    <t>PH-2300</t>
  </si>
  <si>
    <t>ЭКГ-12,5</t>
  </si>
  <si>
    <t>ЭКГ-12</t>
  </si>
  <si>
    <t>ЭКГ-6,3ус</t>
  </si>
  <si>
    <t>ЭКГ-4,6б</t>
  </si>
  <si>
    <t>ЭКГ-10ус</t>
  </si>
  <si>
    <t>коэффициент уменьшения производительности</t>
  </si>
  <si>
    <t>от наличия породных прослоев</t>
  </si>
  <si>
    <t>грузподъем</t>
  </si>
  <si>
    <t>установка под погр</t>
  </si>
  <si>
    <t>ЭКГ-12ус</t>
  </si>
  <si>
    <t>ЭШ-13/50</t>
  </si>
  <si>
    <t>ЭКГ-6,3у</t>
  </si>
  <si>
    <t>ЭШ-10/70</t>
  </si>
  <si>
    <t>DM-45</t>
  </si>
  <si>
    <t>PV-271</t>
  </si>
  <si>
    <t>ЭШ-6/45</t>
  </si>
  <si>
    <t xml:space="preserve">II </t>
  </si>
  <si>
    <t>III</t>
  </si>
  <si>
    <t>IV</t>
  </si>
  <si>
    <t>Наработка до кап. ремонта, лет</t>
  </si>
  <si>
    <t>Тм</t>
  </si>
  <si>
    <t>Продолжительность</t>
  </si>
  <si>
    <t>Тс</t>
  </si>
  <si>
    <t>К</t>
  </si>
  <si>
    <t>С</t>
  </si>
  <si>
    <t>Т</t>
  </si>
  <si>
    <t>Коэффициент</t>
  </si>
  <si>
    <t>Итого средняя продолжительность</t>
  </si>
  <si>
    <t>по типовым технологическим схемам погрузка в ж.д.</t>
  </si>
  <si>
    <t>ЭШ-10/60(10/70)</t>
  </si>
  <si>
    <t>по типовым технологическим схемам прием породы на отвале ж.д.</t>
  </si>
  <si>
    <t>по типовым технологическим схемам в автосамосвал</t>
  </si>
  <si>
    <t>не помню откуда</t>
  </si>
  <si>
    <t>по ЕНВ в автосамосвал</t>
  </si>
  <si>
    <t>коренные н/в</t>
  </si>
  <si>
    <t>коэффициент на усторйство настила</t>
  </si>
  <si>
    <t>ЭКГ-5</t>
  </si>
  <si>
    <t>II</t>
  </si>
  <si>
    <t>время на подготовительно-заключительные операции</t>
  </si>
  <si>
    <t>Время рейса полное</t>
  </si>
  <si>
    <t>время на на движение</t>
  </si>
  <si>
    <t>Категория породы по трудности экскавации</t>
  </si>
  <si>
    <t>Емкость ковша</t>
  </si>
  <si>
    <t>тыс. м3/мес</t>
  </si>
  <si>
    <t>Коэффициент наполнения ковша</t>
  </si>
  <si>
    <t>Коэффициент использования ковша</t>
  </si>
  <si>
    <t>Объем горной массы в целике в ковше</t>
  </si>
  <si>
    <t>Оперативное время на цикл экскавации</t>
  </si>
  <si>
    <t>Плотность горной массы</t>
  </si>
  <si>
    <t>Грузоподъемность автосамосвала</t>
  </si>
  <si>
    <t>Объем горной массы в кузове автосамосвала с "шапкой"</t>
  </si>
  <si>
    <t>Время установки автосамосвала под погрузку</t>
  </si>
  <si>
    <t>Количество ковшей г.м. загруженной в автосамосвал</t>
  </si>
  <si>
    <t>Количество циклов</t>
  </si>
  <si>
    <t>Время погрузки автосамосвала</t>
  </si>
  <si>
    <t>Время на ожидание автосамосвала</t>
  </si>
  <si>
    <t>Время на подг-заключительные операции</t>
  </si>
  <si>
    <t>Время на подчистку бульдозером</t>
  </si>
  <si>
    <t>Поправочный коэффициент учитывающий:</t>
  </si>
  <si>
    <t>Среднегодовая производительность</t>
  </si>
  <si>
    <t>т.т/год</t>
  </si>
  <si>
    <t>вкрыша</t>
  </si>
  <si>
    <t>Навалы</t>
  </si>
  <si>
    <t>Прочие работы</t>
  </si>
  <si>
    <t>см</t>
  </si>
  <si>
    <t>Время для отдыха и питания</t>
  </si>
  <si>
    <t>Время чистой работы экскаватора</t>
  </si>
  <si>
    <t>Разработку налипающих и мерзлых пород</t>
  </si>
  <si>
    <t>Переэкскавация</t>
  </si>
  <si>
    <t>Производство взрывных работ в течение смены</t>
  </si>
  <si>
    <t>Орошение забоя в течение смены</t>
  </si>
  <si>
    <t>Количество смен в сутки</t>
  </si>
  <si>
    <t>Количество рабочих дней</t>
  </si>
  <si>
    <t>Среднегодовое время ремонта экскаватора</t>
  </si>
  <si>
    <t>Время простоев по метеоусловиям</t>
  </si>
  <si>
    <t>Количество суток на технологические перегоны</t>
  </si>
  <si>
    <t>Коэффициент использования бульдозера</t>
  </si>
  <si>
    <t>Работа селективная выемка и негабариты</t>
  </si>
  <si>
    <r>
      <t>С углом поворота более 140</t>
    </r>
    <r>
      <rPr>
        <sz val="12"/>
        <rFont val="Calibri"/>
        <family val="2"/>
        <charset val="204"/>
      </rPr>
      <t>°</t>
    </r>
  </si>
  <si>
    <t>С устройством настила</t>
  </si>
  <si>
    <t>в отвал</t>
  </si>
  <si>
    <t>коренные</t>
  </si>
  <si>
    <t>Коренные</t>
  </si>
  <si>
    <t>Годовой объём перевозимый автотранспортом</t>
  </si>
  <si>
    <t>Расход ВВ</t>
  </si>
  <si>
    <t>кг/м3</t>
  </si>
  <si>
    <t>Ед.изм.</t>
  </si>
  <si>
    <t>Года</t>
  </si>
  <si>
    <t xml:space="preserve"> Наносы</t>
  </si>
  <si>
    <t>Коэф. вскрыши</t>
  </si>
  <si>
    <t>Коэф. вскрыши с навалами</t>
  </si>
  <si>
    <t>Объём бурения</t>
  </si>
  <si>
    <t>Уголь</t>
  </si>
  <si>
    <t>Объём взрывания</t>
  </si>
  <si>
    <t>Удельный расход ВВ</t>
  </si>
  <si>
    <t>Средневзвешен. расст. по углю</t>
  </si>
  <si>
    <t>Экскаваторы</t>
  </si>
  <si>
    <t>PH 2800</t>
  </si>
  <si>
    <t>WK-35</t>
  </si>
  <si>
    <t>Буровые станки</t>
  </si>
  <si>
    <t>DML 1200</t>
  </si>
  <si>
    <t>D-50Ks</t>
  </si>
  <si>
    <t xml:space="preserve">рабочий парк </t>
  </si>
  <si>
    <t>инвентарный парк</t>
  </si>
  <si>
    <t>Liebherr 994В</t>
  </si>
  <si>
    <t>DM 45</t>
  </si>
  <si>
    <t>ЭКГ-18</t>
  </si>
  <si>
    <t>D375A</t>
  </si>
  <si>
    <t>время на отдых и питание</t>
  </si>
  <si>
    <t xml:space="preserve">Расход топлива </t>
  </si>
  <si>
    <t>Годовой пробег</t>
  </si>
  <si>
    <t>в т.ч. РГМ</t>
  </si>
  <si>
    <t>Бульдозеры</t>
  </si>
  <si>
    <t>На отвале</t>
  </si>
  <si>
    <t>P&amp;H-2800</t>
  </si>
  <si>
    <t>Машино-часы</t>
  </si>
  <si>
    <t>Кедровское поле</t>
  </si>
  <si>
    <t>Латышевский участок</t>
  </si>
  <si>
    <t>Пихтовский участок</t>
  </si>
  <si>
    <t>Liebherr R994</t>
  </si>
  <si>
    <t>Komatsu PC1250</t>
  </si>
  <si>
    <t>ЭКГ-8у</t>
  </si>
  <si>
    <t>ЭКГ-6.3у</t>
  </si>
  <si>
    <t>ж/д</t>
  </si>
  <si>
    <t>авто</t>
  </si>
  <si>
    <t>Наносы</t>
  </si>
  <si>
    <t>Вскрыша всего, в т.ч.</t>
  </si>
  <si>
    <t>Коренные, в т.ч.</t>
  </si>
  <si>
    <t>Навалы, в т.ч.</t>
  </si>
  <si>
    <t>Вскрыша Латышевский участок, в т.ч.</t>
  </si>
  <si>
    <t>тыс. т</t>
  </si>
  <si>
    <t>тыс. м3</t>
  </si>
  <si>
    <t>тыс. п. м</t>
  </si>
  <si>
    <t>CAT D9R</t>
  </si>
  <si>
    <t>TD-20H</t>
  </si>
  <si>
    <t>R994</t>
  </si>
  <si>
    <t>Komatsu</t>
  </si>
  <si>
    <t>HD785</t>
  </si>
  <si>
    <t>PC1250</t>
  </si>
  <si>
    <t>ЭШ10/70</t>
  </si>
  <si>
    <t>БелАЗ-75306</t>
  </si>
  <si>
    <t>БелАЗ-75131</t>
  </si>
  <si>
    <t>Komatsu HD785</t>
  </si>
  <si>
    <t>Komatsu HD785 (Terex TR100C)</t>
  </si>
  <si>
    <t>Лицензия КЕМ 01643 ТЭ, в т. ч.</t>
  </si>
  <si>
    <t>Лицензия КЕМ 11671 ТЭ, в т. ч.</t>
  </si>
  <si>
    <t>Отвалообразование, в т. ч.</t>
  </si>
  <si>
    <t>Внешние отвалы</t>
  </si>
  <si>
    <t>ЭШ-10/50</t>
  </si>
  <si>
    <t>гидро в т. ч.</t>
  </si>
  <si>
    <t>смыв</t>
  </si>
  <si>
    <t>перемыв</t>
  </si>
  <si>
    <t>Добыча, в т. ч.</t>
  </si>
  <si>
    <t>Выветрелые</t>
  </si>
  <si>
    <t>Невыветрелые</t>
  </si>
  <si>
    <t>Параметры выемочно-погрузочного оборудования</t>
  </si>
  <si>
    <t>Выемочно-погрузочное оборудование</t>
  </si>
  <si>
    <r>
      <t>Емкость ковша,
м</t>
    </r>
    <r>
      <rPr>
        <vertAlign val="superscript"/>
        <sz val="12"/>
        <color theme="1"/>
        <rFont val="Calibri"/>
        <family val="2"/>
        <charset val="204"/>
        <scheme val="minor"/>
      </rPr>
      <t>3</t>
    </r>
  </si>
  <si>
    <t>Тип экскаватора</t>
  </si>
  <si>
    <t>Р&amp;Н-2800</t>
  </si>
  <si>
    <t>ЭКГ-18Р</t>
  </si>
  <si>
    <t>ЭКГ-6,3у (ж/д)</t>
  </si>
  <si>
    <t>ЭКГ-8у (ж/д)</t>
  </si>
  <si>
    <t>Liebherr R9350</t>
  </si>
  <si>
    <t>обратная лопата</t>
  </si>
  <si>
    <t>Komatsu PC 1250</t>
  </si>
  <si>
    <t>Hitachi EX1900</t>
  </si>
  <si>
    <t>CAT 5130B</t>
  </si>
  <si>
    <t>CAT 988Н</t>
  </si>
  <si>
    <t>погрузчик</t>
  </si>
  <si>
    <t>CAT 992K</t>
  </si>
  <si>
    <t xml:space="preserve">Hyundai HL 780XTD-7A </t>
  </si>
  <si>
    <t>Параметры транспорта</t>
  </si>
  <si>
    <t>Марка, модель</t>
  </si>
  <si>
    <t>Вид работ</t>
  </si>
  <si>
    <r>
      <t>Объем горной массы в кузове автосамосвала с "шапкой", 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</si>
  <si>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Komatsu HD 930E-3</t>
  </si>
  <si>
    <t>Komatsu HD 830E</t>
  </si>
  <si>
    <t>Komatsu HD 785-5</t>
  </si>
  <si>
    <t>добыча/вскрыша</t>
  </si>
  <si>
    <t>Terex TR100</t>
  </si>
  <si>
    <t>БелАЗ-7555D</t>
  </si>
  <si>
    <t>БелАЗ-75138</t>
  </si>
  <si>
    <t xml:space="preserve">Думпкары 2ВС-105 </t>
  </si>
  <si>
    <t>Параметры буровых станком</t>
  </si>
  <si>
    <t>Тип привода</t>
  </si>
  <si>
    <t>Диаметр бурения, м</t>
  </si>
  <si>
    <t>дизельный</t>
  </si>
  <si>
    <t>D-50KS</t>
  </si>
  <si>
    <r>
      <t>м</t>
    </r>
    <r>
      <rPr>
        <vertAlign val="superscript"/>
        <sz val="12"/>
        <rFont val="Times New Roman Cyr"/>
        <charset val="204"/>
      </rPr>
      <t>3</t>
    </r>
  </si>
  <si>
    <r>
      <t>т/м</t>
    </r>
    <r>
      <rPr>
        <vertAlign val="superscript"/>
        <sz val="12"/>
        <rFont val="Times New Roman Cyr"/>
        <charset val="204"/>
      </rPr>
      <t>3</t>
    </r>
  </si>
  <si>
    <t>Грузоподъемность</t>
  </si>
  <si>
    <t>Объем горной массы в кузове автосамосвала с "шапкой", м3</t>
  </si>
  <si>
    <t>Объем горной массы в кузове автосамосвала с учетом его грузоподъемности и объемного веса</t>
  </si>
  <si>
    <t>Принятый объем горной массы в кузове автосамосвала в целике</t>
  </si>
  <si>
    <t>Высота уступа ниже 3 кратной высоты ковша</t>
  </si>
  <si>
    <r>
      <t>м</t>
    </r>
    <r>
      <rPr>
        <vertAlign val="superscript"/>
        <sz val="12"/>
        <rFont val="Times New Roman Cyr"/>
        <charset val="204"/>
      </rPr>
      <t>3</t>
    </r>
    <r>
      <rPr>
        <sz val="12"/>
        <rFont val="Times New Roman Cyr"/>
        <family val="1"/>
        <charset val="204"/>
      </rPr>
      <t>/час</t>
    </r>
  </si>
  <si>
    <r>
      <t>м</t>
    </r>
    <r>
      <rPr>
        <vertAlign val="superscript"/>
        <sz val="12"/>
        <rFont val="Times New Roman Cyr"/>
        <charset val="204"/>
      </rPr>
      <t>3</t>
    </r>
    <r>
      <rPr>
        <sz val="12"/>
        <rFont val="Times New Roman Cyr"/>
        <family val="1"/>
        <charset val="204"/>
      </rPr>
      <t>/см</t>
    </r>
  </si>
  <si>
    <r>
      <t>м</t>
    </r>
    <r>
      <rPr>
        <vertAlign val="superscript"/>
        <sz val="12"/>
        <rFont val="Times New Roman Cyr"/>
        <charset val="204"/>
      </rPr>
      <t>3</t>
    </r>
    <r>
      <rPr>
        <sz val="12"/>
        <rFont val="Times New Roman Cyr"/>
        <family val="1"/>
        <charset val="204"/>
      </rPr>
      <t>/сут</t>
    </r>
  </si>
  <si>
    <r>
      <t>т.м</t>
    </r>
    <r>
      <rPr>
        <vertAlign val="superscript"/>
        <sz val="12"/>
        <rFont val="Times New Roman Cyr"/>
        <charset val="204"/>
      </rPr>
      <t>3</t>
    </r>
    <r>
      <rPr>
        <sz val="12"/>
        <rFont val="Times New Roman Cyr"/>
        <family val="1"/>
        <charset val="204"/>
      </rPr>
      <t>/год</t>
    </r>
  </si>
  <si>
    <t>ед. 
изм.</t>
  </si>
  <si>
    <t>HD 930E</t>
  </si>
  <si>
    <t>HD 830E</t>
  </si>
  <si>
    <t>Внутренние отвалы</t>
  </si>
  <si>
    <r>
      <t>тыс. м</t>
    </r>
    <r>
      <rPr>
        <vertAlign val="superscript"/>
        <sz val="11"/>
        <rFont val="Calibri"/>
        <family val="2"/>
        <charset val="204"/>
        <scheme val="minor"/>
      </rPr>
      <t>3</t>
    </r>
  </si>
  <si>
    <t>на гидроотвале № 2</t>
  </si>
  <si>
    <t>Отвал № 1</t>
  </si>
  <si>
    <t>Отвал № 2</t>
  </si>
  <si>
    <t>Отвал № 3</t>
  </si>
  <si>
    <t>на гидроотвале № 3</t>
  </si>
  <si>
    <t>Автомобильная технология</t>
  </si>
  <si>
    <t>Железнодорожная технология</t>
  </si>
  <si>
    <t>Южный</t>
  </si>
  <si>
    <t>Внешний отвал</t>
  </si>
  <si>
    <r>
      <t>тыс. м</t>
    </r>
    <r>
      <rPr>
        <vertAlign val="superscript"/>
        <sz val="10"/>
        <rFont val="Arial Cyr"/>
        <charset val="204"/>
      </rPr>
      <t>3</t>
    </r>
  </si>
  <si>
    <t>отрисованный</t>
  </si>
  <si>
    <t>гидровскрыша</t>
  </si>
  <si>
    <r>
      <t>тыс. м</t>
    </r>
    <r>
      <rPr>
        <b/>
        <vertAlign val="superscript"/>
        <sz val="11"/>
        <rFont val="Calibri"/>
        <family val="2"/>
        <charset val="204"/>
        <scheme val="minor"/>
      </rPr>
      <t>3</t>
    </r>
  </si>
  <si>
    <t>прочие работы</t>
  </si>
  <si>
    <t>ЭКГ-18P</t>
  </si>
  <si>
    <t>Согласовано:</t>
  </si>
  <si>
    <t>Заместитель директора - технический директор</t>
  </si>
  <si>
    <t>филиала «Кедровский угольный разрез»
ОАО «УК «Кузбассразрезуголь»</t>
  </si>
  <si>
    <t>_____________________   Я.О. Литвин</t>
  </si>
  <si>
    <t xml:space="preserve">"_____"  ___________________  2017 г.   </t>
  </si>
  <si>
    <t>CAT 988H</t>
  </si>
  <si>
    <t>CAT 992H</t>
  </si>
  <si>
    <t>ЭКГ-32</t>
  </si>
  <si>
    <t>HD 785-5</t>
  </si>
  <si>
    <t>Terex</t>
  </si>
  <si>
    <t>TR100</t>
  </si>
  <si>
    <t>Думпкары</t>
  </si>
  <si>
    <t xml:space="preserve">2ВС-105 </t>
  </si>
  <si>
    <t xml:space="preserve">Диаметр  скважины </t>
  </si>
  <si>
    <t>Временное сопротивление сжатию</t>
  </si>
  <si>
    <r>
      <t>кгс/см</t>
    </r>
    <r>
      <rPr>
        <vertAlign val="superscript"/>
        <sz val="11"/>
        <color indexed="8"/>
        <rFont val="Arial"/>
        <family val="2"/>
        <charset val="204"/>
      </rPr>
      <t>2</t>
    </r>
    <r>
      <rPr>
        <sz val="11"/>
        <color indexed="8"/>
        <rFont val="Arial"/>
        <family val="2"/>
        <charset val="204"/>
      </rPr>
      <t xml:space="preserve"> (кг/см</t>
    </r>
    <r>
      <rPr>
        <vertAlign val="superscript"/>
        <sz val="11"/>
        <color indexed="8"/>
        <rFont val="Arial"/>
        <family val="2"/>
        <charset val="204"/>
      </rPr>
      <t>2</t>
    </r>
    <r>
      <rPr>
        <sz val="11"/>
        <color indexed="8"/>
        <rFont val="Arial"/>
        <family val="2"/>
        <charset val="204"/>
      </rPr>
      <t>)</t>
    </r>
  </si>
  <si>
    <t>МПа</t>
  </si>
  <si>
    <t>Категория крепости пород по буримости</t>
  </si>
  <si>
    <t>IX</t>
  </si>
  <si>
    <t>Мощность привода вращателя</t>
  </si>
  <si>
    <t>кВт</t>
  </si>
  <si>
    <t>Коэффициент загрузки двигателя</t>
  </si>
  <si>
    <t>п.м/ч</t>
  </si>
  <si>
    <t>Коэффициент использования станка</t>
  </si>
  <si>
    <t>ч</t>
  </si>
  <si>
    <t>п.м/смену</t>
  </si>
  <si>
    <t>п.м/сут</t>
  </si>
  <si>
    <t>Простои по метеоусловиям</t>
  </si>
  <si>
    <t>Количество дней чистой работы бурстанка</t>
  </si>
  <si>
    <t>т.п.м/год</t>
  </si>
  <si>
    <t>Atlas Copco DML</t>
  </si>
  <si>
    <t>Объем призмы волочения</t>
  </si>
  <si>
    <t>Высота отвала</t>
  </si>
  <si>
    <t>Ширина отвала</t>
  </si>
  <si>
    <t>Расстояние набора породы</t>
  </si>
  <si>
    <t>Расстояние перемещения породы</t>
  </si>
  <si>
    <t>Передний ход (I передача)</t>
  </si>
  <si>
    <t>км/ч</t>
  </si>
  <si>
    <t>Задний ход (I передача)</t>
  </si>
  <si>
    <t>Скорость движения при наборе породы</t>
  </si>
  <si>
    <t xml:space="preserve">Скорость движения при перемещении породы </t>
  </si>
  <si>
    <t>Скорость движ порожнего</t>
  </si>
  <si>
    <t>Время на перекл скорости  и опуск  лемеха</t>
  </si>
  <si>
    <t>Среднегодовое время ремонта</t>
  </si>
  <si>
    <t>Временный отвал</t>
  </si>
  <si>
    <t>авто в т.ч.</t>
  </si>
  <si>
    <t>На горных работах</t>
  </si>
  <si>
    <t>CAT 834H</t>
  </si>
  <si>
    <t>CAT 844H</t>
  </si>
  <si>
    <t>WD-600A</t>
  </si>
  <si>
    <t>внутренний временный отвал</t>
  </si>
  <si>
    <t>Средневзвешен. расст. по вскрыше</t>
  </si>
  <si>
    <t>Atlas Copco DM-45</t>
  </si>
  <si>
    <t>Sandvik D50KS</t>
  </si>
  <si>
    <t>Pit Viper PV 271</t>
  </si>
  <si>
    <t>988H</t>
  </si>
  <si>
    <t>992H</t>
  </si>
  <si>
    <t>Суммарный годовой пробег автосамосвалов</t>
  </si>
  <si>
    <t>маш. -час</t>
  </si>
  <si>
    <t>Вскрыша Пихтовский учаток в т.ч.</t>
  </si>
  <si>
    <t>Вскрыша Кедровское поле в т.ч.</t>
  </si>
  <si>
    <t>БелАЗ-7530</t>
  </si>
  <si>
    <t>БелАЗ-7513</t>
  </si>
  <si>
    <t>Пихтовский</t>
  </si>
  <si>
    <t>рпа</t>
  </si>
  <si>
    <t>коренн</t>
  </si>
  <si>
    <t>нвал</t>
  </si>
  <si>
    <t>нанос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</si>
</sst>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_)"/>
    <numFmt numFmtId="166" formatCode="General_)"/>
    <numFmt numFmtId="167" formatCode="0.0_)"/>
    <numFmt numFmtId="168" formatCode=";;;"/>
    <numFmt numFmtId="169" formatCode="0.000"/>
    <numFmt numFmtId="170" formatCode="0.0000"/>
  </numFmts>
  <fonts count="69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indexed="8"/>
      <name val="Arial Cyr"/>
      <family val="2"/>
      <charset val="204"/>
    </font>
    <font>
      <sz val="10"/>
      <name val="Arial Cyr"/>
      <family val="2"/>
      <charset val="204"/>
    </font>
    <font>
      <sz val="10"/>
      <color indexed="10"/>
      <name val="Arial Cyr"/>
      <family val="2"/>
      <charset val="204"/>
    </font>
    <font>
      <sz val="10"/>
      <color indexed="10"/>
      <name val="Arial Cyr"/>
      <charset val="204"/>
    </font>
    <font>
      <sz val="10"/>
      <color rgb="FFFF0000"/>
      <name val="Arial Cyr"/>
      <charset val="204"/>
    </font>
    <font>
      <sz val="10"/>
      <name val="Arial Cyr"/>
      <charset val="204"/>
    </font>
    <font>
      <sz val="12"/>
      <name val="Times New Roman Cyr"/>
      <family val="1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sz val="10"/>
      <color indexed="9"/>
      <name val="Arial Cyr"/>
      <charset val="204"/>
    </font>
    <font>
      <sz val="10"/>
      <color indexed="12"/>
      <name val="Arial Cyr"/>
      <family val="2"/>
      <charset val="204"/>
    </font>
    <font>
      <sz val="9"/>
      <name val="Arial Cyr"/>
      <charset val="204"/>
    </font>
    <font>
      <sz val="10"/>
      <color rgb="FFFF0000"/>
      <name val="Arial Cyr"/>
      <family val="2"/>
      <charset val="204"/>
    </font>
    <font>
      <sz val="10"/>
      <name val="Arial"/>
      <family val="2"/>
      <charset val="204"/>
    </font>
    <font>
      <sz val="10"/>
      <name val="Arial Cyr"/>
    </font>
    <font>
      <sz val="12"/>
      <color rgb="FFFF0000"/>
      <name val="Times New Roman Cyr"/>
      <family val="1"/>
      <charset val="204"/>
    </font>
    <font>
      <b/>
      <sz val="12"/>
      <color theme="9" tint="-0.499984740745262"/>
      <name val="Times New Roman Cyr"/>
      <charset val="204"/>
    </font>
    <font>
      <b/>
      <sz val="12"/>
      <name val="Times New Roman Cyr"/>
      <charset val="204"/>
    </font>
    <font>
      <sz val="12"/>
      <name val="Calibri"/>
      <family val="2"/>
      <charset val="204"/>
    </font>
    <font>
      <sz val="12"/>
      <name val="Times New Roman Cyr"/>
      <charset val="204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0"/>
      <name val="Arial Cyr"/>
      <charset val="204"/>
    </font>
    <font>
      <b/>
      <sz val="12"/>
      <color rgb="FFFF000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0"/>
      <color rgb="FF0070C0"/>
      <name val="Arial Cyr"/>
      <charset val="204"/>
    </font>
    <font>
      <sz val="11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vertAlign val="superscript"/>
      <sz val="12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vertAlign val="superscript"/>
      <sz val="12"/>
      <name val="Times New Roman Cyr"/>
      <charset val="204"/>
    </font>
    <font>
      <b/>
      <sz val="12"/>
      <color rgb="FFFF0000"/>
      <name val="Times New Roman Cyr"/>
      <charset val="204"/>
    </font>
    <font>
      <vertAlign val="superscript"/>
      <sz val="11"/>
      <name val="Calibri"/>
      <family val="2"/>
      <charset val="204"/>
      <scheme val="minor"/>
    </font>
    <font>
      <vertAlign val="superscript"/>
      <sz val="10"/>
      <name val="Arial Cyr"/>
      <charset val="204"/>
    </font>
    <font>
      <b/>
      <vertAlign val="superscript"/>
      <sz val="1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0"/>
      <color rgb="FFFFFF00"/>
      <name val="Arial Cyr"/>
      <charset val="204"/>
    </font>
    <font>
      <sz val="11"/>
      <color rgb="FFFFFF00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color rgb="FFFF0000"/>
      <name val="Arial"/>
      <family val="2"/>
      <charset val="204"/>
    </font>
    <font>
      <vertAlign val="superscript"/>
      <sz val="11"/>
      <color indexed="8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name val="Arial"/>
      <family val="2"/>
      <charset val="204"/>
    </font>
    <font>
      <b/>
      <i/>
      <sz val="11"/>
      <color theme="1"/>
      <name val="Arial"/>
      <family val="2"/>
      <charset val="204"/>
    </font>
    <font>
      <b/>
      <i/>
      <sz val="1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vertAlign val="subscript"/>
      <sz val="9"/>
      <color indexed="81"/>
      <name val="Tahoma"/>
      <family val="2"/>
      <charset val="204"/>
    </font>
    <font>
      <sz val="12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0F8B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87E4E9"/>
        <bgColor indexed="64"/>
      </patternFill>
    </fill>
    <fill>
      <patternFill patternType="solid">
        <fgColor rgb="FFF47CC3"/>
        <bgColor indexed="64"/>
      </patternFill>
    </fill>
    <fill>
      <patternFill patternType="solid">
        <fgColor rgb="FF7AA3F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0" fontId="8" fillId="0" borderId="0"/>
    <xf numFmtId="0" fontId="23" fillId="0" borderId="0"/>
    <xf numFmtId="0" fontId="7" fillId="0" borderId="0"/>
    <xf numFmtId="0" fontId="6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3" fillId="0" borderId="0"/>
  </cellStyleXfs>
  <cellXfs count="1040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/>
    </xf>
    <xf numFmtId="2" fontId="0" fillId="0" borderId="0" xfId="0" applyNumberFormat="1" applyFill="1"/>
    <xf numFmtId="0" fontId="0" fillId="0" borderId="1" xfId="0" applyFill="1" applyBorder="1"/>
    <xf numFmtId="164" fontId="0" fillId="0" borderId="0" xfId="0" applyNumberFormat="1" applyFill="1"/>
    <xf numFmtId="0" fontId="15" fillId="0" borderId="0" xfId="0" applyFont="1" applyFill="1"/>
    <xf numFmtId="0" fontId="15" fillId="0" borderId="0" xfId="0" applyFont="1" applyFill="1" applyAlignment="1" applyProtection="1">
      <alignment horizontal="left"/>
    </xf>
    <xf numFmtId="0" fontId="15" fillId="0" borderId="0" xfId="0" applyFont="1" applyFill="1" applyAlignment="1">
      <alignment horizontal="center"/>
    </xf>
    <xf numFmtId="0" fontId="15" fillId="0" borderId="0" xfId="0" applyFont="1" applyFill="1" applyBorder="1" applyAlignment="1" applyProtection="1">
      <alignment horizontal="center"/>
    </xf>
    <xf numFmtId="0" fontId="15" fillId="0" borderId="0" xfId="0" applyFont="1" applyFill="1" applyBorder="1" applyAlignment="1">
      <alignment horizontal="center"/>
    </xf>
    <xf numFmtId="166" fontId="15" fillId="0" borderId="0" xfId="0" applyNumberFormat="1" applyFont="1" applyFill="1" applyBorder="1" applyAlignment="1" applyProtection="1">
      <alignment horizontal="center"/>
    </xf>
    <xf numFmtId="2" fontId="15" fillId="0" borderId="0" xfId="0" applyNumberFormat="1" applyFont="1" applyFill="1" applyBorder="1" applyAlignment="1" applyProtection="1">
      <alignment horizontal="center"/>
    </xf>
    <xf numFmtId="0" fontId="15" fillId="0" borderId="0" xfId="0" applyFont="1" applyFill="1" applyProtection="1"/>
    <xf numFmtId="0" fontId="15" fillId="0" borderId="0" xfId="0" applyFont="1" applyFill="1" applyAlignment="1" applyProtection="1">
      <alignment horizontal="fill"/>
    </xf>
    <xf numFmtId="0" fontId="15" fillId="0" borderId="0" xfId="0" applyFont="1" applyFill="1" applyAlignment="1" applyProtection="1">
      <alignment horizontal="right"/>
    </xf>
    <xf numFmtId="2" fontId="15" fillId="0" borderId="0" xfId="0" applyNumberFormat="1" applyFont="1" applyFill="1"/>
    <xf numFmtId="0" fontId="14" fillId="0" borderId="0" xfId="0" applyFont="1" applyFill="1"/>
    <xf numFmtId="0" fontId="14" fillId="0" borderId="0" xfId="0" applyFont="1" applyFill="1" applyAlignment="1" applyProtection="1">
      <alignment horizontal="left"/>
    </xf>
    <xf numFmtId="0" fontId="14" fillId="0" borderId="0" xfId="0" applyFont="1"/>
    <xf numFmtId="0" fontId="14" fillId="0" borderId="0" xfId="0" applyFont="1" applyFill="1" applyAlignment="1" applyProtection="1">
      <alignment horizontal="fill"/>
    </xf>
    <xf numFmtId="0" fontId="14" fillId="0" borderId="0" xfId="0" applyFont="1" applyFill="1" applyProtection="1"/>
    <xf numFmtId="0" fontId="0" fillId="0" borderId="0" xfId="0" applyFont="1" applyFill="1" applyAlignment="1" applyProtection="1">
      <alignment horizontal="left"/>
    </xf>
    <xf numFmtId="0" fontId="14" fillId="0" borderId="0" xfId="0" applyFont="1" applyAlignment="1" applyProtection="1">
      <alignment horizontal="left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14" fillId="0" borderId="0" xfId="0" applyFont="1" applyProtection="1"/>
    <xf numFmtId="164" fontId="14" fillId="0" borderId="0" xfId="0" applyNumberFormat="1" applyFont="1" applyFill="1" applyProtection="1"/>
    <xf numFmtId="164" fontId="14" fillId="0" borderId="0" xfId="0" applyNumberFormat="1" applyFont="1" applyProtection="1"/>
    <xf numFmtId="2" fontId="14" fillId="0" borderId="0" xfId="0" applyNumberFormat="1" applyFont="1" applyFill="1" applyProtection="1"/>
    <xf numFmtId="2" fontId="14" fillId="0" borderId="0" xfId="0" applyNumberFormat="1" applyFont="1" applyProtection="1"/>
    <xf numFmtId="2" fontId="14" fillId="0" borderId="0" xfId="0" applyNumberFormat="1" applyFont="1" applyFill="1"/>
    <xf numFmtId="0" fontId="0" fillId="0" borderId="0" xfId="0" applyFont="1" applyFill="1" applyAlignment="1" applyProtection="1">
      <alignment horizontal="fill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4" fillId="0" borderId="13" xfId="0" applyFont="1" applyBorder="1"/>
    <xf numFmtId="0" fontId="14" fillId="0" borderId="11" xfId="0" applyFont="1" applyBorder="1" applyAlignment="1" applyProtection="1">
      <alignment horizontal="left"/>
    </xf>
    <xf numFmtId="0" fontId="14" fillId="0" borderId="11" xfId="0" applyFont="1" applyBorder="1" applyAlignment="1" applyProtection="1">
      <alignment horizontal="center"/>
    </xf>
    <xf numFmtId="0" fontId="14" fillId="0" borderId="11" xfId="0" applyFont="1" applyBorder="1"/>
    <xf numFmtId="0" fontId="14" fillId="0" borderId="14" xfId="0" applyFont="1" applyBorder="1"/>
    <xf numFmtId="0" fontId="14" fillId="0" borderId="17" xfId="0" applyFont="1" applyBorder="1" applyAlignment="1" applyProtection="1">
      <alignment horizontal="center"/>
    </xf>
    <xf numFmtId="0" fontId="11" fillId="0" borderId="13" xfId="0" applyFont="1" applyBorder="1" applyAlignment="1" applyProtection="1">
      <alignment horizontal="left"/>
    </xf>
    <xf numFmtId="167" fontId="14" fillId="0" borderId="11" xfId="0" applyNumberFormat="1" applyFont="1" applyBorder="1" applyAlignment="1" applyProtection="1">
      <alignment horizontal="left"/>
    </xf>
    <xf numFmtId="2" fontId="0" fillId="0" borderId="0" xfId="0" applyNumberFormat="1"/>
    <xf numFmtId="2" fontId="14" fillId="0" borderId="11" xfId="0" applyNumberFormat="1" applyFont="1" applyBorder="1" applyAlignment="1" applyProtection="1">
      <alignment horizontal="left"/>
    </xf>
    <xf numFmtId="168" fontId="14" fillId="0" borderId="11" xfId="0" applyNumberFormat="1" applyFont="1" applyBorder="1" applyAlignment="1" applyProtection="1">
      <alignment horizontal="left"/>
    </xf>
    <xf numFmtId="0" fontId="0" fillId="0" borderId="11" xfId="0" applyBorder="1"/>
    <xf numFmtId="0" fontId="14" fillId="0" borderId="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Fill="1" applyBorder="1"/>
    <xf numFmtId="0" fontId="14" fillId="0" borderId="0" xfId="0" applyFont="1" applyAlignment="1" applyProtection="1">
      <alignment horizontal="fill"/>
    </xf>
    <xf numFmtId="0" fontId="14" fillId="0" borderId="0" xfId="0" applyFont="1" applyAlignment="1" applyProtection="1">
      <alignment horizontal="right"/>
    </xf>
    <xf numFmtId="0" fontId="14" fillId="0" borderId="0" xfId="0" applyFont="1" applyAlignment="1" applyProtection="1">
      <alignment horizontal="center"/>
    </xf>
    <xf numFmtId="0" fontId="14" fillId="0" borderId="0" xfId="0" applyFont="1" applyFill="1" applyAlignment="1" applyProtection="1">
      <alignment horizontal="right"/>
    </xf>
    <xf numFmtId="2" fontId="14" fillId="0" borderId="0" xfId="0" applyNumberFormat="1" applyFont="1"/>
    <xf numFmtId="0" fontId="0" fillId="0" borderId="28" xfId="0" applyFill="1" applyBorder="1"/>
    <xf numFmtId="0" fontId="0" fillId="0" borderId="16" xfId="0" applyFill="1" applyBorder="1"/>
    <xf numFmtId="0" fontId="0" fillId="0" borderId="41" xfId="0" applyFill="1" applyBorder="1"/>
    <xf numFmtId="0" fontId="0" fillId="0" borderId="0" xfId="0" applyFill="1" applyAlignment="1">
      <alignment horizontal="centerContinuous"/>
    </xf>
    <xf numFmtId="0" fontId="0" fillId="0" borderId="31" xfId="0" applyFill="1" applyBorder="1"/>
    <xf numFmtId="0" fontId="0" fillId="0" borderId="42" xfId="0" applyFill="1" applyBorder="1"/>
    <xf numFmtId="0" fontId="20" fillId="0" borderId="0" xfId="0" applyFont="1" applyFill="1" applyAlignment="1">
      <alignment horizontal="center"/>
    </xf>
    <xf numFmtId="0" fontId="0" fillId="0" borderId="0" xfId="0" applyFont="1" applyFill="1" applyProtection="1"/>
    <xf numFmtId="0" fontId="0" fillId="0" borderId="0" xfId="0" applyFont="1" applyProtection="1"/>
    <xf numFmtId="0" fontId="0" fillId="0" borderId="38" xfId="0" applyFill="1" applyBorder="1"/>
    <xf numFmtId="0" fontId="0" fillId="0" borderId="36" xfId="0" applyFill="1" applyBorder="1"/>
    <xf numFmtId="0" fontId="0" fillId="0" borderId="37" xfId="0" applyFill="1" applyBorder="1"/>
    <xf numFmtId="164" fontId="0" fillId="0" borderId="0" xfId="0" applyNumberFormat="1" applyFont="1" applyFill="1" applyProtection="1"/>
    <xf numFmtId="164" fontId="0" fillId="0" borderId="0" xfId="0" applyNumberFormat="1" applyFont="1" applyProtection="1"/>
    <xf numFmtId="164" fontId="0" fillId="0" borderId="0" xfId="0" applyNumberFormat="1"/>
    <xf numFmtId="0" fontId="9" fillId="0" borderId="0" xfId="0" applyFont="1"/>
    <xf numFmtId="0" fontId="0" fillId="0" borderId="49" xfId="0" applyBorder="1"/>
    <xf numFmtId="0" fontId="0" fillId="0" borderId="15" xfId="0" applyBorder="1"/>
    <xf numFmtId="0" fontId="0" fillId="0" borderId="35" xfId="0" applyBorder="1"/>
    <xf numFmtId="0" fontId="0" fillId="0" borderId="50" xfId="0" applyBorder="1"/>
    <xf numFmtId="0" fontId="0" fillId="0" borderId="48" xfId="0" applyBorder="1"/>
    <xf numFmtId="0" fontId="0" fillId="0" borderId="51" xfId="0" applyBorder="1"/>
    <xf numFmtId="0" fontId="0" fillId="0" borderId="18" xfId="0" applyBorder="1"/>
    <xf numFmtId="0" fontId="0" fillId="0" borderId="21" xfId="0" applyBorder="1"/>
    <xf numFmtId="0" fontId="0" fillId="0" borderId="4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/>
    <xf numFmtId="0" fontId="0" fillId="0" borderId="19" xfId="0" applyBorder="1"/>
    <xf numFmtId="0" fontId="0" fillId="0" borderId="22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9" fillId="0" borderId="0" xfId="0" applyFont="1" applyBorder="1"/>
    <xf numFmtId="164" fontId="9" fillId="0" borderId="0" xfId="0" applyNumberFormat="1" applyFont="1" applyBorder="1"/>
    <xf numFmtId="164" fontId="9" fillId="0" borderId="0" xfId="0" applyNumberFormat="1" applyFont="1"/>
    <xf numFmtId="169" fontId="9" fillId="0" borderId="0" xfId="0" applyNumberFormat="1" applyFont="1"/>
    <xf numFmtId="0" fontId="14" fillId="0" borderId="1" xfId="0" applyFont="1" applyFill="1" applyBorder="1"/>
    <xf numFmtId="0" fontId="14" fillId="0" borderId="0" xfId="0" applyFont="1" applyFill="1" applyBorder="1"/>
    <xf numFmtId="0" fontId="0" fillId="0" borderId="1" xfId="0" applyFont="1" applyFill="1" applyBorder="1"/>
    <xf numFmtId="2" fontId="14" fillId="0" borderId="1" xfId="0" applyNumberFormat="1" applyFont="1" applyFill="1" applyBorder="1"/>
    <xf numFmtId="164" fontId="14" fillId="0" borderId="1" xfId="0" applyNumberFormat="1" applyFont="1" applyFill="1" applyBorder="1"/>
    <xf numFmtId="0" fontId="0" fillId="0" borderId="13" xfId="0" applyFont="1" applyBorder="1" applyAlignment="1" applyProtection="1">
      <alignment horizontal="left"/>
    </xf>
    <xf numFmtId="1" fontId="15" fillId="0" borderId="0" xfId="0" applyNumberFormat="1" applyFont="1" applyFill="1" applyProtection="1"/>
    <xf numFmtId="164" fontId="15" fillId="0" borderId="0" xfId="0" applyNumberFormat="1" applyFont="1" applyFill="1" applyBorder="1" applyAlignment="1" applyProtection="1">
      <alignment horizontal="center"/>
    </xf>
    <xf numFmtId="0" fontId="0" fillId="0" borderId="1" xfId="0" applyFont="1" applyFill="1" applyBorder="1" applyAlignment="1" applyProtection="1">
      <alignment horizontal="right"/>
    </xf>
    <xf numFmtId="0" fontId="14" fillId="0" borderId="1" xfId="0" applyFont="1" applyFill="1" applyBorder="1" applyProtection="1"/>
    <xf numFmtId="164" fontId="0" fillId="0" borderId="1" xfId="0" applyNumberFormat="1" applyFont="1" applyFill="1" applyBorder="1" applyProtection="1"/>
    <xf numFmtId="0" fontId="0" fillId="0" borderId="1" xfId="0" applyFont="1" applyFill="1" applyBorder="1" applyProtection="1"/>
    <xf numFmtId="164" fontId="0" fillId="0" borderId="1" xfId="0" applyNumberFormat="1" applyFont="1" applyFill="1" applyBorder="1"/>
    <xf numFmtId="0" fontId="15" fillId="0" borderId="1" xfId="0" applyFont="1" applyFill="1" applyBorder="1"/>
    <xf numFmtId="164" fontId="14" fillId="0" borderId="1" xfId="0" applyNumberFormat="1" applyFont="1" applyFill="1" applyBorder="1" applyProtection="1"/>
    <xf numFmtId="2" fontId="14" fillId="0" borderId="1" xfId="0" applyNumberFormat="1" applyFont="1" applyFill="1" applyBorder="1" applyProtection="1"/>
    <xf numFmtId="0" fontId="14" fillId="0" borderId="1" xfId="0" applyFont="1" applyBorder="1" applyProtection="1"/>
    <xf numFmtId="0" fontId="14" fillId="0" borderId="1" xfId="0" applyFont="1" applyBorder="1"/>
    <xf numFmtId="164" fontId="14" fillId="0" borderId="1" xfId="0" applyNumberFormat="1" applyFont="1" applyBorder="1" applyProtection="1"/>
    <xf numFmtId="2" fontId="14" fillId="0" borderId="1" xfId="0" applyNumberFormat="1" applyFont="1" applyBorder="1" applyProtection="1"/>
    <xf numFmtId="164" fontId="14" fillId="0" borderId="1" xfId="0" applyNumberFormat="1" applyFont="1" applyBorder="1"/>
    <xf numFmtId="164" fontId="0" fillId="0" borderId="1" xfId="0" applyNumberFormat="1" applyFont="1" applyBorder="1"/>
    <xf numFmtId="2" fontId="0" fillId="0" borderId="1" xfId="0" applyNumberFormat="1" applyFont="1" applyFill="1" applyBorder="1"/>
    <xf numFmtId="0" fontId="15" fillId="0" borderId="0" xfId="0" applyFont="1" applyFill="1" applyBorder="1" applyAlignment="1" applyProtection="1">
      <alignment horizontal="center" vertical="center"/>
    </xf>
    <xf numFmtId="0" fontId="9" fillId="0" borderId="0" xfId="0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164" fontId="10" fillId="0" borderId="0" xfId="0" applyNumberFormat="1" applyFont="1" applyFill="1" applyBorder="1" applyAlignment="1" applyProtection="1">
      <alignment horizontal="center"/>
    </xf>
    <xf numFmtId="164" fontId="9" fillId="0" borderId="0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169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4" xfId="0" applyFont="1" applyFill="1" applyBorder="1" applyAlignment="1" applyProtection="1">
      <alignment horizontal="right"/>
    </xf>
    <xf numFmtId="0" fontId="14" fillId="0" borderId="24" xfId="0" applyFont="1" applyFill="1" applyBorder="1" applyProtection="1"/>
    <xf numFmtId="0" fontId="0" fillId="0" borderId="3" xfId="0" applyFont="1" applyFill="1" applyBorder="1" applyAlignment="1" applyProtection="1">
      <alignment horizontal="right"/>
    </xf>
    <xf numFmtId="0" fontId="0" fillId="0" borderId="40" xfId="0" applyFont="1" applyFill="1" applyBorder="1" applyAlignment="1" applyProtection="1">
      <alignment horizontal="right"/>
    </xf>
    <xf numFmtId="0" fontId="14" fillId="0" borderId="3" xfId="0" applyFont="1" applyFill="1" applyBorder="1"/>
    <xf numFmtId="0" fontId="14" fillId="0" borderId="40" xfId="0" applyFont="1" applyFill="1" applyBorder="1" applyProtection="1"/>
    <xf numFmtId="164" fontId="0" fillId="0" borderId="40" xfId="0" applyNumberFormat="1" applyFont="1" applyFill="1" applyBorder="1" applyProtection="1"/>
    <xf numFmtId="0" fontId="14" fillId="0" borderId="3" xfId="0" applyFont="1" applyFill="1" applyBorder="1" applyProtection="1"/>
    <xf numFmtId="164" fontId="14" fillId="0" borderId="3" xfId="0" applyNumberFormat="1" applyFont="1" applyFill="1" applyBorder="1" applyProtection="1"/>
    <xf numFmtId="164" fontId="14" fillId="0" borderId="40" xfId="0" applyNumberFormat="1" applyFont="1" applyFill="1" applyBorder="1" applyProtection="1"/>
    <xf numFmtId="0" fontId="14" fillId="0" borderId="40" xfId="0" applyFont="1" applyFill="1" applyBorder="1"/>
    <xf numFmtId="2" fontId="14" fillId="0" borderId="3" xfId="0" applyNumberFormat="1" applyFont="1" applyFill="1" applyBorder="1" applyProtection="1"/>
    <xf numFmtId="2" fontId="14" fillId="0" borderId="40" xfId="0" applyNumberFormat="1" applyFont="1" applyFill="1" applyBorder="1"/>
    <xf numFmtId="2" fontId="14" fillId="0" borderId="47" xfId="0" applyNumberFormat="1" applyFont="1" applyFill="1" applyBorder="1" applyProtection="1"/>
    <xf numFmtId="2" fontId="14" fillId="0" borderId="26" xfId="0" applyNumberFormat="1" applyFont="1" applyFill="1" applyBorder="1" applyProtection="1"/>
    <xf numFmtId="2" fontId="14" fillId="0" borderId="26" xfId="0" applyNumberFormat="1" applyFont="1" applyFill="1" applyBorder="1"/>
    <xf numFmtId="2" fontId="14" fillId="0" borderId="43" xfId="0" applyNumberFormat="1" applyFont="1" applyFill="1" applyBorder="1"/>
    <xf numFmtId="0" fontId="0" fillId="0" borderId="26" xfId="0" applyFont="1" applyFill="1" applyBorder="1" applyAlignment="1" applyProtection="1">
      <alignment horizontal="right"/>
    </xf>
    <xf numFmtId="0" fontId="14" fillId="0" borderId="47" xfId="0" applyFont="1" applyFill="1" applyBorder="1" applyProtection="1"/>
    <xf numFmtId="0" fontId="14" fillId="0" borderId="26" xfId="0" applyFont="1" applyFill="1" applyBorder="1" applyProtection="1"/>
    <xf numFmtId="0" fontId="14" fillId="0" borderId="43" xfId="0" applyFont="1" applyFill="1" applyBorder="1" applyProtection="1"/>
    <xf numFmtId="164" fontId="14" fillId="0" borderId="3" xfId="0" applyNumberFormat="1" applyFont="1" applyFill="1" applyBorder="1"/>
    <xf numFmtId="164" fontId="0" fillId="0" borderId="40" xfId="0" applyNumberFormat="1" applyFont="1" applyFill="1" applyBorder="1"/>
    <xf numFmtId="2" fontId="14" fillId="0" borderId="40" xfId="0" applyNumberFormat="1" applyFont="1" applyFill="1" applyBorder="1" applyProtection="1"/>
    <xf numFmtId="2" fontId="14" fillId="0" borderId="26" xfId="0" applyNumberFormat="1" applyFont="1" applyBorder="1" applyProtection="1"/>
    <xf numFmtId="2" fontId="14" fillId="0" borderId="43" xfId="0" applyNumberFormat="1" applyFont="1" applyFill="1" applyBorder="1" applyProtection="1"/>
    <xf numFmtId="0" fontId="14" fillId="0" borderId="27" xfId="0" applyFont="1" applyFill="1" applyBorder="1" applyProtection="1"/>
    <xf numFmtId="0" fontId="0" fillId="0" borderId="12" xfId="0" applyFont="1" applyFill="1" applyBorder="1" applyAlignment="1" applyProtection="1">
      <alignment horizontal="right"/>
    </xf>
    <xf numFmtId="164" fontId="0" fillId="0" borderId="3" xfId="0" applyNumberFormat="1" applyFont="1" applyFill="1" applyBorder="1"/>
    <xf numFmtId="2" fontId="0" fillId="0" borderId="26" xfId="0" applyNumberFormat="1" applyFont="1" applyFill="1" applyBorder="1"/>
    <xf numFmtId="0" fontId="0" fillId="0" borderId="57" xfId="0" applyFont="1" applyFill="1" applyBorder="1" applyAlignment="1" applyProtection="1">
      <alignment horizontal="right"/>
    </xf>
    <xf numFmtId="0" fontId="0" fillId="0" borderId="2" xfId="0" applyFont="1" applyFill="1" applyBorder="1" applyAlignment="1" applyProtection="1">
      <alignment horizontal="right"/>
    </xf>
    <xf numFmtId="0" fontId="0" fillId="0" borderId="56" xfId="0" applyFont="1" applyFill="1" applyBorder="1" applyAlignment="1" applyProtection="1">
      <alignment horizontal="right"/>
    </xf>
    <xf numFmtId="0" fontId="0" fillId="0" borderId="54" xfId="0" applyFont="1" applyFill="1" applyBorder="1" applyAlignment="1" applyProtection="1">
      <alignment horizontal="right"/>
    </xf>
    <xf numFmtId="164" fontId="0" fillId="0" borderId="42" xfId="0" applyNumberFormat="1" applyFill="1" applyBorder="1"/>
    <xf numFmtId="0" fontId="0" fillId="0" borderId="11" xfId="0" applyFont="1" applyBorder="1" applyAlignment="1" applyProtection="1">
      <alignment horizontal="left"/>
    </xf>
    <xf numFmtId="0" fontId="22" fillId="0" borderId="0" xfId="0" applyFont="1" applyFill="1" applyBorder="1"/>
    <xf numFmtId="0" fontId="22" fillId="0" borderId="0" xfId="0" applyFont="1" applyFill="1"/>
    <xf numFmtId="0" fontId="22" fillId="0" borderId="0" xfId="0" applyFont="1" applyFill="1" applyAlignment="1">
      <alignment horizontal="center"/>
    </xf>
    <xf numFmtId="0" fontId="9" fillId="0" borderId="0" xfId="0" applyFont="1" applyBorder="1" applyAlignment="1"/>
    <xf numFmtId="0" fontId="0" fillId="0" borderId="13" xfId="0" applyFont="1" applyBorder="1" applyAlignment="1" applyProtection="1">
      <alignment horizontal="center"/>
    </xf>
    <xf numFmtId="0" fontId="0" fillId="0" borderId="14" xfId="0" applyFont="1" applyBorder="1"/>
    <xf numFmtId="0" fontId="25" fillId="0" borderId="0" xfId="0" applyFont="1" applyFill="1" applyBorder="1" applyAlignment="1" applyProtection="1">
      <alignment horizontal="center"/>
    </xf>
    <xf numFmtId="2" fontId="25" fillId="0" borderId="0" xfId="0" applyNumberFormat="1" applyFont="1" applyFill="1" applyBorder="1" applyAlignment="1" applyProtection="1">
      <alignment horizontal="center"/>
    </xf>
    <xf numFmtId="0" fontId="24" fillId="0" borderId="0" xfId="0" applyFont="1" applyFill="1" applyBorder="1" applyAlignment="1">
      <alignment horizontal="center"/>
    </xf>
    <xf numFmtId="0" fontId="24" fillId="0" borderId="0" xfId="0" applyFont="1" applyFill="1" applyBorder="1" applyAlignment="1" applyProtection="1">
      <alignment horizontal="center"/>
    </xf>
    <xf numFmtId="0" fontId="25" fillId="0" borderId="0" xfId="0" applyFont="1" applyFill="1" applyBorder="1" applyAlignment="1">
      <alignment horizontal="center"/>
    </xf>
    <xf numFmtId="1" fontId="25" fillId="0" borderId="0" xfId="0" applyNumberFormat="1" applyFont="1" applyFill="1" applyBorder="1" applyAlignment="1" applyProtection="1">
      <alignment horizontal="center"/>
    </xf>
    <xf numFmtId="1" fontId="25" fillId="0" borderId="0" xfId="0" applyNumberFormat="1" applyFont="1" applyFill="1" applyBorder="1" applyAlignment="1">
      <alignment horizontal="center"/>
    </xf>
    <xf numFmtId="0" fontId="26" fillId="0" borderId="0" xfId="0" applyFont="1" applyFill="1" applyBorder="1" applyAlignment="1" applyProtection="1">
      <alignment horizontal="center"/>
    </xf>
    <xf numFmtId="2" fontId="24" fillId="0" borderId="0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4" fillId="0" borderId="8" xfId="0" applyFont="1" applyBorder="1" applyAlignment="1" applyProtection="1">
      <alignment horizontal="center"/>
    </xf>
    <xf numFmtId="0" fontId="14" fillId="0" borderId="20" xfId="0" applyFont="1" applyBorder="1" applyAlignment="1" applyProtection="1">
      <alignment horizontal="center"/>
    </xf>
    <xf numFmtId="0" fontId="11" fillId="0" borderId="5" xfId="0" applyFont="1" applyBorder="1" applyAlignment="1">
      <alignment horizontal="center"/>
    </xf>
    <xf numFmtId="167" fontId="14" fillId="0" borderId="8" xfId="0" applyNumberFormat="1" applyFont="1" applyBorder="1" applyAlignment="1" applyProtection="1">
      <alignment horizontal="center"/>
    </xf>
    <xf numFmtId="0" fontId="14" fillId="0" borderId="8" xfId="0" applyFont="1" applyBorder="1" applyAlignment="1">
      <alignment horizontal="center"/>
    </xf>
    <xf numFmtId="2" fontId="14" fillId="0" borderId="8" xfId="0" applyNumberFormat="1" applyFont="1" applyBorder="1" applyAlignment="1">
      <alignment horizontal="center"/>
    </xf>
    <xf numFmtId="0" fontId="12" fillId="0" borderId="8" xfId="0" quotePrefix="1" applyFont="1" applyBorder="1" applyAlignment="1">
      <alignment horizontal="center"/>
    </xf>
    <xf numFmtId="0" fontId="18" fillId="0" borderId="8" xfId="0" applyFont="1" applyBorder="1" applyAlignment="1" applyProtection="1">
      <alignment horizontal="center"/>
    </xf>
    <xf numFmtId="0" fontId="18" fillId="0" borderId="8" xfId="0" quotePrefix="1" applyFont="1" applyBorder="1" applyAlignment="1" applyProtection="1">
      <alignment horizontal="center"/>
    </xf>
    <xf numFmtId="0" fontId="12" fillId="0" borderId="8" xfId="0" applyFont="1" applyBorder="1" applyAlignment="1" applyProtection="1">
      <alignment horizontal="center"/>
    </xf>
    <xf numFmtId="2" fontId="18" fillId="0" borderId="8" xfId="0" quotePrefix="1" applyNumberFormat="1" applyFont="1" applyBorder="1" applyAlignment="1" applyProtection="1">
      <alignment horizontal="center"/>
    </xf>
    <xf numFmtId="0" fontId="15" fillId="12" borderId="30" xfId="0" applyFont="1" applyFill="1" applyBorder="1" applyAlignment="1" applyProtection="1">
      <alignment horizontal="center" vertical="center"/>
    </xf>
    <xf numFmtId="0" fontId="15" fillId="12" borderId="32" xfId="0" applyFont="1" applyFill="1" applyBorder="1" applyAlignment="1">
      <alignment horizontal="center" vertical="center"/>
    </xf>
    <xf numFmtId="0" fontId="0" fillId="12" borderId="34" xfId="0" applyFont="1" applyFill="1" applyBorder="1" applyAlignment="1" applyProtection="1">
      <alignment horizontal="center" vertical="center"/>
    </xf>
    <xf numFmtId="0" fontId="0" fillId="12" borderId="34" xfId="0" applyFont="1" applyFill="1" applyBorder="1" applyAlignment="1" applyProtection="1">
      <alignment horizontal="center" wrapText="1"/>
    </xf>
    <xf numFmtId="0" fontId="11" fillId="12" borderId="29" xfId="0" applyFont="1" applyFill="1" applyBorder="1" applyAlignment="1" applyProtection="1">
      <alignment horizontal="center"/>
    </xf>
    <xf numFmtId="167" fontId="12" fillId="12" borderId="30" xfId="0" applyNumberFormat="1" applyFont="1" applyFill="1" applyBorder="1" applyAlignment="1" applyProtection="1">
      <alignment horizontal="center"/>
    </xf>
    <xf numFmtId="0" fontId="14" fillId="12" borderId="30" xfId="0" applyFont="1" applyFill="1" applyBorder="1" applyAlignment="1" applyProtection="1">
      <alignment horizontal="center"/>
    </xf>
    <xf numFmtId="0" fontId="13" fillId="12" borderId="30" xfId="0" applyFont="1" applyFill="1" applyBorder="1" applyAlignment="1" applyProtection="1">
      <alignment horizontal="center"/>
    </xf>
    <xf numFmtId="2" fontId="14" fillId="12" borderId="30" xfId="0" applyNumberFormat="1" applyFont="1" applyFill="1" applyBorder="1" applyAlignment="1" applyProtection="1">
      <alignment horizontal="center"/>
    </xf>
    <xf numFmtId="0" fontId="13" fillId="12" borderId="30" xfId="0" applyFont="1" applyFill="1" applyBorder="1" applyAlignment="1">
      <alignment horizontal="center"/>
    </xf>
    <xf numFmtId="2" fontId="12" fillId="12" borderId="30" xfId="0" applyNumberFormat="1" applyFont="1" applyFill="1" applyBorder="1" applyAlignment="1" applyProtection="1">
      <alignment horizontal="center"/>
    </xf>
    <xf numFmtId="1" fontId="13" fillId="12" borderId="30" xfId="0" applyNumberFormat="1" applyFont="1" applyFill="1" applyBorder="1" applyAlignment="1" applyProtection="1">
      <alignment horizontal="center"/>
    </xf>
    <xf numFmtId="0" fontId="14" fillId="12" borderId="30" xfId="0" applyFont="1" applyFill="1" applyBorder="1" applyAlignment="1">
      <alignment horizontal="center"/>
    </xf>
    <xf numFmtId="2" fontId="14" fillId="12" borderId="30" xfId="0" applyNumberFormat="1" applyFont="1" applyFill="1" applyBorder="1" applyAlignment="1">
      <alignment horizontal="center"/>
    </xf>
    <xf numFmtId="0" fontId="12" fillId="12" borderId="30" xfId="0" applyFont="1" applyFill="1" applyBorder="1" applyAlignment="1" applyProtection="1">
      <alignment horizontal="center"/>
    </xf>
    <xf numFmtId="2" fontId="0" fillId="12" borderId="30" xfId="0" quotePrefix="1" applyNumberFormat="1" applyFont="1" applyFill="1" applyBorder="1" applyAlignment="1" applyProtection="1">
      <alignment horizontal="center"/>
    </xf>
    <xf numFmtId="164" fontId="0" fillId="12" borderId="30" xfId="0" applyNumberFormat="1" applyFont="1" applyFill="1" applyBorder="1" applyAlignment="1" applyProtection="1">
      <alignment horizontal="center"/>
    </xf>
    <xf numFmtId="164" fontId="14" fillId="12" borderId="30" xfId="0" quotePrefix="1" applyNumberFormat="1" applyFont="1" applyFill="1" applyBorder="1" applyAlignment="1" applyProtection="1">
      <alignment horizontal="center"/>
    </xf>
    <xf numFmtId="164" fontId="14" fillId="12" borderId="30" xfId="0" applyNumberFormat="1" applyFont="1" applyFill="1" applyBorder="1" applyAlignment="1" applyProtection="1">
      <alignment horizontal="center"/>
    </xf>
    <xf numFmtId="1" fontId="14" fillId="12" borderId="30" xfId="0" applyNumberFormat="1" applyFont="1" applyFill="1" applyBorder="1" applyAlignment="1" applyProtection="1">
      <alignment horizontal="center"/>
    </xf>
    <xf numFmtId="0" fontId="19" fillId="12" borderId="30" xfId="0" applyFont="1" applyFill="1" applyBorder="1" applyAlignment="1">
      <alignment horizontal="center"/>
    </xf>
    <xf numFmtId="1" fontId="19" fillId="12" borderId="30" xfId="0" applyNumberFormat="1" applyFont="1" applyFill="1" applyBorder="1" applyAlignment="1">
      <alignment horizontal="center"/>
    </xf>
    <xf numFmtId="0" fontId="14" fillId="12" borderId="1" xfId="0" applyFont="1" applyFill="1" applyBorder="1" applyAlignment="1">
      <alignment horizontal="center"/>
    </xf>
    <xf numFmtId="1" fontId="14" fillId="12" borderId="20" xfId="0" applyNumberFormat="1" applyFont="1" applyFill="1" applyBorder="1" applyAlignment="1">
      <alignment horizontal="center"/>
    </xf>
    <xf numFmtId="0" fontId="15" fillId="13" borderId="30" xfId="0" applyFont="1" applyFill="1" applyBorder="1" applyAlignment="1" applyProtection="1">
      <alignment horizontal="center" vertical="center"/>
    </xf>
    <xf numFmtId="0" fontId="15" fillId="13" borderId="32" xfId="0" applyFont="1" applyFill="1" applyBorder="1" applyAlignment="1">
      <alignment horizontal="center" vertical="center"/>
    </xf>
    <xf numFmtId="0" fontId="0" fillId="13" borderId="34" xfId="0" applyFont="1" applyFill="1" applyBorder="1" applyAlignment="1" applyProtection="1">
      <alignment horizontal="center" vertical="center"/>
    </xf>
    <xf numFmtId="0" fontId="0" fillId="13" borderId="34" xfId="0" applyFont="1" applyFill="1" applyBorder="1" applyAlignment="1" applyProtection="1">
      <alignment horizontal="center" wrapText="1"/>
    </xf>
    <xf numFmtId="0" fontId="11" fillId="13" borderId="29" xfId="0" applyFont="1" applyFill="1" applyBorder="1" applyAlignment="1" applyProtection="1">
      <alignment horizontal="center"/>
    </xf>
    <xf numFmtId="167" fontId="12" fillId="13" borderId="30" xfId="0" applyNumberFormat="1" applyFont="1" applyFill="1" applyBorder="1" applyAlignment="1" applyProtection="1">
      <alignment horizontal="center"/>
    </xf>
    <xf numFmtId="0" fontId="14" fillId="13" borderId="30" xfId="0" applyFont="1" applyFill="1" applyBorder="1" applyAlignment="1" applyProtection="1">
      <alignment horizontal="center"/>
    </xf>
    <xf numFmtId="0" fontId="13" fillId="13" borderId="30" xfId="0" applyFont="1" applyFill="1" applyBorder="1" applyAlignment="1" applyProtection="1">
      <alignment horizontal="center"/>
    </xf>
    <xf numFmtId="2" fontId="14" fillId="13" borderId="30" xfId="0" applyNumberFormat="1" applyFont="1" applyFill="1" applyBorder="1" applyAlignment="1" applyProtection="1">
      <alignment horizontal="center"/>
    </xf>
    <xf numFmtId="0" fontId="13" fillId="13" borderId="30" xfId="0" applyFont="1" applyFill="1" applyBorder="1" applyAlignment="1">
      <alignment horizontal="center"/>
    </xf>
    <xf numFmtId="2" fontId="12" fillId="13" borderId="30" xfId="0" applyNumberFormat="1" applyFont="1" applyFill="1" applyBorder="1" applyAlignment="1" applyProtection="1">
      <alignment horizontal="center"/>
    </xf>
    <xf numFmtId="1" fontId="13" fillId="13" borderId="30" xfId="0" applyNumberFormat="1" applyFont="1" applyFill="1" applyBorder="1" applyAlignment="1" applyProtection="1">
      <alignment horizontal="center"/>
    </xf>
    <xf numFmtId="0" fontId="14" fillId="13" borderId="30" xfId="0" applyFont="1" applyFill="1" applyBorder="1" applyAlignment="1">
      <alignment horizontal="center"/>
    </xf>
    <xf numFmtId="2" fontId="14" fillId="13" borderId="30" xfId="0" applyNumberFormat="1" applyFont="1" applyFill="1" applyBorder="1" applyAlignment="1">
      <alignment horizontal="center"/>
    </xf>
    <xf numFmtId="0" fontId="12" fillId="13" borderId="30" xfId="0" applyFont="1" applyFill="1" applyBorder="1" applyAlignment="1" applyProtection="1">
      <alignment horizontal="center"/>
    </xf>
    <xf numFmtId="2" fontId="0" fillId="13" borderId="30" xfId="0" quotePrefix="1" applyNumberFormat="1" applyFont="1" applyFill="1" applyBorder="1" applyAlignment="1" applyProtection="1">
      <alignment horizontal="center"/>
    </xf>
    <xf numFmtId="164" fontId="0" fillId="13" borderId="30" xfId="0" applyNumberFormat="1" applyFont="1" applyFill="1" applyBorder="1" applyAlignment="1" applyProtection="1">
      <alignment horizontal="center"/>
    </xf>
    <xf numFmtId="164" fontId="14" fillId="13" borderId="30" xfId="0" quotePrefix="1" applyNumberFormat="1" applyFont="1" applyFill="1" applyBorder="1" applyAlignment="1" applyProtection="1">
      <alignment horizontal="center"/>
    </xf>
    <xf numFmtId="164" fontId="14" fillId="13" borderId="30" xfId="0" applyNumberFormat="1" applyFont="1" applyFill="1" applyBorder="1" applyAlignment="1" applyProtection="1">
      <alignment horizontal="center"/>
    </xf>
    <xf numFmtId="1" fontId="14" fillId="13" borderId="30" xfId="0" applyNumberFormat="1" applyFont="1" applyFill="1" applyBorder="1" applyAlignment="1" applyProtection="1">
      <alignment horizontal="center"/>
    </xf>
    <xf numFmtId="0" fontId="9" fillId="13" borderId="32" xfId="0" applyFont="1" applyFill="1" applyBorder="1" applyAlignment="1" applyProtection="1">
      <alignment horizontal="center"/>
    </xf>
    <xf numFmtId="0" fontId="19" fillId="13" borderId="30" xfId="0" applyFont="1" applyFill="1" applyBorder="1" applyAlignment="1">
      <alignment horizontal="center"/>
    </xf>
    <xf numFmtId="1" fontId="19" fillId="13" borderId="30" xfId="0" applyNumberFormat="1" applyFont="1" applyFill="1" applyBorder="1" applyAlignment="1">
      <alignment horizontal="center"/>
    </xf>
    <xf numFmtId="0" fontId="14" fillId="13" borderId="1" xfId="0" applyFont="1" applyFill="1" applyBorder="1" applyAlignment="1">
      <alignment horizontal="center"/>
    </xf>
    <xf numFmtId="1" fontId="14" fillId="13" borderId="20" xfId="0" applyNumberFormat="1" applyFont="1" applyFill="1" applyBorder="1" applyAlignment="1">
      <alignment horizontal="center"/>
    </xf>
    <xf numFmtId="0" fontId="12" fillId="12" borderId="21" xfId="0" applyFont="1" applyFill="1" applyBorder="1" applyAlignment="1" applyProtection="1">
      <alignment horizontal="center"/>
    </xf>
    <xf numFmtId="0" fontId="14" fillId="12" borderId="21" xfId="0" applyFont="1" applyFill="1" applyBorder="1" applyAlignment="1">
      <alignment horizontal="center"/>
    </xf>
    <xf numFmtId="0" fontId="19" fillId="12" borderId="21" xfId="0" applyFont="1" applyFill="1" applyBorder="1" applyAlignment="1">
      <alignment horizontal="center"/>
    </xf>
    <xf numFmtId="2" fontId="14" fillId="12" borderId="21" xfId="0" applyNumberFormat="1" applyFont="1" applyFill="1" applyBorder="1" applyAlignment="1">
      <alignment horizontal="center"/>
    </xf>
    <xf numFmtId="2" fontId="19" fillId="12" borderId="57" xfId="0" applyNumberFormat="1" applyFont="1" applyFill="1" applyBorder="1" applyAlignment="1">
      <alignment horizontal="center"/>
    </xf>
    <xf numFmtId="2" fontId="19" fillId="13" borderId="2" xfId="0" applyNumberFormat="1" applyFont="1" applyFill="1" applyBorder="1" applyAlignment="1">
      <alignment horizontal="center"/>
    </xf>
    <xf numFmtId="0" fontId="14" fillId="12" borderId="3" xfId="0" applyFont="1" applyFill="1" applyBorder="1" applyAlignment="1">
      <alignment horizontal="center"/>
    </xf>
    <xf numFmtId="1" fontId="0" fillId="12" borderId="48" xfId="0" quotePrefix="1" applyNumberFormat="1" applyFont="1" applyFill="1" applyBorder="1" applyAlignment="1" applyProtection="1">
      <alignment horizontal="center"/>
    </xf>
    <xf numFmtId="1" fontId="0" fillId="12" borderId="32" xfId="0" quotePrefix="1" applyNumberFormat="1" applyFont="1" applyFill="1" applyBorder="1" applyAlignment="1" applyProtection="1">
      <alignment horizontal="center"/>
    </xf>
    <xf numFmtId="1" fontId="0" fillId="13" borderId="32" xfId="0" quotePrefix="1" applyNumberFormat="1" applyFont="1" applyFill="1" applyBorder="1" applyAlignment="1" applyProtection="1">
      <alignment horizontal="center"/>
    </xf>
    <xf numFmtId="0" fontId="15" fillId="7" borderId="30" xfId="0" applyFont="1" applyFill="1" applyBorder="1" applyAlignment="1" applyProtection="1">
      <alignment horizontal="center" vertical="center"/>
    </xf>
    <xf numFmtId="0" fontId="15" fillId="7" borderId="32" xfId="0" applyFont="1" applyFill="1" applyBorder="1" applyAlignment="1">
      <alignment horizontal="center" vertical="center"/>
    </xf>
    <xf numFmtId="0" fontId="0" fillId="7" borderId="34" xfId="0" applyFont="1" applyFill="1" applyBorder="1" applyAlignment="1" applyProtection="1">
      <alignment horizontal="center" wrapText="1"/>
    </xf>
    <xf numFmtId="0" fontId="11" fillId="7" borderId="29" xfId="0" applyFont="1" applyFill="1" applyBorder="1" applyAlignment="1" applyProtection="1">
      <alignment horizontal="center"/>
    </xf>
    <xf numFmtId="167" fontId="12" fillId="7" borderId="30" xfId="0" applyNumberFormat="1" applyFont="1" applyFill="1" applyBorder="1" applyAlignment="1" applyProtection="1">
      <alignment horizontal="center"/>
    </xf>
    <xf numFmtId="0" fontId="14" fillId="7" borderId="30" xfId="0" applyFont="1" applyFill="1" applyBorder="1" applyAlignment="1" applyProtection="1">
      <alignment horizontal="center"/>
    </xf>
    <xf numFmtId="0" fontId="13" fillId="7" borderId="30" xfId="0" applyFont="1" applyFill="1" applyBorder="1" applyAlignment="1" applyProtection="1">
      <alignment horizontal="center"/>
    </xf>
    <xf numFmtId="2" fontId="14" fillId="7" borderId="30" xfId="0" applyNumberFormat="1" applyFont="1" applyFill="1" applyBorder="1" applyAlignment="1" applyProtection="1">
      <alignment horizontal="center"/>
    </xf>
    <xf numFmtId="0" fontId="13" fillId="7" borderId="30" xfId="0" applyFont="1" applyFill="1" applyBorder="1" applyAlignment="1">
      <alignment horizontal="center"/>
    </xf>
    <xf numFmtId="2" fontId="12" fillId="7" borderId="30" xfId="0" applyNumberFormat="1" applyFont="1" applyFill="1" applyBorder="1" applyAlignment="1" applyProtection="1">
      <alignment horizontal="center"/>
    </xf>
    <xf numFmtId="0" fontId="14" fillId="7" borderId="30" xfId="0" applyFont="1" applyFill="1" applyBorder="1" applyAlignment="1">
      <alignment horizontal="center"/>
    </xf>
    <xf numFmtId="2" fontId="14" fillId="7" borderId="30" xfId="0" applyNumberFormat="1" applyFont="1" applyFill="1" applyBorder="1" applyAlignment="1">
      <alignment horizontal="center"/>
    </xf>
    <xf numFmtId="0" fontId="12" fillId="7" borderId="30" xfId="0" applyFont="1" applyFill="1" applyBorder="1" applyAlignment="1" applyProtection="1">
      <alignment horizontal="center"/>
    </xf>
    <xf numFmtId="2" fontId="0" fillId="7" borderId="30" xfId="0" quotePrefix="1" applyNumberFormat="1" applyFont="1" applyFill="1" applyBorder="1" applyAlignment="1" applyProtection="1">
      <alignment horizontal="center"/>
    </xf>
    <xf numFmtId="164" fontId="0" fillId="7" borderId="30" xfId="0" applyNumberFormat="1" applyFont="1" applyFill="1" applyBorder="1" applyAlignment="1" applyProtection="1">
      <alignment horizontal="center"/>
    </xf>
    <xf numFmtId="164" fontId="14" fillId="7" borderId="30" xfId="0" quotePrefix="1" applyNumberFormat="1" applyFont="1" applyFill="1" applyBorder="1" applyAlignment="1" applyProtection="1">
      <alignment horizontal="center"/>
    </xf>
    <xf numFmtId="164" fontId="14" fillId="7" borderId="30" xfId="0" applyNumberFormat="1" applyFont="1" applyFill="1" applyBorder="1" applyAlignment="1" applyProtection="1">
      <alignment horizontal="center"/>
    </xf>
    <xf numFmtId="1" fontId="14" fillId="7" borderId="30" xfId="0" applyNumberFormat="1" applyFont="1" applyFill="1" applyBorder="1" applyAlignment="1" applyProtection="1">
      <alignment horizontal="center"/>
    </xf>
    <xf numFmtId="0" fontId="19" fillId="7" borderId="30" xfId="0" applyFont="1" applyFill="1" applyBorder="1" applyAlignment="1">
      <alignment horizontal="center"/>
    </xf>
    <xf numFmtId="1" fontId="19" fillId="7" borderId="30" xfId="0" applyNumberFormat="1" applyFont="1" applyFill="1" applyBorder="1" applyAlignment="1">
      <alignment horizontal="center"/>
    </xf>
    <xf numFmtId="0" fontId="14" fillId="7" borderId="1" xfId="0" applyFont="1" applyFill="1" applyBorder="1" applyAlignment="1">
      <alignment horizontal="center"/>
    </xf>
    <xf numFmtId="1" fontId="0" fillId="7" borderId="33" xfId="0" quotePrefix="1" applyNumberFormat="1" applyFont="1" applyFill="1" applyBorder="1" applyAlignment="1" applyProtection="1">
      <alignment horizontal="center"/>
    </xf>
    <xf numFmtId="1" fontId="14" fillId="7" borderId="20" xfId="0" applyNumberFormat="1" applyFont="1" applyFill="1" applyBorder="1" applyAlignment="1">
      <alignment horizontal="center"/>
    </xf>
    <xf numFmtId="0" fontId="0" fillId="12" borderId="30" xfId="0" applyFont="1" applyFill="1" applyBorder="1" applyAlignment="1" applyProtection="1">
      <alignment horizontal="center"/>
    </xf>
    <xf numFmtId="0" fontId="0" fillId="13" borderId="30" xfId="0" applyFont="1" applyFill="1" applyBorder="1" applyAlignment="1" applyProtection="1">
      <alignment horizontal="center"/>
    </xf>
    <xf numFmtId="0" fontId="0" fillId="7" borderId="30" xfId="0" applyFont="1" applyFill="1" applyBorder="1" applyAlignment="1" applyProtection="1">
      <alignment horizontal="center"/>
    </xf>
    <xf numFmtId="0" fontId="14" fillId="0" borderId="44" xfId="0" applyFont="1" applyBorder="1"/>
    <xf numFmtId="0" fontId="0" fillId="0" borderId="14" xfId="0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1" fontId="13" fillId="0" borderId="1" xfId="0" applyNumberFormat="1" applyFont="1" applyBorder="1" applyAlignment="1">
      <alignment horizontal="center"/>
    </xf>
    <xf numFmtId="0" fontId="13" fillId="0" borderId="1" xfId="0" applyFont="1" applyBorder="1"/>
    <xf numFmtId="0" fontId="13" fillId="8" borderId="1" xfId="0" applyFont="1" applyFill="1" applyBorder="1"/>
    <xf numFmtId="0" fontId="13" fillId="0" borderId="40" xfId="0" applyFont="1" applyBorder="1"/>
    <xf numFmtId="0" fontId="13" fillId="13" borderId="40" xfId="0" applyFont="1" applyFill="1" applyBorder="1"/>
    <xf numFmtId="0" fontId="0" fillId="0" borderId="1" xfId="0" applyFont="1" applyBorder="1" applyAlignment="1">
      <alignment horizontal="right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Font="1" applyFill="1" applyBorder="1" applyAlignment="1">
      <alignment horizontal="right"/>
    </xf>
    <xf numFmtId="0" fontId="33" fillId="0" borderId="20" xfId="0" applyFont="1" applyFill="1" applyBorder="1" applyAlignment="1">
      <alignment horizontal="center"/>
    </xf>
    <xf numFmtId="0" fontId="0" fillId="0" borderId="0" xfId="0"/>
    <xf numFmtId="0" fontId="0" fillId="0" borderId="0" xfId="0" applyFill="1"/>
    <xf numFmtId="0" fontId="0" fillId="0" borderId="1" xfId="0" applyFont="1" applyFill="1" applyBorder="1" applyAlignment="1">
      <alignment horizontal="center" vertical="center"/>
    </xf>
    <xf numFmtId="0" fontId="0" fillId="9" borderId="34" xfId="0" applyFont="1" applyFill="1" applyBorder="1" applyAlignment="1" applyProtection="1">
      <alignment horizontal="center" wrapText="1"/>
    </xf>
    <xf numFmtId="0" fontId="0" fillId="9" borderId="30" xfId="0" applyFont="1" applyFill="1" applyBorder="1" applyAlignment="1" applyProtection="1">
      <alignment horizontal="center"/>
    </xf>
    <xf numFmtId="0" fontId="0" fillId="0" borderId="0" xfId="0" applyAlignment="1">
      <alignment horizontal="left"/>
    </xf>
    <xf numFmtId="0" fontId="0" fillId="6" borderId="45" xfId="0" applyFont="1" applyFill="1" applyBorder="1" applyAlignment="1">
      <alignment horizontal="left"/>
    </xf>
    <xf numFmtId="0" fontId="0" fillId="6" borderId="3" xfId="0" applyFont="1" applyFill="1" applyBorder="1" applyAlignment="1">
      <alignment horizontal="left"/>
    </xf>
    <xf numFmtId="0" fontId="15" fillId="9" borderId="30" xfId="0" applyFont="1" applyFill="1" applyBorder="1" applyAlignment="1" applyProtection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0" fillId="9" borderId="34" xfId="0" applyFont="1" applyFill="1" applyBorder="1" applyAlignment="1" applyProtection="1">
      <alignment horizontal="center" vertical="center" wrapText="1"/>
    </xf>
    <xf numFmtId="0" fontId="11" fillId="9" borderId="29" xfId="0" applyFont="1" applyFill="1" applyBorder="1" applyAlignment="1" applyProtection="1">
      <alignment horizontal="center"/>
    </xf>
    <xf numFmtId="167" fontId="12" fillId="9" borderId="30" xfId="0" applyNumberFormat="1" applyFont="1" applyFill="1" applyBorder="1" applyAlignment="1" applyProtection="1">
      <alignment horizontal="center"/>
    </xf>
    <xf numFmtId="0" fontId="14" fillId="9" borderId="30" xfId="0" applyFont="1" applyFill="1" applyBorder="1" applyAlignment="1" applyProtection="1">
      <alignment horizontal="center"/>
    </xf>
    <xf numFmtId="0" fontId="13" fillId="9" borderId="30" xfId="0" applyFont="1" applyFill="1" applyBorder="1" applyAlignment="1" applyProtection="1">
      <alignment horizontal="center"/>
    </xf>
    <xf numFmtId="2" fontId="14" fillId="9" borderId="30" xfId="0" applyNumberFormat="1" applyFont="1" applyFill="1" applyBorder="1" applyAlignment="1" applyProtection="1">
      <alignment horizontal="center"/>
    </xf>
    <xf numFmtId="0" fontId="13" fillId="9" borderId="30" xfId="0" applyFont="1" applyFill="1" applyBorder="1" applyAlignment="1">
      <alignment horizontal="center"/>
    </xf>
    <xf numFmtId="2" fontId="12" fillId="9" borderId="30" xfId="0" applyNumberFormat="1" applyFont="1" applyFill="1" applyBorder="1" applyAlignment="1" applyProtection="1">
      <alignment horizontal="center"/>
    </xf>
    <xf numFmtId="0" fontId="14" fillId="9" borderId="30" xfId="0" applyFont="1" applyFill="1" applyBorder="1" applyAlignment="1">
      <alignment horizontal="center"/>
    </xf>
    <xf numFmtId="2" fontId="14" fillId="9" borderId="30" xfId="0" applyNumberFormat="1" applyFont="1" applyFill="1" applyBorder="1" applyAlignment="1">
      <alignment horizontal="center"/>
    </xf>
    <xf numFmtId="0" fontId="12" fillId="9" borderId="30" xfId="0" applyFont="1" applyFill="1" applyBorder="1" applyAlignment="1" applyProtection="1">
      <alignment horizontal="center"/>
    </xf>
    <xf numFmtId="2" fontId="0" fillId="9" borderId="30" xfId="0" quotePrefix="1" applyNumberFormat="1" applyFont="1" applyFill="1" applyBorder="1" applyAlignment="1" applyProtection="1">
      <alignment horizontal="center"/>
    </xf>
    <xf numFmtId="164" fontId="0" fillId="9" borderId="30" xfId="0" applyNumberFormat="1" applyFont="1" applyFill="1" applyBorder="1" applyAlignment="1" applyProtection="1">
      <alignment horizontal="center"/>
    </xf>
    <xf numFmtId="164" fontId="14" fillId="9" borderId="30" xfId="0" quotePrefix="1" applyNumberFormat="1" applyFont="1" applyFill="1" applyBorder="1" applyAlignment="1" applyProtection="1">
      <alignment horizontal="center"/>
    </xf>
    <xf numFmtId="164" fontId="14" fillId="9" borderId="30" xfId="0" applyNumberFormat="1" applyFont="1" applyFill="1" applyBorder="1" applyAlignment="1" applyProtection="1">
      <alignment horizontal="center"/>
    </xf>
    <xf numFmtId="1" fontId="14" fillId="9" borderId="30" xfId="0" applyNumberFormat="1" applyFont="1" applyFill="1" applyBorder="1" applyAlignment="1" applyProtection="1">
      <alignment horizontal="center"/>
    </xf>
    <xf numFmtId="0" fontId="19" fillId="9" borderId="30" xfId="0" applyFont="1" applyFill="1" applyBorder="1" applyAlignment="1">
      <alignment horizontal="center"/>
    </xf>
    <xf numFmtId="1" fontId="19" fillId="9" borderId="30" xfId="0" applyNumberFormat="1" applyFont="1" applyFill="1" applyBorder="1" applyAlignment="1">
      <alignment horizontal="center"/>
    </xf>
    <xf numFmtId="0" fontId="14" fillId="9" borderId="1" xfId="0" applyFont="1" applyFill="1" applyBorder="1" applyAlignment="1">
      <alignment horizontal="center"/>
    </xf>
    <xf numFmtId="1" fontId="0" fillId="9" borderId="33" xfId="0" quotePrefix="1" applyNumberFormat="1" applyFont="1" applyFill="1" applyBorder="1" applyAlignment="1" applyProtection="1">
      <alignment horizontal="center"/>
    </xf>
    <xf numFmtId="1" fontId="14" fillId="9" borderId="20" xfId="0" applyNumberFormat="1" applyFont="1" applyFill="1" applyBorder="1" applyAlignment="1">
      <alignment horizontal="center"/>
    </xf>
    <xf numFmtId="0" fontId="0" fillId="14" borderId="30" xfId="0" applyFont="1" applyFill="1" applyBorder="1" applyAlignment="1" applyProtection="1">
      <alignment horizontal="center"/>
    </xf>
    <xf numFmtId="0" fontId="15" fillId="14" borderId="30" xfId="0" applyFont="1" applyFill="1" applyBorder="1" applyAlignment="1" applyProtection="1">
      <alignment horizontal="center" vertical="center"/>
    </xf>
    <xf numFmtId="0" fontId="15" fillId="14" borderId="32" xfId="0" applyFont="1" applyFill="1" applyBorder="1" applyAlignment="1">
      <alignment horizontal="center" vertical="center"/>
    </xf>
    <xf numFmtId="0" fontId="0" fillId="14" borderId="34" xfId="0" applyFont="1" applyFill="1" applyBorder="1" applyAlignment="1" applyProtection="1">
      <alignment horizontal="center" vertical="center" wrapText="1"/>
    </xf>
    <xf numFmtId="0" fontId="0" fillId="14" borderId="34" xfId="0" applyFont="1" applyFill="1" applyBorder="1" applyAlignment="1" applyProtection="1">
      <alignment horizontal="center" wrapText="1"/>
    </xf>
    <xf numFmtId="0" fontId="11" fillId="14" borderId="29" xfId="0" applyFont="1" applyFill="1" applyBorder="1" applyAlignment="1" applyProtection="1">
      <alignment horizontal="center"/>
    </xf>
    <xf numFmtId="167" fontId="12" fillId="14" borderId="30" xfId="0" applyNumberFormat="1" applyFont="1" applyFill="1" applyBorder="1" applyAlignment="1" applyProtection="1">
      <alignment horizontal="center"/>
    </xf>
    <xf numFmtId="0" fontId="14" fillId="14" borderId="30" xfId="0" applyFont="1" applyFill="1" applyBorder="1" applyAlignment="1" applyProtection="1">
      <alignment horizontal="center"/>
    </xf>
    <xf numFmtId="0" fontId="13" fillId="14" borderId="30" xfId="0" applyFont="1" applyFill="1" applyBorder="1" applyAlignment="1" applyProtection="1">
      <alignment horizontal="center"/>
    </xf>
    <xf numFmtId="2" fontId="14" fillId="14" borderId="30" xfId="0" applyNumberFormat="1" applyFont="1" applyFill="1" applyBorder="1" applyAlignment="1" applyProtection="1">
      <alignment horizontal="center"/>
    </xf>
    <xf numFmtId="0" fontId="13" fillId="14" borderId="30" xfId="0" applyFont="1" applyFill="1" applyBorder="1" applyAlignment="1">
      <alignment horizontal="center"/>
    </xf>
    <xf numFmtId="2" fontId="12" fillId="14" borderId="30" xfId="0" applyNumberFormat="1" applyFont="1" applyFill="1" applyBorder="1" applyAlignment="1" applyProtection="1">
      <alignment horizontal="center"/>
    </xf>
    <xf numFmtId="0" fontId="14" fillId="14" borderId="30" xfId="0" applyFont="1" applyFill="1" applyBorder="1" applyAlignment="1">
      <alignment horizontal="center"/>
    </xf>
    <xf numFmtId="2" fontId="14" fillId="14" borderId="30" xfId="0" applyNumberFormat="1" applyFont="1" applyFill="1" applyBorder="1" applyAlignment="1">
      <alignment horizontal="center"/>
    </xf>
    <xf numFmtId="0" fontId="12" fillId="14" borderId="30" xfId="0" applyFont="1" applyFill="1" applyBorder="1" applyAlignment="1" applyProtection="1">
      <alignment horizontal="center"/>
    </xf>
    <xf numFmtId="2" fontId="0" fillId="14" borderId="30" xfId="0" quotePrefix="1" applyNumberFormat="1" applyFont="1" applyFill="1" applyBorder="1" applyAlignment="1" applyProtection="1">
      <alignment horizontal="center"/>
    </xf>
    <xf numFmtId="164" fontId="0" fillId="14" borderId="30" xfId="0" applyNumberFormat="1" applyFont="1" applyFill="1" applyBorder="1" applyAlignment="1" applyProtection="1">
      <alignment horizontal="center"/>
    </xf>
    <xf numFmtId="164" fontId="14" fillId="14" borderId="30" xfId="0" quotePrefix="1" applyNumberFormat="1" applyFont="1" applyFill="1" applyBorder="1" applyAlignment="1" applyProtection="1">
      <alignment horizontal="center"/>
    </xf>
    <xf numFmtId="164" fontId="14" fillId="14" borderId="30" xfId="0" applyNumberFormat="1" applyFont="1" applyFill="1" applyBorder="1" applyAlignment="1" applyProtection="1">
      <alignment horizontal="center"/>
    </xf>
    <xf numFmtId="1" fontId="14" fillId="14" borderId="30" xfId="0" applyNumberFormat="1" applyFont="1" applyFill="1" applyBorder="1" applyAlignment="1" applyProtection="1">
      <alignment horizontal="center"/>
    </xf>
    <xf numFmtId="0" fontId="19" fillId="14" borderId="30" xfId="0" applyFont="1" applyFill="1" applyBorder="1" applyAlignment="1">
      <alignment horizontal="center"/>
    </xf>
    <xf numFmtId="1" fontId="19" fillId="14" borderId="30" xfId="0" applyNumberFormat="1" applyFont="1" applyFill="1" applyBorder="1" applyAlignment="1">
      <alignment horizontal="center"/>
    </xf>
    <xf numFmtId="0" fontId="14" fillId="14" borderId="1" xfId="0" applyFont="1" applyFill="1" applyBorder="1" applyAlignment="1">
      <alignment horizontal="center"/>
    </xf>
    <xf numFmtId="1" fontId="0" fillId="14" borderId="32" xfId="0" quotePrefix="1" applyNumberFormat="1" applyFont="1" applyFill="1" applyBorder="1" applyAlignment="1" applyProtection="1">
      <alignment horizontal="center"/>
    </xf>
    <xf numFmtId="1" fontId="0" fillId="14" borderId="33" xfId="0" quotePrefix="1" applyNumberFormat="1" applyFont="1" applyFill="1" applyBorder="1" applyAlignment="1" applyProtection="1">
      <alignment horizontal="center"/>
    </xf>
    <xf numFmtId="1" fontId="14" fillId="14" borderId="20" xfId="0" applyNumberFormat="1" applyFont="1" applyFill="1" applyBorder="1" applyAlignment="1">
      <alignment horizontal="center"/>
    </xf>
    <xf numFmtId="0" fontId="0" fillId="19" borderId="30" xfId="0" applyFont="1" applyFill="1" applyBorder="1" applyAlignment="1" applyProtection="1">
      <alignment horizontal="center"/>
    </xf>
    <xf numFmtId="0" fontId="15" fillId="19" borderId="30" xfId="0" applyFont="1" applyFill="1" applyBorder="1" applyAlignment="1" applyProtection="1">
      <alignment horizontal="center" vertical="center"/>
    </xf>
    <xf numFmtId="0" fontId="15" fillId="19" borderId="32" xfId="0" applyFont="1" applyFill="1" applyBorder="1" applyAlignment="1">
      <alignment horizontal="center" vertical="center"/>
    </xf>
    <xf numFmtId="0" fontId="0" fillId="19" borderId="34" xfId="0" applyFont="1" applyFill="1" applyBorder="1" applyAlignment="1" applyProtection="1">
      <alignment horizontal="center" wrapText="1"/>
    </xf>
    <xf numFmtId="0" fontId="11" fillId="19" borderId="29" xfId="0" applyFont="1" applyFill="1" applyBorder="1" applyAlignment="1" applyProtection="1">
      <alignment horizontal="center"/>
    </xf>
    <xf numFmtId="167" fontId="12" fillId="19" borderId="30" xfId="0" applyNumberFormat="1" applyFont="1" applyFill="1" applyBorder="1" applyAlignment="1" applyProtection="1">
      <alignment horizontal="center"/>
    </xf>
    <xf numFmtId="0" fontId="14" fillId="19" borderId="30" xfId="0" applyFont="1" applyFill="1" applyBorder="1" applyAlignment="1" applyProtection="1">
      <alignment horizontal="center"/>
    </xf>
    <xf numFmtId="0" fontId="13" fillId="19" borderId="30" xfId="0" applyFont="1" applyFill="1" applyBorder="1" applyAlignment="1" applyProtection="1">
      <alignment horizontal="center"/>
    </xf>
    <xf numFmtId="2" fontId="14" fillId="19" borderId="30" xfId="0" applyNumberFormat="1" applyFont="1" applyFill="1" applyBorder="1" applyAlignment="1" applyProtection="1">
      <alignment horizontal="center"/>
    </xf>
    <xf numFmtId="0" fontId="13" fillId="19" borderId="30" xfId="0" applyFont="1" applyFill="1" applyBorder="1" applyAlignment="1">
      <alignment horizontal="center"/>
    </xf>
    <xf numFmtId="2" fontId="12" fillId="19" borderId="30" xfId="0" applyNumberFormat="1" applyFont="1" applyFill="1" applyBorder="1" applyAlignment="1" applyProtection="1">
      <alignment horizontal="center"/>
    </xf>
    <xf numFmtId="0" fontId="14" fillId="19" borderId="30" xfId="0" applyFont="1" applyFill="1" applyBorder="1" applyAlignment="1">
      <alignment horizontal="center"/>
    </xf>
    <xf numFmtId="2" fontId="14" fillId="19" borderId="30" xfId="0" applyNumberFormat="1" applyFont="1" applyFill="1" applyBorder="1" applyAlignment="1">
      <alignment horizontal="center"/>
    </xf>
    <xf numFmtId="0" fontId="12" fillId="19" borderId="30" xfId="0" applyFont="1" applyFill="1" applyBorder="1" applyAlignment="1" applyProtection="1">
      <alignment horizontal="center"/>
    </xf>
    <xf numFmtId="2" fontId="0" fillId="19" borderId="30" xfId="0" quotePrefix="1" applyNumberFormat="1" applyFont="1" applyFill="1" applyBorder="1" applyAlignment="1" applyProtection="1">
      <alignment horizontal="center"/>
    </xf>
    <xf numFmtId="164" fontId="0" fillId="19" borderId="30" xfId="0" applyNumberFormat="1" applyFont="1" applyFill="1" applyBorder="1" applyAlignment="1" applyProtection="1">
      <alignment horizontal="center"/>
    </xf>
    <xf numFmtId="164" fontId="14" fillId="19" borderId="30" xfId="0" quotePrefix="1" applyNumberFormat="1" applyFont="1" applyFill="1" applyBorder="1" applyAlignment="1" applyProtection="1">
      <alignment horizontal="center"/>
    </xf>
    <xf numFmtId="164" fontId="14" fillId="19" borderId="30" xfId="0" applyNumberFormat="1" applyFont="1" applyFill="1" applyBorder="1" applyAlignment="1" applyProtection="1">
      <alignment horizontal="center"/>
    </xf>
    <xf numFmtId="1" fontId="14" fillId="19" borderId="30" xfId="0" applyNumberFormat="1" applyFont="1" applyFill="1" applyBorder="1" applyAlignment="1" applyProtection="1">
      <alignment horizontal="center"/>
    </xf>
    <xf numFmtId="0" fontId="19" fillId="19" borderId="30" xfId="0" applyFont="1" applyFill="1" applyBorder="1" applyAlignment="1">
      <alignment horizontal="center"/>
    </xf>
    <xf numFmtId="1" fontId="19" fillId="19" borderId="30" xfId="0" applyNumberFormat="1" applyFont="1" applyFill="1" applyBorder="1" applyAlignment="1">
      <alignment horizontal="center"/>
    </xf>
    <xf numFmtId="0" fontId="14" fillId="19" borderId="1" xfId="0" applyFont="1" applyFill="1" applyBorder="1" applyAlignment="1">
      <alignment horizontal="center"/>
    </xf>
    <xf numFmtId="1" fontId="0" fillId="19" borderId="33" xfId="0" quotePrefix="1" applyNumberFormat="1" applyFont="1" applyFill="1" applyBorder="1" applyAlignment="1" applyProtection="1">
      <alignment horizontal="center"/>
    </xf>
    <xf numFmtId="1" fontId="14" fillId="19" borderId="20" xfId="0" applyNumberFormat="1" applyFont="1" applyFill="1" applyBorder="1" applyAlignment="1">
      <alignment horizontal="center"/>
    </xf>
    <xf numFmtId="0" fontId="0" fillId="0" borderId="0" xfId="0" applyBorder="1" applyAlignment="1"/>
    <xf numFmtId="1" fontId="0" fillId="0" borderId="0" xfId="0" applyNumberFormat="1" applyBorder="1" applyAlignment="1">
      <alignment horizontal="center"/>
    </xf>
    <xf numFmtId="1" fontId="0" fillId="0" borderId="0" xfId="0" applyNumberFormat="1" applyBorder="1"/>
    <xf numFmtId="1" fontId="0" fillId="0" borderId="0" xfId="0" applyNumberFormat="1" applyAlignment="1">
      <alignment horizontal="center" vertical="center"/>
    </xf>
    <xf numFmtId="0" fontId="13" fillId="0" borderId="39" xfId="0" applyFont="1" applyFill="1" applyBorder="1"/>
    <xf numFmtId="0" fontId="13" fillId="0" borderId="40" xfId="0" applyFont="1" applyFill="1" applyBorder="1"/>
    <xf numFmtId="0" fontId="13" fillId="0" borderId="39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left"/>
    </xf>
    <xf numFmtId="0" fontId="13" fillId="0" borderId="40" xfId="0" applyFont="1" applyFill="1" applyBorder="1" applyAlignment="1">
      <alignment horizontal="center"/>
    </xf>
    <xf numFmtId="0" fontId="13" fillId="0" borderId="43" xfId="0" applyFont="1" applyFill="1" applyBorder="1" applyAlignment="1">
      <alignment horizontal="center"/>
    </xf>
    <xf numFmtId="0" fontId="13" fillId="0" borderId="56" xfId="0" applyFont="1" applyFill="1" applyBorder="1" applyAlignment="1">
      <alignment horizontal="center"/>
    </xf>
    <xf numFmtId="0" fontId="13" fillId="0" borderId="60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30" fillId="0" borderId="1" xfId="0" applyFont="1" applyFill="1" applyBorder="1"/>
    <xf numFmtId="0" fontId="30" fillId="0" borderId="1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/>
    </xf>
    <xf numFmtId="0" fontId="31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right"/>
    </xf>
    <xf numFmtId="0" fontId="13" fillId="10" borderId="1" xfId="0" applyFont="1" applyFill="1" applyBorder="1"/>
    <xf numFmtId="0" fontId="13" fillId="10" borderId="1" xfId="0" applyFont="1" applyFill="1" applyBorder="1" applyAlignment="1">
      <alignment horizontal="center" vertical="center"/>
    </xf>
    <xf numFmtId="0" fontId="13" fillId="18" borderId="40" xfId="0" applyFont="1" applyFill="1" applyBorder="1"/>
    <xf numFmtId="0" fontId="13" fillId="0" borderId="60" xfId="0" applyFont="1" applyBorder="1"/>
    <xf numFmtId="2" fontId="13" fillId="0" borderId="1" xfId="0" applyNumberFormat="1" applyFont="1" applyBorder="1" applyAlignment="1">
      <alignment horizontal="center"/>
    </xf>
    <xf numFmtId="0" fontId="13" fillId="13" borderId="1" xfId="0" applyFont="1" applyFill="1" applyBorder="1" applyAlignment="1">
      <alignment horizontal="left"/>
    </xf>
    <xf numFmtId="0" fontId="36" fillId="0" borderId="40" xfId="0" applyFont="1" applyFill="1" applyBorder="1" applyAlignment="1">
      <alignment horizontal="left"/>
    </xf>
    <xf numFmtId="0" fontId="36" fillId="0" borderId="1" xfId="0" applyFont="1" applyFill="1" applyBorder="1" applyAlignment="1">
      <alignment horizontal="left"/>
    </xf>
    <xf numFmtId="0" fontId="36" fillId="0" borderId="60" xfId="0" applyFont="1" applyFill="1" applyBorder="1" applyAlignment="1">
      <alignment horizontal="left"/>
    </xf>
    <xf numFmtId="0" fontId="35" fillId="0" borderId="15" xfId="0" applyFont="1" applyBorder="1" applyAlignment="1"/>
    <xf numFmtId="0" fontId="35" fillId="0" borderId="35" xfId="0" applyFont="1" applyBorder="1" applyAlignment="1"/>
    <xf numFmtId="0" fontId="36" fillId="0" borderId="56" xfId="0" applyFont="1" applyFill="1" applyBorder="1" applyAlignment="1">
      <alignment horizontal="left"/>
    </xf>
    <xf numFmtId="0" fontId="37" fillId="0" borderId="0" xfId="0" applyFont="1" applyFill="1"/>
    <xf numFmtId="0" fontId="37" fillId="0" borderId="0" xfId="0" applyFont="1" applyFill="1" applyAlignment="1">
      <alignment horizontal="center"/>
    </xf>
    <xf numFmtId="0" fontId="0" fillId="20" borderId="1" xfId="0" applyFont="1" applyFill="1" applyBorder="1" applyAlignment="1">
      <alignment horizontal="center"/>
    </xf>
    <xf numFmtId="0" fontId="0" fillId="20" borderId="1" xfId="0" applyFont="1" applyFill="1" applyBorder="1" applyAlignment="1">
      <alignment horizontal="right"/>
    </xf>
    <xf numFmtId="0" fontId="0" fillId="20" borderId="1" xfId="0" applyFont="1" applyFill="1" applyBorder="1" applyAlignment="1">
      <alignment horizontal="center" vertical="center"/>
    </xf>
    <xf numFmtId="0" fontId="0" fillId="20" borderId="30" xfId="0" applyFont="1" applyFill="1" applyBorder="1" applyAlignment="1" applyProtection="1">
      <alignment horizontal="center"/>
    </xf>
    <xf numFmtId="0" fontId="15" fillId="20" borderId="30" xfId="0" applyFont="1" applyFill="1" applyBorder="1" applyAlignment="1" applyProtection="1">
      <alignment horizontal="center" vertical="center"/>
    </xf>
    <xf numFmtId="0" fontId="15" fillId="20" borderId="32" xfId="0" applyFont="1" applyFill="1" applyBorder="1" applyAlignment="1">
      <alignment horizontal="center" vertical="center"/>
    </xf>
    <xf numFmtId="0" fontId="0" fillId="20" borderId="34" xfId="0" applyFont="1" applyFill="1" applyBorder="1" applyAlignment="1" applyProtection="1">
      <alignment horizontal="center" wrapText="1"/>
    </xf>
    <xf numFmtId="0" fontId="11" fillId="20" borderId="29" xfId="0" applyFont="1" applyFill="1" applyBorder="1" applyAlignment="1" applyProtection="1">
      <alignment horizontal="center"/>
    </xf>
    <xf numFmtId="167" fontId="12" fillId="20" borderId="30" xfId="0" applyNumberFormat="1" applyFont="1" applyFill="1" applyBorder="1" applyAlignment="1" applyProtection="1">
      <alignment horizontal="center"/>
    </xf>
    <xf numFmtId="0" fontId="14" fillId="20" borderId="30" xfId="0" applyFont="1" applyFill="1" applyBorder="1" applyAlignment="1" applyProtection="1">
      <alignment horizontal="center"/>
    </xf>
    <xf numFmtId="0" fontId="13" fillId="20" borderId="30" xfId="0" applyFont="1" applyFill="1" applyBorder="1" applyAlignment="1" applyProtection="1">
      <alignment horizontal="center"/>
    </xf>
    <xf numFmtId="2" fontId="14" fillId="20" borderId="30" xfId="0" applyNumberFormat="1" applyFont="1" applyFill="1" applyBorder="1" applyAlignment="1" applyProtection="1">
      <alignment horizontal="center"/>
    </xf>
    <xf numFmtId="0" fontId="13" fillId="20" borderId="30" xfId="0" applyFont="1" applyFill="1" applyBorder="1" applyAlignment="1">
      <alignment horizontal="center"/>
    </xf>
    <xf numFmtId="2" fontId="12" fillId="20" borderId="30" xfId="0" applyNumberFormat="1" applyFont="1" applyFill="1" applyBorder="1" applyAlignment="1" applyProtection="1">
      <alignment horizontal="center"/>
    </xf>
    <xf numFmtId="0" fontId="14" fillId="20" borderId="30" xfId="0" applyFont="1" applyFill="1" applyBorder="1" applyAlignment="1">
      <alignment horizontal="center"/>
    </xf>
    <xf numFmtId="2" fontId="14" fillId="20" borderId="30" xfId="0" applyNumberFormat="1" applyFont="1" applyFill="1" applyBorder="1" applyAlignment="1">
      <alignment horizontal="center"/>
    </xf>
    <xf numFmtId="0" fontId="12" fillId="20" borderId="30" xfId="0" applyFont="1" applyFill="1" applyBorder="1" applyAlignment="1" applyProtection="1">
      <alignment horizontal="center"/>
    </xf>
    <xf numFmtId="2" fontId="0" fillId="20" borderId="30" xfId="0" quotePrefix="1" applyNumberFormat="1" applyFont="1" applyFill="1" applyBorder="1" applyAlignment="1" applyProtection="1">
      <alignment horizontal="center"/>
    </xf>
    <xf numFmtId="164" fontId="0" fillId="20" borderId="30" xfId="0" applyNumberFormat="1" applyFont="1" applyFill="1" applyBorder="1" applyAlignment="1" applyProtection="1">
      <alignment horizontal="center"/>
    </xf>
    <xf numFmtId="164" fontId="14" fillId="20" borderId="30" xfId="0" quotePrefix="1" applyNumberFormat="1" applyFont="1" applyFill="1" applyBorder="1" applyAlignment="1" applyProtection="1">
      <alignment horizontal="center"/>
    </xf>
    <xf numFmtId="164" fontId="14" fillId="20" borderId="30" xfId="0" applyNumberFormat="1" applyFont="1" applyFill="1" applyBorder="1" applyAlignment="1" applyProtection="1">
      <alignment horizontal="center"/>
    </xf>
    <xf numFmtId="1" fontId="14" fillId="20" borderId="30" xfId="0" applyNumberFormat="1" applyFont="1" applyFill="1" applyBorder="1" applyAlignment="1" applyProtection="1">
      <alignment horizontal="center"/>
    </xf>
    <xf numFmtId="0" fontId="19" fillId="20" borderId="30" xfId="0" applyFont="1" applyFill="1" applyBorder="1" applyAlignment="1">
      <alignment horizontal="center"/>
    </xf>
    <xf numFmtId="1" fontId="19" fillId="20" borderId="30" xfId="0" applyNumberFormat="1" applyFont="1" applyFill="1" applyBorder="1" applyAlignment="1">
      <alignment horizontal="center"/>
    </xf>
    <xf numFmtId="0" fontId="14" fillId="20" borderId="1" xfId="0" applyFont="1" applyFill="1" applyBorder="1" applyAlignment="1">
      <alignment horizontal="center"/>
    </xf>
    <xf numFmtId="1" fontId="0" fillId="20" borderId="33" xfId="0" quotePrefix="1" applyNumberFormat="1" applyFont="1" applyFill="1" applyBorder="1" applyAlignment="1" applyProtection="1">
      <alignment horizontal="center"/>
    </xf>
    <xf numFmtId="1" fontId="14" fillId="20" borderId="20" xfId="0" applyNumberFormat="1" applyFont="1" applyFill="1" applyBorder="1" applyAlignment="1">
      <alignment horizontal="center"/>
    </xf>
    <xf numFmtId="0" fontId="0" fillId="20" borderId="34" xfId="0" applyFont="1" applyFill="1" applyBorder="1" applyAlignment="1" applyProtection="1">
      <alignment horizontal="center" vertical="center"/>
    </xf>
    <xf numFmtId="1" fontId="13" fillId="20" borderId="30" xfId="0" applyNumberFormat="1" applyFont="1" applyFill="1" applyBorder="1" applyAlignment="1" applyProtection="1">
      <alignment horizontal="center"/>
    </xf>
    <xf numFmtId="2" fontId="19" fillId="20" borderId="2" xfId="0" applyNumberFormat="1" applyFont="1" applyFill="1" applyBorder="1" applyAlignment="1">
      <alignment horizontal="center"/>
    </xf>
    <xf numFmtId="1" fontId="0" fillId="20" borderId="32" xfId="0" quotePrefix="1" applyNumberFormat="1" applyFont="1" applyFill="1" applyBorder="1" applyAlignment="1" applyProtection="1">
      <alignment horizontal="center"/>
    </xf>
    <xf numFmtId="2" fontId="38" fillId="20" borderId="30" xfId="0" applyNumberFormat="1" applyFont="1" applyFill="1" applyBorder="1" applyAlignment="1" applyProtection="1">
      <alignment horizontal="center"/>
    </xf>
    <xf numFmtId="0" fontId="36" fillId="0" borderId="33" xfId="0" applyFont="1" applyFill="1" applyBorder="1" applyAlignment="1">
      <alignment horizontal="left"/>
    </xf>
    <xf numFmtId="1" fontId="13" fillId="0" borderId="15" xfId="0" applyNumberFormat="1" applyFont="1" applyFill="1" applyBorder="1" applyAlignment="1">
      <alignment horizontal="center"/>
    </xf>
    <xf numFmtId="0" fontId="13" fillId="0" borderId="35" xfId="0" applyFont="1" applyFill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13" fillId="0" borderId="9" xfId="0" applyFont="1" applyBorder="1"/>
    <xf numFmtId="0" fontId="22" fillId="0" borderId="0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0" xfId="0" applyFont="1"/>
    <xf numFmtId="0" fontId="0" fillId="0" borderId="0" xfId="0" applyFont="1" applyAlignment="1">
      <alignment horizontal="center"/>
    </xf>
    <xf numFmtId="0" fontId="30" fillId="0" borderId="1" xfId="0" applyFont="1" applyFill="1" applyBorder="1" applyAlignment="1">
      <alignment horizontal="right"/>
    </xf>
    <xf numFmtId="0" fontId="34" fillId="0" borderId="1" xfId="0" applyFont="1" applyBorder="1" applyAlignment="1">
      <alignment horizontal="right"/>
    </xf>
    <xf numFmtId="0" fontId="30" fillId="5" borderId="1" xfId="0" applyFont="1" applyFill="1" applyBorder="1"/>
    <xf numFmtId="0" fontId="30" fillId="5" borderId="1" xfId="0" applyFont="1" applyFill="1" applyBorder="1" applyAlignment="1">
      <alignment horizontal="center" vertical="center"/>
    </xf>
    <xf numFmtId="0" fontId="30" fillId="5" borderId="1" xfId="0" applyFont="1" applyFill="1" applyBorder="1" applyAlignment="1">
      <alignment horizontal="center"/>
    </xf>
    <xf numFmtId="0" fontId="30" fillId="22" borderId="1" xfId="0" applyFont="1" applyFill="1" applyBorder="1" applyAlignment="1">
      <alignment horizontal="center"/>
    </xf>
    <xf numFmtId="0" fontId="30" fillId="22" borderId="1" xfId="0" applyFont="1" applyFill="1" applyBorder="1"/>
    <xf numFmtId="0" fontId="30" fillId="22" borderId="1" xfId="0" applyFont="1" applyFill="1" applyBorder="1" applyAlignment="1">
      <alignment horizontal="center" vertical="center"/>
    </xf>
    <xf numFmtId="0" fontId="34" fillId="22" borderId="1" xfId="0" applyFont="1" applyFill="1" applyBorder="1" applyAlignment="1">
      <alignment horizontal="center"/>
    </xf>
    <xf numFmtId="0" fontId="0" fillId="22" borderId="1" xfId="0" applyFont="1" applyFill="1" applyBorder="1" applyAlignment="1">
      <alignment horizontal="right"/>
    </xf>
    <xf numFmtId="0" fontId="34" fillId="22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22" fillId="0" borderId="0" xfId="0" applyFont="1" applyFill="1" applyAlignment="1">
      <alignment vertical="center"/>
    </xf>
    <xf numFmtId="0" fontId="13" fillId="0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left"/>
    </xf>
    <xf numFmtId="0" fontId="13" fillId="0" borderId="30" xfId="0" applyFont="1" applyFill="1" applyBorder="1" applyAlignment="1">
      <alignment horizontal="left"/>
    </xf>
    <xf numFmtId="0" fontId="13" fillId="0" borderId="23" xfId="0" applyFont="1" applyBorder="1"/>
    <xf numFmtId="0" fontId="39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2" fontId="13" fillId="0" borderId="0" xfId="0" applyNumberFormat="1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1" fontId="36" fillId="0" borderId="1" xfId="0" applyNumberFormat="1" applyFont="1" applyFill="1" applyBorder="1" applyAlignment="1">
      <alignment horizontal="center"/>
    </xf>
    <xf numFmtId="0" fontId="39" fillId="4" borderId="12" xfId="0" applyFont="1" applyFill="1" applyBorder="1" applyAlignment="1">
      <alignment horizontal="center"/>
    </xf>
    <xf numFmtId="0" fontId="39" fillId="4" borderId="1" xfId="0" applyFont="1" applyFill="1" applyBorder="1" applyAlignment="1">
      <alignment horizontal="center"/>
    </xf>
    <xf numFmtId="0" fontId="13" fillId="0" borderId="2" xfId="0" applyFont="1" applyBorder="1" applyAlignment="1">
      <alignment horizontal="left"/>
    </xf>
    <xf numFmtId="0" fontId="13" fillId="0" borderId="15" xfId="0" applyFont="1" applyFill="1" applyBorder="1" applyAlignment="1">
      <alignment horizontal="left"/>
    </xf>
    <xf numFmtId="0" fontId="13" fillId="0" borderId="15" xfId="0" applyFont="1" applyFill="1" applyBorder="1" applyAlignment="1">
      <alignment horizontal="center" vertical="center"/>
    </xf>
    <xf numFmtId="0" fontId="13" fillId="0" borderId="60" xfId="0" applyFont="1" applyFill="1" applyBorder="1"/>
    <xf numFmtId="0" fontId="15" fillId="0" borderId="0" xfId="0" applyFont="1" applyFill="1" applyAlignment="1" applyProtection="1">
      <alignment horizontal="center"/>
    </xf>
    <xf numFmtId="0" fontId="3" fillId="0" borderId="0" xfId="12"/>
    <xf numFmtId="0" fontId="40" fillId="0" borderId="1" xfId="12" applyFont="1" applyBorder="1" applyAlignment="1">
      <alignment horizontal="center" vertical="center" wrapText="1"/>
    </xf>
    <xf numFmtId="0" fontId="40" fillId="0" borderId="1" xfId="12" applyFont="1" applyBorder="1" applyAlignment="1">
      <alignment horizontal="center" vertical="center"/>
    </xf>
    <xf numFmtId="0" fontId="42" fillId="0" borderId="1" xfId="12" applyFont="1" applyFill="1" applyBorder="1" applyAlignment="1">
      <alignment horizontal="center"/>
    </xf>
    <xf numFmtId="0" fontId="40" fillId="0" borderId="1" xfId="12" applyFont="1" applyBorder="1" applyAlignment="1">
      <alignment horizontal="center"/>
    </xf>
    <xf numFmtId="0" fontId="42" fillId="0" borderId="1" xfId="12" applyFont="1" applyBorder="1" applyAlignment="1">
      <alignment horizontal="center"/>
    </xf>
    <xf numFmtId="0" fontId="43" fillId="0" borderId="1" xfId="12" applyFont="1" applyBorder="1" applyAlignment="1">
      <alignment horizontal="center"/>
    </xf>
    <xf numFmtId="0" fontId="42" fillId="0" borderId="0" xfId="12" applyFont="1" applyFill="1"/>
    <xf numFmtId="0" fontId="44" fillId="0" borderId="1" xfId="12" applyFont="1" applyBorder="1" applyAlignment="1">
      <alignment horizontal="center" vertical="center"/>
    </xf>
    <xf numFmtId="0" fontId="3" fillId="0" borderId="1" xfId="12" applyBorder="1" applyAlignment="1">
      <alignment horizontal="center" vertical="center"/>
    </xf>
    <xf numFmtId="0" fontId="3" fillId="0" borderId="1" xfId="12" applyBorder="1" applyAlignment="1">
      <alignment horizontal="center" vertical="center" wrapText="1"/>
    </xf>
    <xf numFmtId="0" fontId="46" fillId="0" borderId="1" xfId="12" applyFont="1" applyFill="1" applyBorder="1" applyAlignment="1">
      <alignment horizontal="center"/>
    </xf>
    <xf numFmtId="0" fontId="3" fillId="0" borderId="1" xfId="12" applyBorder="1" applyAlignment="1">
      <alignment horizontal="center"/>
    </xf>
    <xf numFmtId="0" fontId="3" fillId="0" borderId="0" xfId="12" applyAlignment="1">
      <alignment horizontal="center"/>
    </xf>
    <xf numFmtId="0" fontId="3" fillId="0" borderId="0" xfId="12" applyAlignment="1">
      <alignment horizontal="center"/>
    </xf>
    <xf numFmtId="0" fontId="46" fillId="0" borderId="1" xfId="12" applyFont="1" applyBorder="1" applyAlignment="1">
      <alignment horizontal="center"/>
    </xf>
    <xf numFmtId="169" fontId="3" fillId="0" borderId="1" xfId="12" applyNumberFormat="1" applyBorder="1" applyAlignment="1">
      <alignment horizontal="center"/>
    </xf>
    <xf numFmtId="0" fontId="47" fillId="0" borderId="0" xfId="12" applyFont="1"/>
    <xf numFmtId="0" fontId="15" fillId="24" borderId="1" xfId="0" applyFont="1" applyFill="1" applyBorder="1" applyAlignment="1" applyProtection="1">
      <alignment horizontal="center"/>
    </xf>
    <xf numFmtId="0" fontId="15" fillId="24" borderId="24" xfId="0" applyFont="1" applyFill="1" applyBorder="1" applyAlignment="1" applyProtection="1">
      <alignment horizontal="center"/>
    </xf>
    <xf numFmtId="166" fontId="15" fillId="24" borderId="1" xfId="0" applyNumberFormat="1" applyFont="1" applyFill="1" applyBorder="1" applyAlignment="1" applyProtection="1">
      <alignment horizontal="center"/>
    </xf>
    <xf numFmtId="2" fontId="25" fillId="24" borderId="1" xfId="0" applyNumberFormat="1" applyFont="1" applyFill="1" applyBorder="1" applyAlignment="1" applyProtection="1">
      <alignment horizontal="center"/>
    </xf>
    <xf numFmtId="0" fontId="15" fillId="24" borderId="1" xfId="0" applyFont="1" applyFill="1" applyBorder="1" applyAlignment="1" applyProtection="1">
      <alignment horizontal="left" vertical="center"/>
    </xf>
    <xf numFmtId="0" fontId="15" fillId="24" borderId="0" xfId="0" applyFont="1" applyFill="1" applyBorder="1" applyAlignment="1" applyProtection="1">
      <alignment horizontal="center"/>
    </xf>
    <xf numFmtId="165" fontId="15" fillId="24" borderId="1" xfId="0" applyNumberFormat="1" applyFont="1" applyFill="1" applyBorder="1" applyAlignment="1" applyProtection="1">
      <alignment horizontal="center"/>
    </xf>
    <xf numFmtId="0" fontId="15" fillId="24" borderId="1" xfId="0" applyFont="1" applyFill="1" applyBorder="1" applyAlignment="1" applyProtection="1">
      <alignment horizontal="center" vertical="center"/>
    </xf>
    <xf numFmtId="164" fontId="28" fillId="3" borderId="1" xfId="0" applyNumberFormat="1" applyFont="1" applyFill="1" applyBorder="1" applyAlignment="1" applyProtection="1">
      <alignment horizontal="center"/>
    </xf>
    <xf numFmtId="0" fontId="24" fillId="24" borderId="1" xfId="0" applyFont="1" applyFill="1" applyBorder="1" applyAlignment="1">
      <alignment horizontal="center"/>
    </xf>
    <xf numFmtId="0" fontId="3" fillId="0" borderId="0" xfId="12" applyAlignment="1">
      <alignment horizontal="center" vertical="center"/>
    </xf>
    <xf numFmtId="0" fontId="42" fillId="0" borderId="1" xfId="12" applyFont="1" applyFill="1" applyBorder="1" applyAlignment="1">
      <alignment horizontal="center" vertical="center"/>
    </xf>
    <xf numFmtId="0" fontId="15" fillId="24" borderId="1" xfId="0" applyFont="1" applyFill="1" applyBorder="1" applyAlignment="1" applyProtection="1">
      <alignment horizontal="left"/>
    </xf>
    <xf numFmtId="0" fontId="15" fillId="24" borderId="1" xfId="0" applyFont="1" applyFill="1" applyBorder="1" applyAlignment="1">
      <alignment horizontal="center"/>
    </xf>
    <xf numFmtId="164" fontId="15" fillId="24" borderId="1" xfId="0" applyNumberFormat="1" applyFont="1" applyFill="1" applyBorder="1" applyAlignment="1">
      <alignment horizontal="center"/>
    </xf>
    <xf numFmtId="0" fontId="25" fillId="24" borderId="1" xfId="0" applyFont="1" applyFill="1" applyBorder="1" applyAlignment="1" applyProtection="1">
      <alignment horizontal="center"/>
    </xf>
    <xf numFmtId="2" fontId="15" fillId="24" borderId="1" xfId="0" applyNumberFormat="1" applyFont="1" applyFill="1" applyBorder="1" applyAlignment="1" applyProtection="1">
      <alignment horizontal="center"/>
    </xf>
    <xf numFmtId="0" fontId="15" fillId="24" borderId="24" xfId="0" applyFont="1" applyFill="1" applyBorder="1" applyAlignment="1" applyProtection="1">
      <alignment horizontal="left"/>
    </xf>
    <xf numFmtId="0" fontId="49" fillId="24" borderId="1" xfId="0" applyFont="1" applyFill="1" applyBorder="1" applyAlignment="1" applyProtection="1">
      <alignment horizontal="center"/>
    </xf>
    <xf numFmtId="0" fontId="26" fillId="24" borderId="1" xfId="0" applyFont="1" applyFill="1" applyBorder="1" applyAlignment="1" applyProtection="1">
      <alignment horizontal="left"/>
    </xf>
    <xf numFmtId="0" fontId="26" fillId="24" borderId="1" xfId="0" applyFont="1" applyFill="1" applyBorder="1" applyAlignment="1" applyProtection="1">
      <alignment horizontal="center"/>
    </xf>
    <xf numFmtId="0" fontId="15" fillId="24" borderId="1" xfId="0" quotePrefix="1" applyFont="1" applyFill="1" applyBorder="1" applyAlignment="1">
      <alignment horizontal="center"/>
    </xf>
    <xf numFmtId="0" fontId="15" fillId="24" borderId="1" xfId="0" quotePrefix="1" applyFont="1" applyFill="1" applyBorder="1" applyAlignment="1" applyProtection="1">
      <alignment horizontal="center"/>
    </xf>
    <xf numFmtId="0" fontId="15" fillId="24" borderId="1" xfId="0" applyFont="1" applyFill="1" applyBorder="1"/>
    <xf numFmtId="0" fontId="25" fillId="24" borderId="1" xfId="0" applyFont="1" applyFill="1" applyBorder="1" applyAlignment="1">
      <alignment horizontal="center"/>
    </xf>
    <xf numFmtId="1" fontId="25" fillId="24" borderId="1" xfId="0" applyNumberFormat="1" applyFont="1" applyFill="1" applyBorder="1" applyAlignment="1">
      <alignment horizontal="center"/>
    </xf>
    <xf numFmtId="0" fontId="15" fillId="24" borderId="28" xfId="0" applyFont="1" applyFill="1" applyBorder="1" applyAlignment="1" applyProtection="1">
      <alignment horizontal="center"/>
    </xf>
    <xf numFmtId="1" fontId="25" fillId="24" borderId="1" xfId="0" applyNumberFormat="1" applyFont="1" applyFill="1" applyBorder="1" applyAlignment="1" applyProtection="1">
      <alignment horizontal="center"/>
    </xf>
    <xf numFmtId="165" fontId="15" fillId="24" borderId="2" xfId="0" applyNumberFormat="1" applyFont="1" applyFill="1" applyBorder="1" applyAlignment="1" applyProtection="1">
      <alignment horizontal="left"/>
    </xf>
    <xf numFmtId="165" fontId="15" fillId="24" borderId="2" xfId="0" applyNumberFormat="1" applyFont="1" applyFill="1" applyBorder="1" applyAlignment="1" applyProtection="1">
      <alignment horizontal="center"/>
    </xf>
    <xf numFmtId="0" fontId="2" fillId="0" borderId="0" xfId="12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31" fillId="17" borderId="1" xfId="0" applyFont="1" applyFill="1" applyBorder="1" applyAlignment="1">
      <alignment horizontal="center" vertical="center"/>
    </xf>
    <xf numFmtId="0" fontId="30" fillId="17" borderId="1" xfId="0" applyFont="1" applyFill="1" applyBorder="1" applyAlignment="1">
      <alignment horizontal="left"/>
    </xf>
    <xf numFmtId="0" fontId="31" fillId="17" borderId="1" xfId="0" applyFont="1" applyFill="1" applyBorder="1" applyAlignment="1">
      <alignment horizontal="center"/>
    </xf>
    <xf numFmtId="0" fontId="30" fillId="17" borderId="1" xfId="0" applyFont="1" applyFill="1" applyBorder="1" applyAlignment="1">
      <alignment horizontal="center"/>
    </xf>
    <xf numFmtId="0" fontId="31" fillId="16" borderId="1" xfId="0" applyFont="1" applyFill="1" applyBorder="1" applyAlignment="1">
      <alignment horizontal="right" vertical="center"/>
    </xf>
    <xf numFmtId="0" fontId="31" fillId="16" borderId="1" xfId="0" applyFont="1" applyFill="1" applyBorder="1" applyAlignment="1">
      <alignment horizontal="center" vertical="center"/>
    </xf>
    <xf numFmtId="0" fontId="31" fillId="16" borderId="1" xfId="0" applyFont="1" applyFill="1" applyBorder="1" applyAlignment="1">
      <alignment horizontal="center"/>
    </xf>
    <xf numFmtId="0" fontId="30" fillId="16" borderId="1" xfId="0" applyFont="1" applyFill="1" applyBorder="1" applyAlignment="1">
      <alignment horizontal="center"/>
    </xf>
    <xf numFmtId="0" fontId="31" fillId="17" borderId="1" xfId="0" applyFont="1" applyFill="1" applyBorder="1" applyAlignment="1">
      <alignment horizontal="left" vertical="center"/>
    </xf>
    <xf numFmtId="0" fontId="30" fillId="4" borderId="1" xfId="0" applyFont="1" applyFill="1" applyBorder="1" applyAlignment="1">
      <alignment horizontal="left"/>
    </xf>
    <xf numFmtId="0" fontId="30" fillId="4" borderId="1" xfId="0" applyFont="1" applyFill="1" applyBorder="1" applyAlignment="1">
      <alignment horizontal="center" vertical="center"/>
    </xf>
    <xf numFmtId="0" fontId="30" fillId="4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right"/>
    </xf>
    <xf numFmtId="0" fontId="0" fillId="0" borderId="1" xfId="0" applyFont="1" applyFill="1" applyBorder="1" applyAlignment="1">
      <alignment horizontal="left"/>
    </xf>
    <xf numFmtId="0" fontId="30" fillId="0" borderId="1" xfId="0" applyFont="1" applyFill="1" applyBorder="1" applyAlignment="1">
      <alignment horizontal="left"/>
    </xf>
    <xf numFmtId="1" fontId="30" fillId="0" borderId="1" xfId="0" applyNumberFormat="1" applyFont="1" applyFill="1" applyBorder="1" applyAlignment="1">
      <alignment horizontal="center"/>
    </xf>
    <xf numFmtId="2" fontId="30" fillId="0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5" fillId="24" borderId="1" xfId="0" applyFont="1" applyFill="1" applyBorder="1" applyAlignment="1" applyProtection="1">
      <alignment horizontal="center" vertical="center"/>
    </xf>
    <xf numFmtId="0" fontId="15" fillId="24" borderId="1" xfId="0" applyFont="1" applyFill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30" fillId="23" borderId="1" xfId="0" applyFont="1" applyFill="1" applyBorder="1" applyAlignment="1">
      <alignment horizontal="left"/>
    </xf>
    <xf numFmtId="0" fontId="30" fillId="23" borderId="1" xfId="0" applyFont="1" applyFill="1" applyBorder="1" applyAlignment="1">
      <alignment horizontal="center" vertical="center"/>
    </xf>
    <xf numFmtId="0" fontId="30" fillId="2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8" borderId="1" xfId="0" applyFont="1" applyFill="1" applyBorder="1" applyAlignment="1">
      <alignment horizontal="center"/>
    </xf>
    <xf numFmtId="0" fontId="0" fillId="0" borderId="1" xfId="0" applyFont="1" applyBorder="1"/>
    <xf numFmtId="0" fontId="0" fillId="16" borderId="1" xfId="0" applyFont="1" applyFill="1" applyBorder="1" applyAlignment="1">
      <alignment horizontal="left"/>
    </xf>
    <xf numFmtId="0" fontId="0" fillId="8" borderId="1" xfId="0" applyFont="1" applyFill="1" applyBorder="1"/>
    <xf numFmtId="0" fontId="0" fillId="0" borderId="30" xfId="0" applyFont="1" applyFill="1" applyBorder="1" applyAlignment="1">
      <alignment horizontal="left"/>
    </xf>
    <xf numFmtId="0" fontId="30" fillId="12" borderId="1" xfId="0" applyFont="1" applyFill="1" applyBorder="1" applyAlignment="1">
      <alignment horizontal="left"/>
    </xf>
    <xf numFmtId="0" fontId="30" fillId="12" borderId="1" xfId="0" applyFont="1" applyFill="1" applyBorder="1" applyAlignment="1">
      <alignment horizontal="center"/>
    </xf>
    <xf numFmtId="0" fontId="30" fillId="17" borderId="1" xfId="0" applyFont="1" applyFill="1" applyBorder="1" applyAlignment="1">
      <alignment horizontal="center" vertical="center"/>
    </xf>
    <xf numFmtId="0" fontId="30" fillId="12" borderId="1" xfId="0" applyFont="1" applyFill="1" applyBorder="1" applyAlignment="1">
      <alignment horizontal="center" vertical="center"/>
    </xf>
    <xf numFmtId="0" fontId="0" fillId="16" borderId="1" xfId="0" applyFont="1" applyFill="1" applyBorder="1" applyAlignment="1">
      <alignment horizontal="center" vertical="center"/>
    </xf>
    <xf numFmtId="1" fontId="0" fillId="16" borderId="1" xfId="0" applyNumberFormat="1" applyFont="1" applyFill="1" applyBorder="1" applyAlignment="1">
      <alignment horizontal="center"/>
    </xf>
    <xf numFmtId="0" fontId="0" fillId="16" borderId="1" xfId="0" applyFont="1" applyFill="1" applyBorder="1"/>
    <xf numFmtId="0" fontId="0" fillId="8" borderId="1" xfId="0" applyFont="1" applyFill="1" applyBorder="1" applyAlignment="1">
      <alignment horizontal="center" vertical="center"/>
    </xf>
    <xf numFmtId="0" fontId="31" fillId="18" borderId="3" xfId="0" applyFont="1" applyFill="1" applyBorder="1"/>
    <xf numFmtId="0" fontId="31" fillId="0" borderId="3" xfId="0" applyFont="1" applyBorder="1" applyAlignment="1">
      <alignment horizontal="right"/>
    </xf>
    <xf numFmtId="0" fontId="31" fillId="18" borderId="12" xfId="0" applyFont="1" applyFill="1" applyBorder="1" applyAlignment="1">
      <alignment horizontal="center"/>
    </xf>
    <xf numFmtId="0" fontId="31" fillId="18" borderId="3" xfId="0" applyFont="1" applyFill="1" applyBorder="1" applyAlignment="1">
      <alignment horizontal="left"/>
    </xf>
    <xf numFmtId="0" fontId="31" fillId="18" borderId="57" xfId="0" applyFont="1" applyFill="1" applyBorder="1"/>
    <xf numFmtId="0" fontId="33" fillId="0" borderId="3" xfId="0" applyFont="1" applyFill="1" applyBorder="1" applyAlignment="1">
      <alignment horizontal="center"/>
    </xf>
    <xf numFmtId="0" fontId="31" fillId="18" borderId="1" xfId="0" applyFont="1" applyFill="1" applyBorder="1" applyAlignment="1">
      <alignment horizontal="center"/>
    </xf>
    <xf numFmtId="0" fontId="31" fillId="0" borderId="12" xfId="0" applyFont="1" applyBorder="1" applyAlignment="1">
      <alignment horizontal="center"/>
    </xf>
    <xf numFmtId="0" fontId="31" fillId="0" borderId="12" xfId="0" applyFont="1" applyFill="1" applyBorder="1" applyAlignment="1">
      <alignment horizontal="center"/>
    </xf>
    <xf numFmtId="0" fontId="0" fillId="18" borderId="1" xfId="0" applyFont="1" applyFill="1" applyBorder="1" applyAlignment="1">
      <alignment horizontal="center" vertical="center"/>
    </xf>
    <xf numFmtId="164" fontId="0" fillId="18" borderId="2" xfId="0" applyNumberFormat="1" applyFont="1" applyFill="1" applyBorder="1" applyAlignment="1">
      <alignment horizontal="center"/>
    </xf>
    <xf numFmtId="0" fontId="15" fillId="13" borderId="1" xfId="0" applyFont="1" applyFill="1" applyBorder="1" applyAlignment="1" applyProtection="1">
      <alignment horizontal="center" vertical="center"/>
    </xf>
    <xf numFmtId="0" fontId="15" fillId="7" borderId="1" xfId="0" applyFont="1" applyFill="1" applyBorder="1" applyAlignment="1" applyProtection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164" fontId="25" fillId="24" borderId="1" xfId="0" applyNumberFormat="1" applyFont="1" applyFill="1" applyBorder="1" applyAlignment="1" applyProtection="1">
      <alignment horizontal="center"/>
    </xf>
    <xf numFmtId="0" fontId="15" fillId="11" borderId="1" xfId="0" applyFont="1" applyFill="1" applyBorder="1" applyAlignment="1" applyProtection="1">
      <alignment horizontal="center" vertical="center"/>
    </xf>
    <xf numFmtId="1" fontId="0" fillId="0" borderId="2" xfId="0" applyNumberFormat="1" applyFont="1" applyBorder="1" applyAlignment="1">
      <alignment horizontal="center"/>
    </xf>
    <xf numFmtId="0" fontId="15" fillId="24" borderId="1" xfId="0" applyFont="1" applyFill="1" applyBorder="1" applyAlignment="1" applyProtection="1">
      <alignment horizontal="center" vertical="center"/>
    </xf>
    <xf numFmtId="0" fontId="15" fillId="24" borderId="1" xfId="0" applyFont="1" applyFill="1" applyBorder="1" applyAlignment="1">
      <alignment horizontal="center"/>
    </xf>
    <xf numFmtId="0" fontId="0" fillId="0" borderId="23" xfId="0" applyFont="1" applyBorder="1"/>
    <xf numFmtId="0" fontId="0" fillId="0" borderId="23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35" fillId="0" borderId="6" xfId="0" applyFont="1" applyFill="1" applyBorder="1" applyAlignment="1">
      <alignment horizontal="center"/>
    </xf>
    <xf numFmtId="0" fontId="35" fillId="0" borderId="7" xfId="0" applyFont="1" applyFill="1" applyBorder="1" applyAlignment="1">
      <alignment horizontal="center"/>
    </xf>
    <xf numFmtId="0" fontId="3" fillId="0" borderId="0" xfId="12" applyAlignment="1">
      <alignment horizontal="center"/>
    </xf>
    <xf numFmtId="0" fontId="15" fillId="24" borderId="1" xfId="0" applyFont="1" applyFill="1" applyBorder="1" applyAlignment="1" applyProtection="1">
      <alignment horizontal="center" vertical="center"/>
    </xf>
    <xf numFmtId="0" fontId="15" fillId="24" borderId="1" xfId="0" applyFont="1" applyFill="1" applyBorder="1" applyAlignment="1">
      <alignment horizontal="center"/>
    </xf>
    <xf numFmtId="0" fontId="1" fillId="0" borderId="0" xfId="12" applyFont="1" applyAlignment="1">
      <alignment horizontal="center"/>
    </xf>
    <xf numFmtId="0" fontId="15" fillId="19" borderId="1" xfId="0" applyFont="1" applyFill="1" applyBorder="1" applyAlignment="1" applyProtection="1">
      <alignment horizontal="center" vertical="center"/>
    </xf>
    <xf numFmtId="0" fontId="15" fillId="14" borderId="1" xfId="0" applyFont="1" applyFill="1" applyBorder="1" applyAlignment="1" applyProtection="1">
      <alignment horizontal="center" vertical="center"/>
    </xf>
    <xf numFmtId="0" fontId="1" fillId="0" borderId="0" xfId="12" applyFont="1" applyAlignment="1">
      <alignment horizontal="center" vertical="center"/>
    </xf>
    <xf numFmtId="0" fontId="1" fillId="0" borderId="1" xfId="12" applyFont="1" applyBorder="1" applyAlignment="1">
      <alignment horizontal="center" vertical="center"/>
    </xf>
    <xf numFmtId="164" fontId="0" fillId="18" borderId="1" xfId="0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1" fontId="0" fillId="0" borderId="2" xfId="0" applyNumberFormat="1" applyFont="1" applyFill="1" applyBorder="1" applyAlignment="1">
      <alignment horizontal="center"/>
    </xf>
    <xf numFmtId="0" fontId="15" fillId="9" borderId="1" xfId="0" applyFont="1" applyFill="1" applyBorder="1" applyAlignment="1" applyProtection="1">
      <alignment horizontal="center" vertical="center"/>
    </xf>
    <xf numFmtId="1" fontId="55" fillId="10" borderId="1" xfId="0" applyNumberFormat="1" applyFont="1" applyFill="1" applyBorder="1" applyAlignment="1">
      <alignment horizontal="center"/>
    </xf>
    <xf numFmtId="0" fontId="56" fillId="10" borderId="3" xfId="0" applyFont="1" applyFill="1" applyBorder="1" applyAlignment="1">
      <alignment horizontal="right"/>
    </xf>
    <xf numFmtId="0" fontId="15" fillId="25" borderId="1" xfId="0" applyFont="1" applyFill="1" applyBorder="1" applyAlignment="1" applyProtection="1">
      <alignment horizontal="center" vertical="center"/>
    </xf>
    <xf numFmtId="0" fontId="0" fillId="18" borderId="40" xfId="0" applyFont="1" applyFill="1" applyBorder="1"/>
    <xf numFmtId="0" fontId="0" fillId="0" borderId="40" xfId="0" applyFont="1" applyBorder="1"/>
    <xf numFmtId="0" fontId="15" fillId="26" borderId="1" xfId="0" applyFont="1" applyFill="1" applyBorder="1" applyAlignment="1" applyProtection="1">
      <alignment horizontal="center" vertical="center"/>
    </xf>
    <xf numFmtId="0" fontId="15" fillId="21" borderId="1" xfId="0" applyFont="1" applyFill="1" applyBorder="1" applyAlignment="1" applyProtection="1">
      <alignment horizontal="center" vertical="center"/>
    </xf>
    <xf numFmtId="0" fontId="15" fillId="27" borderId="1" xfId="0" applyFont="1" applyFill="1" applyBorder="1" applyAlignment="1" applyProtection="1">
      <alignment horizontal="center" vertical="center"/>
    </xf>
    <xf numFmtId="0" fontId="15" fillId="28" borderId="1" xfId="0" applyFont="1" applyFill="1" applyBorder="1" applyAlignment="1" applyProtection="1">
      <alignment horizontal="center" vertical="center"/>
    </xf>
    <xf numFmtId="0" fontId="15" fillId="29" borderId="1" xfId="0" applyFont="1" applyFill="1" applyBorder="1" applyAlignment="1" applyProtection="1">
      <alignment horizontal="center" vertical="center"/>
    </xf>
    <xf numFmtId="0" fontId="0" fillId="0" borderId="12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1" fontId="0" fillId="0" borderId="23" xfId="0" applyNumberFormat="1" applyFont="1" applyBorder="1" applyAlignment="1">
      <alignment horizontal="center"/>
    </xf>
    <xf numFmtId="0" fontId="13" fillId="0" borderId="62" xfId="0" applyFont="1" applyBorder="1"/>
    <xf numFmtId="0" fontId="31" fillId="0" borderId="1" xfId="0" applyFont="1" applyBorder="1" applyAlignment="1">
      <alignment horizontal="center"/>
    </xf>
    <xf numFmtId="0" fontId="33" fillId="0" borderId="45" xfId="0" applyFont="1" applyFill="1" applyBorder="1" applyAlignment="1">
      <alignment horizontal="center"/>
    </xf>
    <xf numFmtId="0" fontId="31" fillId="0" borderId="47" xfId="0" applyFont="1" applyBorder="1" applyAlignment="1">
      <alignment horizontal="right"/>
    </xf>
    <xf numFmtId="0" fontId="0" fillId="0" borderId="22" xfId="0" applyFont="1" applyBorder="1" applyAlignment="1">
      <alignment horizontal="center"/>
    </xf>
    <xf numFmtId="0" fontId="0" fillId="0" borderId="26" xfId="0" applyFont="1" applyBorder="1" applyAlignment="1">
      <alignment horizontal="center" vertical="center"/>
    </xf>
    <xf numFmtId="0" fontId="57" fillId="0" borderId="45" xfId="0" applyFont="1" applyFill="1" applyBorder="1" applyAlignment="1">
      <alignment horizontal="center" vertical="center"/>
    </xf>
    <xf numFmtId="0" fontId="57" fillId="0" borderId="59" xfId="0" applyFont="1" applyFill="1" applyBorder="1" applyAlignment="1">
      <alignment horizontal="center" vertical="center"/>
    </xf>
    <xf numFmtId="0" fontId="57" fillId="0" borderId="39" xfId="0" applyFont="1" applyFill="1" applyBorder="1" applyAlignment="1">
      <alignment vertical="center"/>
    </xf>
    <xf numFmtId="0" fontId="22" fillId="0" borderId="47" xfId="0" applyFont="1" applyFill="1" applyBorder="1" applyAlignment="1">
      <alignment horizontal="center"/>
    </xf>
    <xf numFmtId="0" fontId="22" fillId="0" borderId="26" xfId="0" applyFont="1" applyFill="1" applyBorder="1" applyAlignment="1">
      <alignment horizontal="center"/>
    </xf>
    <xf numFmtId="0" fontId="22" fillId="0" borderId="43" xfId="0" applyFont="1" applyFill="1" applyBorder="1" applyAlignment="1">
      <alignment horizontal="center"/>
    </xf>
    <xf numFmtId="0" fontId="57" fillId="0" borderId="57" xfId="0" applyFont="1" applyFill="1" applyBorder="1"/>
    <xf numFmtId="0" fontId="57" fillId="0" borderId="2" xfId="0" applyFont="1" applyFill="1" applyBorder="1" applyAlignment="1">
      <alignment horizontal="center"/>
    </xf>
    <xf numFmtId="0" fontId="58" fillId="0" borderId="56" xfId="0" applyFont="1" applyFill="1" applyBorder="1" applyAlignment="1">
      <alignment horizontal="center" wrapText="1"/>
    </xf>
    <xf numFmtId="0" fontId="57" fillId="0" borderId="3" xfId="0" applyFont="1" applyFill="1" applyBorder="1"/>
    <xf numFmtId="0" fontId="57" fillId="0" borderId="1" xfId="0" applyFont="1" applyFill="1" applyBorder="1" applyAlignment="1">
      <alignment horizontal="center"/>
    </xf>
    <xf numFmtId="169" fontId="58" fillId="0" borderId="40" xfId="0" applyNumberFormat="1" applyFont="1" applyFill="1" applyBorder="1" applyAlignment="1">
      <alignment horizontal="center"/>
    </xf>
    <xf numFmtId="164" fontId="58" fillId="0" borderId="40" xfId="0" applyNumberFormat="1" applyFont="1" applyFill="1" applyBorder="1" applyAlignment="1">
      <alignment horizontal="center"/>
    </xf>
    <xf numFmtId="164" fontId="61" fillId="0" borderId="40" xfId="0" applyNumberFormat="1" applyFont="1" applyFill="1" applyBorder="1" applyAlignment="1">
      <alignment horizontal="center"/>
    </xf>
    <xf numFmtId="0" fontId="58" fillId="0" borderId="40" xfId="0" applyFont="1" applyFill="1" applyBorder="1" applyAlignment="1">
      <alignment horizontal="center"/>
    </xf>
    <xf numFmtId="0" fontId="57" fillId="0" borderId="3" xfId="0" applyFont="1" applyBorder="1"/>
    <xf numFmtId="0" fontId="57" fillId="0" borderId="1" xfId="0" applyFont="1" applyBorder="1" applyAlignment="1">
      <alignment horizontal="center"/>
    </xf>
    <xf numFmtId="1" fontId="58" fillId="0" borderId="40" xfId="0" applyNumberFormat="1" applyFont="1" applyFill="1" applyBorder="1" applyAlignment="1">
      <alignment horizontal="center"/>
    </xf>
    <xf numFmtId="2" fontId="58" fillId="0" borderId="40" xfId="0" applyNumberFormat="1" applyFont="1" applyFill="1" applyBorder="1" applyAlignment="1">
      <alignment horizontal="center"/>
    </xf>
    <xf numFmtId="0" fontId="62" fillId="0" borderId="3" xfId="0" applyFont="1" applyBorder="1"/>
    <xf numFmtId="0" fontId="62" fillId="0" borderId="1" xfId="0" applyFont="1" applyBorder="1" applyAlignment="1">
      <alignment horizontal="center"/>
    </xf>
    <xf numFmtId="164" fontId="63" fillId="0" borderId="40" xfId="0" applyNumberFormat="1" applyFont="1" applyFill="1" applyBorder="1" applyAlignment="1">
      <alignment horizontal="center"/>
    </xf>
    <xf numFmtId="0" fontId="58" fillId="0" borderId="40" xfId="0" applyFont="1" applyBorder="1" applyAlignment="1">
      <alignment horizontal="center"/>
    </xf>
    <xf numFmtId="1" fontId="62" fillId="0" borderId="40" xfId="0" applyNumberFormat="1" applyFont="1" applyBorder="1" applyAlignment="1">
      <alignment horizontal="center"/>
    </xf>
    <xf numFmtId="0" fontId="57" fillId="0" borderId="61" xfId="0" applyFont="1" applyFill="1" applyBorder="1"/>
    <xf numFmtId="0" fontId="57" fillId="0" borderId="23" xfId="0" applyFont="1" applyFill="1" applyBorder="1" applyAlignment="1">
      <alignment horizontal="center"/>
    </xf>
    <xf numFmtId="0" fontId="62" fillId="0" borderId="63" xfId="0" applyFont="1" applyFill="1" applyBorder="1"/>
    <xf numFmtId="0" fontId="62" fillId="0" borderId="1" xfId="0" applyFont="1" applyFill="1" applyBorder="1" applyAlignment="1">
      <alignment horizontal="center"/>
    </xf>
    <xf numFmtId="0" fontId="57" fillId="0" borderId="64" xfId="0" applyFont="1" applyFill="1" applyBorder="1"/>
    <xf numFmtId="0" fontId="57" fillId="0" borderId="40" xfId="0" applyFont="1" applyBorder="1" applyAlignment="1">
      <alignment horizontal="center"/>
    </xf>
    <xf numFmtId="0" fontId="64" fillId="30" borderId="47" xfId="0" applyFont="1" applyFill="1" applyBorder="1"/>
    <xf numFmtId="0" fontId="64" fillId="30" borderId="51" xfId="0" applyFont="1" applyFill="1" applyBorder="1" applyAlignment="1">
      <alignment horizontal="center"/>
    </xf>
    <xf numFmtId="1" fontId="64" fillId="30" borderId="43" xfId="0" applyNumberFormat="1" applyFont="1" applyFill="1" applyBorder="1" applyAlignment="1">
      <alignment horizontal="center"/>
    </xf>
    <xf numFmtId="1" fontId="0" fillId="0" borderId="26" xfId="0" applyNumberFormat="1" applyFont="1" applyBorder="1" applyAlignment="1">
      <alignment horizontal="center"/>
    </xf>
    <xf numFmtId="0" fontId="0" fillId="0" borderId="43" xfId="0" applyFont="1" applyBorder="1"/>
    <xf numFmtId="0" fontId="58" fillId="0" borderId="56" xfId="0" applyFont="1" applyFill="1" applyBorder="1" applyAlignment="1">
      <alignment horizontal="center" vertical="center" wrapText="1"/>
    </xf>
    <xf numFmtId="0" fontId="0" fillId="13" borderId="45" xfId="0" applyFont="1" applyFill="1" applyBorder="1" applyAlignment="1">
      <alignment horizontal="left"/>
    </xf>
    <xf numFmtId="0" fontId="0" fillId="13" borderId="59" xfId="0" applyFont="1" applyFill="1" applyBorder="1" applyAlignment="1">
      <alignment horizontal="center"/>
    </xf>
    <xf numFmtId="0" fontId="0" fillId="13" borderId="46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right"/>
    </xf>
    <xf numFmtId="1" fontId="0" fillId="0" borderId="12" xfId="0" applyNumberFormat="1" applyFont="1" applyFill="1" applyBorder="1" applyAlignment="1">
      <alignment horizontal="center"/>
    </xf>
    <xf numFmtId="0" fontId="0" fillId="13" borderId="3" xfId="0" applyFont="1" applyFill="1" applyBorder="1" applyAlignment="1">
      <alignment horizontal="left"/>
    </xf>
    <xf numFmtId="0" fontId="0" fillId="13" borderId="12" xfId="0" applyFont="1" applyFill="1" applyBorder="1" applyAlignment="1">
      <alignment horizontal="center"/>
    </xf>
    <xf numFmtId="0" fontId="0" fillId="13" borderId="1" xfId="0" applyFont="1" applyFill="1" applyBorder="1" applyAlignment="1">
      <alignment horizontal="center" vertical="center"/>
    </xf>
    <xf numFmtId="0" fontId="31" fillId="0" borderId="3" xfId="0" applyFont="1" applyFill="1" applyBorder="1" applyAlignment="1">
      <alignment horizontal="right"/>
    </xf>
    <xf numFmtId="0" fontId="30" fillId="0" borderId="12" xfId="0" applyFont="1" applyFill="1" applyBorder="1" applyAlignment="1">
      <alignment horizontal="right"/>
    </xf>
    <xf numFmtId="0" fontId="30" fillId="0" borderId="1" xfId="0" applyFont="1" applyBorder="1" applyAlignment="1">
      <alignment horizontal="center" vertical="center"/>
    </xf>
    <xf numFmtId="0" fontId="0" fillId="13" borderId="25" xfId="0" applyFont="1" applyFill="1" applyBorder="1" applyAlignment="1">
      <alignment horizontal="left"/>
    </xf>
    <xf numFmtId="0" fontId="0" fillId="13" borderId="1" xfId="0" applyFont="1" applyFill="1" applyBorder="1" applyAlignment="1">
      <alignment horizontal="center"/>
    </xf>
    <xf numFmtId="0" fontId="0" fillId="13" borderId="39" xfId="0" applyFont="1" applyFill="1" applyBorder="1"/>
    <xf numFmtId="0" fontId="30" fillId="0" borderId="1" xfId="0" applyFont="1" applyBorder="1" applyAlignment="1">
      <alignment horizontal="center"/>
    </xf>
    <xf numFmtId="0" fontId="68" fillId="0" borderId="3" xfId="0" applyFont="1" applyFill="1" applyBorder="1" applyAlignment="1">
      <alignment horizontal="left"/>
    </xf>
    <xf numFmtId="0" fontId="68" fillId="0" borderId="61" xfId="0" applyFont="1" applyFill="1" applyBorder="1" applyAlignment="1">
      <alignment horizontal="left"/>
    </xf>
    <xf numFmtId="0" fontId="68" fillId="0" borderId="1" xfId="0" applyFont="1" applyFill="1" applyBorder="1" applyAlignment="1">
      <alignment horizontal="center"/>
    </xf>
    <xf numFmtId="1" fontId="68" fillId="0" borderId="1" xfId="0" applyNumberFormat="1" applyFont="1" applyFill="1" applyBorder="1" applyAlignment="1">
      <alignment horizontal="center"/>
    </xf>
    <xf numFmtId="0" fontId="14" fillId="0" borderId="24" xfId="0" applyFont="1" applyFill="1" applyBorder="1" applyAlignment="1"/>
    <xf numFmtId="0" fontId="14" fillId="0" borderId="10" xfId="0" applyFont="1" applyFill="1" applyBorder="1" applyAlignment="1"/>
    <xf numFmtId="0" fontId="14" fillId="0" borderId="12" xfId="0" applyFont="1" applyFill="1" applyBorder="1" applyAlignment="1"/>
    <xf numFmtId="0" fontId="14" fillId="0" borderId="1" xfId="0" applyFont="1" applyFill="1" applyBorder="1" applyAlignment="1">
      <alignment horizontal="center" vertical="center"/>
    </xf>
    <xf numFmtId="0" fontId="14" fillId="3" borderId="1" xfId="0" applyFont="1" applyFill="1" applyBorder="1"/>
    <xf numFmtId="0" fontId="14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" fontId="0" fillId="3" borderId="1" xfId="0" applyNumberFormat="1" applyFont="1" applyFill="1" applyBorder="1" applyAlignment="1">
      <alignment horizontal="center" vertical="center"/>
    </xf>
    <xf numFmtId="1" fontId="14" fillId="3" borderId="1" xfId="0" applyNumberFormat="1" applyFont="1" applyFill="1" applyBorder="1" applyAlignment="1">
      <alignment horizontal="center" vertical="center"/>
    </xf>
    <xf numFmtId="0" fontId="14" fillId="9" borderId="1" xfId="0" applyFont="1" applyFill="1" applyBorder="1"/>
    <xf numFmtId="164" fontId="14" fillId="9" borderId="1" xfId="0" applyNumberFormat="1" applyFont="1" applyFill="1" applyBorder="1" applyAlignment="1">
      <alignment horizontal="center"/>
    </xf>
    <xf numFmtId="0" fontId="0" fillId="3" borderId="1" xfId="0" applyFont="1" applyFill="1" applyBorder="1"/>
    <xf numFmtId="2" fontId="14" fillId="9" borderId="1" xfId="0" applyNumberFormat="1" applyFont="1" applyFill="1" applyBorder="1" applyAlignment="1">
      <alignment horizontal="center"/>
    </xf>
    <xf numFmtId="1" fontId="14" fillId="9" borderId="1" xfId="0" applyNumberFormat="1" applyFont="1" applyFill="1" applyBorder="1" applyAlignment="1">
      <alignment horizontal="center"/>
    </xf>
    <xf numFmtId="0" fontId="68" fillId="0" borderId="40" xfId="0" applyFont="1" applyFill="1" applyBorder="1" applyAlignment="1">
      <alignment horizontal="left"/>
    </xf>
    <xf numFmtId="1" fontId="68" fillId="0" borderId="23" xfId="0" applyNumberFormat="1" applyFont="1" applyFill="1" applyBorder="1" applyAlignment="1">
      <alignment horizontal="center"/>
    </xf>
    <xf numFmtId="0" fontId="68" fillId="0" borderId="60" xfId="0" applyFont="1" applyFill="1" applyBorder="1" applyAlignment="1">
      <alignment horizontal="left"/>
    </xf>
    <xf numFmtId="0" fontId="68" fillId="0" borderId="23" xfId="0" applyFont="1" applyFill="1" applyBorder="1" applyAlignment="1">
      <alignment horizontal="center"/>
    </xf>
    <xf numFmtId="1" fontId="0" fillId="18" borderId="1" xfId="0" applyNumberFormat="1" applyFont="1" applyFill="1" applyBorder="1" applyAlignment="1">
      <alignment horizontal="center"/>
    </xf>
    <xf numFmtId="1" fontId="0" fillId="18" borderId="2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164" fontId="0" fillId="0" borderId="23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4" fillId="10" borderId="11" xfId="0" applyFont="1" applyFill="1" applyBorder="1" applyAlignment="1" applyProtection="1">
      <alignment horizontal="left"/>
    </xf>
    <xf numFmtId="1" fontId="38" fillId="3" borderId="58" xfId="0" applyNumberFormat="1" applyFont="1" applyFill="1" applyBorder="1" applyAlignment="1" applyProtection="1">
      <alignment horizontal="center"/>
    </xf>
    <xf numFmtId="1" fontId="38" fillId="3" borderId="29" xfId="0" applyNumberFormat="1" applyFont="1" applyFill="1" applyBorder="1" applyAlignment="1" applyProtection="1">
      <alignment horizontal="center"/>
    </xf>
    <xf numFmtId="0" fontId="12" fillId="3" borderId="30" xfId="0" applyFont="1" applyFill="1" applyBorder="1" applyAlignment="1" applyProtection="1">
      <alignment horizontal="center"/>
    </xf>
    <xf numFmtId="2" fontId="38" fillId="3" borderId="30" xfId="0" applyNumberFormat="1" applyFont="1" applyFill="1" applyBorder="1" applyAlignment="1" applyProtection="1">
      <alignment horizontal="center"/>
    </xf>
    <xf numFmtId="0" fontId="0" fillId="13" borderId="34" xfId="0" applyFont="1" applyFill="1" applyBorder="1" applyAlignment="1" applyProtection="1">
      <alignment horizontal="center" vertical="center" wrapText="1"/>
    </xf>
    <xf numFmtId="0" fontId="13" fillId="3" borderId="30" xfId="0" applyFont="1" applyFill="1" applyBorder="1" applyAlignment="1" applyProtection="1">
      <alignment horizontal="center"/>
    </xf>
    <xf numFmtId="0" fontId="14" fillId="6" borderId="30" xfId="0" applyFont="1" applyFill="1" applyBorder="1" applyAlignment="1" applyProtection="1">
      <alignment horizontal="center"/>
    </xf>
    <xf numFmtId="0" fontId="14" fillId="8" borderId="30" xfId="0" applyFont="1" applyFill="1" applyBorder="1" applyAlignment="1" applyProtection="1">
      <alignment horizontal="center"/>
    </xf>
    <xf numFmtId="0" fontId="0" fillId="2" borderId="30" xfId="0" applyFont="1" applyFill="1" applyBorder="1" applyAlignment="1" applyProtection="1">
      <alignment horizontal="center"/>
    </xf>
    <xf numFmtId="0" fontId="15" fillId="2" borderId="30" xfId="0" applyFont="1" applyFill="1" applyBorder="1" applyAlignment="1" applyProtection="1">
      <alignment horizontal="center" vertical="center"/>
    </xf>
    <xf numFmtId="0" fontId="15" fillId="2" borderId="32" xfId="0" applyFont="1" applyFill="1" applyBorder="1" applyAlignment="1">
      <alignment horizontal="center" vertical="center"/>
    </xf>
    <xf numFmtId="0" fontId="0" fillId="2" borderId="34" xfId="0" applyFont="1" applyFill="1" applyBorder="1" applyAlignment="1" applyProtection="1">
      <alignment horizontal="center" vertical="center"/>
    </xf>
    <xf numFmtId="0" fontId="0" fillId="2" borderId="34" xfId="0" applyFont="1" applyFill="1" applyBorder="1" applyAlignment="1" applyProtection="1">
      <alignment horizontal="center" vertical="center" wrapText="1"/>
    </xf>
    <xf numFmtId="0" fontId="11" fillId="2" borderId="29" xfId="0" applyFont="1" applyFill="1" applyBorder="1" applyAlignment="1" applyProtection="1">
      <alignment horizontal="center"/>
    </xf>
    <xf numFmtId="167" fontId="12" fillId="2" borderId="30" xfId="0" applyNumberFormat="1" applyFont="1" applyFill="1" applyBorder="1" applyAlignment="1" applyProtection="1">
      <alignment horizontal="center"/>
    </xf>
    <xf numFmtId="0" fontId="14" fillId="2" borderId="30" xfId="0" applyFont="1" applyFill="1" applyBorder="1" applyAlignment="1" applyProtection="1">
      <alignment horizontal="center"/>
    </xf>
    <xf numFmtId="0" fontId="13" fillId="2" borderId="30" xfId="0" applyFont="1" applyFill="1" applyBorder="1" applyAlignment="1" applyProtection="1">
      <alignment horizontal="center"/>
    </xf>
    <xf numFmtId="2" fontId="14" fillId="2" borderId="30" xfId="0" applyNumberFormat="1" applyFont="1" applyFill="1" applyBorder="1" applyAlignment="1" applyProtection="1">
      <alignment horizontal="center"/>
    </xf>
    <xf numFmtId="0" fontId="13" fillId="2" borderId="30" xfId="0" applyFont="1" applyFill="1" applyBorder="1" applyAlignment="1">
      <alignment horizontal="center"/>
    </xf>
    <xf numFmtId="2" fontId="12" fillId="2" borderId="30" xfId="0" applyNumberFormat="1" applyFont="1" applyFill="1" applyBorder="1" applyAlignment="1" applyProtection="1">
      <alignment horizontal="center"/>
    </xf>
    <xf numFmtId="1" fontId="13" fillId="2" borderId="30" xfId="0" applyNumberFormat="1" applyFont="1" applyFill="1" applyBorder="1" applyAlignment="1" applyProtection="1">
      <alignment horizontal="center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2" fillId="2" borderId="30" xfId="0" applyFont="1" applyFill="1" applyBorder="1" applyAlignment="1" applyProtection="1">
      <alignment horizontal="center"/>
    </xf>
    <xf numFmtId="2" fontId="0" fillId="2" borderId="30" xfId="0" quotePrefix="1" applyNumberFormat="1" applyFont="1" applyFill="1" applyBorder="1" applyAlignment="1" applyProtection="1">
      <alignment horizontal="center"/>
    </xf>
    <xf numFmtId="164" fontId="0" fillId="2" borderId="30" xfId="0" applyNumberFormat="1" applyFont="1" applyFill="1" applyBorder="1" applyAlignment="1" applyProtection="1">
      <alignment horizontal="center"/>
    </xf>
    <xf numFmtId="164" fontId="14" fillId="2" borderId="30" xfId="0" quotePrefix="1" applyNumberFormat="1" applyFont="1" applyFill="1" applyBorder="1" applyAlignment="1" applyProtection="1">
      <alignment horizontal="center"/>
    </xf>
    <xf numFmtId="164" fontId="14" fillId="2" borderId="30" xfId="0" applyNumberFormat="1" applyFont="1" applyFill="1" applyBorder="1" applyAlignment="1" applyProtection="1">
      <alignment horizontal="center"/>
    </xf>
    <xf numFmtId="1" fontId="14" fillId="2" borderId="30" xfId="0" applyNumberFormat="1" applyFont="1" applyFill="1" applyBorder="1" applyAlignment="1" applyProtection="1">
      <alignment horizontal="center"/>
    </xf>
    <xf numFmtId="0" fontId="19" fillId="2" borderId="30" xfId="0" applyFont="1" applyFill="1" applyBorder="1" applyAlignment="1">
      <alignment horizontal="center"/>
    </xf>
    <xf numFmtId="2" fontId="19" fillId="2" borderId="2" xfId="0" applyNumberFormat="1" applyFont="1" applyFill="1" applyBorder="1" applyAlignment="1">
      <alignment horizontal="center"/>
    </xf>
    <xf numFmtId="1" fontId="19" fillId="2" borderId="30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1" fontId="0" fillId="2" borderId="32" xfId="0" quotePrefix="1" applyNumberFormat="1" applyFont="1" applyFill="1" applyBorder="1" applyAlignment="1" applyProtection="1">
      <alignment horizontal="center"/>
    </xf>
    <xf numFmtId="1" fontId="14" fillId="2" borderId="20" xfId="0" applyNumberFormat="1" applyFont="1" applyFill="1" applyBorder="1" applyAlignment="1">
      <alignment horizontal="center"/>
    </xf>
    <xf numFmtId="0" fontId="0" fillId="6" borderId="30" xfId="0" applyFont="1" applyFill="1" applyBorder="1" applyAlignment="1" applyProtection="1">
      <alignment horizontal="center"/>
    </xf>
    <xf numFmtId="0" fontId="15" fillId="6" borderId="30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>
      <alignment horizontal="center" vertical="center"/>
    </xf>
    <xf numFmtId="0" fontId="0" fillId="6" borderId="34" xfId="0" applyFont="1" applyFill="1" applyBorder="1" applyAlignment="1" applyProtection="1">
      <alignment horizontal="center" vertical="center"/>
    </xf>
    <xf numFmtId="0" fontId="0" fillId="6" borderId="34" xfId="0" applyFont="1" applyFill="1" applyBorder="1" applyAlignment="1" applyProtection="1">
      <alignment horizontal="center" vertical="center" wrapText="1"/>
    </xf>
    <xf numFmtId="0" fontId="0" fillId="6" borderId="34" xfId="0" applyFont="1" applyFill="1" applyBorder="1" applyAlignment="1" applyProtection="1">
      <alignment horizontal="center" wrapText="1"/>
    </xf>
    <xf numFmtId="0" fontId="11" fillId="6" borderId="29" xfId="0" applyFont="1" applyFill="1" applyBorder="1" applyAlignment="1" applyProtection="1">
      <alignment horizontal="center"/>
    </xf>
    <xf numFmtId="167" fontId="12" fillId="6" borderId="30" xfId="0" applyNumberFormat="1" applyFont="1" applyFill="1" applyBorder="1" applyAlignment="1" applyProtection="1">
      <alignment horizontal="center"/>
    </xf>
    <xf numFmtId="0" fontId="13" fillId="6" borderId="30" xfId="0" applyFont="1" applyFill="1" applyBorder="1" applyAlignment="1" applyProtection="1">
      <alignment horizontal="center"/>
    </xf>
    <xf numFmtId="2" fontId="14" fillId="6" borderId="30" xfId="0" applyNumberFormat="1" applyFont="1" applyFill="1" applyBorder="1" applyAlignment="1" applyProtection="1">
      <alignment horizontal="center"/>
    </xf>
    <xf numFmtId="0" fontId="13" fillId="6" borderId="30" xfId="0" applyFont="1" applyFill="1" applyBorder="1" applyAlignment="1">
      <alignment horizontal="center"/>
    </xf>
    <xf numFmtId="2" fontId="12" fillId="6" borderId="30" xfId="0" applyNumberFormat="1" applyFont="1" applyFill="1" applyBorder="1" applyAlignment="1" applyProtection="1">
      <alignment horizontal="center"/>
    </xf>
    <xf numFmtId="1" fontId="13" fillId="6" borderId="30" xfId="0" applyNumberFormat="1" applyFont="1" applyFill="1" applyBorder="1" applyAlignment="1" applyProtection="1">
      <alignment horizontal="center"/>
    </xf>
    <xf numFmtId="0" fontId="14" fillId="6" borderId="30" xfId="0" applyFont="1" applyFill="1" applyBorder="1" applyAlignment="1">
      <alignment horizontal="center"/>
    </xf>
    <xf numFmtId="2" fontId="14" fillId="6" borderId="30" xfId="0" applyNumberFormat="1" applyFont="1" applyFill="1" applyBorder="1" applyAlignment="1">
      <alignment horizontal="center"/>
    </xf>
    <xf numFmtId="0" fontId="12" fillId="6" borderId="30" xfId="0" applyFont="1" applyFill="1" applyBorder="1" applyAlignment="1" applyProtection="1">
      <alignment horizontal="center"/>
    </xf>
    <xf numFmtId="2" fontId="0" fillId="6" borderId="30" xfId="0" quotePrefix="1" applyNumberFormat="1" applyFont="1" applyFill="1" applyBorder="1" applyAlignment="1" applyProtection="1">
      <alignment horizontal="center"/>
    </xf>
    <xf numFmtId="164" fontId="0" fillId="6" borderId="30" xfId="0" applyNumberFormat="1" applyFont="1" applyFill="1" applyBorder="1" applyAlignment="1" applyProtection="1">
      <alignment horizontal="center"/>
    </xf>
    <xf numFmtId="164" fontId="14" fillId="6" borderId="30" xfId="0" quotePrefix="1" applyNumberFormat="1" applyFont="1" applyFill="1" applyBorder="1" applyAlignment="1" applyProtection="1">
      <alignment horizontal="center"/>
    </xf>
    <xf numFmtId="164" fontId="14" fillId="6" borderId="30" xfId="0" applyNumberFormat="1" applyFont="1" applyFill="1" applyBorder="1" applyAlignment="1" applyProtection="1">
      <alignment horizontal="center"/>
    </xf>
    <xf numFmtId="1" fontId="14" fillId="6" borderId="30" xfId="0" applyNumberFormat="1" applyFont="1" applyFill="1" applyBorder="1" applyAlignment="1" applyProtection="1">
      <alignment horizontal="center"/>
    </xf>
    <xf numFmtId="0" fontId="19" fillId="6" borderId="30" xfId="0" applyFont="1" applyFill="1" applyBorder="1" applyAlignment="1">
      <alignment horizontal="center"/>
    </xf>
    <xf numFmtId="2" fontId="19" fillId="6" borderId="2" xfId="0" applyNumberFormat="1" applyFont="1" applyFill="1" applyBorder="1" applyAlignment="1">
      <alignment horizontal="center"/>
    </xf>
    <xf numFmtId="1" fontId="19" fillId="6" borderId="30" xfId="0" applyNumberFormat="1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/>
    </xf>
    <xf numFmtId="1" fontId="0" fillId="6" borderId="32" xfId="0" quotePrefix="1" applyNumberFormat="1" applyFont="1" applyFill="1" applyBorder="1" applyAlignment="1" applyProtection="1">
      <alignment horizontal="center"/>
    </xf>
    <xf numFmtId="1" fontId="14" fillId="6" borderId="20" xfId="0" applyNumberFormat="1" applyFont="1" applyFill="1" applyBorder="1" applyAlignment="1">
      <alignment horizontal="center"/>
    </xf>
    <xf numFmtId="1" fontId="0" fillId="9" borderId="32" xfId="0" quotePrefix="1" applyNumberFormat="1" applyFont="1" applyFill="1" applyBorder="1" applyAlignment="1" applyProtection="1">
      <alignment horizontal="center"/>
    </xf>
    <xf numFmtId="0" fontId="0" fillId="8" borderId="30" xfId="0" applyFont="1" applyFill="1" applyBorder="1" applyAlignment="1" applyProtection="1">
      <alignment horizontal="center"/>
    </xf>
    <xf numFmtId="0" fontId="15" fillId="8" borderId="30" xfId="0" applyFont="1" applyFill="1" applyBorder="1" applyAlignment="1" applyProtection="1">
      <alignment horizontal="center" vertical="center"/>
    </xf>
    <xf numFmtId="0" fontId="15" fillId="8" borderId="32" xfId="0" applyFont="1" applyFill="1" applyBorder="1" applyAlignment="1">
      <alignment horizontal="center" vertical="center"/>
    </xf>
    <xf numFmtId="0" fontId="0" fillId="8" borderId="34" xfId="0" applyFont="1" applyFill="1" applyBorder="1" applyAlignment="1" applyProtection="1">
      <alignment horizontal="center" vertical="center" wrapText="1"/>
    </xf>
    <xf numFmtId="0" fontId="0" fillId="8" borderId="34" xfId="0" applyFont="1" applyFill="1" applyBorder="1" applyAlignment="1" applyProtection="1">
      <alignment horizontal="center" wrapText="1"/>
    </xf>
    <xf numFmtId="0" fontId="11" fillId="8" borderId="29" xfId="0" applyFont="1" applyFill="1" applyBorder="1" applyAlignment="1" applyProtection="1">
      <alignment horizontal="center"/>
    </xf>
    <xf numFmtId="167" fontId="12" fillId="8" borderId="30" xfId="0" applyNumberFormat="1" applyFont="1" applyFill="1" applyBorder="1" applyAlignment="1" applyProtection="1">
      <alignment horizontal="center"/>
    </xf>
    <xf numFmtId="0" fontId="13" fillId="8" borderId="30" xfId="0" applyFont="1" applyFill="1" applyBorder="1" applyAlignment="1" applyProtection="1">
      <alignment horizontal="center"/>
    </xf>
    <xf numFmtId="2" fontId="14" fillId="8" borderId="30" xfId="0" applyNumberFormat="1" applyFont="1" applyFill="1" applyBorder="1" applyAlignment="1" applyProtection="1">
      <alignment horizontal="center"/>
    </xf>
    <xf numFmtId="0" fontId="13" fillId="8" borderId="30" xfId="0" applyFont="1" applyFill="1" applyBorder="1" applyAlignment="1">
      <alignment horizontal="center"/>
    </xf>
    <xf numFmtId="2" fontId="12" fillId="8" borderId="30" xfId="0" applyNumberFormat="1" applyFont="1" applyFill="1" applyBorder="1" applyAlignment="1" applyProtection="1">
      <alignment horizontal="center"/>
    </xf>
    <xf numFmtId="0" fontId="14" fillId="8" borderId="30" xfId="0" applyFont="1" applyFill="1" applyBorder="1" applyAlignment="1">
      <alignment horizontal="center"/>
    </xf>
    <xf numFmtId="2" fontId="14" fillId="8" borderId="30" xfId="0" applyNumberFormat="1" applyFont="1" applyFill="1" applyBorder="1" applyAlignment="1">
      <alignment horizontal="center"/>
    </xf>
    <xf numFmtId="0" fontId="12" fillId="8" borderId="30" xfId="0" applyFont="1" applyFill="1" applyBorder="1" applyAlignment="1" applyProtection="1">
      <alignment horizontal="center"/>
    </xf>
    <xf numFmtId="2" fontId="0" fillId="8" borderId="30" xfId="0" quotePrefix="1" applyNumberFormat="1" applyFont="1" applyFill="1" applyBorder="1" applyAlignment="1" applyProtection="1">
      <alignment horizontal="center"/>
    </xf>
    <xf numFmtId="164" fontId="0" fillId="8" borderId="30" xfId="0" applyNumberFormat="1" applyFont="1" applyFill="1" applyBorder="1" applyAlignment="1" applyProtection="1">
      <alignment horizontal="center"/>
    </xf>
    <xf numFmtId="164" fontId="14" fillId="8" borderId="30" xfId="0" quotePrefix="1" applyNumberFormat="1" applyFont="1" applyFill="1" applyBorder="1" applyAlignment="1" applyProtection="1">
      <alignment horizontal="center"/>
    </xf>
    <xf numFmtId="164" fontId="14" fillId="8" borderId="30" xfId="0" applyNumberFormat="1" applyFont="1" applyFill="1" applyBorder="1" applyAlignment="1" applyProtection="1">
      <alignment horizontal="center"/>
    </xf>
    <xf numFmtId="1" fontId="14" fillId="8" borderId="30" xfId="0" applyNumberFormat="1" applyFont="1" applyFill="1" applyBorder="1" applyAlignment="1" applyProtection="1">
      <alignment horizontal="center"/>
    </xf>
    <xf numFmtId="0" fontId="19" fillId="8" borderId="30" xfId="0" applyFont="1" applyFill="1" applyBorder="1" applyAlignment="1">
      <alignment horizontal="center"/>
    </xf>
    <xf numFmtId="1" fontId="19" fillId="8" borderId="30" xfId="0" applyNumberFormat="1" applyFont="1" applyFill="1" applyBorder="1" applyAlignment="1">
      <alignment horizontal="center"/>
    </xf>
    <xf numFmtId="0" fontId="14" fillId="8" borderId="1" xfId="0" applyFont="1" applyFill="1" applyBorder="1" applyAlignment="1">
      <alignment horizontal="center"/>
    </xf>
    <xf numFmtId="1" fontId="0" fillId="8" borderId="32" xfId="0" quotePrefix="1" applyNumberFormat="1" applyFont="1" applyFill="1" applyBorder="1" applyAlignment="1" applyProtection="1">
      <alignment horizontal="center"/>
    </xf>
    <xf numFmtId="1" fontId="0" fillId="8" borderId="33" xfId="0" quotePrefix="1" applyNumberFormat="1" applyFont="1" applyFill="1" applyBorder="1" applyAlignment="1" applyProtection="1">
      <alignment horizontal="center"/>
    </xf>
    <xf numFmtId="1" fontId="14" fillId="8" borderId="20" xfId="0" applyNumberFormat="1" applyFont="1" applyFill="1" applyBorder="1" applyAlignment="1">
      <alignment horizontal="center"/>
    </xf>
    <xf numFmtId="0" fontId="0" fillId="19" borderId="34" xfId="0" applyFont="1" applyFill="1" applyBorder="1" applyAlignment="1" applyProtection="1">
      <alignment horizontal="center" vertical="center" wrapText="1"/>
    </xf>
    <xf numFmtId="1" fontId="0" fillId="19" borderId="32" xfId="0" quotePrefix="1" applyNumberFormat="1" applyFont="1" applyFill="1" applyBorder="1" applyAlignment="1" applyProtection="1">
      <alignment horizontal="center"/>
    </xf>
    <xf numFmtId="0" fontId="0" fillId="31" borderId="30" xfId="0" applyFont="1" applyFill="1" applyBorder="1" applyAlignment="1" applyProtection="1">
      <alignment horizontal="center"/>
    </xf>
    <xf numFmtId="0" fontId="15" fillId="31" borderId="30" xfId="0" applyFont="1" applyFill="1" applyBorder="1" applyAlignment="1" applyProtection="1">
      <alignment horizontal="center" vertical="center"/>
    </xf>
    <xf numFmtId="0" fontId="15" fillId="31" borderId="32" xfId="0" applyFont="1" applyFill="1" applyBorder="1" applyAlignment="1">
      <alignment horizontal="center" vertical="center"/>
    </xf>
    <xf numFmtId="0" fontId="0" fillId="31" borderId="34" xfId="0" applyFont="1" applyFill="1" applyBorder="1" applyAlignment="1" applyProtection="1">
      <alignment horizontal="center" vertical="center" wrapText="1"/>
    </xf>
    <xf numFmtId="0" fontId="0" fillId="31" borderId="34" xfId="0" applyFont="1" applyFill="1" applyBorder="1" applyAlignment="1" applyProtection="1">
      <alignment horizontal="center" wrapText="1"/>
    </xf>
    <xf numFmtId="0" fontId="11" fillId="31" borderId="29" xfId="0" applyFont="1" applyFill="1" applyBorder="1" applyAlignment="1" applyProtection="1">
      <alignment horizontal="center"/>
    </xf>
    <xf numFmtId="167" fontId="12" fillId="31" borderId="30" xfId="0" applyNumberFormat="1" applyFont="1" applyFill="1" applyBorder="1" applyAlignment="1" applyProtection="1">
      <alignment horizontal="center"/>
    </xf>
    <xf numFmtId="0" fontId="14" fillId="31" borderId="30" xfId="0" applyFont="1" applyFill="1" applyBorder="1" applyAlignment="1" applyProtection="1">
      <alignment horizontal="center"/>
    </xf>
    <xf numFmtId="0" fontId="13" fillId="31" borderId="30" xfId="0" applyFont="1" applyFill="1" applyBorder="1" applyAlignment="1" applyProtection="1">
      <alignment horizontal="center"/>
    </xf>
    <xf numFmtId="2" fontId="14" fillId="31" borderId="30" xfId="0" applyNumberFormat="1" applyFont="1" applyFill="1" applyBorder="1" applyAlignment="1" applyProtection="1">
      <alignment horizontal="center"/>
    </xf>
    <xf numFmtId="0" fontId="13" fillId="31" borderId="30" xfId="0" applyFont="1" applyFill="1" applyBorder="1" applyAlignment="1">
      <alignment horizontal="center"/>
    </xf>
    <xf numFmtId="2" fontId="12" fillId="31" borderId="30" xfId="0" applyNumberFormat="1" applyFont="1" applyFill="1" applyBorder="1" applyAlignment="1" applyProtection="1">
      <alignment horizontal="center"/>
    </xf>
    <xf numFmtId="0" fontId="14" fillId="31" borderId="30" xfId="0" applyFont="1" applyFill="1" applyBorder="1" applyAlignment="1">
      <alignment horizontal="center"/>
    </xf>
    <xf numFmtId="2" fontId="14" fillId="31" borderId="30" xfId="0" applyNumberFormat="1" applyFont="1" applyFill="1" applyBorder="1" applyAlignment="1">
      <alignment horizontal="center"/>
    </xf>
    <xf numFmtId="0" fontId="12" fillId="31" borderId="30" xfId="0" applyFont="1" applyFill="1" applyBorder="1" applyAlignment="1" applyProtection="1">
      <alignment horizontal="center"/>
    </xf>
    <xf numFmtId="2" fontId="0" fillId="31" borderId="30" xfId="0" quotePrefix="1" applyNumberFormat="1" applyFont="1" applyFill="1" applyBorder="1" applyAlignment="1" applyProtection="1">
      <alignment horizontal="center"/>
    </xf>
    <xf numFmtId="164" fontId="0" fillId="31" borderId="30" xfId="0" applyNumberFormat="1" applyFont="1" applyFill="1" applyBorder="1" applyAlignment="1" applyProtection="1">
      <alignment horizontal="center"/>
    </xf>
    <xf numFmtId="164" fontId="14" fillId="31" borderId="30" xfId="0" quotePrefix="1" applyNumberFormat="1" applyFont="1" applyFill="1" applyBorder="1" applyAlignment="1" applyProtection="1">
      <alignment horizontal="center"/>
    </xf>
    <xf numFmtId="164" fontId="14" fillId="31" borderId="30" xfId="0" applyNumberFormat="1" applyFont="1" applyFill="1" applyBorder="1" applyAlignment="1" applyProtection="1">
      <alignment horizontal="center"/>
    </xf>
    <xf numFmtId="1" fontId="14" fillId="31" borderId="30" xfId="0" applyNumberFormat="1" applyFont="1" applyFill="1" applyBorder="1" applyAlignment="1" applyProtection="1">
      <alignment horizontal="center"/>
    </xf>
    <xf numFmtId="0" fontId="19" fillId="31" borderId="30" xfId="0" applyFont="1" applyFill="1" applyBorder="1" applyAlignment="1">
      <alignment horizontal="center"/>
    </xf>
    <xf numFmtId="1" fontId="19" fillId="31" borderId="30" xfId="0" applyNumberFormat="1" applyFont="1" applyFill="1" applyBorder="1" applyAlignment="1">
      <alignment horizontal="center"/>
    </xf>
    <xf numFmtId="0" fontId="14" fillId="31" borderId="1" xfId="0" applyFont="1" applyFill="1" applyBorder="1" applyAlignment="1">
      <alignment horizontal="center"/>
    </xf>
    <xf numFmtId="1" fontId="0" fillId="31" borderId="32" xfId="0" quotePrefix="1" applyNumberFormat="1" applyFont="1" applyFill="1" applyBorder="1" applyAlignment="1" applyProtection="1">
      <alignment horizontal="center"/>
    </xf>
    <xf numFmtId="1" fontId="0" fillId="31" borderId="33" xfId="0" quotePrefix="1" applyNumberFormat="1" applyFont="1" applyFill="1" applyBorder="1" applyAlignment="1" applyProtection="1">
      <alignment horizontal="center"/>
    </xf>
    <xf numFmtId="1" fontId="14" fillId="31" borderId="20" xfId="0" applyNumberFormat="1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11" borderId="36" xfId="0" applyFill="1" applyBorder="1" applyAlignment="1"/>
    <xf numFmtId="0" fontId="0" fillId="11" borderId="38" xfId="0" applyFill="1" applyBorder="1" applyAlignment="1"/>
    <xf numFmtId="0" fontId="0" fillId="11" borderId="37" xfId="0" applyFill="1" applyBorder="1" applyAlignment="1"/>
    <xf numFmtId="0" fontId="0" fillId="6" borderId="57" xfId="0" applyFont="1" applyFill="1" applyBorder="1" applyAlignment="1">
      <alignment horizontal="left"/>
    </xf>
    <xf numFmtId="0" fontId="0" fillId="6" borderId="37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/>
    </xf>
    <xf numFmtId="0" fontId="0" fillId="6" borderId="56" xfId="0" applyFont="1" applyFill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61" xfId="0" applyFont="1" applyFill="1" applyBorder="1" applyAlignment="1">
      <alignment horizontal="right"/>
    </xf>
    <xf numFmtId="0" fontId="0" fillId="0" borderId="41" xfId="0" applyFont="1" applyFill="1" applyBorder="1" applyAlignment="1">
      <alignment horizontal="right"/>
    </xf>
    <xf numFmtId="0" fontId="0" fillId="0" borderId="60" xfId="0" applyFont="1" applyBorder="1" applyAlignment="1">
      <alignment horizontal="center"/>
    </xf>
    <xf numFmtId="0" fontId="0" fillId="6" borderId="12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center" vertical="center"/>
    </xf>
    <xf numFmtId="0" fontId="0" fillId="6" borderId="40" xfId="0" applyFont="1" applyFill="1" applyBorder="1" applyAlignment="1">
      <alignment horizontal="center"/>
    </xf>
    <xf numFmtId="164" fontId="0" fillId="6" borderId="1" xfId="0" applyNumberFormat="1" applyFont="1" applyFill="1" applyBorder="1" applyAlignment="1">
      <alignment horizontal="center"/>
    </xf>
    <xf numFmtId="0" fontId="0" fillId="0" borderId="58" xfId="0" applyFont="1" applyFill="1" applyBorder="1" applyAlignment="1">
      <alignment horizontal="left"/>
    </xf>
    <xf numFmtId="0" fontId="0" fillId="0" borderId="46" xfId="0" applyFont="1" applyFill="1" applyBorder="1" applyAlignment="1">
      <alignment horizontal="left"/>
    </xf>
    <xf numFmtId="0" fontId="0" fillId="0" borderId="46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left"/>
    </xf>
    <xf numFmtId="0" fontId="0" fillId="0" borderId="23" xfId="0" applyFont="1" applyFill="1" applyBorder="1" applyAlignment="1">
      <alignment horizontal="left"/>
    </xf>
    <xf numFmtId="0" fontId="0" fillId="0" borderId="23" xfId="0" applyFont="1" applyFill="1" applyBorder="1" applyAlignment="1">
      <alignment horizontal="center" vertical="center"/>
    </xf>
    <xf numFmtId="0" fontId="0" fillId="0" borderId="47" xfId="0" applyFont="1" applyFill="1" applyBorder="1" applyAlignment="1">
      <alignment horizontal="left"/>
    </xf>
    <xf numFmtId="0" fontId="0" fillId="0" borderId="26" xfId="0" applyFont="1" applyFill="1" applyBorder="1" applyAlignment="1">
      <alignment horizontal="left"/>
    </xf>
    <xf numFmtId="0" fontId="0" fillId="0" borderId="26" xfId="0" applyFont="1" applyFill="1" applyBorder="1" applyAlignment="1">
      <alignment horizontal="center" vertical="center"/>
    </xf>
    <xf numFmtId="0" fontId="0" fillId="6" borderId="21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 vertical="center"/>
    </xf>
    <xf numFmtId="1" fontId="0" fillId="13" borderId="1" xfId="0" applyNumberFormat="1" applyFont="1" applyFill="1" applyBorder="1" applyAlignment="1">
      <alignment horizontal="center"/>
    </xf>
    <xf numFmtId="1" fontId="30" fillId="0" borderId="1" xfId="0" applyNumberFormat="1" applyFont="1" applyBorder="1" applyAlignment="1">
      <alignment horizontal="center"/>
    </xf>
    <xf numFmtId="0" fontId="31" fillId="4" borderId="3" xfId="0" applyFont="1" applyFill="1" applyBorder="1"/>
    <xf numFmtId="0" fontId="31" fillId="4" borderId="3" xfId="0" applyFont="1" applyFill="1" applyBorder="1" applyAlignment="1">
      <alignment horizontal="left"/>
    </xf>
    <xf numFmtId="1" fontId="31" fillId="0" borderId="12" xfId="0" applyNumberFormat="1" applyFont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1" fontId="0" fillId="0" borderId="41" xfId="0" applyNumberFormat="1" applyFont="1" applyBorder="1" applyAlignment="1">
      <alignment horizontal="center"/>
    </xf>
    <xf numFmtId="1" fontId="31" fillId="0" borderId="1" xfId="0" applyNumberFormat="1" applyFont="1" applyFill="1" applyBorder="1" applyAlignment="1">
      <alignment horizontal="center"/>
    </xf>
    <xf numFmtId="0" fontId="0" fillId="0" borderId="45" xfId="0" applyFont="1" applyFill="1" applyBorder="1" applyAlignment="1">
      <alignment horizontal="left"/>
    </xf>
    <xf numFmtId="0" fontId="0" fillId="0" borderId="25" xfId="0" applyFont="1" applyFill="1" applyBorder="1" applyAlignment="1">
      <alignment horizontal="left"/>
    </xf>
    <xf numFmtId="0" fontId="0" fillId="0" borderId="59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1" fontId="0" fillId="4" borderId="2" xfId="0" applyNumberFormat="1" applyFont="1" applyFill="1" applyBorder="1" applyAlignment="1">
      <alignment horizontal="center"/>
    </xf>
    <xf numFmtId="0" fontId="0" fillId="4" borderId="40" xfId="0" applyFont="1" applyFill="1" applyBorder="1"/>
    <xf numFmtId="0" fontId="0" fillId="0" borderId="60" xfId="0" applyFont="1" applyBorder="1"/>
    <xf numFmtId="0" fontId="0" fillId="0" borderId="9" xfId="0" applyFont="1" applyBorder="1"/>
    <xf numFmtId="1" fontId="0" fillId="0" borderId="46" xfId="0" applyNumberFormat="1" applyFont="1" applyFill="1" applyBorder="1" applyAlignment="1">
      <alignment horizontal="center"/>
    </xf>
    <xf numFmtId="1" fontId="0" fillId="0" borderId="30" xfId="0" applyNumberFormat="1" applyFont="1" applyFill="1" applyBorder="1" applyAlignment="1">
      <alignment horizontal="center"/>
    </xf>
    <xf numFmtId="170" fontId="0" fillId="0" borderId="46" xfId="0" applyNumberFormat="1" applyFont="1" applyFill="1" applyBorder="1" applyAlignment="1">
      <alignment horizontal="center"/>
    </xf>
    <xf numFmtId="170" fontId="0" fillId="0" borderId="30" xfId="0" applyNumberFormat="1" applyFont="1" applyFill="1" applyBorder="1" applyAlignment="1">
      <alignment horizontal="center"/>
    </xf>
    <xf numFmtId="0" fontId="33" fillId="0" borderId="20" xfId="0" applyFont="1" applyFill="1" applyBorder="1" applyAlignment="1"/>
    <xf numFmtId="0" fontId="68" fillId="0" borderId="57" xfId="0" applyFont="1" applyFill="1" applyBorder="1" applyAlignment="1">
      <alignment horizontal="left"/>
    </xf>
    <xf numFmtId="0" fontId="33" fillId="0" borderId="20" xfId="0" applyFont="1" applyBorder="1" applyAlignment="1"/>
    <xf numFmtId="0" fontId="33" fillId="0" borderId="15" xfId="0" applyFont="1" applyBorder="1" applyAlignment="1"/>
    <xf numFmtId="0" fontId="0" fillId="0" borderId="61" xfId="0" applyFont="1" applyFill="1" applyBorder="1" applyAlignment="1">
      <alignment horizontal="left"/>
    </xf>
    <xf numFmtId="0" fontId="0" fillId="0" borderId="41" xfId="0" applyFont="1" applyFill="1" applyBorder="1" applyAlignment="1">
      <alignment horizontal="center"/>
    </xf>
    <xf numFmtId="1" fontId="0" fillId="0" borderId="23" xfId="0" applyNumberFormat="1" applyFont="1" applyFill="1" applyBorder="1" applyAlignment="1">
      <alignment horizontal="center"/>
    </xf>
    <xf numFmtId="0" fontId="33" fillId="0" borderId="8" xfId="0" applyFont="1" applyBorder="1" applyAlignment="1"/>
    <xf numFmtId="0" fontId="35" fillId="0" borderId="0" xfId="0" applyFont="1" applyBorder="1" applyAlignment="1"/>
    <xf numFmtId="0" fontId="0" fillId="4" borderId="23" xfId="0" applyFont="1" applyFill="1" applyBorder="1" applyAlignment="1">
      <alignment horizontal="center" vertical="center"/>
    </xf>
    <xf numFmtId="0" fontId="35" fillId="0" borderId="9" xfId="0" applyFont="1" applyBorder="1" applyAlignment="1"/>
    <xf numFmtId="0" fontId="33" fillId="0" borderId="19" xfId="0" applyFont="1" applyFill="1" applyBorder="1" applyAlignment="1"/>
    <xf numFmtId="0" fontId="35" fillId="0" borderId="22" xfId="0" applyFont="1" applyFill="1" applyBorder="1" applyAlignment="1"/>
    <xf numFmtId="0" fontId="0" fillId="4" borderId="2" xfId="0" applyFont="1" applyFill="1" applyBorder="1" applyAlignment="1">
      <alignment horizontal="center" vertical="center"/>
    </xf>
    <xf numFmtId="0" fontId="35" fillId="0" borderId="18" xfId="0" applyFont="1" applyFill="1" applyBorder="1" applyAlignment="1"/>
    <xf numFmtId="0" fontId="0" fillId="4" borderId="46" xfId="0" applyFont="1" applyFill="1" applyBorder="1" applyAlignment="1">
      <alignment horizontal="center" vertical="center"/>
    </xf>
    <xf numFmtId="0" fontId="13" fillId="0" borderId="40" xfId="0" applyFont="1" applyFill="1" applyBorder="1" applyAlignment="1">
      <alignment horizontal="left"/>
    </xf>
    <xf numFmtId="0" fontId="0" fillId="0" borderId="54" xfId="0" applyFont="1" applyFill="1" applyBorder="1" applyAlignment="1">
      <alignment horizontal="center"/>
    </xf>
    <xf numFmtId="0" fontId="0" fillId="4" borderId="26" xfId="0" applyFont="1" applyFill="1" applyBorder="1" applyAlignment="1">
      <alignment horizontal="center" vertical="center"/>
    </xf>
    <xf numFmtId="1" fontId="0" fillId="0" borderId="26" xfId="0" applyNumberFormat="1" applyFont="1" applyFill="1" applyBorder="1" applyAlignment="1">
      <alignment horizontal="center"/>
    </xf>
    <xf numFmtId="0" fontId="13" fillId="0" borderId="43" xfId="0" applyFont="1" applyFill="1" applyBorder="1"/>
    <xf numFmtId="0" fontId="33" fillId="0" borderId="15" xfId="0" applyFont="1" applyFill="1" applyBorder="1" applyAlignment="1"/>
    <xf numFmtId="0" fontId="33" fillId="0" borderId="35" xfId="0" applyFont="1" applyFill="1" applyBorder="1" applyAlignment="1"/>
    <xf numFmtId="0" fontId="68" fillId="0" borderId="45" xfId="0" applyFont="1" applyFill="1" applyBorder="1" applyAlignment="1">
      <alignment horizontal="left"/>
    </xf>
    <xf numFmtId="169" fontId="68" fillId="0" borderId="46" xfId="0" applyNumberFormat="1" applyFont="1" applyFill="1" applyBorder="1" applyAlignment="1">
      <alignment horizontal="center"/>
    </xf>
    <xf numFmtId="0" fontId="68" fillId="0" borderId="46" xfId="0" applyFont="1" applyFill="1" applyBorder="1" applyAlignment="1">
      <alignment horizontal="center"/>
    </xf>
    <xf numFmtId="1" fontId="68" fillId="0" borderId="46" xfId="0" applyNumberFormat="1" applyFont="1" applyFill="1" applyBorder="1" applyAlignment="1">
      <alignment horizontal="center"/>
    </xf>
    <xf numFmtId="0" fontId="68" fillId="0" borderId="39" xfId="0" applyFont="1" applyFill="1" applyBorder="1" applyAlignment="1">
      <alignment horizontal="left"/>
    </xf>
    <xf numFmtId="169" fontId="68" fillId="0" borderId="1" xfId="0" applyNumberFormat="1" applyFont="1" applyFill="1" applyBorder="1" applyAlignment="1">
      <alignment horizontal="center"/>
    </xf>
    <xf numFmtId="0" fontId="68" fillId="0" borderId="2" xfId="0" applyFont="1" applyFill="1" applyBorder="1" applyAlignment="1">
      <alignment horizontal="center"/>
    </xf>
    <xf numFmtId="0" fontId="68" fillId="0" borderId="47" xfId="0" applyFont="1" applyFill="1" applyBorder="1" applyAlignment="1">
      <alignment horizontal="left"/>
    </xf>
    <xf numFmtId="169" fontId="68" fillId="0" borderId="32" xfId="0" applyNumberFormat="1" applyFont="1" applyFill="1" applyBorder="1" applyAlignment="1">
      <alignment horizontal="center"/>
    </xf>
    <xf numFmtId="0" fontId="68" fillId="0" borderId="32" xfId="0" applyFont="1" applyFill="1" applyBorder="1" applyAlignment="1">
      <alignment horizontal="center"/>
    </xf>
    <xf numFmtId="1" fontId="68" fillId="0" borderId="26" xfId="0" applyNumberFormat="1" applyFont="1" applyFill="1" applyBorder="1" applyAlignment="1">
      <alignment horizontal="center"/>
    </xf>
    <xf numFmtId="0" fontId="68" fillId="0" borderId="33" xfId="0" applyFont="1" applyFill="1" applyBorder="1" applyAlignment="1">
      <alignment horizontal="left"/>
    </xf>
    <xf numFmtId="1" fontId="68" fillId="0" borderId="2" xfId="0" applyNumberFormat="1" applyFont="1" applyFill="1" applyBorder="1" applyAlignment="1">
      <alignment horizontal="center"/>
    </xf>
    <xf numFmtId="1" fontId="68" fillId="0" borderId="32" xfId="0" applyNumberFormat="1" applyFont="1" applyFill="1" applyBorder="1" applyAlignment="1">
      <alignment horizontal="center"/>
    </xf>
    <xf numFmtId="0" fontId="30" fillId="4" borderId="1" xfId="0" applyFont="1" applyFill="1" applyBorder="1" applyAlignment="1">
      <alignment horizontal="left" vertical="center" wrapText="1"/>
    </xf>
    <xf numFmtId="0" fontId="0" fillId="6" borderId="41" xfId="0" applyFont="1" applyFill="1" applyBorder="1" applyAlignment="1">
      <alignment horizontal="right"/>
    </xf>
    <xf numFmtId="0" fontId="0" fillId="6" borderId="23" xfId="0" applyFont="1" applyFill="1" applyBorder="1" applyAlignment="1">
      <alignment horizontal="center" vertical="center"/>
    </xf>
    <xf numFmtId="1" fontId="0" fillId="6" borderId="1" xfId="0" applyNumberFormat="1" applyFont="1" applyFill="1" applyBorder="1" applyAlignment="1">
      <alignment horizontal="center"/>
    </xf>
    <xf numFmtId="0" fontId="0" fillId="6" borderId="60" xfId="0" applyFont="1" applyFill="1" applyBorder="1" applyAlignment="1">
      <alignment horizontal="center"/>
    </xf>
    <xf numFmtId="0" fontId="0" fillId="15" borderId="3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0" fillId="5" borderId="61" xfId="0" applyFont="1" applyFill="1" applyBorder="1" applyAlignment="1">
      <alignment horizontal="right"/>
    </xf>
    <xf numFmtId="0" fontId="0" fillId="15" borderId="12" xfId="0" applyFont="1" applyFill="1" applyBorder="1" applyAlignment="1">
      <alignment horizontal="left"/>
    </xf>
    <xf numFmtId="0" fontId="0" fillId="15" borderId="1" xfId="0" applyFont="1" applyFill="1" applyBorder="1" applyAlignment="1">
      <alignment horizontal="center" vertical="center"/>
    </xf>
    <xf numFmtId="164" fontId="0" fillId="15" borderId="1" xfId="0" applyNumberFormat="1" applyFont="1" applyFill="1" applyBorder="1" applyAlignment="1">
      <alignment horizontal="center"/>
    </xf>
    <xf numFmtId="0" fontId="0" fillId="15" borderId="40" xfId="0" applyFont="1" applyFill="1" applyBorder="1" applyAlignment="1">
      <alignment horizontal="center"/>
    </xf>
    <xf numFmtId="0" fontId="0" fillId="15" borderId="57" xfId="0" applyFont="1" applyFill="1" applyBorder="1" applyAlignment="1">
      <alignment horizontal="right"/>
    </xf>
    <xf numFmtId="0" fontId="0" fillId="0" borderId="29" xfId="0" applyFont="1" applyFill="1" applyBorder="1" applyAlignment="1">
      <alignment horizontal="center" vertical="center"/>
    </xf>
    <xf numFmtId="0" fontId="31" fillId="9" borderId="1" xfId="0" applyFont="1" applyFill="1" applyBorder="1" applyAlignment="1">
      <alignment horizontal="center" vertical="center"/>
    </xf>
    <xf numFmtId="0" fontId="30" fillId="9" borderId="1" xfId="0" applyFont="1" applyFill="1" applyBorder="1" applyAlignment="1">
      <alignment horizontal="center"/>
    </xf>
    <xf numFmtId="0" fontId="31" fillId="9" borderId="1" xfId="0" applyFont="1" applyFill="1" applyBorder="1" applyAlignment="1">
      <alignment horizontal="center"/>
    </xf>
    <xf numFmtId="0" fontId="31" fillId="32" borderId="1" xfId="0" applyFont="1" applyFill="1" applyBorder="1" applyAlignment="1">
      <alignment horizontal="center" vertical="center"/>
    </xf>
    <xf numFmtId="0" fontId="30" fillId="32" borderId="1" xfId="0" applyFont="1" applyFill="1" applyBorder="1" applyAlignment="1">
      <alignment horizontal="center"/>
    </xf>
    <xf numFmtId="0" fontId="31" fillId="32" borderId="1" xfId="0" applyFont="1" applyFill="1" applyBorder="1" applyAlignment="1">
      <alignment horizontal="center"/>
    </xf>
    <xf numFmtId="0" fontId="31" fillId="9" borderId="1" xfId="0" applyFont="1" applyFill="1" applyBorder="1" applyAlignment="1">
      <alignment horizontal="right" vertical="center"/>
    </xf>
    <xf numFmtId="0" fontId="30" fillId="9" borderId="1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left"/>
    </xf>
    <xf numFmtId="0" fontId="30" fillId="3" borderId="1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center"/>
    </xf>
    <xf numFmtId="1" fontId="0" fillId="0" borderId="46" xfId="0" applyNumberFormat="1" applyFont="1" applyBorder="1" applyAlignment="1">
      <alignment horizontal="center"/>
    </xf>
    <xf numFmtId="0" fontId="22" fillId="3" borderId="0" xfId="0" applyFont="1" applyFill="1"/>
    <xf numFmtId="0" fontId="22" fillId="3" borderId="0" xfId="0" applyFont="1" applyFill="1" applyBorder="1" applyAlignment="1">
      <alignment horizontal="center"/>
    </xf>
    <xf numFmtId="0" fontId="31" fillId="3" borderId="1" xfId="0" applyFont="1" applyFill="1" applyBorder="1" applyAlignment="1">
      <alignment horizontal="center"/>
    </xf>
    <xf numFmtId="0" fontId="34" fillId="3" borderId="1" xfId="0" applyFont="1" applyFill="1" applyBorder="1" applyAlignment="1">
      <alignment horizontal="center"/>
    </xf>
    <xf numFmtId="1" fontId="0" fillId="3" borderId="1" xfId="0" applyNumberFormat="1" applyFont="1" applyFill="1" applyBorder="1" applyAlignment="1">
      <alignment horizontal="center"/>
    </xf>
    <xf numFmtId="2" fontId="30" fillId="3" borderId="1" xfId="0" applyNumberFormat="1" applyFont="1" applyFill="1" applyBorder="1" applyAlignment="1">
      <alignment horizontal="center"/>
    </xf>
    <xf numFmtId="0" fontId="31" fillId="3" borderId="1" xfId="0" applyFont="1" applyFill="1" applyBorder="1" applyAlignment="1">
      <alignment horizontal="center" vertical="center"/>
    </xf>
    <xf numFmtId="0" fontId="31" fillId="3" borderId="1" xfId="0" applyFont="1" applyFill="1" applyBorder="1" applyAlignment="1">
      <alignment horizontal="right" vertical="center"/>
    </xf>
    <xf numFmtId="0" fontId="0" fillId="3" borderId="23" xfId="0" applyFont="1" applyFill="1" applyBorder="1" applyAlignment="1">
      <alignment horizontal="center"/>
    </xf>
    <xf numFmtId="1" fontId="55" fillId="3" borderId="1" xfId="0" applyNumberFormat="1" applyFont="1" applyFill="1" applyBorder="1" applyAlignment="1">
      <alignment horizontal="center"/>
    </xf>
    <xf numFmtId="0" fontId="35" fillId="3" borderId="6" xfId="0" applyFont="1" applyFill="1" applyBorder="1" applyAlignment="1">
      <alignment horizontal="center"/>
    </xf>
    <xf numFmtId="1" fontId="0" fillId="3" borderId="2" xfId="0" applyNumberFormat="1" applyFont="1" applyFill="1" applyBorder="1" applyAlignment="1">
      <alignment horizontal="center"/>
    </xf>
    <xf numFmtId="1" fontId="0" fillId="3" borderId="23" xfId="0" applyNumberFormat="1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13" fillId="3" borderId="0" xfId="0" applyNumberFormat="1" applyFont="1" applyFill="1" applyBorder="1" applyAlignment="1">
      <alignment horizontal="center"/>
    </xf>
    <xf numFmtId="1" fontId="30" fillId="3" borderId="1" xfId="0" applyNumberFormat="1" applyFont="1" applyFill="1" applyBorder="1" applyAlignment="1">
      <alignment horizontal="center"/>
    </xf>
    <xf numFmtId="1" fontId="68" fillId="3" borderId="1" xfId="0" applyNumberFormat="1" applyFont="1" applyFill="1" applyBorder="1" applyAlignment="1">
      <alignment horizontal="center"/>
    </xf>
    <xf numFmtId="1" fontId="68" fillId="3" borderId="23" xfId="0" applyNumberFormat="1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0" fontId="35" fillId="3" borderId="0" xfId="0" applyFont="1" applyFill="1" applyBorder="1" applyAlignment="1"/>
    <xf numFmtId="1" fontId="0" fillId="3" borderId="46" xfId="0" applyNumberFormat="1" applyFont="1" applyFill="1" applyBorder="1" applyAlignment="1">
      <alignment horizontal="center"/>
    </xf>
    <xf numFmtId="1" fontId="0" fillId="3" borderId="26" xfId="0" applyNumberFormat="1" applyFont="1" applyFill="1" applyBorder="1" applyAlignment="1">
      <alignment horizontal="center"/>
    </xf>
    <xf numFmtId="0" fontId="35" fillId="3" borderId="22" xfId="0" applyFont="1" applyFill="1" applyBorder="1" applyAlignment="1"/>
    <xf numFmtId="1" fontId="68" fillId="3" borderId="2" xfId="0" applyNumberFormat="1" applyFont="1" applyFill="1" applyBorder="1" applyAlignment="1">
      <alignment horizontal="center"/>
    </xf>
    <xf numFmtId="1" fontId="13" fillId="3" borderId="15" xfId="0" applyNumberFormat="1" applyFont="1" applyFill="1" applyBorder="1" applyAlignment="1">
      <alignment horizontal="center"/>
    </xf>
    <xf numFmtId="1" fontId="0" fillId="3" borderId="30" xfId="0" applyNumberFormat="1" applyFont="1" applyFill="1" applyBorder="1" applyAlignment="1">
      <alignment horizontal="center"/>
    </xf>
    <xf numFmtId="0" fontId="33" fillId="3" borderId="15" xfId="0" applyFont="1" applyFill="1" applyBorder="1" applyAlignment="1"/>
    <xf numFmtId="1" fontId="68" fillId="3" borderId="46" xfId="0" applyNumberFormat="1" applyFont="1" applyFill="1" applyBorder="1" applyAlignment="1">
      <alignment horizontal="center"/>
    </xf>
    <xf numFmtId="1" fontId="68" fillId="3" borderId="26" xfId="0" applyNumberFormat="1" applyFont="1" applyFill="1" applyBorder="1" applyAlignment="1">
      <alignment horizontal="center"/>
    </xf>
    <xf numFmtId="0" fontId="37" fillId="3" borderId="0" xfId="0" applyFont="1" applyFill="1"/>
    <xf numFmtId="0" fontId="33" fillId="0" borderId="64" xfId="0" applyFont="1" applyFill="1" applyBorder="1" applyAlignment="1">
      <alignment horizontal="left"/>
    </xf>
    <xf numFmtId="0" fontId="33" fillId="0" borderId="36" xfId="0" applyFont="1" applyFill="1" applyBorder="1" applyAlignment="1">
      <alignment horizontal="left"/>
    </xf>
    <xf numFmtId="0" fontId="33" fillId="0" borderId="68" xfId="0" applyFont="1" applyFill="1" applyBorder="1" applyAlignment="1">
      <alignment horizontal="left"/>
    </xf>
    <xf numFmtId="0" fontId="33" fillId="0" borderId="20" xfId="0" applyFont="1" applyFill="1" applyBorder="1" applyAlignment="1">
      <alignment horizontal="left"/>
    </xf>
    <xf numFmtId="0" fontId="33" fillId="0" borderId="15" xfId="0" applyFont="1" applyFill="1" applyBorder="1" applyAlignment="1">
      <alignment horizontal="left"/>
    </xf>
    <xf numFmtId="0" fontId="33" fillId="0" borderId="35" xfId="0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33" fillId="0" borderId="65" xfId="0" applyFont="1" applyFill="1" applyBorder="1" applyAlignment="1">
      <alignment horizontal="center"/>
    </xf>
    <xf numFmtId="0" fontId="33" fillId="0" borderId="66" xfId="0" applyFont="1" applyFill="1" applyBorder="1" applyAlignment="1">
      <alignment horizontal="center"/>
    </xf>
    <xf numFmtId="0" fontId="33" fillId="0" borderId="67" xfId="0" applyFont="1" applyFill="1" applyBorder="1" applyAlignment="1">
      <alignment horizontal="center"/>
    </xf>
    <xf numFmtId="0" fontId="33" fillId="14" borderId="20" xfId="0" applyFont="1" applyFill="1" applyBorder="1" applyAlignment="1">
      <alignment horizontal="center"/>
    </xf>
    <xf numFmtId="0" fontId="33" fillId="14" borderId="15" xfId="0" applyFont="1" applyFill="1" applyBorder="1" applyAlignment="1">
      <alignment horizontal="center"/>
    </xf>
    <xf numFmtId="0" fontId="33" fillId="14" borderId="35" xfId="0" applyFont="1" applyFill="1" applyBorder="1" applyAlignment="1">
      <alignment horizontal="center"/>
    </xf>
    <xf numFmtId="0" fontId="33" fillId="8" borderId="20" xfId="0" applyFont="1" applyFill="1" applyBorder="1" applyAlignment="1">
      <alignment horizontal="center"/>
    </xf>
    <xf numFmtId="0" fontId="33" fillId="8" borderId="15" xfId="0" applyFont="1" applyFill="1" applyBorder="1" applyAlignment="1">
      <alignment horizontal="center"/>
    </xf>
    <xf numFmtId="0" fontId="33" fillId="8" borderId="35" xfId="0" applyFont="1" applyFill="1" applyBorder="1" applyAlignment="1">
      <alignment horizontal="center"/>
    </xf>
    <xf numFmtId="0" fontId="33" fillId="19" borderId="20" xfId="0" applyFont="1" applyFill="1" applyBorder="1" applyAlignment="1">
      <alignment horizontal="center"/>
    </xf>
    <xf numFmtId="0" fontId="33" fillId="19" borderId="15" xfId="0" applyFont="1" applyFill="1" applyBorder="1" applyAlignment="1">
      <alignment horizontal="center"/>
    </xf>
    <xf numFmtId="0" fontId="33" fillId="19" borderId="35" xfId="0" applyFont="1" applyFill="1" applyBorder="1" applyAlignment="1">
      <alignment horizontal="center"/>
    </xf>
    <xf numFmtId="0" fontId="33" fillId="0" borderId="19" xfId="0" applyFont="1" applyBorder="1" applyAlignment="1">
      <alignment horizontal="center"/>
    </xf>
    <xf numFmtId="0" fontId="33" fillId="0" borderId="22" xfId="0" applyFont="1" applyBorder="1" applyAlignment="1">
      <alignment horizontal="center"/>
    </xf>
    <xf numFmtId="0" fontId="33" fillId="0" borderId="18" xfId="0" applyFont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3" fillId="0" borderId="6" xfId="0" applyFont="1" applyFill="1" applyBorder="1" applyAlignment="1">
      <alignment horizontal="center"/>
    </xf>
    <xf numFmtId="0" fontId="33" fillId="0" borderId="7" xfId="0" applyFont="1" applyFill="1" applyBorder="1" applyAlignment="1">
      <alignment horizontal="center"/>
    </xf>
    <xf numFmtId="0" fontId="33" fillId="0" borderId="20" xfId="0" applyFont="1" applyFill="1" applyBorder="1" applyAlignment="1">
      <alignment horizontal="center"/>
    </xf>
    <xf numFmtId="0" fontId="33" fillId="0" borderId="15" xfId="0" applyFont="1" applyFill="1" applyBorder="1" applyAlignment="1">
      <alignment horizontal="center"/>
    </xf>
    <xf numFmtId="0" fontId="33" fillId="0" borderId="35" xfId="0" applyFont="1" applyFill="1" applyBorder="1" applyAlignment="1">
      <alignment horizontal="center"/>
    </xf>
    <xf numFmtId="0" fontId="33" fillId="0" borderId="25" xfId="0" applyFont="1" applyFill="1" applyBorder="1" applyAlignment="1">
      <alignment horizontal="left"/>
    </xf>
    <xf numFmtId="0" fontId="33" fillId="0" borderId="10" xfId="0" applyFont="1" applyFill="1" applyBorder="1" applyAlignment="1">
      <alignment horizontal="left"/>
    </xf>
    <xf numFmtId="0" fontId="33" fillId="0" borderId="62" xfId="0" applyFont="1" applyFill="1" applyBorder="1" applyAlignment="1">
      <alignment horizontal="left"/>
    </xf>
    <xf numFmtId="0" fontId="33" fillId="0" borderId="53" xfId="0" applyFont="1" applyFill="1" applyBorder="1" applyAlignment="1">
      <alignment horizontal="center"/>
    </xf>
    <xf numFmtId="0" fontId="33" fillId="0" borderId="52" xfId="0" applyFont="1" applyFill="1" applyBorder="1" applyAlignment="1">
      <alignment horizontal="center"/>
    </xf>
    <xf numFmtId="0" fontId="33" fillId="0" borderId="55" xfId="0" applyFont="1" applyFill="1" applyBorder="1" applyAlignment="1">
      <alignment horizontal="center"/>
    </xf>
    <xf numFmtId="0" fontId="54" fillId="0" borderId="0" xfId="0" applyFont="1" applyAlignment="1">
      <alignment horizontal="right" wrapText="1"/>
    </xf>
    <xf numFmtId="0" fontId="53" fillId="0" borderId="0" xfId="0" applyFont="1" applyAlignment="1">
      <alignment horizontal="right"/>
    </xf>
    <xf numFmtId="0" fontId="54" fillId="0" borderId="0" xfId="0" applyFont="1" applyAlignment="1">
      <alignment horizontal="right"/>
    </xf>
    <xf numFmtId="0" fontId="44" fillId="0" borderId="0" xfId="12" applyFont="1" applyAlignment="1">
      <alignment horizontal="center"/>
    </xf>
    <xf numFmtId="0" fontId="3" fillId="0" borderId="0" xfId="12" applyAlignment="1">
      <alignment horizontal="center"/>
    </xf>
    <xf numFmtId="0" fontId="40" fillId="0" borderId="36" xfId="12" applyFont="1" applyBorder="1" applyAlignment="1">
      <alignment horizontal="center"/>
    </xf>
    <xf numFmtId="0" fontId="15" fillId="24" borderId="1" xfId="0" applyFont="1" applyFill="1" applyBorder="1" applyAlignment="1" applyProtection="1">
      <alignment horizontal="left" vertical="center"/>
    </xf>
    <xf numFmtId="0" fontId="15" fillId="24" borderId="1" xfId="0" applyFont="1" applyFill="1" applyBorder="1" applyAlignment="1" applyProtection="1">
      <alignment horizontal="center" vertical="center"/>
    </xf>
    <xf numFmtId="0" fontId="15" fillId="24" borderId="1" xfId="0" applyFont="1" applyFill="1" applyBorder="1" applyAlignment="1" applyProtection="1">
      <alignment horizontal="left" vertical="center" wrapText="1"/>
    </xf>
    <xf numFmtId="0" fontId="15" fillId="24" borderId="1" xfId="0" applyFont="1" applyFill="1" applyBorder="1" applyAlignment="1">
      <alignment horizontal="center" wrapText="1"/>
    </xf>
    <xf numFmtId="0" fontId="15" fillId="24" borderId="1" xfId="0" applyFont="1" applyFill="1" applyBorder="1" applyAlignment="1">
      <alignment horizontal="center"/>
    </xf>
    <xf numFmtId="0" fontId="15" fillId="24" borderId="1" xfId="0" applyFont="1" applyFill="1" applyBorder="1" applyAlignment="1" applyProtection="1">
      <alignment horizontal="center" vertical="center" wrapText="1"/>
    </xf>
    <xf numFmtId="0" fontId="0" fillId="0" borderId="52" xfId="0" applyFont="1" applyFill="1" applyBorder="1" applyAlignment="1">
      <alignment horizontal="center"/>
    </xf>
    <xf numFmtId="0" fontId="15" fillId="0" borderId="0" xfId="0" applyFont="1" applyFill="1" applyAlignment="1" applyProtection="1">
      <alignment horizontal="center"/>
    </xf>
    <xf numFmtId="0" fontId="15" fillId="0" borderId="0" xfId="0" applyFont="1" applyFill="1" applyAlignment="1" applyProtection="1">
      <alignment horizontal="center" vertical="center" wrapText="1"/>
    </xf>
    <xf numFmtId="0" fontId="15" fillId="0" borderId="0" xfId="0" applyFont="1" applyFill="1" applyAlignment="1" applyProtection="1">
      <alignment horizontal="center" vertical="center"/>
    </xf>
    <xf numFmtId="0" fontId="0" fillId="0" borderId="24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3" xfId="0" applyFont="1" applyFill="1" applyBorder="1" applyAlignment="1">
      <alignment horizontal="center"/>
    </xf>
    <xf numFmtId="0" fontId="0" fillId="0" borderId="55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15" fillId="24" borderId="24" xfId="0" applyFont="1" applyFill="1" applyBorder="1" applyAlignment="1" applyProtection="1">
      <alignment horizontal="center" vertical="center"/>
    </xf>
    <xf numFmtId="0" fontId="15" fillId="24" borderId="1" xfId="0" applyFont="1" applyFill="1" applyBorder="1" applyAlignment="1">
      <alignment horizontal="center" vertical="center"/>
    </xf>
    <xf numFmtId="0" fontId="15" fillId="24" borderId="23" xfId="0" applyFont="1" applyFill="1" applyBorder="1" applyAlignment="1" applyProtection="1">
      <alignment horizontal="left" vertical="center"/>
    </xf>
    <xf numFmtId="0" fontId="15" fillId="24" borderId="2" xfId="0" applyFont="1" applyFill="1" applyBorder="1" applyAlignment="1" applyProtection="1">
      <alignment horizontal="left" vertical="center"/>
    </xf>
    <xf numFmtId="0" fontId="15" fillId="24" borderId="12" xfId="0" applyFont="1" applyFill="1" applyBorder="1" applyAlignment="1">
      <alignment horizontal="center" vertical="center"/>
    </xf>
    <xf numFmtId="0" fontId="15" fillId="24" borderId="41" xfId="0" applyFont="1" applyFill="1" applyBorder="1" applyAlignment="1">
      <alignment horizontal="center" vertical="center"/>
    </xf>
    <xf numFmtId="0" fontId="0" fillId="13" borderId="20" xfId="0" applyNumberFormat="1" applyFill="1" applyBorder="1" applyAlignment="1">
      <alignment horizontal="center"/>
    </xf>
    <xf numFmtId="0" fontId="0" fillId="13" borderId="15" xfId="0" applyNumberFormat="1" applyFill="1" applyBorder="1" applyAlignment="1">
      <alignment horizontal="center"/>
    </xf>
    <xf numFmtId="0" fontId="0" fillId="13" borderId="35" xfId="0" applyNumberFormat="1" applyFill="1" applyBorder="1" applyAlignment="1">
      <alignment horizontal="center"/>
    </xf>
  </cellXfs>
  <cellStyles count="13">
    <cellStyle name="Обычный" xfId="0" builtinId="0"/>
    <cellStyle name="Обычный 2" xfId="2"/>
    <cellStyle name="Обычный 2 2" xfId="5"/>
    <cellStyle name="Обычный 3" xfId="1"/>
    <cellStyle name="Обычный 3 2" xfId="6"/>
    <cellStyle name="Обычный 3 3" xfId="9"/>
    <cellStyle name="Обычный 4" xfId="3"/>
    <cellStyle name="Обычный 4 2" xfId="7"/>
    <cellStyle name="Обычный 4 3" xfId="10"/>
    <cellStyle name="Обычный 5" xfId="4"/>
    <cellStyle name="Обычный 5 2" xfId="8"/>
    <cellStyle name="Обычный 5 3" xfId="11"/>
    <cellStyle name="Обычный 6" xfId="1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C0F8B8"/>
      <color rgb="FFFFFFCC"/>
      <color rgb="FFFFFF99"/>
      <color rgb="FF7AA3F6"/>
      <color rgb="FFF47CC3"/>
      <color rgb="FF87E4E9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D634"/>
  <sheetViews>
    <sheetView topLeftCell="B9" zoomScale="85" zoomScaleNormal="85" workbookViewId="0">
      <pane xSplit="3" ySplit="3" topLeftCell="L120" activePane="bottomRight" state="frozen"/>
      <selection activeCell="B9" sqref="B9"/>
      <selection pane="topRight" activeCell="E9" sqref="E9"/>
      <selection pane="bottomLeft" activeCell="B12" sqref="B12"/>
      <selection pane="bottomRight" activeCell="O436" sqref="O436"/>
    </sheetView>
  </sheetViews>
  <sheetFormatPr defaultRowHeight="12.75" outlineLevelRow="2" outlineLevelCol="1" x14ac:dyDescent="0.2"/>
  <cols>
    <col min="1" max="1" width="2.42578125" style="168" customWidth="1"/>
    <col min="2" max="2" width="35.5703125" style="168" customWidth="1"/>
    <col min="3" max="3" width="11.140625" style="168" customWidth="1" outlineLevel="1"/>
    <col min="4" max="4" width="13.7109375" style="168" customWidth="1"/>
    <col min="5" max="5" width="9.28515625" style="168" hidden="1" customWidth="1"/>
    <col min="6" max="8" width="8.7109375" style="168" hidden="1" customWidth="1"/>
    <col min="9" max="9" width="9" style="168" hidden="1" customWidth="1"/>
    <col min="10" max="11" width="8.7109375" style="168" hidden="1" customWidth="1"/>
    <col min="12" max="12" width="8.7109375" style="940" customWidth="1"/>
    <col min="13" max="15" width="8.7109375" style="168" customWidth="1"/>
    <col min="16" max="16" width="8.7109375" style="169" customWidth="1"/>
    <col min="17" max="19" width="8.7109375" style="168" customWidth="1"/>
    <col min="20" max="20" width="9.42578125" style="168" customWidth="1"/>
    <col min="21" max="16384" width="9.140625" style="168"/>
  </cols>
  <sheetData>
    <row r="1" spans="2:29" hidden="1" outlineLevel="1" x14ac:dyDescent="0.2"/>
    <row r="2" spans="2:29" ht="18.75" hidden="1" outlineLevel="1" x14ac:dyDescent="0.3">
      <c r="T2" s="1009" t="s">
        <v>464</v>
      </c>
      <c r="U2" s="1009"/>
      <c r="V2" s="1009"/>
      <c r="W2" s="1009"/>
      <c r="X2" s="1009"/>
      <c r="Y2" s="1009"/>
      <c r="Z2" s="1009"/>
    </row>
    <row r="3" spans="2:29" ht="18.75" hidden="1" outlineLevel="1" x14ac:dyDescent="0.3">
      <c r="T3" s="1010" t="s">
        <v>465</v>
      </c>
      <c r="U3" s="1010"/>
      <c r="V3" s="1010"/>
      <c r="W3" s="1010"/>
      <c r="X3" s="1010"/>
      <c r="Y3" s="1010"/>
      <c r="Z3" s="1010"/>
    </row>
    <row r="4" spans="2:29" ht="18.75" hidden="1" outlineLevel="1" x14ac:dyDescent="0.3">
      <c r="T4" s="1008" t="s">
        <v>466</v>
      </c>
      <c r="U4" s="1008"/>
      <c r="V4" s="1008"/>
      <c r="W4" s="1008"/>
      <c r="X4" s="1008"/>
      <c r="Y4" s="1008"/>
      <c r="Z4" s="1008"/>
    </row>
    <row r="5" spans="2:29" ht="18.75" hidden="1" outlineLevel="1" x14ac:dyDescent="0.3">
      <c r="T5" s="1008"/>
      <c r="U5" s="1008"/>
      <c r="V5" s="1008"/>
      <c r="W5" s="1008"/>
      <c r="X5" s="1008"/>
      <c r="Y5" s="1008"/>
      <c r="Z5" s="1008"/>
    </row>
    <row r="6" spans="2:29" ht="18.75" hidden="1" outlineLevel="1" x14ac:dyDescent="0.3">
      <c r="T6" s="1008" t="s">
        <v>467</v>
      </c>
      <c r="U6" s="1008"/>
      <c r="V6" s="1008"/>
      <c r="W6" s="1008"/>
      <c r="X6" s="1008"/>
      <c r="Y6" s="1008"/>
      <c r="Z6" s="1008"/>
    </row>
    <row r="7" spans="2:29" ht="18.75" hidden="1" outlineLevel="1" x14ac:dyDescent="0.3">
      <c r="T7" s="1008" t="s">
        <v>468</v>
      </c>
      <c r="U7" s="1008"/>
      <c r="V7" s="1008"/>
      <c r="W7" s="1008"/>
      <c r="X7" s="1008"/>
      <c r="Y7" s="1008"/>
      <c r="Z7" s="1008"/>
    </row>
    <row r="8" spans="2:29" hidden="1" outlineLevel="1" x14ac:dyDescent="0.2"/>
    <row r="9" spans="2:29" collapsed="1" x14ac:dyDescent="0.2">
      <c r="B9" s="167"/>
      <c r="C9" s="167"/>
      <c r="D9" s="167"/>
      <c r="E9" s="452"/>
      <c r="F9" s="452"/>
      <c r="G9" s="452"/>
      <c r="H9" s="452"/>
      <c r="I9" s="452"/>
      <c r="J9" s="452"/>
      <c r="K9" s="452"/>
      <c r="L9" s="941"/>
      <c r="M9" s="452"/>
      <c r="N9" s="452"/>
      <c r="O9" s="452"/>
      <c r="P9" s="452"/>
      <c r="Q9" s="452"/>
      <c r="R9" s="452"/>
      <c r="S9" s="452"/>
      <c r="T9" s="452"/>
      <c r="U9" s="452"/>
      <c r="V9" s="452"/>
      <c r="W9" s="452"/>
      <c r="X9" s="452"/>
      <c r="Y9" s="452"/>
    </row>
    <row r="10" spans="2:29" customFormat="1" x14ac:dyDescent="0.2">
      <c r="B10" s="978"/>
      <c r="C10" s="296"/>
      <c r="D10" s="978" t="s">
        <v>330</v>
      </c>
      <c r="E10" s="979" t="s">
        <v>331</v>
      </c>
      <c r="F10" s="980"/>
      <c r="G10" s="980"/>
      <c r="H10" s="980"/>
      <c r="I10" s="980"/>
      <c r="J10" s="980"/>
      <c r="K10" s="980"/>
      <c r="L10" s="980"/>
      <c r="M10" s="980"/>
      <c r="N10" s="980"/>
      <c r="O10" s="980"/>
      <c r="P10" s="980"/>
      <c r="Q10" s="980"/>
      <c r="R10" s="980"/>
      <c r="S10" s="980"/>
      <c r="T10" s="980"/>
      <c r="U10" s="980"/>
      <c r="V10" s="980"/>
      <c r="W10" s="980"/>
      <c r="X10" s="980"/>
      <c r="Y10" s="980"/>
      <c r="Z10" s="978" t="s">
        <v>0</v>
      </c>
      <c r="AA10" s="34"/>
      <c r="AB10" s="34"/>
      <c r="AC10" s="34"/>
    </row>
    <row r="11" spans="2:29" customFormat="1" ht="15" customHeight="1" x14ac:dyDescent="0.2">
      <c r="B11" s="978"/>
      <c r="C11" s="296"/>
      <c r="D11" s="978"/>
      <c r="E11" s="397">
        <v>2017</v>
      </c>
      <c r="F11" s="397">
        <v>2018</v>
      </c>
      <c r="G11" s="397">
        <v>2019</v>
      </c>
      <c r="H11" s="397">
        <v>2020</v>
      </c>
      <c r="I11" s="397">
        <v>2021</v>
      </c>
      <c r="J11" s="397">
        <v>2022</v>
      </c>
      <c r="K11" s="397">
        <v>2023</v>
      </c>
      <c r="L11" s="937">
        <v>2024</v>
      </c>
      <c r="M11" s="397">
        <v>2025</v>
      </c>
      <c r="N11" s="397">
        <v>2026</v>
      </c>
      <c r="O11" s="397">
        <v>2027</v>
      </c>
      <c r="P11" s="397">
        <v>2028</v>
      </c>
      <c r="Q11" s="397">
        <v>2029</v>
      </c>
      <c r="R11" s="397">
        <v>2030</v>
      </c>
      <c r="S11" s="397">
        <v>2031</v>
      </c>
      <c r="T11" s="397">
        <v>2032</v>
      </c>
      <c r="U11" s="397">
        <v>2033</v>
      </c>
      <c r="V11" s="397">
        <v>2034</v>
      </c>
      <c r="W11" s="397">
        <v>2035</v>
      </c>
      <c r="X11" s="397">
        <v>2036</v>
      </c>
      <c r="Y11" s="397">
        <v>2037</v>
      </c>
      <c r="Z11" s="978"/>
      <c r="AA11" s="34"/>
      <c r="AB11" s="34"/>
      <c r="AC11" s="34"/>
    </row>
    <row r="12" spans="2:29" customFormat="1" ht="15" x14ac:dyDescent="0.25">
      <c r="B12" s="459" t="s">
        <v>396</v>
      </c>
      <c r="C12" s="459"/>
      <c r="D12" s="460" t="s">
        <v>374</v>
      </c>
      <c r="E12" s="461">
        <f>E13+E18</f>
        <v>5000</v>
      </c>
      <c r="F12" s="461">
        <f t="shared" ref="F12:Y12" si="0">F13+F18</f>
        <v>5000</v>
      </c>
      <c r="G12" s="461">
        <f t="shared" si="0"/>
        <v>5000</v>
      </c>
      <c r="H12" s="461">
        <f t="shared" si="0"/>
        <v>5000</v>
      </c>
      <c r="I12" s="461">
        <f t="shared" si="0"/>
        <v>5000</v>
      </c>
      <c r="J12" s="461">
        <f t="shared" si="0"/>
        <v>5000</v>
      </c>
      <c r="K12" s="461">
        <f t="shared" si="0"/>
        <v>5000</v>
      </c>
      <c r="L12" s="938">
        <f t="shared" si="0"/>
        <v>5000</v>
      </c>
      <c r="M12" s="461">
        <f t="shared" si="0"/>
        <v>5000</v>
      </c>
      <c r="N12" s="461">
        <f t="shared" si="0"/>
        <v>5000</v>
      </c>
      <c r="O12" s="461">
        <f t="shared" si="0"/>
        <v>5000</v>
      </c>
      <c r="P12" s="461">
        <f t="shared" si="0"/>
        <v>5000</v>
      </c>
      <c r="Q12" s="461">
        <f t="shared" si="0"/>
        <v>5000</v>
      </c>
      <c r="R12" s="461">
        <f t="shared" si="0"/>
        <v>5000</v>
      </c>
      <c r="S12" s="461">
        <f t="shared" si="0"/>
        <v>5000</v>
      </c>
      <c r="T12" s="461">
        <f t="shared" si="0"/>
        <v>5000</v>
      </c>
      <c r="U12" s="461">
        <f t="shared" si="0"/>
        <v>5000</v>
      </c>
      <c r="V12" s="461">
        <f t="shared" si="0"/>
        <v>5000</v>
      </c>
      <c r="W12" s="461">
        <f t="shared" si="0"/>
        <v>4500</v>
      </c>
      <c r="X12" s="461">
        <f t="shared" si="0"/>
        <v>3500</v>
      </c>
      <c r="Y12" s="461">
        <f t="shared" si="0"/>
        <v>1435</v>
      </c>
      <c r="Z12" s="461">
        <f t="shared" ref="Z12:Z20" si="1">SUM(E12:Y12)</f>
        <v>99435</v>
      </c>
      <c r="AA12" s="168">
        <f t="shared" ref="AA12:AA14" si="2">AB12-Z12</f>
        <v>0</v>
      </c>
      <c r="AB12" s="456">
        <f>AB14+AB16+AB19</f>
        <v>99435</v>
      </c>
    </row>
    <row r="13" spans="2:29" s="302" customFormat="1" ht="15" x14ac:dyDescent="0.25">
      <c r="B13" s="462" t="s">
        <v>389</v>
      </c>
      <c r="C13" s="463"/>
      <c r="D13" s="464"/>
      <c r="E13" s="462">
        <f>E14+E16</f>
        <v>5000</v>
      </c>
      <c r="F13" s="462">
        <f t="shared" ref="F13:Y13" si="3">F14+F16</f>
        <v>4900</v>
      </c>
      <c r="G13" s="462">
        <f t="shared" si="3"/>
        <v>4600</v>
      </c>
      <c r="H13" s="462">
        <f t="shared" si="3"/>
        <v>4500</v>
      </c>
      <c r="I13" s="462">
        <f t="shared" si="3"/>
        <v>4300</v>
      </c>
      <c r="J13" s="462">
        <f t="shared" si="3"/>
        <v>4200</v>
      </c>
      <c r="K13" s="462">
        <f t="shared" si="3"/>
        <v>3000</v>
      </c>
      <c r="L13" s="938">
        <f t="shared" si="3"/>
        <v>2500</v>
      </c>
      <c r="M13" s="462">
        <f t="shared" si="3"/>
        <v>2000</v>
      </c>
      <c r="N13" s="462">
        <f t="shared" si="3"/>
        <v>2000</v>
      </c>
      <c r="O13" s="462">
        <f t="shared" si="3"/>
        <v>2000</v>
      </c>
      <c r="P13" s="462">
        <f t="shared" si="3"/>
        <v>2000</v>
      </c>
      <c r="Q13" s="462">
        <f t="shared" si="3"/>
        <v>2000</v>
      </c>
      <c r="R13" s="462">
        <f t="shared" si="3"/>
        <v>2000</v>
      </c>
      <c r="S13" s="462">
        <f t="shared" si="3"/>
        <v>2500</v>
      </c>
      <c r="T13" s="462">
        <f t="shared" si="3"/>
        <v>2500</v>
      </c>
      <c r="U13" s="462">
        <f t="shared" si="3"/>
        <v>3000</v>
      </c>
      <c r="V13" s="462">
        <f t="shared" si="3"/>
        <v>3368</v>
      </c>
      <c r="W13" s="462">
        <f t="shared" si="3"/>
        <v>4500</v>
      </c>
      <c r="X13" s="462">
        <f t="shared" ref="X13" si="4">X14+X16</f>
        <v>3500</v>
      </c>
      <c r="Y13" s="462">
        <f t="shared" si="3"/>
        <v>1435</v>
      </c>
      <c r="Z13" s="462">
        <f t="shared" si="1"/>
        <v>65803</v>
      </c>
      <c r="AA13" s="168"/>
      <c r="AB13" s="453"/>
    </row>
    <row r="14" spans="2:29" s="303" customFormat="1" ht="15" x14ac:dyDescent="0.25">
      <c r="B14" s="457" t="s">
        <v>360</v>
      </c>
      <c r="C14" s="396"/>
      <c r="D14" s="397" t="s">
        <v>374</v>
      </c>
      <c r="E14" s="399">
        <v>5000</v>
      </c>
      <c r="F14" s="399">
        <v>4700</v>
      </c>
      <c r="G14" s="399">
        <v>4200</v>
      </c>
      <c r="H14" s="399">
        <v>4100</v>
      </c>
      <c r="I14" s="399">
        <v>3900</v>
      </c>
      <c r="J14" s="399">
        <v>3800</v>
      </c>
      <c r="K14" s="399">
        <v>2600</v>
      </c>
      <c r="L14" s="942">
        <v>2364</v>
      </c>
      <c r="M14" s="399">
        <v>2000</v>
      </c>
      <c r="N14" s="399">
        <v>2000</v>
      </c>
      <c r="O14" s="399">
        <v>2000</v>
      </c>
      <c r="P14" s="399">
        <v>2000</v>
      </c>
      <c r="Q14" s="399">
        <v>2000</v>
      </c>
      <c r="R14" s="399">
        <v>2000</v>
      </c>
      <c r="S14" s="399">
        <v>2500</v>
      </c>
      <c r="T14" s="399">
        <v>2500</v>
      </c>
      <c r="U14" s="399">
        <v>3000</v>
      </c>
      <c r="V14" s="399">
        <v>3368</v>
      </c>
      <c r="W14" s="399">
        <v>4500</v>
      </c>
      <c r="X14" s="399">
        <v>3500</v>
      </c>
      <c r="Y14" s="399">
        <v>1435</v>
      </c>
      <c r="Z14" s="399">
        <f t="shared" si="1"/>
        <v>63467</v>
      </c>
      <c r="AA14" s="168">
        <f t="shared" si="2"/>
        <v>0</v>
      </c>
      <c r="AB14" s="398">
        <v>63467</v>
      </c>
    </row>
    <row r="15" spans="2:29" customFormat="1" hidden="1" outlineLevel="1" x14ac:dyDescent="0.2">
      <c r="B15" s="416" t="s">
        <v>355</v>
      </c>
      <c r="C15" s="416"/>
      <c r="D15" s="417" t="s">
        <v>374</v>
      </c>
      <c r="E15" s="415"/>
      <c r="F15" s="415"/>
      <c r="G15" s="415"/>
      <c r="H15" s="415"/>
      <c r="I15" s="415"/>
      <c r="J15" s="415"/>
      <c r="K15" s="415"/>
      <c r="L15" s="693"/>
      <c r="M15" s="415"/>
      <c r="N15" s="415"/>
      <c r="O15" s="415"/>
      <c r="P15" s="415"/>
      <c r="Q15" s="415"/>
      <c r="R15" s="415"/>
      <c r="S15" s="415"/>
      <c r="T15" s="415"/>
      <c r="U15" s="415"/>
      <c r="V15" s="415"/>
      <c r="W15" s="415"/>
      <c r="X15" s="415"/>
      <c r="Y15" s="415"/>
      <c r="Z15" s="415">
        <f t="shared" si="1"/>
        <v>0</v>
      </c>
      <c r="AA15" s="168">
        <f>AB15-Z15</f>
        <v>2859</v>
      </c>
      <c r="AB15" s="454">
        <v>2859</v>
      </c>
      <c r="AC15" s="283"/>
    </row>
    <row r="16" spans="2:29" s="302" customFormat="1" collapsed="1" x14ac:dyDescent="0.2">
      <c r="B16" s="458" t="s">
        <v>361</v>
      </c>
      <c r="C16" s="295"/>
      <c r="D16" s="395" t="s">
        <v>374</v>
      </c>
      <c r="E16" s="297">
        <v>0</v>
      </c>
      <c r="F16" s="297">
        <v>200</v>
      </c>
      <c r="G16" s="297">
        <v>400</v>
      </c>
      <c r="H16" s="297">
        <v>400</v>
      </c>
      <c r="I16" s="297">
        <v>400</v>
      </c>
      <c r="J16" s="297">
        <v>400</v>
      </c>
      <c r="K16" s="297">
        <v>400</v>
      </c>
      <c r="L16" s="693">
        <v>136</v>
      </c>
      <c r="M16" s="297">
        <v>0</v>
      </c>
      <c r="N16" s="297">
        <v>0</v>
      </c>
      <c r="O16" s="297">
        <v>0</v>
      </c>
      <c r="P16" s="297">
        <v>0</v>
      </c>
      <c r="Q16" s="297">
        <v>0</v>
      </c>
      <c r="R16" s="297">
        <v>0</v>
      </c>
      <c r="S16" s="297">
        <v>0</v>
      </c>
      <c r="T16" s="297">
        <v>0</v>
      </c>
      <c r="U16" s="297">
        <v>0</v>
      </c>
      <c r="V16" s="297">
        <v>0</v>
      </c>
      <c r="W16" s="297">
        <v>0</v>
      </c>
      <c r="X16" s="297">
        <v>0</v>
      </c>
      <c r="Y16" s="297">
        <v>0</v>
      </c>
      <c r="Z16" s="297">
        <f t="shared" si="1"/>
        <v>2336</v>
      </c>
      <c r="AA16" s="168">
        <f t="shared" ref="AA16:AA21" si="5">AB16-Z16</f>
        <v>0</v>
      </c>
      <c r="AB16" s="298">
        <v>2336</v>
      </c>
      <c r="AC16" s="283"/>
    </row>
    <row r="17" spans="2:29" s="302" customFormat="1" hidden="1" outlineLevel="1" x14ac:dyDescent="0.2">
      <c r="B17" s="415" t="s">
        <v>355</v>
      </c>
      <c r="C17" s="416"/>
      <c r="D17" s="417" t="s">
        <v>374</v>
      </c>
      <c r="E17" s="415"/>
      <c r="F17" s="415"/>
      <c r="G17" s="415"/>
      <c r="H17" s="415"/>
      <c r="I17" s="415"/>
      <c r="J17" s="415"/>
      <c r="K17" s="415"/>
      <c r="L17" s="693"/>
      <c r="M17" s="415"/>
      <c r="N17" s="415"/>
      <c r="O17" s="415"/>
      <c r="P17" s="415"/>
      <c r="Q17" s="415"/>
      <c r="R17" s="415"/>
      <c r="S17" s="415"/>
      <c r="T17" s="415"/>
      <c r="U17" s="415"/>
      <c r="V17" s="415"/>
      <c r="W17" s="415"/>
      <c r="X17" s="415"/>
      <c r="Y17" s="415"/>
      <c r="Z17" s="415">
        <f t="shared" si="1"/>
        <v>0</v>
      </c>
      <c r="AA17" s="168">
        <f t="shared" si="5"/>
        <v>157</v>
      </c>
      <c r="AB17" s="454">
        <v>157</v>
      </c>
      <c r="AC17" s="283"/>
    </row>
    <row r="18" spans="2:29" s="302" customFormat="1" collapsed="1" x14ac:dyDescent="0.2">
      <c r="B18" s="465" t="s">
        <v>388</v>
      </c>
      <c r="C18" s="466"/>
      <c r="D18" s="467"/>
      <c r="E18" s="465">
        <f>E19</f>
        <v>0</v>
      </c>
      <c r="F18" s="465">
        <f t="shared" ref="F18:Y18" si="6">F19</f>
        <v>100</v>
      </c>
      <c r="G18" s="465">
        <f t="shared" si="6"/>
        <v>400</v>
      </c>
      <c r="H18" s="465">
        <f t="shared" si="6"/>
        <v>500</v>
      </c>
      <c r="I18" s="465">
        <f t="shared" si="6"/>
        <v>700</v>
      </c>
      <c r="J18" s="465">
        <f t="shared" si="6"/>
        <v>800</v>
      </c>
      <c r="K18" s="465">
        <f t="shared" si="6"/>
        <v>2000</v>
      </c>
      <c r="L18" s="943">
        <f t="shared" si="6"/>
        <v>2500</v>
      </c>
      <c r="M18" s="465">
        <f t="shared" si="6"/>
        <v>3000</v>
      </c>
      <c r="N18" s="465">
        <f t="shared" si="6"/>
        <v>3000</v>
      </c>
      <c r="O18" s="465">
        <f t="shared" si="6"/>
        <v>3000</v>
      </c>
      <c r="P18" s="465">
        <f t="shared" si="6"/>
        <v>3000</v>
      </c>
      <c r="Q18" s="465">
        <f t="shared" si="6"/>
        <v>3000</v>
      </c>
      <c r="R18" s="465">
        <f t="shared" si="6"/>
        <v>3000</v>
      </c>
      <c r="S18" s="465">
        <f t="shared" si="6"/>
        <v>2500</v>
      </c>
      <c r="T18" s="465">
        <f t="shared" si="6"/>
        <v>2500</v>
      </c>
      <c r="U18" s="465">
        <f t="shared" si="6"/>
        <v>2000</v>
      </c>
      <c r="V18" s="465">
        <f t="shared" si="6"/>
        <v>1632</v>
      </c>
      <c r="W18" s="465">
        <f t="shared" si="6"/>
        <v>0</v>
      </c>
      <c r="X18" s="465">
        <f t="shared" si="6"/>
        <v>0</v>
      </c>
      <c r="Y18" s="465">
        <f t="shared" si="6"/>
        <v>0</v>
      </c>
      <c r="Z18" s="465">
        <f t="shared" si="1"/>
        <v>33632</v>
      </c>
      <c r="AA18" s="168"/>
      <c r="AB18" s="454"/>
      <c r="AC18" s="283"/>
    </row>
    <row r="19" spans="2:29" s="302" customFormat="1" x14ac:dyDescent="0.2">
      <c r="B19" s="458" t="s">
        <v>362</v>
      </c>
      <c r="C19" s="295"/>
      <c r="D19" s="395" t="s">
        <v>374</v>
      </c>
      <c r="E19" s="297">
        <v>0</v>
      </c>
      <c r="F19" s="297">
        <v>100</v>
      </c>
      <c r="G19" s="297">
        <v>400</v>
      </c>
      <c r="H19" s="297">
        <v>500</v>
      </c>
      <c r="I19" s="297">
        <v>700</v>
      </c>
      <c r="J19" s="297">
        <v>800</v>
      </c>
      <c r="K19" s="297">
        <v>2000</v>
      </c>
      <c r="L19" s="693">
        <v>2500</v>
      </c>
      <c r="M19" s="297">
        <v>3000</v>
      </c>
      <c r="N19" s="297">
        <v>3000</v>
      </c>
      <c r="O19" s="297">
        <v>3000</v>
      </c>
      <c r="P19" s="297">
        <v>3000</v>
      </c>
      <c r="Q19" s="297">
        <v>3000</v>
      </c>
      <c r="R19" s="297">
        <v>3000</v>
      </c>
      <c r="S19" s="297">
        <v>2500</v>
      </c>
      <c r="T19" s="297">
        <v>2500</v>
      </c>
      <c r="U19" s="297">
        <v>2000</v>
      </c>
      <c r="V19" s="297">
        <v>1632</v>
      </c>
      <c r="W19" s="297">
        <v>0</v>
      </c>
      <c r="X19" s="297">
        <v>0</v>
      </c>
      <c r="Y19" s="297">
        <v>0</v>
      </c>
      <c r="Z19" s="297">
        <f t="shared" si="1"/>
        <v>33632</v>
      </c>
      <c r="AA19" s="168">
        <f t="shared" si="5"/>
        <v>0</v>
      </c>
      <c r="AB19" s="456">
        <v>33632</v>
      </c>
      <c r="AC19" s="283"/>
    </row>
    <row r="20" spans="2:29" s="302" customFormat="1" hidden="1" outlineLevel="1" x14ac:dyDescent="0.2">
      <c r="B20" s="415" t="s">
        <v>355</v>
      </c>
      <c r="C20" s="416"/>
      <c r="D20" s="417" t="s">
        <v>374</v>
      </c>
      <c r="E20" s="415"/>
      <c r="F20" s="415"/>
      <c r="G20" s="415"/>
      <c r="H20" s="415"/>
      <c r="I20" s="415"/>
      <c r="J20" s="415"/>
      <c r="K20" s="415"/>
      <c r="L20" s="693"/>
      <c r="M20" s="415"/>
      <c r="N20" s="415"/>
      <c r="O20" s="415"/>
      <c r="P20" s="415"/>
      <c r="Q20" s="415"/>
      <c r="R20" s="415"/>
      <c r="S20" s="415"/>
      <c r="T20" s="415"/>
      <c r="U20" s="415"/>
      <c r="V20" s="415"/>
      <c r="W20" s="415"/>
      <c r="X20" s="415"/>
      <c r="Y20" s="415"/>
      <c r="Z20" s="415">
        <f t="shared" si="1"/>
        <v>0</v>
      </c>
      <c r="AA20" s="168">
        <f t="shared" si="5"/>
        <v>851</v>
      </c>
      <c r="AB20" s="453">
        <v>851</v>
      </c>
      <c r="AC20" s="283"/>
    </row>
    <row r="21" spans="2:29" customFormat="1" ht="17.25" collapsed="1" x14ac:dyDescent="0.25">
      <c r="B21" s="558" t="s">
        <v>370</v>
      </c>
      <c r="C21" s="558"/>
      <c r="D21" s="559" t="s">
        <v>461</v>
      </c>
      <c r="E21" s="560">
        <f>E22+E26</f>
        <v>34970</v>
      </c>
      <c r="F21" s="560">
        <f t="shared" ref="F21:Y21" si="7">F22+F26</f>
        <v>37100</v>
      </c>
      <c r="G21" s="560">
        <f t="shared" si="7"/>
        <v>38100</v>
      </c>
      <c r="H21" s="560">
        <f t="shared" si="7"/>
        <v>38700</v>
      </c>
      <c r="I21" s="560">
        <f t="shared" si="7"/>
        <v>40100</v>
      </c>
      <c r="J21" s="560">
        <f t="shared" si="7"/>
        <v>40200</v>
      </c>
      <c r="K21" s="560">
        <f t="shared" si="7"/>
        <v>40200</v>
      </c>
      <c r="L21" s="938">
        <f t="shared" si="7"/>
        <v>41700</v>
      </c>
      <c r="M21" s="560">
        <f t="shared" si="7"/>
        <v>41600</v>
      </c>
      <c r="N21" s="560">
        <f t="shared" si="7"/>
        <v>41200</v>
      </c>
      <c r="O21" s="560">
        <f t="shared" si="7"/>
        <v>41200</v>
      </c>
      <c r="P21" s="560">
        <f t="shared" si="7"/>
        <v>41200</v>
      </c>
      <c r="Q21" s="560">
        <f t="shared" si="7"/>
        <v>41700</v>
      </c>
      <c r="R21" s="560">
        <f t="shared" si="7"/>
        <v>43800</v>
      </c>
      <c r="S21" s="560">
        <f t="shared" si="7"/>
        <v>44400</v>
      </c>
      <c r="T21" s="560">
        <f t="shared" si="7"/>
        <v>48000</v>
      </c>
      <c r="U21" s="560">
        <f t="shared" si="7"/>
        <v>49000</v>
      </c>
      <c r="V21" s="560">
        <f t="shared" si="7"/>
        <v>44300</v>
      </c>
      <c r="W21" s="560">
        <f t="shared" si="7"/>
        <v>38000</v>
      </c>
      <c r="X21" s="560">
        <f t="shared" si="7"/>
        <v>29000</v>
      </c>
      <c r="Y21" s="560">
        <f t="shared" si="7"/>
        <v>10080</v>
      </c>
      <c r="Z21" s="560">
        <f>SUM(E21:Y21)</f>
        <v>824550</v>
      </c>
      <c r="AA21" s="168">
        <f t="shared" si="5"/>
        <v>0</v>
      </c>
      <c r="AB21" s="468">
        <v>824550</v>
      </c>
    </row>
    <row r="22" spans="2:29" customFormat="1" ht="14.25" x14ac:dyDescent="0.2">
      <c r="B22" s="548" t="s">
        <v>332</v>
      </c>
      <c r="C22" s="549"/>
      <c r="D22" s="304" t="s">
        <v>458</v>
      </c>
      <c r="E22" s="548">
        <f>SUM(E23:E25)</f>
        <v>660</v>
      </c>
      <c r="F22" s="548">
        <f t="shared" ref="F22:Y22" si="8">SUM(F23:F25)</f>
        <v>700</v>
      </c>
      <c r="G22" s="548">
        <f t="shared" si="8"/>
        <v>700</v>
      </c>
      <c r="H22" s="548">
        <f t="shared" si="8"/>
        <v>400</v>
      </c>
      <c r="I22" s="548">
        <f t="shared" si="8"/>
        <v>0</v>
      </c>
      <c r="J22" s="548">
        <f t="shared" si="8"/>
        <v>0</v>
      </c>
      <c r="K22" s="548">
        <f t="shared" si="8"/>
        <v>0</v>
      </c>
      <c r="L22" s="693">
        <f t="shared" si="8"/>
        <v>0</v>
      </c>
      <c r="M22" s="548">
        <f t="shared" si="8"/>
        <v>0</v>
      </c>
      <c r="N22" s="548">
        <f t="shared" si="8"/>
        <v>0</v>
      </c>
      <c r="O22" s="548">
        <f t="shared" si="8"/>
        <v>0</v>
      </c>
      <c r="P22" s="548">
        <f t="shared" si="8"/>
        <v>500</v>
      </c>
      <c r="Q22" s="548">
        <f t="shared" si="8"/>
        <v>500</v>
      </c>
      <c r="R22" s="548">
        <f t="shared" si="8"/>
        <v>500</v>
      </c>
      <c r="S22" s="548">
        <f t="shared" si="8"/>
        <v>500</v>
      </c>
      <c r="T22" s="548">
        <f t="shared" si="8"/>
        <v>500</v>
      </c>
      <c r="U22" s="548">
        <f t="shared" si="8"/>
        <v>0</v>
      </c>
      <c r="V22" s="548">
        <f t="shared" si="8"/>
        <v>0</v>
      </c>
      <c r="W22" s="548">
        <f t="shared" si="8"/>
        <v>0</v>
      </c>
      <c r="X22" s="548">
        <f t="shared" si="8"/>
        <v>0</v>
      </c>
      <c r="Y22" s="548">
        <f t="shared" si="8"/>
        <v>0</v>
      </c>
      <c r="Z22" s="548">
        <f>SUM(E22:Y22)</f>
        <v>4960</v>
      </c>
      <c r="AA22" s="168">
        <f t="shared" ref="AA22:AA29" si="9">AB22-Z22</f>
        <v>0</v>
      </c>
      <c r="AB22" s="298">
        <v>4960</v>
      </c>
      <c r="AC22" s="299"/>
    </row>
    <row r="23" spans="2:29" s="302" customFormat="1" ht="14.25" x14ac:dyDescent="0.2">
      <c r="B23" s="549" t="s">
        <v>368</v>
      </c>
      <c r="C23" s="549"/>
      <c r="D23" s="304" t="s">
        <v>458</v>
      </c>
      <c r="E23" s="548">
        <f t="shared" ref="E23:Y23" si="10">E40+E67</f>
        <v>0</v>
      </c>
      <c r="F23" s="548">
        <f t="shared" si="10"/>
        <v>0</v>
      </c>
      <c r="G23" s="548">
        <f t="shared" si="10"/>
        <v>0</v>
      </c>
      <c r="H23" s="548">
        <f t="shared" si="10"/>
        <v>0</v>
      </c>
      <c r="I23" s="548">
        <f t="shared" si="10"/>
        <v>0</v>
      </c>
      <c r="J23" s="548">
        <f t="shared" si="10"/>
        <v>0</v>
      </c>
      <c r="K23" s="548">
        <f t="shared" si="10"/>
        <v>0</v>
      </c>
      <c r="L23" s="693">
        <f t="shared" si="10"/>
        <v>0</v>
      </c>
      <c r="M23" s="548">
        <f t="shared" si="10"/>
        <v>0</v>
      </c>
      <c r="N23" s="548">
        <f t="shared" si="10"/>
        <v>0</v>
      </c>
      <c r="O23" s="548">
        <f t="shared" si="10"/>
        <v>0</v>
      </c>
      <c r="P23" s="548">
        <f t="shared" si="10"/>
        <v>500</v>
      </c>
      <c r="Q23" s="548">
        <f t="shared" si="10"/>
        <v>500</v>
      </c>
      <c r="R23" s="548">
        <f t="shared" si="10"/>
        <v>500</v>
      </c>
      <c r="S23" s="548">
        <f t="shared" si="10"/>
        <v>500</v>
      </c>
      <c r="T23" s="548">
        <f t="shared" si="10"/>
        <v>500</v>
      </c>
      <c r="U23" s="548">
        <f t="shared" si="10"/>
        <v>0</v>
      </c>
      <c r="V23" s="548">
        <f t="shared" si="10"/>
        <v>0</v>
      </c>
      <c r="W23" s="548">
        <f t="shared" si="10"/>
        <v>0</v>
      </c>
      <c r="X23" s="548">
        <f t="shared" si="10"/>
        <v>0</v>
      </c>
      <c r="Y23" s="548">
        <f t="shared" si="10"/>
        <v>0</v>
      </c>
      <c r="Z23" s="548">
        <f t="shared" ref="Z23:Z25" si="11">SUM(E23:Y23)</f>
        <v>2500</v>
      </c>
      <c r="AA23" s="168"/>
      <c r="AB23" s="298"/>
      <c r="AC23" s="299"/>
    </row>
    <row r="24" spans="2:29" s="302" customFormat="1" ht="14.25" x14ac:dyDescent="0.2">
      <c r="B24" s="549" t="s">
        <v>367</v>
      </c>
      <c r="C24" s="549"/>
      <c r="D24" s="304" t="s">
        <v>458</v>
      </c>
      <c r="E24" s="548">
        <f t="shared" ref="E24:Y24" si="12">E41</f>
        <v>300</v>
      </c>
      <c r="F24" s="548">
        <f t="shared" si="12"/>
        <v>400</v>
      </c>
      <c r="G24" s="548">
        <f t="shared" si="12"/>
        <v>400</v>
      </c>
      <c r="H24" s="548">
        <f t="shared" si="12"/>
        <v>200</v>
      </c>
      <c r="I24" s="548">
        <f t="shared" si="12"/>
        <v>0</v>
      </c>
      <c r="J24" s="548">
        <f t="shared" si="12"/>
        <v>0</v>
      </c>
      <c r="K24" s="548">
        <f t="shared" si="12"/>
        <v>0</v>
      </c>
      <c r="L24" s="693">
        <f t="shared" si="12"/>
        <v>0</v>
      </c>
      <c r="M24" s="548">
        <f t="shared" si="12"/>
        <v>0</v>
      </c>
      <c r="N24" s="548">
        <f t="shared" si="12"/>
        <v>0</v>
      </c>
      <c r="O24" s="548">
        <f t="shared" si="12"/>
        <v>0</v>
      </c>
      <c r="P24" s="548">
        <f t="shared" si="12"/>
        <v>0</v>
      </c>
      <c r="Q24" s="548">
        <f t="shared" si="12"/>
        <v>0</v>
      </c>
      <c r="R24" s="548">
        <f t="shared" si="12"/>
        <v>0</v>
      </c>
      <c r="S24" s="548">
        <f t="shared" si="12"/>
        <v>0</v>
      </c>
      <c r="T24" s="548">
        <f t="shared" si="12"/>
        <v>0</v>
      </c>
      <c r="U24" s="548">
        <f t="shared" si="12"/>
        <v>0</v>
      </c>
      <c r="V24" s="548">
        <f t="shared" si="12"/>
        <v>0</v>
      </c>
      <c r="W24" s="548">
        <f t="shared" si="12"/>
        <v>0</v>
      </c>
      <c r="X24" s="548">
        <f t="shared" si="12"/>
        <v>0</v>
      </c>
      <c r="Y24" s="548">
        <f t="shared" si="12"/>
        <v>0</v>
      </c>
      <c r="Z24" s="548">
        <f t="shared" si="11"/>
        <v>1300</v>
      </c>
      <c r="AA24" s="168"/>
      <c r="AB24" s="298"/>
      <c r="AC24" s="299"/>
    </row>
    <row r="25" spans="2:29" s="302" customFormat="1" ht="14.25" x14ac:dyDescent="0.2">
      <c r="B25" s="549" t="s">
        <v>460</v>
      </c>
      <c r="C25" s="549"/>
      <c r="D25" s="304" t="s">
        <v>458</v>
      </c>
      <c r="E25" s="548">
        <f t="shared" ref="E25:Y25" si="13">E42</f>
        <v>360</v>
      </c>
      <c r="F25" s="548">
        <f t="shared" si="13"/>
        <v>300</v>
      </c>
      <c r="G25" s="548">
        <f t="shared" si="13"/>
        <v>300</v>
      </c>
      <c r="H25" s="548">
        <f t="shared" si="13"/>
        <v>200</v>
      </c>
      <c r="I25" s="548">
        <f t="shared" si="13"/>
        <v>0</v>
      </c>
      <c r="J25" s="548">
        <f t="shared" si="13"/>
        <v>0</v>
      </c>
      <c r="K25" s="548">
        <f t="shared" si="13"/>
        <v>0</v>
      </c>
      <c r="L25" s="693">
        <f t="shared" si="13"/>
        <v>0</v>
      </c>
      <c r="M25" s="548">
        <f t="shared" si="13"/>
        <v>0</v>
      </c>
      <c r="N25" s="548">
        <f t="shared" si="13"/>
        <v>0</v>
      </c>
      <c r="O25" s="548">
        <f t="shared" si="13"/>
        <v>0</v>
      </c>
      <c r="P25" s="548">
        <f t="shared" si="13"/>
        <v>0</v>
      </c>
      <c r="Q25" s="548">
        <f t="shared" si="13"/>
        <v>0</v>
      </c>
      <c r="R25" s="548">
        <f t="shared" si="13"/>
        <v>0</v>
      </c>
      <c r="S25" s="548">
        <f t="shared" si="13"/>
        <v>0</v>
      </c>
      <c r="T25" s="548">
        <f t="shared" si="13"/>
        <v>0</v>
      </c>
      <c r="U25" s="548">
        <f t="shared" si="13"/>
        <v>0</v>
      </c>
      <c r="V25" s="548">
        <f t="shared" si="13"/>
        <v>0</v>
      </c>
      <c r="W25" s="548">
        <f t="shared" si="13"/>
        <v>0</v>
      </c>
      <c r="X25" s="548">
        <f t="shared" si="13"/>
        <v>0</v>
      </c>
      <c r="Y25" s="548">
        <f t="shared" si="13"/>
        <v>0</v>
      </c>
      <c r="Z25" s="548">
        <f t="shared" si="11"/>
        <v>1160</v>
      </c>
      <c r="AA25" s="168"/>
      <c r="AB25" s="298"/>
      <c r="AC25" s="299"/>
    </row>
    <row r="26" spans="2:29" customFormat="1" ht="14.25" x14ac:dyDescent="0.2">
      <c r="B26" s="548" t="s">
        <v>371</v>
      </c>
      <c r="C26" s="549"/>
      <c r="D26" s="304" t="s">
        <v>458</v>
      </c>
      <c r="E26" s="297">
        <f>E27+E28</f>
        <v>34310</v>
      </c>
      <c r="F26" s="297">
        <f t="shared" ref="F26:Y26" si="14">F27+F28</f>
        <v>36400</v>
      </c>
      <c r="G26" s="297">
        <f t="shared" si="14"/>
        <v>37400</v>
      </c>
      <c r="H26" s="297">
        <f t="shared" si="14"/>
        <v>38300</v>
      </c>
      <c r="I26" s="297">
        <f t="shared" si="14"/>
        <v>40100</v>
      </c>
      <c r="J26" s="297">
        <f t="shared" si="14"/>
        <v>40200</v>
      </c>
      <c r="K26" s="297">
        <f t="shared" si="14"/>
        <v>40200</v>
      </c>
      <c r="L26" s="693">
        <f t="shared" si="14"/>
        <v>41700</v>
      </c>
      <c r="M26" s="297">
        <f t="shared" si="14"/>
        <v>41600</v>
      </c>
      <c r="N26" s="297">
        <f t="shared" si="14"/>
        <v>41200</v>
      </c>
      <c r="O26" s="297">
        <f t="shared" si="14"/>
        <v>41200</v>
      </c>
      <c r="P26" s="297">
        <f t="shared" si="14"/>
        <v>40700</v>
      </c>
      <c r="Q26" s="297">
        <f t="shared" si="14"/>
        <v>41200</v>
      </c>
      <c r="R26" s="297">
        <f t="shared" si="14"/>
        <v>43300</v>
      </c>
      <c r="S26" s="297">
        <f t="shared" si="14"/>
        <v>43900</v>
      </c>
      <c r="T26" s="297">
        <f t="shared" si="14"/>
        <v>47500</v>
      </c>
      <c r="U26" s="297">
        <f t="shared" si="14"/>
        <v>49000</v>
      </c>
      <c r="V26" s="297">
        <f t="shared" si="14"/>
        <v>44300</v>
      </c>
      <c r="W26" s="297">
        <f t="shared" si="14"/>
        <v>38000</v>
      </c>
      <c r="X26" s="297">
        <f t="shared" si="14"/>
        <v>29000</v>
      </c>
      <c r="Y26" s="297">
        <f t="shared" si="14"/>
        <v>10080</v>
      </c>
      <c r="Z26" s="297">
        <f>SUM(E26:Y26)</f>
        <v>819590</v>
      </c>
      <c r="AA26" s="168">
        <f t="shared" si="9"/>
        <v>0</v>
      </c>
      <c r="AB26" s="298">
        <v>819590</v>
      </c>
      <c r="AC26" s="299"/>
    </row>
    <row r="27" spans="2:29" customFormat="1" ht="14.25" x14ac:dyDescent="0.2">
      <c r="B27" s="549" t="s">
        <v>368</v>
      </c>
      <c r="C27" s="549"/>
      <c r="D27" s="304" t="s">
        <v>458</v>
      </c>
      <c r="E27" s="297">
        <f>E44+E68+E58</f>
        <v>31010</v>
      </c>
      <c r="F27" s="297">
        <f t="shared" ref="F27:Y27" si="15">F44+F68+F58</f>
        <v>32900</v>
      </c>
      <c r="G27" s="297">
        <f t="shared" si="15"/>
        <v>33900</v>
      </c>
      <c r="H27" s="297">
        <f t="shared" si="15"/>
        <v>34600</v>
      </c>
      <c r="I27" s="297">
        <f t="shared" si="15"/>
        <v>37500</v>
      </c>
      <c r="J27" s="297">
        <f t="shared" si="15"/>
        <v>37600</v>
      </c>
      <c r="K27" s="297">
        <f t="shared" si="15"/>
        <v>37600</v>
      </c>
      <c r="L27" s="693">
        <f t="shared" si="15"/>
        <v>39100</v>
      </c>
      <c r="M27" s="297">
        <f t="shared" si="15"/>
        <v>39000</v>
      </c>
      <c r="N27" s="297">
        <f t="shared" si="15"/>
        <v>38600</v>
      </c>
      <c r="O27" s="297">
        <f t="shared" si="15"/>
        <v>38600</v>
      </c>
      <c r="P27" s="297">
        <f t="shared" si="15"/>
        <v>38100</v>
      </c>
      <c r="Q27" s="297">
        <f t="shared" si="15"/>
        <v>39200</v>
      </c>
      <c r="R27" s="297">
        <f t="shared" si="15"/>
        <v>42300</v>
      </c>
      <c r="S27" s="297">
        <f t="shared" si="15"/>
        <v>43900</v>
      </c>
      <c r="T27" s="297">
        <f t="shared" si="15"/>
        <v>47500</v>
      </c>
      <c r="U27" s="297">
        <f t="shared" si="15"/>
        <v>49000</v>
      </c>
      <c r="V27" s="297">
        <f t="shared" si="15"/>
        <v>44300</v>
      </c>
      <c r="W27" s="297">
        <f t="shared" si="15"/>
        <v>38000</v>
      </c>
      <c r="X27" s="297">
        <f t="shared" si="15"/>
        <v>29000</v>
      </c>
      <c r="Y27" s="297">
        <f t="shared" si="15"/>
        <v>10080</v>
      </c>
      <c r="Z27" s="297">
        <f>SUM(E27:Y27)</f>
        <v>781790</v>
      </c>
      <c r="AA27" s="168"/>
      <c r="AB27" s="298"/>
      <c r="AC27" s="299"/>
    </row>
    <row r="28" spans="2:29" customFormat="1" ht="14.25" x14ac:dyDescent="0.2">
      <c r="B28" s="549" t="s">
        <v>367</v>
      </c>
      <c r="C28" s="549"/>
      <c r="D28" s="304" t="s">
        <v>458</v>
      </c>
      <c r="E28" s="297">
        <f t="shared" ref="E28:Y28" si="16">E45+E59</f>
        <v>3300</v>
      </c>
      <c r="F28" s="297">
        <f t="shared" si="16"/>
        <v>3500</v>
      </c>
      <c r="G28" s="297">
        <f t="shared" si="16"/>
        <v>3500</v>
      </c>
      <c r="H28" s="297">
        <f t="shared" si="16"/>
        <v>3700</v>
      </c>
      <c r="I28" s="297">
        <f t="shared" si="16"/>
        <v>2600</v>
      </c>
      <c r="J28" s="297">
        <f t="shared" si="16"/>
        <v>2600</v>
      </c>
      <c r="K28" s="297">
        <f t="shared" si="16"/>
        <v>2600</v>
      </c>
      <c r="L28" s="693">
        <f t="shared" si="16"/>
        <v>2600</v>
      </c>
      <c r="M28" s="297">
        <f t="shared" si="16"/>
        <v>2600</v>
      </c>
      <c r="N28" s="297">
        <f t="shared" si="16"/>
        <v>2600</v>
      </c>
      <c r="O28" s="297">
        <f t="shared" si="16"/>
        <v>2600</v>
      </c>
      <c r="P28" s="297">
        <f t="shared" si="16"/>
        <v>2600</v>
      </c>
      <c r="Q28" s="297">
        <f t="shared" si="16"/>
        <v>2000</v>
      </c>
      <c r="R28" s="297">
        <f t="shared" si="16"/>
        <v>1000</v>
      </c>
      <c r="S28" s="297">
        <f t="shared" si="16"/>
        <v>0</v>
      </c>
      <c r="T28" s="297">
        <f t="shared" si="16"/>
        <v>0</v>
      </c>
      <c r="U28" s="297">
        <f t="shared" si="16"/>
        <v>0</v>
      </c>
      <c r="V28" s="297">
        <f t="shared" si="16"/>
        <v>0</v>
      </c>
      <c r="W28" s="297">
        <f t="shared" si="16"/>
        <v>0</v>
      </c>
      <c r="X28" s="297">
        <f t="shared" si="16"/>
        <v>0</v>
      </c>
      <c r="Y28" s="297">
        <f t="shared" si="16"/>
        <v>0</v>
      </c>
      <c r="Z28" s="297">
        <f>SUM(E28:Y28)</f>
        <v>37800</v>
      </c>
      <c r="AA28" s="168">
        <f t="shared" si="9"/>
        <v>0</v>
      </c>
      <c r="AB28" s="298">
        <v>37800</v>
      </c>
      <c r="AC28" s="299"/>
    </row>
    <row r="29" spans="2:29" customFormat="1" ht="14.25" x14ac:dyDescent="0.2">
      <c r="B29" s="548" t="s">
        <v>372</v>
      </c>
      <c r="C29" s="549"/>
      <c r="D29" s="304" t="s">
        <v>458</v>
      </c>
      <c r="E29" s="297">
        <f t="shared" ref="E29:Y29" si="17">SUM(E30:E32)</f>
        <v>3440</v>
      </c>
      <c r="F29" s="297">
        <f t="shared" si="17"/>
        <v>4500</v>
      </c>
      <c r="G29" s="297">
        <f t="shared" si="17"/>
        <v>4500</v>
      </c>
      <c r="H29" s="297">
        <f t="shared" si="17"/>
        <v>4100</v>
      </c>
      <c r="I29" s="297">
        <f t="shared" si="17"/>
        <v>3800</v>
      </c>
      <c r="J29" s="297">
        <f t="shared" si="17"/>
        <v>6300</v>
      </c>
      <c r="K29" s="297">
        <f t="shared" si="17"/>
        <v>8300</v>
      </c>
      <c r="L29" s="693">
        <f t="shared" si="17"/>
        <v>9300</v>
      </c>
      <c r="M29" s="297">
        <f t="shared" si="17"/>
        <v>9400</v>
      </c>
      <c r="N29" s="548">
        <f t="shared" si="17"/>
        <v>9800</v>
      </c>
      <c r="O29" s="297">
        <f t="shared" si="17"/>
        <v>9800</v>
      </c>
      <c r="P29" s="297">
        <f t="shared" si="17"/>
        <v>9300</v>
      </c>
      <c r="Q29" s="297">
        <f t="shared" si="17"/>
        <v>8440</v>
      </c>
      <c r="R29" s="297">
        <f t="shared" si="17"/>
        <v>5200</v>
      </c>
      <c r="S29" s="297">
        <f t="shared" si="17"/>
        <v>4600</v>
      </c>
      <c r="T29" s="297">
        <f t="shared" si="17"/>
        <v>1000</v>
      </c>
      <c r="U29" s="297">
        <f t="shared" si="17"/>
        <v>0</v>
      </c>
      <c r="V29" s="297">
        <f t="shared" si="17"/>
        <v>0</v>
      </c>
      <c r="W29" s="297">
        <f t="shared" si="17"/>
        <v>0</v>
      </c>
      <c r="X29" s="297">
        <f t="shared" si="17"/>
        <v>0</v>
      </c>
      <c r="Y29" s="297">
        <f t="shared" si="17"/>
        <v>0</v>
      </c>
      <c r="Z29" s="297">
        <f>SUM(E29:Y29)</f>
        <v>101780</v>
      </c>
      <c r="AA29" s="168">
        <f t="shared" si="9"/>
        <v>0</v>
      </c>
      <c r="AB29" s="298">
        <v>101780</v>
      </c>
      <c r="AC29" s="299"/>
    </row>
    <row r="30" spans="2:29" s="302" customFormat="1" ht="14.25" x14ac:dyDescent="0.2">
      <c r="B30" s="549" t="s">
        <v>368</v>
      </c>
      <c r="C30" s="549"/>
      <c r="D30" s="304" t="s">
        <v>458</v>
      </c>
      <c r="E30" s="297">
        <f t="shared" ref="E30:Y30" si="18">E47+E71+E61</f>
        <v>1500</v>
      </c>
      <c r="F30" s="297">
        <f t="shared" si="18"/>
        <v>2000</v>
      </c>
      <c r="G30" s="297">
        <f t="shared" si="18"/>
        <v>2000</v>
      </c>
      <c r="H30" s="297">
        <f t="shared" si="18"/>
        <v>2000</v>
      </c>
      <c r="I30" s="297">
        <f t="shared" si="18"/>
        <v>1000</v>
      </c>
      <c r="J30" s="297">
        <f t="shared" si="18"/>
        <v>1200</v>
      </c>
      <c r="K30" s="297">
        <f t="shared" si="18"/>
        <v>3200</v>
      </c>
      <c r="L30" s="693">
        <f t="shared" si="18"/>
        <v>3200</v>
      </c>
      <c r="M30" s="297">
        <f t="shared" si="18"/>
        <v>3200</v>
      </c>
      <c r="N30" s="297">
        <f t="shared" si="18"/>
        <v>3200</v>
      </c>
      <c r="O30" s="297">
        <f t="shared" si="18"/>
        <v>3200</v>
      </c>
      <c r="P30" s="297">
        <f t="shared" si="18"/>
        <v>2700</v>
      </c>
      <c r="Q30" s="297">
        <f t="shared" si="18"/>
        <v>2340</v>
      </c>
      <c r="R30" s="297">
        <f t="shared" si="18"/>
        <v>1200</v>
      </c>
      <c r="S30" s="297">
        <f t="shared" si="18"/>
        <v>1200</v>
      </c>
      <c r="T30" s="297">
        <f t="shared" si="18"/>
        <v>1000</v>
      </c>
      <c r="U30" s="297">
        <f t="shared" si="18"/>
        <v>0</v>
      </c>
      <c r="V30" s="297">
        <f t="shared" si="18"/>
        <v>0</v>
      </c>
      <c r="W30" s="297">
        <f t="shared" si="18"/>
        <v>0</v>
      </c>
      <c r="X30" s="297">
        <f t="shared" si="18"/>
        <v>0</v>
      </c>
      <c r="Y30" s="297">
        <f t="shared" si="18"/>
        <v>0</v>
      </c>
      <c r="Z30" s="297">
        <f t="shared" ref="Z30:Z34" si="19">SUM(E30:Y30)</f>
        <v>34140</v>
      </c>
      <c r="AA30" s="168"/>
      <c r="AB30" s="298"/>
      <c r="AC30" s="299"/>
    </row>
    <row r="31" spans="2:29" s="302" customFormat="1" ht="14.25" x14ac:dyDescent="0.2">
      <c r="B31" s="549" t="s">
        <v>367</v>
      </c>
      <c r="C31" s="549"/>
      <c r="D31" s="304" t="s">
        <v>458</v>
      </c>
      <c r="E31" s="297">
        <f t="shared" ref="E31:Y31" si="20">E49+E62</f>
        <v>1000</v>
      </c>
      <c r="F31" s="297">
        <f t="shared" si="20"/>
        <v>1300</v>
      </c>
      <c r="G31" s="297">
        <f t="shared" si="20"/>
        <v>1300</v>
      </c>
      <c r="H31" s="297">
        <f t="shared" si="20"/>
        <v>1300</v>
      </c>
      <c r="I31" s="297">
        <f t="shared" si="20"/>
        <v>2300</v>
      </c>
      <c r="J31" s="297">
        <f t="shared" si="20"/>
        <v>2600</v>
      </c>
      <c r="K31" s="297">
        <f t="shared" si="20"/>
        <v>2600</v>
      </c>
      <c r="L31" s="693">
        <f t="shared" si="20"/>
        <v>2600</v>
      </c>
      <c r="M31" s="297">
        <f t="shared" si="20"/>
        <v>2600</v>
      </c>
      <c r="N31" s="297">
        <f t="shared" si="20"/>
        <v>2600</v>
      </c>
      <c r="O31" s="297">
        <f t="shared" si="20"/>
        <v>2600</v>
      </c>
      <c r="P31" s="297">
        <f t="shared" si="20"/>
        <v>2600</v>
      </c>
      <c r="Q31" s="297">
        <f t="shared" si="20"/>
        <v>2100</v>
      </c>
      <c r="R31" s="297">
        <f t="shared" si="20"/>
        <v>0</v>
      </c>
      <c r="S31" s="297">
        <f t="shared" si="20"/>
        <v>0</v>
      </c>
      <c r="T31" s="297">
        <f t="shared" si="20"/>
        <v>0</v>
      </c>
      <c r="U31" s="297">
        <f t="shared" si="20"/>
        <v>0</v>
      </c>
      <c r="V31" s="297">
        <f t="shared" si="20"/>
        <v>0</v>
      </c>
      <c r="W31" s="297">
        <f t="shared" si="20"/>
        <v>0</v>
      </c>
      <c r="X31" s="297">
        <f t="shared" si="20"/>
        <v>0</v>
      </c>
      <c r="Y31" s="297">
        <f t="shared" si="20"/>
        <v>0</v>
      </c>
      <c r="Z31" s="297">
        <f t="shared" si="19"/>
        <v>27500</v>
      </c>
      <c r="AA31" s="168"/>
      <c r="AB31" s="454"/>
      <c r="AC31" s="299"/>
    </row>
    <row r="32" spans="2:29" s="302" customFormat="1" ht="14.25" x14ac:dyDescent="0.2">
      <c r="B32" s="549" t="s">
        <v>393</v>
      </c>
      <c r="C32" s="549"/>
      <c r="D32" s="304" t="s">
        <v>458</v>
      </c>
      <c r="E32" s="297">
        <f>E50</f>
        <v>940</v>
      </c>
      <c r="F32" s="297">
        <f t="shared" ref="F32:Y34" si="21">F50</f>
        <v>1200</v>
      </c>
      <c r="G32" s="297">
        <f t="shared" si="21"/>
        <v>1200</v>
      </c>
      <c r="H32" s="297">
        <f t="shared" si="21"/>
        <v>800</v>
      </c>
      <c r="I32" s="297">
        <f t="shared" si="21"/>
        <v>500</v>
      </c>
      <c r="J32" s="297">
        <f t="shared" si="21"/>
        <v>2500</v>
      </c>
      <c r="K32" s="297">
        <f t="shared" si="21"/>
        <v>2500</v>
      </c>
      <c r="L32" s="693">
        <f t="shared" si="21"/>
        <v>3500</v>
      </c>
      <c r="M32" s="297">
        <f t="shared" si="21"/>
        <v>3600</v>
      </c>
      <c r="N32" s="297">
        <f t="shared" si="21"/>
        <v>4000</v>
      </c>
      <c r="O32" s="297">
        <f t="shared" si="21"/>
        <v>4000</v>
      </c>
      <c r="P32" s="297">
        <f t="shared" si="21"/>
        <v>4000</v>
      </c>
      <c r="Q32" s="297">
        <f t="shared" si="21"/>
        <v>4000</v>
      </c>
      <c r="R32" s="297">
        <f t="shared" si="21"/>
        <v>4000</v>
      </c>
      <c r="S32" s="297">
        <f t="shared" si="21"/>
        <v>3400</v>
      </c>
      <c r="T32" s="297">
        <f t="shared" si="21"/>
        <v>0</v>
      </c>
      <c r="U32" s="297">
        <f t="shared" si="21"/>
        <v>0</v>
      </c>
      <c r="V32" s="297">
        <f t="shared" si="21"/>
        <v>0</v>
      </c>
      <c r="W32" s="297">
        <f t="shared" si="21"/>
        <v>0</v>
      </c>
      <c r="X32" s="297">
        <f t="shared" si="21"/>
        <v>0</v>
      </c>
      <c r="Y32" s="297">
        <f t="shared" si="21"/>
        <v>0</v>
      </c>
      <c r="Z32" s="297">
        <f t="shared" si="19"/>
        <v>40140</v>
      </c>
      <c r="AA32" s="168"/>
      <c r="AB32" s="454"/>
      <c r="AC32" s="299"/>
    </row>
    <row r="33" spans="2:29" s="302" customFormat="1" ht="14.25" x14ac:dyDescent="0.2">
      <c r="B33" s="549" t="s">
        <v>394</v>
      </c>
      <c r="C33" s="549"/>
      <c r="D33" s="304" t="s">
        <v>458</v>
      </c>
      <c r="E33" s="297">
        <f t="shared" ref="E33:T34" si="22">E51</f>
        <v>940</v>
      </c>
      <c r="F33" s="297">
        <f t="shared" si="22"/>
        <v>1200</v>
      </c>
      <c r="G33" s="297">
        <f t="shared" si="22"/>
        <v>1200</v>
      </c>
      <c r="H33" s="297">
        <v>1500</v>
      </c>
      <c r="I33" s="297">
        <f t="shared" si="22"/>
        <v>0</v>
      </c>
      <c r="J33" s="297">
        <f t="shared" si="22"/>
        <v>0</v>
      </c>
      <c r="K33" s="297">
        <f t="shared" si="22"/>
        <v>0</v>
      </c>
      <c r="L33" s="693">
        <f t="shared" si="22"/>
        <v>0</v>
      </c>
      <c r="M33" s="297">
        <f t="shared" si="22"/>
        <v>0</v>
      </c>
      <c r="N33" s="297">
        <f t="shared" si="22"/>
        <v>0</v>
      </c>
      <c r="O33" s="297">
        <f t="shared" si="22"/>
        <v>0</v>
      </c>
      <c r="P33" s="297">
        <f t="shared" si="22"/>
        <v>0</v>
      </c>
      <c r="Q33" s="297">
        <f t="shared" si="22"/>
        <v>0</v>
      </c>
      <c r="R33" s="297">
        <f t="shared" si="22"/>
        <v>0</v>
      </c>
      <c r="S33" s="297">
        <f t="shared" si="22"/>
        <v>0</v>
      </c>
      <c r="T33" s="297">
        <f t="shared" si="22"/>
        <v>0</v>
      </c>
      <c r="U33" s="297">
        <f t="shared" si="21"/>
        <v>0</v>
      </c>
      <c r="V33" s="297">
        <f t="shared" si="21"/>
        <v>0</v>
      </c>
      <c r="W33" s="297">
        <f t="shared" si="21"/>
        <v>0</v>
      </c>
      <c r="X33" s="297">
        <f t="shared" si="21"/>
        <v>0</v>
      </c>
      <c r="Y33" s="297">
        <f t="shared" si="21"/>
        <v>0</v>
      </c>
      <c r="Z33" s="297">
        <f t="shared" si="19"/>
        <v>4840</v>
      </c>
      <c r="AA33" s="168"/>
      <c r="AB33" s="454"/>
      <c r="AC33" s="299"/>
    </row>
    <row r="34" spans="2:29" s="302" customFormat="1" ht="14.25" x14ac:dyDescent="0.2">
      <c r="B34" s="549" t="s">
        <v>395</v>
      </c>
      <c r="C34" s="549"/>
      <c r="D34" s="304" t="s">
        <v>458</v>
      </c>
      <c r="E34" s="297">
        <f t="shared" si="22"/>
        <v>0</v>
      </c>
      <c r="F34" s="297">
        <f t="shared" si="21"/>
        <v>0</v>
      </c>
      <c r="G34" s="297">
        <f t="shared" si="21"/>
        <v>0</v>
      </c>
      <c r="H34" s="297">
        <v>0</v>
      </c>
      <c r="I34" s="297">
        <f t="shared" si="21"/>
        <v>500</v>
      </c>
      <c r="J34" s="297">
        <f t="shared" si="21"/>
        <v>2500</v>
      </c>
      <c r="K34" s="297">
        <f t="shared" si="21"/>
        <v>2500</v>
      </c>
      <c r="L34" s="693">
        <f t="shared" si="21"/>
        <v>3500</v>
      </c>
      <c r="M34" s="297">
        <f t="shared" si="21"/>
        <v>3600</v>
      </c>
      <c r="N34" s="297">
        <f t="shared" si="21"/>
        <v>4000</v>
      </c>
      <c r="O34" s="297">
        <f t="shared" si="21"/>
        <v>4000</v>
      </c>
      <c r="P34" s="297">
        <f t="shared" si="21"/>
        <v>4000</v>
      </c>
      <c r="Q34" s="297">
        <f t="shared" si="21"/>
        <v>4000</v>
      </c>
      <c r="R34" s="297">
        <f t="shared" si="21"/>
        <v>4000</v>
      </c>
      <c r="S34" s="297">
        <f t="shared" si="21"/>
        <v>3400</v>
      </c>
      <c r="T34" s="297">
        <f t="shared" si="21"/>
        <v>0</v>
      </c>
      <c r="U34" s="297">
        <f t="shared" si="21"/>
        <v>0</v>
      </c>
      <c r="V34" s="297">
        <f t="shared" si="21"/>
        <v>0</v>
      </c>
      <c r="W34" s="297">
        <f t="shared" si="21"/>
        <v>0</v>
      </c>
      <c r="X34" s="297">
        <f t="shared" si="21"/>
        <v>0</v>
      </c>
      <c r="Y34" s="297">
        <f t="shared" si="21"/>
        <v>0</v>
      </c>
      <c r="Z34" s="297">
        <f t="shared" si="19"/>
        <v>36000</v>
      </c>
      <c r="AA34" s="168"/>
      <c r="AB34" s="298">
        <v>36000</v>
      </c>
      <c r="AC34" s="299"/>
    </row>
    <row r="35" spans="2:29" customFormat="1" ht="14.25" x14ac:dyDescent="0.2">
      <c r="B35" s="550" t="s">
        <v>307</v>
      </c>
      <c r="C35" s="549"/>
      <c r="D35" s="304" t="s">
        <v>458</v>
      </c>
      <c r="E35" s="557">
        <f>E53+E72+E63</f>
        <v>1198.4000000000001</v>
      </c>
      <c r="F35" s="557">
        <f t="shared" ref="F35:Y35" si="23">F53+F72+F63</f>
        <v>1218</v>
      </c>
      <c r="G35" s="557">
        <f t="shared" si="23"/>
        <v>762</v>
      </c>
      <c r="H35" s="557">
        <f t="shared" si="23"/>
        <v>774</v>
      </c>
      <c r="I35" s="557">
        <f t="shared" si="23"/>
        <v>802</v>
      </c>
      <c r="J35" s="557">
        <f t="shared" si="23"/>
        <v>804</v>
      </c>
      <c r="K35" s="557">
        <f t="shared" si="23"/>
        <v>804</v>
      </c>
      <c r="L35" s="944">
        <f t="shared" si="23"/>
        <v>834</v>
      </c>
      <c r="M35" s="557">
        <f t="shared" si="23"/>
        <v>832</v>
      </c>
      <c r="N35" s="557">
        <f t="shared" si="23"/>
        <v>824</v>
      </c>
      <c r="O35" s="557">
        <f t="shared" si="23"/>
        <v>824</v>
      </c>
      <c r="P35" s="557">
        <f t="shared" si="23"/>
        <v>824</v>
      </c>
      <c r="Q35" s="557">
        <f t="shared" si="23"/>
        <v>834</v>
      </c>
      <c r="R35" s="557">
        <f t="shared" si="23"/>
        <v>876</v>
      </c>
      <c r="S35" s="557">
        <f t="shared" si="23"/>
        <v>888</v>
      </c>
      <c r="T35" s="557">
        <f t="shared" si="23"/>
        <v>960</v>
      </c>
      <c r="U35" s="557">
        <f t="shared" si="23"/>
        <v>980</v>
      </c>
      <c r="V35" s="557">
        <f t="shared" si="23"/>
        <v>886</v>
      </c>
      <c r="W35" s="557">
        <f t="shared" si="23"/>
        <v>760</v>
      </c>
      <c r="X35" s="557">
        <f t="shared" si="23"/>
        <v>580</v>
      </c>
      <c r="Y35" s="557">
        <f t="shared" si="23"/>
        <v>201.6</v>
      </c>
      <c r="Z35" s="297"/>
      <c r="AA35" s="168"/>
      <c r="AB35" s="454"/>
      <c r="AC35" s="299"/>
    </row>
    <row r="36" spans="2:29" customFormat="1" ht="15" x14ac:dyDescent="0.25">
      <c r="B36" s="551" t="s">
        <v>333</v>
      </c>
      <c r="C36" s="551"/>
      <c r="D36" s="304"/>
      <c r="E36" s="553">
        <f t="shared" ref="E36:Z36" si="24">E21/E12</f>
        <v>6.9939999999999998</v>
      </c>
      <c r="F36" s="553">
        <f t="shared" si="24"/>
        <v>7.42</v>
      </c>
      <c r="G36" s="553">
        <f t="shared" si="24"/>
        <v>7.62</v>
      </c>
      <c r="H36" s="553">
        <f t="shared" si="24"/>
        <v>7.74</v>
      </c>
      <c r="I36" s="553">
        <f t="shared" si="24"/>
        <v>8.02</v>
      </c>
      <c r="J36" s="553">
        <f t="shared" si="24"/>
        <v>8.0399999999999991</v>
      </c>
      <c r="K36" s="553">
        <f t="shared" si="24"/>
        <v>8.0399999999999991</v>
      </c>
      <c r="L36" s="945">
        <f t="shared" si="24"/>
        <v>8.34</v>
      </c>
      <c r="M36" s="553">
        <f t="shared" si="24"/>
        <v>8.32</v>
      </c>
      <c r="N36" s="553">
        <f t="shared" si="24"/>
        <v>8.24</v>
      </c>
      <c r="O36" s="553">
        <f t="shared" si="24"/>
        <v>8.24</v>
      </c>
      <c r="P36" s="553">
        <f t="shared" si="24"/>
        <v>8.24</v>
      </c>
      <c r="Q36" s="553">
        <f t="shared" si="24"/>
        <v>8.34</v>
      </c>
      <c r="R36" s="553">
        <f t="shared" si="24"/>
        <v>8.76</v>
      </c>
      <c r="S36" s="553">
        <f t="shared" si="24"/>
        <v>8.8800000000000008</v>
      </c>
      <c r="T36" s="553">
        <f t="shared" si="24"/>
        <v>9.6</v>
      </c>
      <c r="U36" s="553">
        <f t="shared" si="24"/>
        <v>9.8000000000000007</v>
      </c>
      <c r="V36" s="553">
        <f t="shared" si="24"/>
        <v>8.86</v>
      </c>
      <c r="W36" s="553">
        <f t="shared" si="24"/>
        <v>8.4444444444444446</v>
      </c>
      <c r="X36" s="553">
        <f t="shared" si="24"/>
        <v>8.2857142857142865</v>
      </c>
      <c r="Y36" s="553">
        <f t="shared" si="24"/>
        <v>7.024390243902439</v>
      </c>
      <c r="Z36" s="553">
        <f t="shared" si="24"/>
        <v>8.2923517875999391</v>
      </c>
      <c r="AB36" s="455"/>
    </row>
    <row r="37" spans="2:29" customFormat="1" ht="15" x14ac:dyDescent="0.25">
      <c r="B37" s="551" t="s">
        <v>334</v>
      </c>
      <c r="C37" s="551"/>
      <c r="D37" s="304"/>
      <c r="E37" s="553">
        <f t="shared" ref="E37:Z37" si="25">(E21+E29)/E12</f>
        <v>7.6820000000000004</v>
      </c>
      <c r="F37" s="553">
        <f t="shared" si="25"/>
        <v>8.32</v>
      </c>
      <c r="G37" s="553">
        <f t="shared" si="25"/>
        <v>8.52</v>
      </c>
      <c r="H37" s="553">
        <f t="shared" si="25"/>
        <v>8.56</v>
      </c>
      <c r="I37" s="553">
        <f t="shared" si="25"/>
        <v>8.7799999999999994</v>
      </c>
      <c r="J37" s="553">
        <f t="shared" si="25"/>
        <v>9.3000000000000007</v>
      </c>
      <c r="K37" s="553">
        <f t="shared" si="25"/>
        <v>9.6999999999999993</v>
      </c>
      <c r="L37" s="945">
        <f t="shared" si="25"/>
        <v>10.199999999999999</v>
      </c>
      <c r="M37" s="553">
        <f t="shared" si="25"/>
        <v>10.199999999999999</v>
      </c>
      <c r="N37" s="553">
        <f t="shared" si="25"/>
        <v>10.199999999999999</v>
      </c>
      <c r="O37" s="553">
        <f t="shared" si="25"/>
        <v>10.199999999999999</v>
      </c>
      <c r="P37" s="553">
        <f t="shared" si="25"/>
        <v>10.1</v>
      </c>
      <c r="Q37" s="553">
        <f t="shared" si="25"/>
        <v>10.028</v>
      </c>
      <c r="R37" s="553">
        <f t="shared" si="25"/>
        <v>9.8000000000000007</v>
      </c>
      <c r="S37" s="553">
        <f t="shared" si="25"/>
        <v>9.8000000000000007</v>
      </c>
      <c r="T37" s="553">
        <f t="shared" si="25"/>
        <v>9.8000000000000007</v>
      </c>
      <c r="U37" s="553">
        <f t="shared" si="25"/>
        <v>9.8000000000000007</v>
      </c>
      <c r="V37" s="553">
        <f t="shared" si="25"/>
        <v>8.86</v>
      </c>
      <c r="W37" s="553">
        <f t="shared" si="25"/>
        <v>8.4444444444444446</v>
      </c>
      <c r="X37" s="553">
        <f t="shared" si="25"/>
        <v>8.2857142857142865</v>
      </c>
      <c r="Y37" s="553">
        <f t="shared" si="25"/>
        <v>7.024390243902439</v>
      </c>
      <c r="Z37" s="553">
        <f t="shared" si="25"/>
        <v>9.315935032936089</v>
      </c>
      <c r="AB37" s="455"/>
    </row>
    <row r="38" spans="2:29" s="302" customFormat="1" ht="30" customHeight="1" x14ac:dyDescent="0.25">
      <c r="B38" s="914" t="s">
        <v>524</v>
      </c>
      <c r="C38" s="545"/>
      <c r="D38" s="546" t="s">
        <v>461</v>
      </c>
      <c r="E38" s="546">
        <f t="shared" ref="E38:Y38" si="26">E39+E43</f>
        <v>34920</v>
      </c>
      <c r="F38" s="546">
        <f t="shared" si="26"/>
        <v>34100</v>
      </c>
      <c r="G38" s="546">
        <f t="shared" si="26"/>
        <v>32500</v>
      </c>
      <c r="H38" s="546">
        <f t="shared" si="26"/>
        <v>31900</v>
      </c>
      <c r="I38" s="546">
        <f t="shared" si="26"/>
        <v>30900</v>
      </c>
      <c r="J38" s="546">
        <f t="shared" si="26"/>
        <v>30600</v>
      </c>
      <c r="K38" s="546">
        <f t="shared" si="26"/>
        <v>21300</v>
      </c>
      <c r="L38" s="937">
        <f t="shared" si="26"/>
        <v>20700</v>
      </c>
      <c r="M38" s="546">
        <f t="shared" si="26"/>
        <v>17600</v>
      </c>
      <c r="N38" s="546">
        <f t="shared" si="26"/>
        <v>17200</v>
      </c>
      <c r="O38" s="546">
        <f t="shared" si="26"/>
        <v>16600</v>
      </c>
      <c r="P38" s="546">
        <f t="shared" si="26"/>
        <v>16200</v>
      </c>
      <c r="Q38" s="546">
        <f t="shared" si="26"/>
        <v>16700</v>
      </c>
      <c r="R38" s="546">
        <f t="shared" si="26"/>
        <v>18800</v>
      </c>
      <c r="S38" s="546">
        <f t="shared" si="26"/>
        <v>21400</v>
      </c>
      <c r="T38" s="546">
        <f t="shared" si="26"/>
        <v>25000</v>
      </c>
      <c r="U38" s="546">
        <f t="shared" si="26"/>
        <v>34000</v>
      </c>
      <c r="V38" s="546">
        <f t="shared" si="26"/>
        <v>32300</v>
      </c>
      <c r="W38" s="546">
        <f t="shared" si="26"/>
        <v>38000</v>
      </c>
      <c r="X38" s="546">
        <f t="shared" si="26"/>
        <v>29000</v>
      </c>
      <c r="Y38" s="546">
        <f t="shared" si="26"/>
        <v>10080</v>
      </c>
      <c r="Z38" s="546">
        <f>SUM(E38:Y38)</f>
        <v>529800</v>
      </c>
      <c r="AA38" s="469">
        <f t="shared" ref="AA38:AA43" si="27">AB38-Z38</f>
        <v>281300</v>
      </c>
      <c r="AB38" s="450">
        <v>811100</v>
      </c>
      <c r="AC38" s="450">
        <v>949100</v>
      </c>
    </row>
    <row r="39" spans="2:29" s="302" customFormat="1" ht="14.25" x14ac:dyDescent="0.2">
      <c r="B39" s="548" t="s">
        <v>369</v>
      </c>
      <c r="C39" s="549"/>
      <c r="D39" s="304" t="s">
        <v>458</v>
      </c>
      <c r="E39" s="548">
        <f>SUM(E40:E42)</f>
        <v>660</v>
      </c>
      <c r="F39" s="548">
        <f t="shared" ref="F39:Y39" si="28">SUM(F40:F42)</f>
        <v>700</v>
      </c>
      <c r="G39" s="548">
        <f t="shared" si="28"/>
        <v>700</v>
      </c>
      <c r="H39" s="548">
        <f t="shared" si="28"/>
        <v>400</v>
      </c>
      <c r="I39" s="548">
        <f t="shared" si="28"/>
        <v>0</v>
      </c>
      <c r="J39" s="548">
        <f t="shared" si="28"/>
        <v>0</v>
      </c>
      <c r="K39" s="548">
        <f t="shared" si="28"/>
        <v>0</v>
      </c>
      <c r="L39" s="693">
        <f t="shared" si="28"/>
        <v>0</v>
      </c>
      <c r="M39" s="548">
        <f t="shared" si="28"/>
        <v>0</v>
      </c>
      <c r="N39" s="548">
        <f t="shared" si="28"/>
        <v>0</v>
      </c>
      <c r="O39" s="548">
        <f t="shared" si="28"/>
        <v>0</v>
      </c>
      <c r="P39" s="548">
        <f t="shared" si="28"/>
        <v>500</v>
      </c>
      <c r="Q39" s="548">
        <f t="shared" si="28"/>
        <v>500</v>
      </c>
      <c r="R39" s="548">
        <f t="shared" si="28"/>
        <v>500</v>
      </c>
      <c r="S39" s="548">
        <f t="shared" si="28"/>
        <v>500</v>
      </c>
      <c r="T39" s="548">
        <f t="shared" si="28"/>
        <v>500</v>
      </c>
      <c r="U39" s="548">
        <f t="shared" si="28"/>
        <v>0</v>
      </c>
      <c r="V39" s="548">
        <f t="shared" si="28"/>
        <v>0</v>
      </c>
      <c r="W39" s="548">
        <f t="shared" si="28"/>
        <v>0</v>
      </c>
      <c r="X39" s="548">
        <f t="shared" si="28"/>
        <v>0</v>
      </c>
      <c r="Y39" s="548">
        <f t="shared" si="28"/>
        <v>0</v>
      </c>
      <c r="Z39" s="548">
        <f>SUM(E39:Y39)</f>
        <v>4960</v>
      </c>
      <c r="AA39" s="168">
        <f t="shared" si="27"/>
        <v>0</v>
      </c>
      <c r="AB39" s="298">
        <v>4960</v>
      </c>
      <c r="AC39" s="299"/>
    </row>
    <row r="40" spans="2:29" s="302" customFormat="1" ht="14.25" x14ac:dyDescent="0.2">
      <c r="B40" s="549" t="s">
        <v>368</v>
      </c>
      <c r="C40" s="549"/>
      <c r="D40" s="304" t="s">
        <v>458</v>
      </c>
      <c r="E40" s="548"/>
      <c r="F40" s="548"/>
      <c r="G40" s="548"/>
      <c r="H40" s="548"/>
      <c r="I40" s="548"/>
      <c r="J40" s="548"/>
      <c r="K40" s="548"/>
      <c r="L40" s="693"/>
      <c r="M40" s="548"/>
      <c r="N40" s="548"/>
      <c r="O40" s="548"/>
      <c r="P40" s="548">
        <v>500</v>
      </c>
      <c r="Q40" s="548">
        <v>500</v>
      </c>
      <c r="R40" s="548">
        <v>500</v>
      </c>
      <c r="S40" s="548">
        <v>500</v>
      </c>
      <c r="T40" s="548">
        <v>500</v>
      </c>
      <c r="U40" s="548"/>
      <c r="V40" s="548"/>
      <c r="W40" s="548"/>
      <c r="X40" s="548"/>
      <c r="Y40" s="548"/>
      <c r="Z40" s="548">
        <f t="shared" ref="Z40:Z42" si="29">SUM(E40:Y40)</f>
        <v>2500</v>
      </c>
      <c r="AA40" s="168"/>
      <c r="AB40" s="298"/>
      <c r="AC40" s="299"/>
    </row>
    <row r="41" spans="2:29" s="302" customFormat="1" ht="14.25" x14ac:dyDescent="0.2">
      <c r="B41" s="549" t="s">
        <v>367</v>
      </c>
      <c r="C41" s="549"/>
      <c r="D41" s="304" t="s">
        <v>458</v>
      </c>
      <c r="E41" s="548">
        <v>300</v>
      </c>
      <c r="F41" s="548">
        <v>400</v>
      </c>
      <c r="G41" s="548">
        <v>400</v>
      </c>
      <c r="H41" s="548">
        <v>200</v>
      </c>
      <c r="I41" s="548"/>
      <c r="J41" s="548"/>
      <c r="K41" s="548"/>
      <c r="L41" s="693"/>
      <c r="M41" s="548"/>
      <c r="N41" s="548"/>
      <c r="O41" s="548"/>
      <c r="P41" s="548"/>
      <c r="Q41" s="548"/>
      <c r="R41" s="548"/>
      <c r="S41" s="548"/>
      <c r="T41" s="548"/>
      <c r="U41" s="548"/>
      <c r="V41" s="548"/>
      <c r="W41" s="548"/>
      <c r="X41" s="548"/>
      <c r="Y41" s="548"/>
      <c r="Z41" s="548">
        <f t="shared" si="29"/>
        <v>1300</v>
      </c>
      <c r="AA41" s="168"/>
      <c r="AB41" s="298"/>
      <c r="AC41" s="299"/>
    </row>
    <row r="42" spans="2:29" s="302" customFormat="1" ht="14.25" x14ac:dyDescent="0.2">
      <c r="B42" s="549" t="s">
        <v>460</v>
      </c>
      <c r="C42" s="549"/>
      <c r="D42" s="304" t="s">
        <v>458</v>
      </c>
      <c r="E42" s="548">
        <v>360</v>
      </c>
      <c r="F42" s="548">
        <v>300</v>
      </c>
      <c r="G42" s="548">
        <v>300</v>
      </c>
      <c r="H42" s="548">
        <v>200</v>
      </c>
      <c r="I42" s="548"/>
      <c r="J42" s="548"/>
      <c r="K42" s="548"/>
      <c r="L42" s="693"/>
      <c r="M42" s="548"/>
      <c r="N42" s="548"/>
      <c r="O42" s="548"/>
      <c r="P42" s="548"/>
      <c r="Q42" s="548"/>
      <c r="R42" s="548"/>
      <c r="S42" s="548"/>
      <c r="T42" s="548"/>
      <c r="U42" s="548"/>
      <c r="V42" s="548"/>
      <c r="W42" s="548"/>
      <c r="X42" s="548"/>
      <c r="Y42" s="548"/>
      <c r="Z42" s="548">
        <f t="shared" si="29"/>
        <v>1160</v>
      </c>
      <c r="AA42" s="168"/>
      <c r="AB42" s="298"/>
      <c r="AC42" s="299"/>
    </row>
    <row r="43" spans="2:29" s="302" customFormat="1" ht="14.25" x14ac:dyDescent="0.2">
      <c r="B43" s="548" t="s">
        <v>371</v>
      </c>
      <c r="C43" s="549"/>
      <c r="D43" s="304" t="s">
        <v>458</v>
      </c>
      <c r="E43" s="297">
        <f t="shared" ref="E43:Y43" si="30">E44+E45</f>
        <v>34260</v>
      </c>
      <c r="F43" s="297">
        <f t="shared" si="30"/>
        <v>33400</v>
      </c>
      <c r="G43" s="297">
        <f t="shared" si="30"/>
        <v>31800</v>
      </c>
      <c r="H43" s="297">
        <f t="shared" si="30"/>
        <v>31500</v>
      </c>
      <c r="I43" s="297">
        <f t="shared" si="30"/>
        <v>30900</v>
      </c>
      <c r="J43" s="297">
        <f t="shared" si="30"/>
        <v>30600</v>
      </c>
      <c r="K43" s="297">
        <f t="shared" si="30"/>
        <v>21300</v>
      </c>
      <c r="L43" s="693">
        <f t="shared" si="30"/>
        <v>20700</v>
      </c>
      <c r="M43" s="297">
        <f t="shared" si="30"/>
        <v>17600</v>
      </c>
      <c r="N43" s="297">
        <f t="shared" si="30"/>
        <v>17200</v>
      </c>
      <c r="O43" s="297">
        <f t="shared" si="30"/>
        <v>16600</v>
      </c>
      <c r="P43" s="297">
        <f t="shared" si="30"/>
        <v>15700</v>
      </c>
      <c r="Q43" s="297">
        <f t="shared" si="30"/>
        <v>16200</v>
      </c>
      <c r="R43" s="297">
        <f t="shared" si="30"/>
        <v>18300</v>
      </c>
      <c r="S43" s="297">
        <f t="shared" si="30"/>
        <v>20900</v>
      </c>
      <c r="T43" s="297">
        <f t="shared" si="30"/>
        <v>24500</v>
      </c>
      <c r="U43" s="297">
        <f t="shared" si="30"/>
        <v>34000</v>
      </c>
      <c r="V43" s="297">
        <f t="shared" si="30"/>
        <v>32300</v>
      </c>
      <c r="W43" s="297">
        <f t="shared" si="30"/>
        <v>38000</v>
      </c>
      <c r="X43" s="297">
        <f t="shared" si="30"/>
        <v>29000</v>
      </c>
      <c r="Y43" s="297">
        <f t="shared" si="30"/>
        <v>10080</v>
      </c>
      <c r="Z43" s="297">
        <f t="shared" ref="Z43:Z52" si="31">SUM(E43:Y43)</f>
        <v>524840</v>
      </c>
      <c r="AA43" s="168">
        <f t="shared" si="27"/>
        <v>281300</v>
      </c>
      <c r="AB43" s="298">
        <f>AB38-AB39</f>
        <v>806140</v>
      </c>
      <c r="AC43" s="299"/>
    </row>
    <row r="44" spans="2:29" s="302" customFormat="1" ht="14.25" x14ac:dyDescent="0.2">
      <c r="B44" s="549" t="s">
        <v>368</v>
      </c>
      <c r="C44" s="400"/>
      <c r="D44" s="304" t="s">
        <v>458</v>
      </c>
      <c r="E44" s="548">
        <v>30960</v>
      </c>
      <c r="F44" s="548">
        <v>29900</v>
      </c>
      <c r="G44" s="548">
        <v>28300</v>
      </c>
      <c r="H44" s="548">
        <v>29100</v>
      </c>
      <c r="I44" s="548">
        <v>29600</v>
      </c>
      <c r="J44" s="548">
        <v>29300</v>
      </c>
      <c r="K44" s="548">
        <v>20000</v>
      </c>
      <c r="L44" s="693">
        <v>20700</v>
      </c>
      <c r="M44" s="548">
        <v>17600</v>
      </c>
      <c r="N44" s="548">
        <v>17200</v>
      </c>
      <c r="O44" s="548">
        <v>16600</v>
      </c>
      <c r="P44" s="548">
        <v>15700</v>
      </c>
      <c r="Q44" s="548">
        <v>16200</v>
      </c>
      <c r="R44" s="548">
        <v>18300</v>
      </c>
      <c r="S44" s="548">
        <v>20900</v>
      </c>
      <c r="T44" s="548">
        <v>24500</v>
      </c>
      <c r="U44" s="548">
        <v>34000</v>
      </c>
      <c r="V44" s="548">
        <v>32300</v>
      </c>
      <c r="W44" s="548">
        <v>38000</v>
      </c>
      <c r="X44" s="548">
        <v>29000</v>
      </c>
      <c r="Y44" s="548">
        <v>10080</v>
      </c>
      <c r="Z44" s="297">
        <f t="shared" si="31"/>
        <v>508240</v>
      </c>
      <c r="AA44" s="168"/>
      <c r="AB44" s="298"/>
      <c r="AC44" s="299"/>
    </row>
    <row r="45" spans="2:29" s="302" customFormat="1" ht="14.25" x14ac:dyDescent="0.2">
      <c r="B45" s="549" t="s">
        <v>367</v>
      </c>
      <c r="C45" s="549"/>
      <c r="D45" s="304" t="s">
        <v>458</v>
      </c>
      <c r="E45" s="297">
        <v>3300</v>
      </c>
      <c r="F45" s="297">
        <v>3500</v>
      </c>
      <c r="G45" s="297">
        <v>3500</v>
      </c>
      <c r="H45" s="297">
        <v>2400</v>
      </c>
      <c r="I45" s="297">
        <v>1300</v>
      </c>
      <c r="J45" s="297">
        <v>1300</v>
      </c>
      <c r="K45" s="297">
        <v>1300</v>
      </c>
      <c r="L45" s="693">
        <v>0</v>
      </c>
      <c r="M45" s="297">
        <v>0</v>
      </c>
      <c r="N45" s="297">
        <v>0</v>
      </c>
      <c r="O45" s="297">
        <v>0</v>
      </c>
      <c r="P45" s="297">
        <v>0</v>
      </c>
      <c r="Q45" s="297">
        <v>0</v>
      </c>
      <c r="R45" s="297">
        <v>0</v>
      </c>
      <c r="S45" s="297">
        <v>0</v>
      </c>
      <c r="T45" s="297">
        <v>0</v>
      </c>
      <c r="U45" s="297">
        <v>0</v>
      </c>
      <c r="V45" s="297">
        <v>0</v>
      </c>
      <c r="W45" s="297">
        <v>0</v>
      </c>
      <c r="X45" s="297">
        <v>0</v>
      </c>
      <c r="Y45" s="297">
        <v>0</v>
      </c>
      <c r="Z45" s="297">
        <f t="shared" si="31"/>
        <v>16600</v>
      </c>
      <c r="AA45" s="168">
        <f t="shared" ref="AA45:AA49" si="32">AB45-Z45</f>
        <v>21200</v>
      </c>
      <c r="AB45" s="298">
        <v>37800</v>
      </c>
      <c r="AC45" s="299"/>
    </row>
    <row r="46" spans="2:29" s="302" customFormat="1" ht="14.25" x14ac:dyDescent="0.2">
      <c r="B46" s="548" t="s">
        <v>372</v>
      </c>
      <c r="C46" s="549"/>
      <c r="D46" s="304" t="s">
        <v>458</v>
      </c>
      <c r="E46" s="297">
        <f>E47+E49+E50</f>
        <v>940</v>
      </c>
      <c r="F46" s="297">
        <f t="shared" ref="F46:Y46" si="33">F47+F49+F50</f>
        <v>1200</v>
      </c>
      <c r="G46" s="297">
        <f t="shared" si="33"/>
        <v>1200</v>
      </c>
      <c r="H46" s="297">
        <f t="shared" si="33"/>
        <v>800</v>
      </c>
      <c r="I46" s="297">
        <f t="shared" si="33"/>
        <v>500</v>
      </c>
      <c r="J46" s="297">
        <f t="shared" si="33"/>
        <v>2500</v>
      </c>
      <c r="K46" s="297">
        <f t="shared" si="33"/>
        <v>4500</v>
      </c>
      <c r="L46" s="693">
        <f t="shared" si="33"/>
        <v>5500</v>
      </c>
      <c r="M46" s="297">
        <f t="shared" si="33"/>
        <v>5600</v>
      </c>
      <c r="N46" s="297">
        <f t="shared" si="33"/>
        <v>6000</v>
      </c>
      <c r="O46" s="297">
        <f t="shared" si="33"/>
        <v>6000</v>
      </c>
      <c r="P46" s="297">
        <f t="shared" si="33"/>
        <v>5500</v>
      </c>
      <c r="Q46" s="297">
        <f t="shared" si="33"/>
        <v>5140</v>
      </c>
      <c r="R46" s="297">
        <f t="shared" si="33"/>
        <v>4000</v>
      </c>
      <c r="S46" s="297">
        <f t="shared" si="33"/>
        <v>3400</v>
      </c>
      <c r="T46" s="297">
        <f t="shared" si="33"/>
        <v>0</v>
      </c>
      <c r="U46" s="297">
        <f t="shared" si="33"/>
        <v>0</v>
      </c>
      <c r="V46" s="297">
        <f t="shared" si="33"/>
        <v>0</v>
      </c>
      <c r="W46" s="297">
        <f t="shared" si="33"/>
        <v>0</v>
      </c>
      <c r="X46" s="297">
        <f t="shared" si="33"/>
        <v>0</v>
      </c>
      <c r="Y46" s="297">
        <f t="shared" si="33"/>
        <v>0</v>
      </c>
      <c r="Z46" s="297">
        <f t="shared" si="31"/>
        <v>52780</v>
      </c>
      <c r="AA46" s="168">
        <f t="shared" si="32"/>
        <v>36360</v>
      </c>
      <c r="AB46" s="298">
        <v>89140</v>
      </c>
      <c r="AC46" s="299"/>
    </row>
    <row r="47" spans="2:29" s="302" customFormat="1" ht="14.25" x14ac:dyDescent="0.2">
      <c r="B47" s="549" t="s">
        <v>509</v>
      </c>
      <c r="C47" s="549"/>
      <c r="D47" s="304" t="s">
        <v>458</v>
      </c>
      <c r="E47" s="297">
        <f>E48</f>
        <v>0</v>
      </c>
      <c r="F47" s="297">
        <f t="shared" ref="F47:Y47" si="34">F48</f>
        <v>0</v>
      </c>
      <c r="G47" s="297">
        <f t="shared" si="34"/>
        <v>0</v>
      </c>
      <c r="H47" s="297">
        <f t="shared" si="34"/>
        <v>0</v>
      </c>
      <c r="I47" s="297">
        <f t="shared" si="34"/>
        <v>0</v>
      </c>
      <c r="J47" s="297">
        <f t="shared" si="34"/>
        <v>0</v>
      </c>
      <c r="K47" s="297">
        <f t="shared" si="34"/>
        <v>2000</v>
      </c>
      <c r="L47" s="693">
        <f t="shared" si="34"/>
        <v>2000</v>
      </c>
      <c r="M47" s="297">
        <f t="shared" si="34"/>
        <v>2000</v>
      </c>
      <c r="N47" s="297">
        <f t="shared" si="34"/>
        <v>2000</v>
      </c>
      <c r="O47" s="297">
        <f t="shared" si="34"/>
        <v>2000</v>
      </c>
      <c r="P47" s="297">
        <f t="shared" si="34"/>
        <v>1500</v>
      </c>
      <c r="Q47" s="297">
        <f t="shared" si="34"/>
        <v>1140</v>
      </c>
      <c r="R47" s="297">
        <f t="shared" si="34"/>
        <v>0</v>
      </c>
      <c r="S47" s="297">
        <f t="shared" si="34"/>
        <v>0</v>
      </c>
      <c r="T47" s="297">
        <f t="shared" si="34"/>
        <v>0</v>
      </c>
      <c r="U47" s="297">
        <f t="shared" si="34"/>
        <v>0</v>
      </c>
      <c r="V47" s="297">
        <f t="shared" si="34"/>
        <v>0</v>
      </c>
      <c r="W47" s="297">
        <f t="shared" si="34"/>
        <v>0</v>
      </c>
      <c r="X47" s="297">
        <f t="shared" si="34"/>
        <v>0</v>
      </c>
      <c r="Y47" s="297">
        <f t="shared" si="34"/>
        <v>0</v>
      </c>
      <c r="Z47" s="297">
        <f t="shared" si="31"/>
        <v>12640</v>
      </c>
      <c r="AA47" s="168">
        <f t="shared" si="32"/>
        <v>8860</v>
      </c>
      <c r="AB47" s="298">
        <v>21500</v>
      </c>
      <c r="AC47" s="454">
        <v>42700</v>
      </c>
    </row>
    <row r="48" spans="2:29" s="302" customFormat="1" x14ac:dyDescent="0.2">
      <c r="B48" s="549" t="s">
        <v>514</v>
      </c>
      <c r="C48" s="549"/>
      <c r="D48" s="304"/>
      <c r="E48" s="297"/>
      <c r="F48" s="297"/>
      <c r="G48" s="297"/>
      <c r="H48" s="297"/>
      <c r="I48" s="297"/>
      <c r="J48" s="297"/>
      <c r="K48" s="297">
        <v>2000</v>
      </c>
      <c r="L48" s="693">
        <v>2000</v>
      </c>
      <c r="M48" s="297">
        <v>2000</v>
      </c>
      <c r="N48" s="297">
        <v>2000</v>
      </c>
      <c r="O48" s="297">
        <v>2000</v>
      </c>
      <c r="P48" s="297">
        <v>1500</v>
      </c>
      <c r="Q48" s="297">
        <v>1140</v>
      </c>
      <c r="R48" s="297"/>
      <c r="S48" s="297"/>
      <c r="T48" s="297"/>
      <c r="U48" s="297"/>
      <c r="V48" s="297"/>
      <c r="W48" s="297"/>
      <c r="X48" s="297"/>
      <c r="Y48" s="297"/>
      <c r="Z48" s="297">
        <f t="shared" si="31"/>
        <v>12640</v>
      </c>
      <c r="AA48" s="168"/>
      <c r="AB48" s="298"/>
      <c r="AC48" s="454"/>
    </row>
    <row r="49" spans="2:29" s="302" customFormat="1" ht="14.25" x14ac:dyDescent="0.2">
      <c r="B49" s="549" t="s">
        <v>367</v>
      </c>
      <c r="C49" s="549"/>
      <c r="D49" s="304" t="s">
        <v>458</v>
      </c>
      <c r="E49" s="297">
        <v>0</v>
      </c>
      <c r="F49" s="297">
        <v>0</v>
      </c>
      <c r="G49" s="297">
        <v>0</v>
      </c>
      <c r="H49" s="297">
        <v>0</v>
      </c>
      <c r="I49" s="297">
        <v>0</v>
      </c>
      <c r="J49" s="297">
        <v>0</v>
      </c>
      <c r="K49" s="297">
        <v>0</v>
      </c>
      <c r="L49" s="693">
        <v>0</v>
      </c>
      <c r="M49" s="297">
        <v>0</v>
      </c>
      <c r="N49" s="297">
        <v>0</v>
      </c>
      <c r="O49" s="297">
        <v>0</v>
      </c>
      <c r="P49" s="297">
        <v>0</v>
      </c>
      <c r="Q49" s="297">
        <v>0</v>
      </c>
      <c r="R49" s="297">
        <v>0</v>
      </c>
      <c r="S49" s="297">
        <v>0</v>
      </c>
      <c r="T49" s="297">
        <v>0</v>
      </c>
      <c r="U49" s="297">
        <v>0</v>
      </c>
      <c r="V49" s="297">
        <v>0</v>
      </c>
      <c r="W49" s="297">
        <v>0</v>
      </c>
      <c r="X49" s="297">
        <v>0</v>
      </c>
      <c r="Y49" s="297">
        <v>0</v>
      </c>
      <c r="Z49" s="297">
        <f t="shared" si="31"/>
        <v>0</v>
      </c>
      <c r="AA49" s="168">
        <f t="shared" si="32"/>
        <v>27500</v>
      </c>
      <c r="AB49" s="298">
        <v>27500</v>
      </c>
      <c r="AC49" s="454"/>
    </row>
    <row r="50" spans="2:29" s="302" customFormat="1" ht="14.25" x14ac:dyDescent="0.2">
      <c r="B50" s="549" t="s">
        <v>393</v>
      </c>
      <c r="C50" s="549"/>
      <c r="D50" s="304" t="s">
        <v>458</v>
      </c>
      <c r="E50" s="297">
        <f>E51+E52</f>
        <v>940</v>
      </c>
      <c r="F50" s="297">
        <f t="shared" ref="F50:Y50" si="35">F51+F52</f>
        <v>1200</v>
      </c>
      <c r="G50" s="297">
        <f t="shared" si="35"/>
        <v>1200</v>
      </c>
      <c r="H50" s="297">
        <f t="shared" si="35"/>
        <v>800</v>
      </c>
      <c r="I50" s="297">
        <f t="shared" si="35"/>
        <v>500</v>
      </c>
      <c r="J50" s="297">
        <f t="shared" si="35"/>
        <v>2500</v>
      </c>
      <c r="K50" s="297">
        <f t="shared" si="35"/>
        <v>2500</v>
      </c>
      <c r="L50" s="693">
        <f t="shared" si="35"/>
        <v>3500</v>
      </c>
      <c r="M50" s="297">
        <f t="shared" si="35"/>
        <v>3600</v>
      </c>
      <c r="N50" s="297">
        <f t="shared" si="35"/>
        <v>4000</v>
      </c>
      <c r="O50" s="297">
        <f t="shared" si="35"/>
        <v>4000</v>
      </c>
      <c r="P50" s="297">
        <f t="shared" si="35"/>
        <v>4000</v>
      </c>
      <c r="Q50" s="297">
        <f t="shared" si="35"/>
        <v>4000</v>
      </c>
      <c r="R50" s="297">
        <f t="shared" si="35"/>
        <v>4000</v>
      </c>
      <c r="S50" s="297">
        <f t="shared" si="35"/>
        <v>3400</v>
      </c>
      <c r="T50" s="297">
        <f t="shared" si="35"/>
        <v>0</v>
      </c>
      <c r="U50" s="297">
        <f t="shared" si="35"/>
        <v>0</v>
      </c>
      <c r="V50" s="297">
        <f t="shared" si="35"/>
        <v>0</v>
      </c>
      <c r="W50" s="297">
        <f t="shared" si="35"/>
        <v>0</v>
      </c>
      <c r="X50" s="297">
        <f t="shared" si="35"/>
        <v>0</v>
      </c>
      <c r="Y50" s="297">
        <f t="shared" si="35"/>
        <v>0</v>
      </c>
      <c r="Z50" s="297">
        <f t="shared" si="31"/>
        <v>40140</v>
      </c>
      <c r="AA50" s="168"/>
      <c r="AB50" s="454"/>
      <c r="AC50" s="299"/>
    </row>
    <row r="51" spans="2:29" s="302" customFormat="1" ht="14.25" x14ac:dyDescent="0.2">
      <c r="B51" s="549" t="s">
        <v>394</v>
      </c>
      <c r="C51" s="549"/>
      <c r="D51" s="304" t="s">
        <v>458</v>
      </c>
      <c r="E51" s="297">
        <v>940</v>
      </c>
      <c r="F51" s="297">
        <v>1200</v>
      </c>
      <c r="G51" s="297">
        <v>1200</v>
      </c>
      <c r="H51" s="297">
        <v>800</v>
      </c>
      <c r="I51" s="297"/>
      <c r="J51" s="297"/>
      <c r="K51" s="297"/>
      <c r="L51" s="693"/>
      <c r="M51" s="297"/>
      <c r="N51" s="297"/>
      <c r="O51" s="297"/>
      <c r="P51" s="297"/>
      <c r="Q51" s="297"/>
      <c r="R51" s="297"/>
      <c r="S51" s="297"/>
      <c r="T51" s="297"/>
      <c r="U51" s="297"/>
      <c r="V51" s="297"/>
      <c r="W51" s="297"/>
      <c r="X51" s="297"/>
      <c r="Y51" s="297"/>
      <c r="Z51" s="297">
        <f t="shared" si="31"/>
        <v>4140</v>
      </c>
      <c r="AA51" s="168"/>
      <c r="AB51" s="454"/>
      <c r="AC51" s="299"/>
    </row>
    <row r="52" spans="2:29" s="302" customFormat="1" ht="14.25" x14ac:dyDescent="0.2">
      <c r="B52" s="549" t="s">
        <v>395</v>
      </c>
      <c r="C52" s="549"/>
      <c r="D52" s="304" t="s">
        <v>458</v>
      </c>
      <c r="E52" s="297"/>
      <c r="F52" s="297"/>
      <c r="G52" s="297"/>
      <c r="H52" s="297"/>
      <c r="I52" s="297">
        <v>500</v>
      </c>
      <c r="J52" s="297">
        <v>2500</v>
      </c>
      <c r="K52" s="297">
        <v>2500</v>
      </c>
      <c r="L52" s="693">
        <v>3500</v>
      </c>
      <c r="M52" s="297">
        <v>3600</v>
      </c>
      <c r="N52" s="297">
        <v>4000</v>
      </c>
      <c r="O52" s="297">
        <v>4000</v>
      </c>
      <c r="P52" s="297">
        <v>4000</v>
      </c>
      <c r="Q52" s="297">
        <v>4000</v>
      </c>
      <c r="R52" s="297">
        <v>4000</v>
      </c>
      <c r="S52" s="297">
        <v>3400</v>
      </c>
      <c r="T52" s="297"/>
      <c r="U52" s="297"/>
      <c r="V52" s="297"/>
      <c r="W52" s="297"/>
      <c r="X52" s="297"/>
      <c r="Y52" s="297"/>
      <c r="Z52" s="297">
        <f t="shared" si="31"/>
        <v>36000</v>
      </c>
      <c r="AA52" s="168"/>
      <c r="AB52" s="454"/>
      <c r="AC52" s="299"/>
    </row>
    <row r="53" spans="2:29" s="302" customFormat="1" ht="14.25" x14ac:dyDescent="0.2">
      <c r="B53" s="550" t="s">
        <v>307</v>
      </c>
      <c r="C53" s="549"/>
      <c r="D53" s="304" t="s">
        <v>458</v>
      </c>
      <c r="E53" s="557">
        <f t="shared" ref="E53:Y53" si="36">E38*0.02</f>
        <v>698.4</v>
      </c>
      <c r="F53" s="557">
        <f t="shared" si="36"/>
        <v>682</v>
      </c>
      <c r="G53" s="557">
        <f t="shared" si="36"/>
        <v>650</v>
      </c>
      <c r="H53" s="557">
        <f t="shared" si="36"/>
        <v>638</v>
      </c>
      <c r="I53" s="557">
        <f t="shared" si="36"/>
        <v>618</v>
      </c>
      <c r="J53" s="557">
        <f t="shared" si="36"/>
        <v>612</v>
      </c>
      <c r="K53" s="557">
        <f t="shared" si="36"/>
        <v>426</v>
      </c>
      <c r="L53" s="944">
        <f t="shared" si="36"/>
        <v>414</v>
      </c>
      <c r="M53" s="557">
        <f t="shared" si="36"/>
        <v>352</v>
      </c>
      <c r="N53" s="557">
        <f t="shared" si="36"/>
        <v>344</v>
      </c>
      <c r="O53" s="557">
        <f t="shared" si="36"/>
        <v>332</v>
      </c>
      <c r="P53" s="557">
        <f t="shared" si="36"/>
        <v>324</v>
      </c>
      <c r="Q53" s="557">
        <f t="shared" si="36"/>
        <v>334</v>
      </c>
      <c r="R53" s="557">
        <f t="shared" si="36"/>
        <v>376</v>
      </c>
      <c r="S53" s="557">
        <f t="shared" si="36"/>
        <v>428</v>
      </c>
      <c r="T53" s="557">
        <f t="shared" si="36"/>
        <v>500</v>
      </c>
      <c r="U53" s="557">
        <f t="shared" si="36"/>
        <v>680</v>
      </c>
      <c r="V53" s="557">
        <f t="shared" si="36"/>
        <v>646</v>
      </c>
      <c r="W53" s="557">
        <f t="shared" si="36"/>
        <v>760</v>
      </c>
      <c r="X53" s="557">
        <f t="shared" si="36"/>
        <v>580</v>
      </c>
      <c r="Y53" s="557">
        <f t="shared" si="36"/>
        <v>201.6</v>
      </c>
      <c r="Z53" s="289"/>
      <c r="AA53" s="168"/>
      <c r="AB53" s="454"/>
      <c r="AC53" s="299"/>
    </row>
    <row r="54" spans="2:29" s="302" customFormat="1" ht="15" x14ac:dyDescent="0.25">
      <c r="B54" s="551" t="s">
        <v>333</v>
      </c>
      <c r="C54" s="471"/>
      <c r="D54" s="470"/>
      <c r="E54" s="553">
        <f>E38/(E14)</f>
        <v>6.984</v>
      </c>
      <c r="F54" s="553">
        <f t="shared" ref="F54:Z54" si="37">F38/(F14)</f>
        <v>7.2553191489361701</v>
      </c>
      <c r="G54" s="553">
        <f t="shared" si="37"/>
        <v>7.7380952380952381</v>
      </c>
      <c r="H54" s="553">
        <f t="shared" si="37"/>
        <v>7.7804878048780486</v>
      </c>
      <c r="I54" s="553">
        <f t="shared" si="37"/>
        <v>7.9230769230769234</v>
      </c>
      <c r="J54" s="553">
        <f t="shared" si="37"/>
        <v>8.0526315789473681</v>
      </c>
      <c r="K54" s="553">
        <f t="shared" si="37"/>
        <v>8.1923076923076916</v>
      </c>
      <c r="L54" s="945">
        <f t="shared" si="37"/>
        <v>8.7563451776649739</v>
      </c>
      <c r="M54" s="553">
        <f t="shared" si="37"/>
        <v>8.8000000000000007</v>
      </c>
      <c r="N54" s="553">
        <f t="shared" si="37"/>
        <v>8.6</v>
      </c>
      <c r="O54" s="553">
        <f t="shared" si="37"/>
        <v>8.3000000000000007</v>
      </c>
      <c r="P54" s="553">
        <f t="shared" si="37"/>
        <v>8.1</v>
      </c>
      <c r="Q54" s="553">
        <f t="shared" si="37"/>
        <v>8.35</v>
      </c>
      <c r="R54" s="553">
        <f t="shared" si="37"/>
        <v>9.4</v>
      </c>
      <c r="S54" s="553">
        <f t="shared" si="37"/>
        <v>8.56</v>
      </c>
      <c r="T54" s="553">
        <f t="shared" si="37"/>
        <v>10</v>
      </c>
      <c r="U54" s="553">
        <f t="shared" si="37"/>
        <v>11.333333333333334</v>
      </c>
      <c r="V54" s="553">
        <f t="shared" si="37"/>
        <v>9.5902612826603324</v>
      </c>
      <c r="W54" s="553">
        <f t="shared" si="37"/>
        <v>8.4444444444444446</v>
      </c>
      <c r="X54" s="553">
        <f t="shared" si="37"/>
        <v>8.2857142857142865</v>
      </c>
      <c r="Y54" s="553">
        <f t="shared" si="37"/>
        <v>7.024390243902439</v>
      </c>
      <c r="Z54" s="553">
        <f t="shared" si="37"/>
        <v>8.3476452329557098</v>
      </c>
      <c r="AB54" s="455"/>
    </row>
    <row r="55" spans="2:29" s="302" customFormat="1" ht="15" x14ac:dyDescent="0.25">
      <c r="B55" s="551" t="s">
        <v>334</v>
      </c>
      <c r="C55" s="471"/>
      <c r="D55" s="470"/>
      <c r="E55" s="553">
        <f>(E38+E46)/(E14)</f>
        <v>7.1719999999999997</v>
      </c>
      <c r="F55" s="553">
        <f t="shared" ref="F55:Z55" si="38">(F38+F46)/(F14)</f>
        <v>7.5106382978723403</v>
      </c>
      <c r="G55" s="553">
        <f t="shared" si="38"/>
        <v>8.0238095238095237</v>
      </c>
      <c r="H55" s="553">
        <f t="shared" si="38"/>
        <v>7.975609756097561</v>
      </c>
      <c r="I55" s="553">
        <f t="shared" si="38"/>
        <v>8.0512820512820511</v>
      </c>
      <c r="J55" s="553">
        <f t="shared" si="38"/>
        <v>8.7105263157894743</v>
      </c>
      <c r="K55" s="553">
        <f t="shared" si="38"/>
        <v>9.9230769230769234</v>
      </c>
      <c r="L55" s="945">
        <f t="shared" si="38"/>
        <v>11.082910321489003</v>
      </c>
      <c r="M55" s="553">
        <f t="shared" si="38"/>
        <v>11.6</v>
      </c>
      <c r="N55" s="553">
        <f t="shared" si="38"/>
        <v>11.6</v>
      </c>
      <c r="O55" s="553">
        <f t="shared" si="38"/>
        <v>11.3</v>
      </c>
      <c r="P55" s="553">
        <f t="shared" si="38"/>
        <v>10.85</v>
      </c>
      <c r="Q55" s="553">
        <f t="shared" si="38"/>
        <v>10.92</v>
      </c>
      <c r="R55" s="553">
        <f t="shared" si="38"/>
        <v>11.4</v>
      </c>
      <c r="S55" s="553">
        <f t="shared" si="38"/>
        <v>9.92</v>
      </c>
      <c r="T55" s="553">
        <f t="shared" si="38"/>
        <v>10</v>
      </c>
      <c r="U55" s="553">
        <f t="shared" si="38"/>
        <v>11.333333333333334</v>
      </c>
      <c r="V55" s="553">
        <f t="shared" si="38"/>
        <v>9.5902612826603324</v>
      </c>
      <c r="W55" s="553">
        <f t="shared" si="38"/>
        <v>8.4444444444444446</v>
      </c>
      <c r="X55" s="553">
        <f t="shared" si="38"/>
        <v>8.2857142857142865</v>
      </c>
      <c r="Y55" s="553">
        <f t="shared" si="38"/>
        <v>7.024390243902439</v>
      </c>
      <c r="Z55" s="553">
        <f t="shared" si="38"/>
        <v>9.1792585122977304</v>
      </c>
      <c r="AB55" s="455"/>
    </row>
    <row r="56" spans="2:29" s="302" customFormat="1" ht="30" customHeight="1" x14ac:dyDescent="0.25">
      <c r="B56" s="914" t="s">
        <v>523</v>
      </c>
      <c r="C56" s="545"/>
      <c r="D56" s="546" t="s">
        <v>461</v>
      </c>
      <c r="E56" s="546">
        <f>E57</f>
        <v>0</v>
      </c>
      <c r="F56" s="546">
        <f t="shared" ref="F56:Y56" si="39">F57</f>
        <v>1800</v>
      </c>
      <c r="G56" s="546">
        <f t="shared" si="39"/>
        <v>3200</v>
      </c>
      <c r="H56" s="546">
        <f t="shared" si="39"/>
        <v>4200</v>
      </c>
      <c r="I56" s="546">
        <f t="shared" si="39"/>
        <v>6600</v>
      </c>
      <c r="J56" s="546">
        <f t="shared" si="39"/>
        <v>7000</v>
      </c>
      <c r="K56" s="546">
        <f t="shared" si="39"/>
        <v>17300</v>
      </c>
      <c r="L56" s="937">
        <f t="shared" si="39"/>
        <v>20600</v>
      </c>
      <c r="M56" s="546">
        <f t="shared" si="39"/>
        <v>24000</v>
      </c>
      <c r="N56" s="546">
        <f t="shared" si="39"/>
        <v>24000</v>
      </c>
      <c r="O56" s="546">
        <f t="shared" si="39"/>
        <v>24600</v>
      </c>
      <c r="P56" s="546">
        <f t="shared" si="39"/>
        <v>25000</v>
      </c>
      <c r="Q56" s="546">
        <f t="shared" si="39"/>
        <v>25000</v>
      </c>
      <c r="R56" s="546">
        <f t="shared" si="39"/>
        <v>25000</v>
      </c>
      <c r="S56" s="546">
        <f t="shared" si="39"/>
        <v>23000</v>
      </c>
      <c r="T56" s="546">
        <f t="shared" si="39"/>
        <v>23000</v>
      </c>
      <c r="U56" s="546">
        <f t="shared" si="39"/>
        <v>15000</v>
      </c>
      <c r="V56" s="546">
        <f t="shared" si="39"/>
        <v>12000</v>
      </c>
      <c r="W56" s="546">
        <f t="shared" si="39"/>
        <v>0</v>
      </c>
      <c r="X56" s="546">
        <f t="shared" si="39"/>
        <v>0</v>
      </c>
      <c r="Y56" s="546">
        <f t="shared" si="39"/>
        <v>0</v>
      </c>
      <c r="Z56" s="546">
        <f>SUM(E56:Y56)</f>
        <v>281300</v>
      </c>
      <c r="AA56" s="469">
        <f t="shared" ref="AA56" si="40">AB56-Z56</f>
        <v>529800</v>
      </c>
      <c r="AB56" s="450">
        <v>811100</v>
      </c>
      <c r="AC56" s="450">
        <v>949100</v>
      </c>
    </row>
    <row r="57" spans="2:29" s="302" customFormat="1" ht="14.25" x14ac:dyDescent="0.2">
      <c r="B57" s="548" t="s">
        <v>371</v>
      </c>
      <c r="C57" s="549"/>
      <c r="D57" s="304" t="s">
        <v>458</v>
      </c>
      <c r="E57" s="297">
        <f t="shared" ref="E57:V57" si="41">E58+E59</f>
        <v>0</v>
      </c>
      <c r="F57" s="297">
        <f t="shared" si="41"/>
        <v>1800</v>
      </c>
      <c r="G57" s="297">
        <f t="shared" si="41"/>
        <v>3200</v>
      </c>
      <c r="H57" s="297">
        <f t="shared" si="41"/>
        <v>4200</v>
      </c>
      <c r="I57" s="297">
        <f t="shared" si="41"/>
        <v>6600</v>
      </c>
      <c r="J57" s="297">
        <f t="shared" si="41"/>
        <v>7000</v>
      </c>
      <c r="K57" s="297">
        <f t="shared" si="41"/>
        <v>17300</v>
      </c>
      <c r="L57" s="693">
        <f t="shared" si="41"/>
        <v>20600</v>
      </c>
      <c r="M57" s="297">
        <f t="shared" si="41"/>
        <v>24000</v>
      </c>
      <c r="N57" s="297">
        <f t="shared" si="41"/>
        <v>24000</v>
      </c>
      <c r="O57" s="297">
        <f t="shared" si="41"/>
        <v>24600</v>
      </c>
      <c r="P57" s="297">
        <f t="shared" si="41"/>
        <v>25000</v>
      </c>
      <c r="Q57" s="297">
        <f t="shared" si="41"/>
        <v>25000</v>
      </c>
      <c r="R57" s="297">
        <f t="shared" si="41"/>
        <v>25000</v>
      </c>
      <c r="S57" s="297">
        <f t="shared" si="41"/>
        <v>23000</v>
      </c>
      <c r="T57" s="297">
        <f t="shared" si="41"/>
        <v>23000</v>
      </c>
      <c r="U57" s="297">
        <f t="shared" si="41"/>
        <v>15000</v>
      </c>
      <c r="V57" s="297">
        <f t="shared" si="41"/>
        <v>12000</v>
      </c>
      <c r="W57" s="297"/>
      <c r="X57" s="297"/>
      <c r="Y57" s="297"/>
      <c r="Z57" s="297">
        <f t="shared" ref="Z57:Z62" si="42">SUM(E57:Y57)</f>
        <v>281300</v>
      </c>
      <c r="AA57" s="168" t="e">
        <f t="shared" ref="AA57" si="43">AB57-Z57</f>
        <v>#REF!</v>
      </c>
      <c r="AB57" s="298" t="e">
        <f>AB56-#REF!</f>
        <v>#REF!</v>
      </c>
      <c r="AC57" s="299"/>
    </row>
    <row r="58" spans="2:29" s="302" customFormat="1" ht="14.25" x14ac:dyDescent="0.2">
      <c r="B58" s="549" t="s">
        <v>368</v>
      </c>
      <c r="C58" s="549"/>
      <c r="D58" s="304" t="s">
        <v>458</v>
      </c>
      <c r="E58" s="548">
        <v>0</v>
      </c>
      <c r="F58" s="548">
        <v>1800</v>
      </c>
      <c r="G58" s="548">
        <v>3200</v>
      </c>
      <c r="H58" s="548">
        <v>2900</v>
      </c>
      <c r="I58" s="548">
        <v>5300</v>
      </c>
      <c r="J58" s="548">
        <v>5700</v>
      </c>
      <c r="K58" s="548">
        <v>16000</v>
      </c>
      <c r="L58" s="693">
        <v>18000</v>
      </c>
      <c r="M58" s="548">
        <v>21400</v>
      </c>
      <c r="N58" s="548">
        <v>21400</v>
      </c>
      <c r="O58" s="548">
        <v>22000</v>
      </c>
      <c r="P58" s="548">
        <v>22400</v>
      </c>
      <c r="Q58" s="548">
        <v>23000</v>
      </c>
      <c r="R58" s="548">
        <v>24000</v>
      </c>
      <c r="S58" s="548">
        <v>23000</v>
      </c>
      <c r="T58" s="548">
        <v>23000</v>
      </c>
      <c r="U58" s="548">
        <v>15000</v>
      </c>
      <c r="V58" s="548">
        <v>12000</v>
      </c>
      <c r="W58" s="548">
        <v>0</v>
      </c>
      <c r="X58" s="548">
        <v>0</v>
      </c>
      <c r="Y58" s="548">
        <v>0</v>
      </c>
      <c r="Z58" s="297">
        <f t="shared" si="42"/>
        <v>260100</v>
      </c>
      <c r="AA58" s="168"/>
      <c r="AB58" s="298"/>
      <c r="AC58" s="299"/>
    </row>
    <row r="59" spans="2:29" s="302" customFormat="1" ht="14.25" x14ac:dyDescent="0.2">
      <c r="B59" s="549" t="s">
        <v>367</v>
      </c>
      <c r="C59" s="549"/>
      <c r="D59" s="304" t="s">
        <v>458</v>
      </c>
      <c r="E59" s="297">
        <v>0</v>
      </c>
      <c r="F59" s="297">
        <v>0</v>
      </c>
      <c r="G59" s="297">
        <v>0</v>
      </c>
      <c r="H59" s="297">
        <v>1300</v>
      </c>
      <c r="I59" s="297">
        <v>1300</v>
      </c>
      <c r="J59" s="297">
        <v>1300</v>
      </c>
      <c r="K59" s="297">
        <v>1300</v>
      </c>
      <c r="L59" s="693">
        <v>2600</v>
      </c>
      <c r="M59" s="297">
        <v>2600</v>
      </c>
      <c r="N59" s="297">
        <v>2600</v>
      </c>
      <c r="O59" s="297">
        <v>2600</v>
      </c>
      <c r="P59" s="297">
        <v>2600</v>
      </c>
      <c r="Q59" s="297">
        <v>2000</v>
      </c>
      <c r="R59" s="297">
        <v>1000</v>
      </c>
      <c r="S59" s="297">
        <v>0</v>
      </c>
      <c r="T59" s="297">
        <v>0</v>
      </c>
      <c r="U59" s="297">
        <v>0</v>
      </c>
      <c r="V59" s="297">
        <v>0</v>
      </c>
      <c r="W59" s="297"/>
      <c r="X59" s="297"/>
      <c r="Y59" s="297"/>
      <c r="Z59" s="297">
        <f t="shared" si="42"/>
        <v>21200</v>
      </c>
      <c r="AA59" s="168">
        <f t="shared" ref="AA59:AA61" si="44">AB59-Z59</f>
        <v>16600</v>
      </c>
      <c r="AB59" s="298">
        <v>37800</v>
      </c>
      <c r="AC59" s="299"/>
    </row>
    <row r="60" spans="2:29" s="302" customFormat="1" ht="14.25" x14ac:dyDescent="0.2">
      <c r="B60" s="548" t="s">
        <v>372</v>
      </c>
      <c r="C60" s="549"/>
      <c r="D60" s="304" t="s">
        <v>458</v>
      </c>
      <c r="E60" s="297">
        <f>E61+E62</f>
        <v>2500</v>
      </c>
      <c r="F60" s="297">
        <f t="shared" ref="F60:V60" si="45">F61+F62</f>
        <v>3300</v>
      </c>
      <c r="G60" s="297">
        <f t="shared" si="45"/>
        <v>3300</v>
      </c>
      <c r="H60" s="297">
        <f t="shared" si="45"/>
        <v>3300</v>
      </c>
      <c r="I60" s="297">
        <f t="shared" si="45"/>
        <v>3300</v>
      </c>
      <c r="J60" s="297">
        <f t="shared" si="45"/>
        <v>3800</v>
      </c>
      <c r="K60" s="297">
        <f t="shared" si="45"/>
        <v>3800</v>
      </c>
      <c r="L60" s="693">
        <f t="shared" si="45"/>
        <v>3800</v>
      </c>
      <c r="M60" s="297">
        <f t="shared" si="45"/>
        <v>3800</v>
      </c>
      <c r="N60" s="297">
        <f t="shared" si="45"/>
        <v>3800</v>
      </c>
      <c r="O60" s="297">
        <f t="shared" si="45"/>
        <v>3800</v>
      </c>
      <c r="P60" s="297">
        <f t="shared" si="45"/>
        <v>3800</v>
      </c>
      <c r="Q60" s="297">
        <f t="shared" si="45"/>
        <v>3300</v>
      </c>
      <c r="R60" s="297">
        <f t="shared" si="45"/>
        <v>1200</v>
      </c>
      <c r="S60" s="297">
        <f t="shared" si="45"/>
        <v>1200</v>
      </c>
      <c r="T60" s="297">
        <f t="shared" si="45"/>
        <v>1000</v>
      </c>
      <c r="U60" s="297">
        <f t="shared" si="45"/>
        <v>0</v>
      </c>
      <c r="V60" s="297">
        <f t="shared" si="45"/>
        <v>0</v>
      </c>
      <c r="W60" s="297"/>
      <c r="X60" s="297"/>
      <c r="Y60" s="297"/>
      <c r="Z60" s="297">
        <f t="shared" si="42"/>
        <v>49000</v>
      </c>
      <c r="AA60" s="168">
        <f t="shared" si="44"/>
        <v>40140</v>
      </c>
      <c r="AB60" s="298">
        <v>89140</v>
      </c>
      <c r="AC60" s="299"/>
    </row>
    <row r="61" spans="2:29" s="302" customFormat="1" ht="14.25" x14ac:dyDescent="0.2">
      <c r="B61" s="549" t="s">
        <v>368</v>
      </c>
      <c r="C61" s="549"/>
      <c r="D61" s="304" t="s">
        <v>458</v>
      </c>
      <c r="E61" s="297">
        <v>1500</v>
      </c>
      <c r="F61" s="297">
        <v>2000</v>
      </c>
      <c r="G61" s="297">
        <v>2000</v>
      </c>
      <c r="H61" s="297">
        <v>2000</v>
      </c>
      <c r="I61" s="297">
        <v>1000</v>
      </c>
      <c r="J61" s="297">
        <v>1200</v>
      </c>
      <c r="K61" s="297">
        <f>1200</f>
        <v>1200</v>
      </c>
      <c r="L61" s="693">
        <f>1200</f>
        <v>1200</v>
      </c>
      <c r="M61" s="297">
        <f>1200</f>
        <v>1200</v>
      </c>
      <c r="N61" s="297">
        <f>1200</f>
        <v>1200</v>
      </c>
      <c r="O61" s="297">
        <f>1200</f>
        <v>1200</v>
      </c>
      <c r="P61" s="297">
        <f>1200</f>
        <v>1200</v>
      </c>
      <c r="Q61" s="297">
        <f>1200</f>
        <v>1200</v>
      </c>
      <c r="R61" s="297">
        <v>1200</v>
      </c>
      <c r="S61" s="297">
        <v>1200</v>
      </c>
      <c r="T61" s="297">
        <v>1000</v>
      </c>
      <c r="U61" s="297">
        <v>0</v>
      </c>
      <c r="V61" s="297">
        <v>0</v>
      </c>
      <c r="W61" s="297"/>
      <c r="X61" s="297"/>
      <c r="Y61" s="297"/>
      <c r="Z61" s="297">
        <f t="shared" si="42"/>
        <v>21500</v>
      </c>
      <c r="AA61" s="168">
        <f t="shared" si="44"/>
        <v>0</v>
      </c>
      <c r="AB61" s="298">
        <v>21500</v>
      </c>
      <c r="AC61" s="454">
        <v>42700</v>
      </c>
    </row>
    <row r="62" spans="2:29" s="302" customFormat="1" ht="14.25" x14ac:dyDescent="0.2">
      <c r="B62" s="549" t="s">
        <v>367</v>
      </c>
      <c r="C62" s="549"/>
      <c r="D62" s="304" t="s">
        <v>458</v>
      </c>
      <c r="E62" s="297">
        <v>1000</v>
      </c>
      <c r="F62" s="297">
        <v>1300</v>
      </c>
      <c r="G62" s="297">
        <v>1300</v>
      </c>
      <c r="H62" s="297">
        <v>1300</v>
      </c>
      <c r="I62" s="297">
        <v>2300</v>
      </c>
      <c r="J62" s="297">
        <v>2600</v>
      </c>
      <c r="K62" s="297">
        <v>2600</v>
      </c>
      <c r="L62" s="693">
        <v>2600</v>
      </c>
      <c r="M62" s="297">
        <v>2600</v>
      </c>
      <c r="N62" s="297">
        <v>2600</v>
      </c>
      <c r="O62" s="297">
        <v>2600</v>
      </c>
      <c r="P62" s="297">
        <v>2600</v>
      </c>
      <c r="Q62" s="297">
        <v>2100</v>
      </c>
      <c r="R62" s="297">
        <v>0</v>
      </c>
      <c r="S62" s="297">
        <v>0</v>
      </c>
      <c r="T62" s="297">
        <v>0</v>
      </c>
      <c r="U62" s="297">
        <v>0</v>
      </c>
      <c r="V62" s="297">
        <v>0</v>
      </c>
      <c r="W62" s="297"/>
      <c r="X62" s="297"/>
      <c r="Y62" s="297"/>
      <c r="Z62" s="297">
        <f t="shared" si="42"/>
        <v>27500</v>
      </c>
      <c r="AA62" s="168">
        <f t="shared" ref="AA62" si="46">AB62-Z62</f>
        <v>0</v>
      </c>
      <c r="AB62" s="298">
        <v>27500</v>
      </c>
      <c r="AC62" s="454"/>
    </row>
    <row r="63" spans="2:29" s="302" customFormat="1" ht="14.25" x14ac:dyDescent="0.2">
      <c r="B63" s="550" t="s">
        <v>307</v>
      </c>
      <c r="C63" s="549"/>
      <c r="D63" s="304" t="s">
        <v>458</v>
      </c>
      <c r="E63" s="557">
        <f t="shared" ref="E63:V63" si="47">E56*0.02</f>
        <v>0</v>
      </c>
      <c r="F63" s="557">
        <f t="shared" si="47"/>
        <v>36</v>
      </c>
      <c r="G63" s="557">
        <f t="shared" si="47"/>
        <v>64</v>
      </c>
      <c r="H63" s="557">
        <f t="shared" si="47"/>
        <v>84</v>
      </c>
      <c r="I63" s="557">
        <f t="shared" si="47"/>
        <v>132</v>
      </c>
      <c r="J63" s="557">
        <f t="shared" si="47"/>
        <v>140</v>
      </c>
      <c r="K63" s="557">
        <f t="shared" si="47"/>
        <v>346</v>
      </c>
      <c r="L63" s="944">
        <f t="shared" si="47"/>
        <v>412</v>
      </c>
      <c r="M63" s="557">
        <f t="shared" si="47"/>
        <v>480</v>
      </c>
      <c r="N63" s="557">
        <f t="shared" si="47"/>
        <v>480</v>
      </c>
      <c r="O63" s="557">
        <f t="shared" si="47"/>
        <v>492</v>
      </c>
      <c r="P63" s="557">
        <f t="shared" si="47"/>
        <v>500</v>
      </c>
      <c r="Q63" s="557">
        <f t="shared" si="47"/>
        <v>500</v>
      </c>
      <c r="R63" s="557">
        <f t="shared" si="47"/>
        <v>500</v>
      </c>
      <c r="S63" s="557">
        <f t="shared" si="47"/>
        <v>460</v>
      </c>
      <c r="T63" s="557">
        <f t="shared" si="47"/>
        <v>460</v>
      </c>
      <c r="U63" s="557">
        <f t="shared" si="47"/>
        <v>300</v>
      </c>
      <c r="V63" s="557">
        <f t="shared" si="47"/>
        <v>240</v>
      </c>
      <c r="W63" s="557"/>
      <c r="X63" s="557"/>
      <c r="Y63" s="557"/>
      <c r="Z63" s="297"/>
      <c r="AA63" s="168"/>
      <c r="AB63" s="454"/>
      <c r="AC63" s="299"/>
    </row>
    <row r="64" spans="2:29" s="302" customFormat="1" ht="15" x14ac:dyDescent="0.25">
      <c r="B64" s="551" t="s">
        <v>333</v>
      </c>
      <c r="C64" s="551"/>
      <c r="D64" s="304"/>
      <c r="E64" s="553"/>
      <c r="F64" s="553">
        <f t="shared" ref="F64:V64" si="48">F56/F19</f>
        <v>18</v>
      </c>
      <c r="G64" s="553">
        <f t="shared" si="48"/>
        <v>8</v>
      </c>
      <c r="H64" s="553">
        <f t="shared" si="48"/>
        <v>8.4</v>
      </c>
      <c r="I64" s="553">
        <f t="shared" si="48"/>
        <v>9.4285714285714288</v>
      </c>
      <c r="J64" s="553">
        <f t="shared" si="48"/>
        <v>8.75</v>
      </c>
      <c r="K64" s="553">
        <f t="shared" si="48"/>
        <v>8.65</v>
      </c>
      <c r="L64" s="945">
        <f t="shared" si="48"/>
        <v>8.24</v>
      </c>
      <c r="M64" s="553">
        <f t="shared" si="48"/>
        <v>8</v>
      </c>
      <c r="N64" s="553">
        <f t="shared" si="48"/>
        <v>8</v>
      </c>
      <c r="O64" s="553">
        <f t="shared" si="48"/>
        <v>8.1999999999999993</v>
      </c>
      <c r="P64" s="553">
        <f t="shared" si="48"/>
        <v>8.3333333333333339</v>
      </c>
      <c r="Q64" s="553">
        <f t="shared" si="48"/>
        <v>8.3333333333333339</v>
      </c>
      <c r="R64" s="553">
        <f t="shared" si="48"/>
        <v>8.3333333333333339</v>
      </c>
      <c r="S64" s="553">
        <f t="shared" si="48"/>
        <v>9.1999999999999993</v>
      </c>
      <c r="T64" s="553">
        <f t="shared" si="48"/>
        <v>9.1999999999999993</v>
      </c>
      <c r="U64" s="553">
        <f t="shared" si="48"/>
        <v>7.5</v>
      </c>
      <c r="V64" s="553">
        <f t="shared" si="48"/>
        <v>7.3529411764705879</v>
      </c>
      <c r="W64" s="553"/>
      <c r="X64" s="553"/>
      <c r="Y64" s="553"/>
      <c r="Z64" s="553">
        <f>Z56/(Z32+Z37)</f>
        <v>7.0063460223128518</v>
      </c>
      <c r="AB64" s="455"/>
    </row>
    <row r="65" spans="2:30" s="302" customFormat="1" ht="15" x14ac:dyDescent="0.25">
      <c r="B65" s="551" t="s">
        <v>334</v>
      </c>
      <c r="C65" s="551"/>
      <c r="D65" s="304"/>
      <c r="E65" s="553"/>
      <c r="F65" s="553">
        <f t="shared" ref="F65:V65" si="49">(F56+F60)/F19</f>
        <v>51</v>
      </c>
      <c r="G65" s="553">
        <f t="shared" si="49"/>
        <v>16.25</v>
      </c>
      <c r="H65" s="553">
        <f t="shared" si="49"/>
        <v>15</v>
      </c>
      <c r="I65" s="553">
        <f t="shared" si="49"/>
        <v>14.142857142857142</v>
      </c>
      <c r="J65" s="553">
        <f t="shared" si="49"/>
        <v>13.5</v>
      </c>
      <c r="K65" s="553">
        <f t="shared" si="49"/>
        <v>10.55</v>
      </c>
      <c r="L65" s="945">
        <f t="shared" si="49"/>
        <v>9.76</v>
      </c>
      <c r="M65" s="553">
        <f t="shared" si="49"/>
        <v>9.2666666666666675</v>
      </c>
      <c r="N65" s="553">
        <f t="shared" si="49"/>
        <v>9.2666666666666675</v>
      </c>
      <c r="O65" s="553">
        <f t="shared" si="49"/>
        <v>9.4666666666666668</v>
      </c>
      <c r="P65" s="553">
        <f t="shared" si="49"/>
        <v>9.6</v>
      </c>
      <c r="Q65" s="553">
        <f t="shared" si="49"/>
        <v>9.4333333333333336</v>
      </c>
      <c r="R65" s="553">
        <f t="shared" si="49"/>
        <v>8.7333333333333325</v>
      </c>
      <c r="S65" s="553">
        <f t="shared" si="49"/>
        <v>9.68</v>
      </c>
      <c r="T65" s="553">
        <f t="shared" si="49"/>
        <v>9.6</v>
      </c>
      <c r="U65" s="553">
        <f t="shared" si="49"/>
        <v>7.5</v>
      </c>
      <c r="V65" s="553">
        <f t="shared" si="49"/>
        <v>7.3529411764705879</v>
      </c>
      <c r="W65" s="553"/>
      <c r="X65" s="553"/>
      <c r="Y65" s="553"/>
      <c r="Z65" s="553">
        <f>(Z56+Z60)/(Z32+Z37)</f>
        <v>8.2267902281192136</v>
      </c>
      <c r="AB65" s="455"/>
    </row>
    <row r="66" spans="2:30" s="302" customFormat="1" ht="17.25" x14ac:dyDescent="0.25">
      <c r="B66" s="545" t="s">
        <v>373</v>
      </c>
      <c r="C66" s="545"/>
      <c r="D66" s="546" t="s">
        <v>461</v>
      </c>
      <c r="E66" s="547">
        <f t="shared" ref="E66:Z66" si="50">SUM(E67:E68)</f>
        <v>50</v>
      </c>
      <c r="F66" s="547">
        <f t="shared" si="50"/>
        <v>1200</v>
      </c>
      <c r="G66" s="547">
        <f t="shared" si="50"/>
        <v>2400</v>
      </c>
      <c r="H66" s="547">
        <f t="shared" si="50"/>
        <v>2600</v>
      </c>
      <c r="I66" s="547">
        <f t="shared" si="50"/>
        <v>2600</v>
      </c>
      <c r="J66" s="547">
        <f t="shared" si="50"/>
        <v>2600</v>
      </c>
      <c r="K66" s="547">
        <f t="shared" si="50"/>
        <v>1600</v>
      </c>
      <c r="L66" s="938">
        <f t="shared" si="50"/>
        <v>400</v>
      </c>
      <c r="M66" s="547">
        <f t="shared" si="50"/>
        <v>0</v>
      </c>
      <c r="N66" s="547">
        <f t="shared" si="50"/>
        <v>0</v>
      </c>
      <c r="O66" s="547">
        <f t="shared" si="50"/>
        <v>0</v>
      </c>
      <c r="P66" s="547">
        <f t="shared" si="50"/>
        <v>0</v>
      </c>
      <c r="Q66" s="547">
        <f t="shared" si="50"/>
        <v>0</v>
      </c>
      <c r="R66" s="547">
        <f t="shared" si="50"/>
        <v>0</v>
      </c>
      <c r="S66" s="547">
        <f t="shared" si="50"/>
        <v>0</v>
      </c>
      <c r="T66" s="547">
        <f t="shared" si="50"/>
        <v>0</v>
      </c>
      <c r="U66" s="547">
        <f t="shared" si="50"/>
        <v>0</v>
      </c>
      <c r="V66" s="547">
        <f t="shared" si="50"/>
        <v>0</v>
      </c>
      <c r="W66" s="547">
        <f t="shared" si="50"/>
        <v>0</v>
      </c>
      <c r="X66" s="547">
        <f t="shared" si="50"/>
        <v>0</v>
      </c>
      <c r="Y66" s="547">
        <f t="shared" si="50"/>
        <v>0</v>
      </c>
      <c r="Z66" s="547">
        <f t="shared" si="50"/>
        <v>13450</v>
      </c>
      <c r="AA66" s="168">
        <f t="shared" ref="AA66:AA68" si="51">AB66-Z66</f>
        <v>-50</v>
      </c>
      <c r="AB66" s="468">
        <v>13400</v>
      </c>
    </row>
    <row r="67" spans="2:30" s="302" customFormat="1" ht="14.25" x14ac:dyDescent="0.2">
      <c r="B67" s="548" t="s">
        <v>369</v>
      </c>
      <c r="C67" s="549"/>
      <c r="D67" s="304" t="s">
        <v>458</v>
      </c>
      <c r="E67" s="548"/>
      <c r="F67" s="548"/>
      <c r="G67" s="548"/>
      <c r="H67" s="548"/>
      <c r="I67" s="548"/>
      <c r="J67" s="548"/>
      <c r="K67" s="548"/>
      <c r="L67" s="693"/>
      <c r="M67" s="548"/>
      <c r="N67" s="548"/>
      <c r="O67" s="548"/>
      <c r="P67" s="548"/>
      <c r="Q67" s="548"/>
      <c r="R67" s="548"/>
      <c r="S67" s="548"/>
      <c r="T67" s="548"/>
      <c r="U67" s="548"/>
      <c r="V67" s="548"/>
      <c r="W67" s="548"/>
      <c r="X67" s="548"/>
      <c r="Y67" s="548"/>
      <c r="Z67" s="548">
        <f>SUM(E67:Y67)</f>
        <v>0</v>
      </c>
      <c r="AA67" s="168">
        <f t="shared" si="51"/>
        <v>0</v>
      </c>
      <c r="AB67" s="298"/>
      <c r="AC67" s="299"/>
    </row>
    <row r="68" spans="2:30" s="302" customFormat="1" ht="14.25" x14ac:dyDescent="0.2">
      <c r="B68" s="548" t="s">
        <v>326</v>
      </c>
      <c r="C68" s="549"/>
      <c r="D68" s="304" t="s">
        <v>458</v>
      </c>
      <c r="E68" s="297">
        <f>E69+E70</f>
        <v>50</v>
      </c>
      <c r="F68" s="297">
        <f t="shared" ref="F68:L68" si="52">F69+F70</f>
        <v>1200</v>
      </c>
      <c r="G68" s="297">
        <f t="shared" si="52"/>
        <v>2400</v>
      </c>
      <c r="H68" s="297">
        <f t="shared" si="52"/>
        <v>2600</v>
      </c>
      <c r="I68" s="297">
        <f t="shared" si="52"/>
        <v>2600</v>
      </c>
      <c r="J68" s="297">
        <f t="shared" si="52"/>
        <v>2600</v>
      </c>
      <c r="K68" s="297">
        <f t="shared" si="52"/>
        <v>1600</v>
      </c>
      <c r="L68" s="693">
        <f t="shared" si="52"/>
        <v>400</v>
      </c>
      <c r="M68" s="297"/>
      <c r="N68" s="297"/>
      <c r="O68" s="297"/>
      <c r="P68" s="297"/>
      <c r="Q68" s="297"/>
      <c r="R68" s="297"/>
      <c r="S68" s="297"/>
      <c r="T68" s="297"/>
      <c r="U68" s="297"/>
      <c r="V68" s="297"/>
      <c r="W68" s="297"/>
      <c r="X68" s="297"/>
      <c r="Y68" s="297"/>
      <c r="Z68" s="297">
        <f>SUM(E68:Y68)</f>
        <v>13450</v>
      </c>
      <c r="AA68" s="168">
        <f t="shared" si="51"/>
        <v>-50</v>
      </c>
      <c r="AB68" s="298">
        <v>13400</v>
      </c>
      <c r="AC68" s="299"/>
    </row>
    <row r="69" spans="2:30" s="302" customFormat="1" x14ac:dyDescent="0.2">
      <c r="B69" s="549" t="s">
        <v>397</v>
      </c>
      <c r="C69" s="549"/>
      <c r="D69" s="535"/>
      <c r="E69" s="297"/>
      <c r="F69" s="297"/>
      <c r="G69" s="297"/>
      <c r="H69" s="297"/>
      <c r="I69" s="297"/>
      <c r="J69" s="297"/>
      <c r="K69" s="297"/>
      <c r="L69" s="693"/>
      <c r="M69" s="297"/>
      <c r="N69" s="297"/>
      <c r="O69" s="297"/>
      <c r="P69" s="297"/>
      <c r="Q69" s="297"/>
      <c r="R69" s="297"/>
      <c r="S69" s="297"/>
      <c r="T69" s="297"/>
      <c r="U69" s="297"/>
      <c r="V69" s="297"/>
      <c r="W69" s="297"/>
      <c r="X69" s="297"/>
      <c r="Y69" s="297"/>
      <c r="Z69" s="297">
        <f t="shared" ref="Z69:Z70" si="53">SUM(E69:Y69)</f>
        <v>0</v>
      </c>
      <c r="AA69" s="168"/>
      <c r="AB69" s="454"/>
      <c r="AC69" s="299"/>
    </row>
    <row r="70" spans="2:30" s="302" customFormat="1" x14ac:dyDescent="0.2">
      <c r="B70" s="549" t="s">
        <v>398</v>
      </c>
      <c r="C70" s="549"/>
      <c r="D70" s="535"/>
      <c r="E70" s="297">
        <v>50</v>
      </c>
      <c r="F70" s="297">
        <v>1200</v>
      </c>
      <c r="G70" s="297">
        <v>2400</v>
      </c>
      <c r="H70" s="297">
        <v>2600</v>
      </c>
      <c r="I70" s="297">
        <v>2600</v>
      </c>
      <c r="J70" s="297">
        <v>2600</v>
      </c>
      <c r="K70" s="297">
        <v>1600</v>
      </c>
      <c r="L70" s="693">
        <v>400</v>
      </c>
      <c r="M70" s="297"/>
      <c r="N70" s="297"/>
      <c r="O70" s="297"/>
      <c r="P70" s="297"/>
      <c r="Q70" s="297"/>
      <c r="R70" s="297"/>
      <c r="S70" s="297"/>
      <c r="T70" s="297"/>
      <c r="U70" s="297"/>
      <c r="V70" s="297"/>
      <c r="W70" s="297"/>
      <c r="X70" s="297"/>
      <c r="Y70" s="297"/>
      <c r="Z70" s="297">
        <f t="shared" si="53"/>
        <v>13450</v>
      </c>
      <c r="AA70" s="168"/>
      <c r="AB70" s="454"/>
      <c r="AC70" s="299"/>
    </row>
    <row r="71" spans="2:30" s="302" customFormat="1" ht="14.25" x14ac:dyDescent="0.2">
      <c r="B71" s="548" t="s">
        <v>306</v>
      </c>
      <c r="C71" s="549"/>
      <c r="D71" s="304" t="s">
        <v>458</v>
      </c>
      <c r="E71" s="297">
        <v>0</v>
      </c>
      <c r="F71" s="297"/>
      <c r="G71" s="297"/>
      <c r="H71" s="297"/>
      <c r="I71" s="297"/>
      <c r="J71" s="297"/>
      <c r="K71" s="297"/>
      <c r="L71" s="693"/>
      <c r="M71" s="297"/>
      <c r="N71" s="297"/>
      <c r="O71" s="297"/>
      <c r="P71" s="297"/>
      <c r="Q71" s="297"/>
      <c r="R71" s="297"/>
      <c r="S71" s="297"/>
      <c r="T71" s="297"/>
      <c r="U71" s="297"/>
      <c r="V71" s="297"/>
      <c r="W71" s="297"/>
      <c r="X71" s="297"/>
      <c r="Y71" s="297"/>
      <c r="Z71" s="297">
        <f>SUM(E71:Y71)</f>
        <v>0</v>
      </c>
      <c r="AA71" s="168">
        <f t="shared" ref="AA71" si="54">AB71-Z71</f>
        <v>0</v>
      </c>
      <c r="AB71" s="298">
        <v>0</v>
      </c>
      <c r="AC71" s="299"/>
    </row>
    <row r="72" spans="2:30" s="302" customFormat="1" ht="14.25" x14ac:dyDescent="0.2">
      <c r="B72" s="550" t="s">
        <v>307</v>
      </c>
      <c r="C72" s="549"/>
      <c r="D72" s="304" t="s">
        <v>458</v>
      </c>
      <c r="E72" s="297">
        <v>500</v>
      </c>
      <c r="F72" s="297">
        <v>500</v>
      </c>
      <c r="G72" s="297">
        <f t="shared" ref="G72:L72" si="55">G66*0.02</f>
        <v>48</v>
      </c>
      <c r="H72" s="297">
        <f t="shared" si="55"/>
        <v>52</v>
      </c>
      <c r="I72" s="297">
        <f t="shared" si="55"/>
        <v>52</v>
      </c>
      <c r="J72" s="297">
        <f t="shared" si="55"/>
        <v>52</v>
      </c>
      <c r="K72" s="297">
        <f t="shared" si="55"/>
        <v>32</v>
      </c>
      <c r="L72" s="693">
        <f t="shared" si="55"/>
        <v>8</v>
      </c>
      <c r="M72" s="297"/>
      <c r="N72" s="297"/>
      <c r="O72" s="297"/>
      <c r="P72" s="297"/>
      <c r="Q72" s="297"/>
      <c r="R72" s="297"/>
      <c r="S72" s="297"/>
      <c r="T72" s="297"/>
      <c r="U72" s="297"/>
      <c r="V72" s="297"/>
      <c r="W72" s="297"/>
      <c r="X72" s="297"/>
      <c r="Y72" s="297"/>
      <c r="Z72" s="297"/>
      <c r="AA72" s="168"/>
      <c r="AB72" s="283"/>
      <c r="AC72" s="299"/>
    </row>
    <row r="73" spans="2:30" s="302" customFormat="1" ht="15" x14ac:dyDescent="0.25">
      <c r="B73" s="551" t="s">
        <v>333</v>
      </c>
      <c r="C73" s="551"/>
      <c r="D73" s="304"/>
      <c r="E73" s="552">
        <v>0</v>
      </c>
      <c r="F73" s="553">
        <f t="shared" ref="F73:L73" si="56">F66/F16</f>
        <v>6</v>
      </c>
      <c r="G73" s="553">
        <f t="shared" si="56"/>
        <v>6</v>
      </c>
      <c r="H73" s="553">
        <f t="shared" si="56"/>
        <v>6.5</v>
      </c>
      <c r="I73" s="553">
        <f t="shared" si="56"/>
        <v>6.5</v>
      </c>
      <c r="J73" s="553">
        <f t="shared" si="56"/>
        <v>6.5</v>
      </c>
      <c r="K73" s="553">
        <f t="shared" si="56"/>
        <v>4</v>
      </c>
      <c r="L73" s="945">
        <f t="shared" si="56"/>
        <v>2.9411764705882355</v>
      </c>
      <c r="M73" s="553"/>
      <c r="N73" s="553"/>
      <c r="O73" s="552"/>
      <c r="P73" s="552"/>
      <c r="Q73" s="552"/>
      <c r="R73" s="552"/>
      <c r="S73" s="552"/>
      <c r="T73" s="552"/>
      <c r="U73" s="552"/>
      <c r="V73" s="552"/>
      <c r="W73" s="552"/>
      <c r="X73" s="552"/>
      <c r="Y73" s="552"/>
      <c r="Z73" s="553">
        <f>Z66/Z16</f>
        <v>5.7577054794520546</v>
      </c>
    </row>
    <row r="74" spans="2:30" s="302" customFormat="1" ht="15" x14ac:dyDescent="0.25">
      <c r="B74" s="551" t="s">
        <v>334</v>
      </c>
      <c r="C74" s="551"/>
      <c r="D74" s="304"/>
      <c r="E74" s="552">
        <v>0</v>
      </c>
      <c r="F74" s="553">
        <f t="shared" ref="F74:L74" si="57">(F66+F71)/F16</f>
        <v>6</v>
      </c>
      <c r="G74" s="553">
        <f t="shared" si="57"/>
        <v>6</v>
      </c>
      <c r="H74" s="553">
        <f t="shared" si="57"/>
        <v>6.5</v>
      </c>
      <c r="I74" s="553">
        <f t="shared" si="57"/>
        <v>6.5</v>
      </c>
      <c r="J74" s="553">
        <f t="shared" si="57"/>
        <v>6.5</v>
      </c>
      <c r="K74" s="553">
        <f t="shared" si="57"/>
        <v>4</v>
      </c>
      <c r="L74" s="945">
        <f t="shared" si="57"/>
        <v>2.9411764705882355</v>
      </c>
      <c r="M74" s="553"/>
      <c r="N74" s="552"/>
      <c r="O74" s="552"/>
      <c r="P74" s="552"/>
      <c r="Q74" s="552"/>
      <c r="R74" s="552"/>
      <c r="S74" s="552"/>
      <c r="T74" s="552"/>
      <c r="U74" s="552"/>
      <c r="V74" s="552"/>
      <c r="W74" s="552"/>
      <c r="X74" s="552"/>
      <c r="Y74" s="552"/>
      <c r="Z74" s="553">
        <f>(Z66+Z71)/Z16</f>
        <v>5.7577054794520546</v>
      </c>
    </row>
    <row r="75" spans="2:30" customFormat="1" x14ac:dyDescent="0.2">
      <c r="B75" s="564" t="s">
        <v>335</v>
      </c>
      <c r="C75" s="564"/>
      <c r="D75" s="571" t="s">
        <v>376</v>
      </c>
      <c r="E75" s="572">
        <f>SUM(E76:E77)</f>
        <v>1044</v>
      </c>
      <c r="F75" s="572">
        <f t="shared" ref="F75:Y75" si="58">SUM(F76:F77)</f>
        <v>1143</v>
      </c>
      <c r="G75" s="572">
        <f t="shared" si="58"/>
        <v>1175</v>
      </c>
      <c r="H75" s="572">
        <f t="shared" si="58"/>
        <v>1203</v>
      </c>
      <c r="I75" s="572">
        <f t="shared" si="58"/>
        <v>1260</v>
      </c>
      <c r="J75" s="572">
        <f t="shared" si="58"/>
        <v>1263</v>
      </c>
      <c r="K75" s="572">
        <f t="shared" si="58"/>
        <v>1263</v>
      </c>
      <c r="L75" s="944">
        <f t="shared" si="58"/>
        <v>1310</v>
      </c>
      <c r="M75" s="572">
        <f t="shared" si="58"/>
        <v>1307</v>
      </c>
      <c r="N75" s="572">
        <f t="shared" si="58"/>
        <v>1294</v>
      </c>
      <c r="O75" s="572">
        <f t="shared" si="58"/>
        <v>1294</v>
      </c>
      <c r="P75" s="572">
        <f t="shared" si="58"/>
        <v>1278</v>
      </c>
      <c r="Q75" s="572">
        <f t="shared" si="58"/>
        <v>1294</v>
      </c>
      <c r="R75" s="572">
        <f t="shared" si="58"/>
        <v>1360</v>
      </c>
      <c r="S75" s="572">
        <f t="shared" si="58"/>
        <v>1379</v>
      </c>
      <c r="T75" s="572">
        <f t="shared" si="58"/>
        <v>1492</v>
      </c>
      <c r="U75" s="572">
        <f t="shared" si="58"/>
        <v>1539</v>
      </c>
      <c r="V75" s="572">
        <f t="shared" si="58"/>
        <v>1392</v>
      </c>
      <c r="W75" s="572">
        <f t="shared" si="58"/>
        <v>1194</v>
      </c>
      <c r="X75" s="572">
        <f t="shared" si="58"/>
        <v>911</v>
      </c>
      <c r="Y75" s="572">
        <f t="shared" si="58"/>
        <v>317</v>
      </c>
      <c r="Z75" s="573"/>
    </row>
    <row r="76" spans="2:30" customFormat="1" hidden="1" outlineLevel="1" x14ac:dyDescent="0.2">
      <c r="B76" s="549" t="s">
        <v>326</v>
      </c>
      <c r="C76" s="549"/>
      <c r="D76" s="554" t="s">
        <v>376</v>
      </c>
      <c r="E76" s="297">
        <f>ROUNDUP(E79*30.4/1000,0)</f>
        <v>1044</v>
      </c>
      <c r="F76" s="297">
        <f>ROUNDUP(F79*31.4/1000,0)</f>
        <v>1143</v>
      </c>
      <c r="G76" s="297">
        <f t="shared" ref="G76:Y76" si="59">ROUNDUP(G79*31.4/1000,0)</f>
        <v>1175</v>
      </c>
      <c r="H76" s="297">
        <f t="shared" si="59"/>
        <v>1203</v>
      </c>
      <c r="I76" s="297">
        <f t="shared" si="59"/>
        <v>1260</v>
      </c>
      <c r="J76" s="297">
        <f t="shared" si="59"/>
        <v>1263</v>
      </c>
      <c r="K76" s="297">
        <f t="shared" si="59"/>
        <v>1263</v>
      </c>
      <c r="L76" s="693">
        <f t="shared" si="59"/>
        <v>1310</v>
      </c>
      <c r="M76" s="297">
        <f t="shared" si="59"/>
        <v>1307</v>
      </c>
      <c r="N76" s="297">
        <f t="shared" si="59"/>
        <v>1294</v>
      </c>
      <c r="O76" s="297">
        <f t="shared" si="59"/>
        <v>1294</v>
      </c>
      <c r="P76" s="297">
        <f t="shared" si="59"/>
        <v>1278</v>
      </c>
      <c r="Q76" s="297">
        <f t="shared" si="59"/>
        <v>1294</v>
      </c>
      <c r="R76" s="297">
        <f t="shared" si="59"/>
        <v>1360</v>
      </c>
      <c r="S76" s="297">
        <f t="shared" si="59"/>
        <v>1379</v>
      </c>
      <c r="T76" s="297">
        <f t="shared" si="59"/>
        <v>1492</v>
      </c>
      <c r="U76" s="297">
        <f t="shared" si="59"/>
        <v>1539</v>
      </c>
      <c r="V76" s="297">
        <f t="shared" si="59"/>
        <v>1392</v>
      </c>
      <c r="W76" s="297">
        <f t="shared" si="59"/>
        <v>1194</v>
      </c>
      <c r="X76" s="297">
        <f t="shared" si="59"/>
        <v>911</v>
      </c>
      <c r="Y76" s="297">
        <f t="shared" si="59"/>
        <v>317</v>
      </c>
      <c r="Z76" s="563"/>
    </row>
    <row r="77" spans="2:30" customFormat="1" hidden="1" outlineLevel="1" x14ac:dyDescent="0.2">
      <c r="B77" s="549" t="s">
        <v>336</v>
      </c>
      <c r="C77" s="549"/>
      <c r="D77" s="554" t="s">
        <v>376</v>
      </c>
      <c r="E77" s="297">
        <v>0</v>
      </c>
      <c r="F77" s="297">
        <v>0</v>
      </c>
      <c r="G77" s="297">
        <v>0</v>
      </c>
      <c r="H77" s="297">
        <v>0</v>
      </c>
      <c r="I77" s="297">
        <v>0</v>
      </c>
      <c r="J77" s="297">
        <v>0</v>
      </c>
      <c r="K77" s="297">
        <v>0</v>
      </c>
      <c r="L77" s="693">
        <v>0</v>
      </c>
      <c r="M77" s="297">
        <v>0</v>
      </c>
      <c r="N77" s="297">
        <v>0</v>
      </c>
      <c r="O77" s="297">
        <v>0</v>
      </c>
      <c r="P77" s="297">
        <v>0</v>
      </c>
      <c r="Q77" s="297">
        <v>0</v>
      </c>
      <c r="R77" s="297">
        <v>0</v>
      </c>
      <c r="S77" s="297">
        <v>0</v>
      </c>
      <c r="T77" s="297">
        <v>0</v>
      </c>
      <c r="U77" s="297">
        <v>0</v>
      </c>
      <c r="V77" s="297">
        <v>0</v>
      </c>
      <c r="W77" s="297">
        <v>0</v>
      </c>
      <c r="X77" s="297">
        <v>0</v>
      </c>
      <c r="Y77" s="297">
        <v>0</v>
      </c>
      <c r="Z77" s="563"/>
    </row>
    <row r="78" spans="2:30" customFormat="1" ht="14.25" collapsed="1" x14ac:dyDescent="0.2">
      <c r="B78" s="565" t="s">
        <v>337</v>
      </c>
      <c r="C78" s="292"/>
      <c r="D78" s="574" t="s">
        <v>458</v>
      </c>
      <c r="E78" s="562">
        <f>SUM(E79:E80)</f>
        <v>34310</v>
      </c>
      <c r="F78" s="562">
        <f t="shared" ref="F78:Y78" si="60">SUM(F79:F80)</f>
        <v>36400</v>
      </c>
      <c r="G78" s="562">
        <f t="shared" si="60"/>
        <v>37400</v>
      </c>
      <c r="H78" s="562">
        <f t="shared" si="60"/>
        <v>38300</v>
      </c>
      <c r="I78" s="562">
        <f t="shared" si="60"/>
        <v>40100</v>
      </c>
      <c r="J78" s="562">
        <f t="shared" si="60"/>
        <v>40200</v>
      </c>
      <c r="K78" s="562">
        <f t="shared" si="60"/>
        <v>40200</v>
      </c>
      <c r="L78" s="693">
        <f t="shared" si="60"/>
        <v>41700</v>
      </c>
      <c r="M78" s="562">
        <f t="shared" si="60"/>
        <v>41600</v>
      </c>
      <c r="N78" s="562">
        <f t="shared" si="60"/>
        <v>41200</v>
      </c>
      <c r="O78" s="562">
        <f t="shared" si="60"/>
        <v>41200</v>
      </c>
      <c r="P78" s="562">
        <f t="shared" si="60"/>
        <v>40700</v>
      </c>
      <c r="Q78" s="562">
        <f t="shared" si="60"/>
        <v>41200</v>
      </c>
      <c r="R78" s="562">
        <f t="shared" si="60"/>
        <v>43300</v>
      </c>
      <c r="S78" s="562">
        <f t="shared" si="60"/>
        <v>43900</v>
      </c>
      <c r="T78" s="562">
        <f t="shared" si="60"/>
        <v>47500</v>
      </c>
      <c r="U78" s="562">
        <f t="shared" si="60"/>
        <v>49000</v>
      </c>
      <c r="V78" s="562">
        <f t="shared" si="60"/>
        <v>44300</v>
      </c>
      <c r="W78" s="562">
        <f t="shared" si="60"/>
        <v>38000</v>
      </c>
      <c r="X78" s="562">
        <f t="shared" si="60"/>
        <v>29000</v>
      </c>
      <c r="Y78" s="562">
        <f t="shared" si="60"/>
        <v>10080</v>
      </c>
      <c r="Z78" s="292"/>
    </row>
    <row r="79" spans="2:30" customFormat="1" ht="14.25" hidden="1" outlineLevel="1" x14ac:dyDescent="0.2">
      <c r="B79" s="295" t="s">
        <v>326</v>
      </c>
      <c r="C79" s="295"/>
      <c r="D79" s="554" t="s">
        <v>458</v>
      </c>
      <c r="E79" s="297">
        <f t="shared" ref="E79:Y79" si="61">E26</f>
        <v>34310</v>
      </c>
      <c r="F79" s="297">
        <f t="shared" si="61"/>
        <v>36400</v>
      </c>
      <c r="G79" s="297">
        <f t="shared" si="61"/>
        <v>37400</v>
      </c>
      <c r="H79" s="297">
        <f t="shared" si="61"/>
        <v>38300</v>
      </c>
      <c r="I79" s="297">
        <f t="shared" si="61"/>
        <v>40100</v>
      </c>
      <c r="J79" s="297">
        <f t="shared" si="61"/>
        <v>40200</v>
      </c>
      <c r="K79" s="297">
        <f t="shared" si="61"/>
        <v>40200</v>
      </c>
      <c r="L79" s="693">
        <f t="shared" si="61"/>
        <v>41700</v>
      </c>
      <c r="M79" s="297">
        <f t="shared" si="61"/>
        <v>41600</v>
      </c>
      <c r="N79" s="297">
        <f t="shared" si="61"/>
        <v>41200</v>
      </c>
      <c r="O79" s="297">
        <f t="shared" si="61"/>
        <v>41200</v>
      </c>
      <c r="P79" s="297">
        <f t="shared" si="61"/>
        <v>40700</v>
      </c>
      <c r="Q79" s="297">
        <f t="shared" si="61"/>
        <v>41200</v>
      </c>
      <c r="R79" s="297">
        <f t="shared" si="61"/>
        <v>43300</v>
      </c>
      <c r="S79" s="297">
        <f t="shared" si="61"/>
        <v>43900</v>
      </c>
      <c r="T79" s="297">
        <f t="shared" si="61"/>
        <v>47500</v>
      </c>
      <c r="U79" s="297">
        <f t="shared" si="61"/>
        <v>49000</v>
      </c>
      <c r="V79" s="297">
        <f t="shared" si="61"/>
        <v>44300</v>
      </c>
      <c r="W79" s="297">
        <f t="shared" si="61"/>
        <v>38000</v>
      </c>
      <c r="X79" s="297">
        <f t="shared" si="61"/>
        <v>29000</v>
      </c>
      <c r="Y79" s="297">
        <f t="shared" si="61"/>
        <v>10080</v>
      </c>
      <c r="Z79" s="291"/>
    </row>
    <row r="80" spans="2:30" customFormat="1" ht="14.25" hidden="1" outlineLevel="1" x14ac:dyDescent="0.2">
      <c r="B80" s="295" t="s">
        <v>336</v>
      </c>
      <c r="C80" s="295"/>
      <c r="D80" s="554" t="s">
        <v>458</v>
      </c>
      <c r="E80" s="557">
        <v>0</v>
      </c>
      <c r="F80" s="557">
        <v>0</v>
      </c>
      <c r="G80" s="557">
        <v>0</v>
      </c>
      <c r="H80" s="557">
        <v>0</v>
      </c>
      <c r="I80" s="557">
        <v>0</v>
      </c>
      <c r="J80" s="557">
        <v>0</v>
      </c>
      <c r="K80" s="557">
        <v>0</v>
      </c>
      <c r="L80" s="944">
        <v>0</v>
      </c>
      <c r="M80" s="557">
        <v>0</v>
      </c>
      <c r="N80" s="557">
        <v>0</v>
      </c>
      <c r="O80" s="557">
        <v>0</v>
      </c>
      <c r="P80" s="557">
        <v>0</v>
      </c>
      <c r="Q80" s="557">
        <v>0</v>
      </c>
      <c r="R80" s="557">
        <v>0</v>
      </c>
      <c r="S80" s="557">
        <v>0</v>
      </c>
      <c r="T80" s="557">
        <v>0</v>
      </c>
      <c r="U80" s="557">
        <v>0</v>
      </c>
      <c r="V80" s="557">
        <v>0</v>
      </c>
      <c r="W80" s="557">
        <v>0</v>
      </c>
      <c r="X80" s="557">
        <v>0</v>
      </c>
      <c r="Y80" s="557">
        <v>0</v>
      </c>
      <c r="Z80" s="563"/>
      <c r="AD80">
        <v>348000</v>
      </c>
    </row>
    <row r="81" spans="2:28" customFormat="1" collapsed="1" x14ac:dyDescent="0.2">
      <c r="B81" s="566" t="s">
        <v>338</v>
      </c>
      <c r="C81" s="472"/>
      <c r="D81" s="288"/>
      <c r="E81" s="297">
        <f>E82</f>
        <v>0.8</v>
      </c>
      <c r="F81" s="297">
        <f t="shared" ref="F81:Y81" si="62">F82</f>
        <v>0.8</v>
      </c>
      <c r="G81" s="297">
        <f t="shared" si="62"/>
        <v>0.8</v>
      </c>
      <c r="H81" s="297">
        <f t="shared" si="62"/>
        <v>0.8</v>
      </c>
      <c r="I81" s="297">
        <f t="shared" si="62"/>
        <v>0.8</v>
      </c>
      <c r="J81" s="297">
        <f t="shared" si="62"/>
        <v>0.8</v>
      </c>
      <c r="K81" s="297">
        <f t="shared" si="62"/>
        <v>0.8</v>
      </c>
      <c r="L81" s="693">
        <f t="shared" si="62"/>
        <v>0.8</v>
      </c>
      <c r="M81" s="297">
        <f t="shared" si="62"/>
        <v>0.8</v>
      </c>
      <c r="N81" s="297">
        <f t="shared" si="62"/>
        <v>0.8</v>
      </c>
      <c r="O81" s="297">
        <f t="shared" si="62"/>
        <v>0.8</v>
      </c>
      <c r="P81" s="297">
        <f t="shared" si="62"/>
        <v>0.8</v>
      </c>
      <c r="Q81" s="297">
        <f t="shared" si="62"/>
        <v>0.8</v>
      </c>
      <c r="R81" s="297">
        <f t="shared" si="62"/>
        <v>0.8</v>
      </c>
      <c r="S81" s="297">
        <f t="shared" si="62"/>
        <v>0.8</v>
      </c>
      <c r="T81" s="297">
        <f t="shared" si="62"/>
        <v>0.8</v>
      </c>
      <c r="U81" s="297">
        <f t="shared" si="62"/>
        <v>0.8</v>
      </c>
      <c r="V81" s="297">
        <f t="shared" si="62"/>
        <v>0.8</v>
      </c>
      <c r="W81" s="297">
        <f t="shared" si="62"/>
        <v>0.8</v>
      </c>
      <c r="X81" s="297">
        <f t="shared" si="62"/>
        <v>0.8</v>
      </c>
      <c r="Y81" s="297">
        <f t="shared" si="62"/>
        <v>0.8</v>
      </c>
      <c r="Z81" s="291"/>
    </row>
    <row r="82" spans="2:28" customFormat="1" hidden="1" outlineLevel="1" x14ac:dyDescent="0.2">
      <c r="B82" s="295" t="s">
        <v>326</v>
      </c>
      <c r="C82" s="295"/>
      <c r="D82" s="554" t="s">
        <v>329</v>
      </c>
      <c r="E82" s="297">
        <v>0.8</v>
      </c>
      <c r="F82" s="297">
        <v>0.8</v>
      </c>
      <c r="G82" s="297">
        <v>0.8</v>
      </c>
      <c r="H82" s="297">
        <v>0.8</v>
      </c>
      <c r="I82" s="297">
        <v>0.8</v>
      </c>
      <c r="J82" s="297">
        <v>0.8</v>
      </c>
      <c r="K82" s="297">
        <v>0.8</v>
      </c>
      <c r="L82" s="693">
        <v>0.8</v>
      </c>
      <c r="M82" s="297">
        <v>0.8</v>
      </c>
      <c r="N82" s="297">
        <v>0.8</v>
      </c>
      <c r="O82" s="297">
        <v>0.8</v>
      </c>
      <c r="P82" s="297">
        <v>0.8</v>
      </c>
      <c r="Q82" s="297">
        <v>0.8</v>
      </c>
      <c r="R82" s="297">
        <v>0.8</v>
      </c>
      <c r="S82" s="297">
        <v>0.8</v>
      </c>
      <c r="T82" s="297">
        <v>0.8</v>
      </c>
      <c r="U82" s="297">
        <v>0.8</v>
      </c>
      <c r="V82" s="297">
        <v>0.8</v>
      </c>
      <c r="W82" s="297">
        <v>0.8</v>
      </c>
      <c r="X82" s="297">
        <v>0.8</v>
      </c>
      <c r="Y82" s="297">
        <v>0.8</v>
      </c>
      <c r="Z82" s="291"/>
    </row>
    <row r="83" spans="2:28" customFormat="1" hidden="1" outlineLevel="1" x14ac:dyDescent="0.2">
      <c r="B83" s="295" t="s">
        <v>336</v>
      </c>
      <c r="C83" s="295"/>
      <c r="D83" s="554" t="s">
        <v>329</v>
      </c>
      <c r="E83" s="297">
        <v>0</v>
      </c>
      <c r="F83" s="297">
        <v>0</v>
      </c>
      <c r="G83" s="297">
        <v>0</v>
      </c>
      <c r="H83" s="297">
        <v>0</v>
      </c>
      <c r="I83" s="297">
        <v>0</v>
      </c>
      <c r="J83" s="297">
        <v>0</v>
      </c>
      <c r="K83" s="297">
        <v>0</v>
      </c>
      <c r="L83" s="693">
        <v>0</v>
      </c>
      <c r="M83" s="297">
        <v>0</v>
      </c>
      <c r="N83" s="297">
        <v>0</v>
      </c>
      <c r="O83" s="297">
        <v>0</v>
      </c>
      <c r="P83" s="297">
        <v>0</v>
      </c>
      <c r="Q83" s="297">
        <v>0</v>
      </c>
      <c r="R83" s="297">
        <v>0</v>
      </c>
      <c r="S83" s="297">
        <v>0</v>
      </c>
      <c r="T83" s="297">
        <v>0</v>
      </c>
      <c r="U83" s="297">
        <v>0</v>
      </c>
      <c r="V83" s="297">
        <v>0</v>
      </c>
      <c r="W83" s="297">
        <v>0</v>
      </c>
      <c r="X83" s="297">
        <v>0</v>
      </c>
      <c r="Y83" s="297">
        <v>0</v>
      </c>
      <c r="Z83" s="291"/>
    </row>
    <row r="84" spans="2:28" customFormat="1" collapsed="1" x14ac:dyDescent="0.2">
      <c r="B84" s="550" t="s">
        <v>328</v>
      </c>
      <c r="C84" s="550"/>
      <c r="D84" s="554" t="s">
        <v>7</v>
      </c>
      <c r="E84" s="557">
        <f>SUM(E85:E86)</f>
        <v>27448</v>
      </c>
      <c r="F84" s="557">
        <f t="shared" ref="F84:Y84" si="63">SUM(F85:F86)</f>
        <v>29120</v>
      </c>
      <c r="G84" s="557">
        <f t="shared" si="63"/>
        <v>29920</v>
      </c>
      <c r="H84" s="557">
        <f t="shared" si="63"/>
        <v>30640</v>
      </c>
      <c r="I84" s="557">
        <f t="shared" si="63"/>
        <v>32080</v>
      </c>
      <c r="J84" s="557">
        <f t="shared" si="63"/>
        <v>32160</v>
      </c>
      <c r="K84" s="557">
        <f t="shared" si="63"/>
        <v>32160</v>
      </c>
      <c r="L84" s="944">
        <f t="shared" si="63"/>
        <v>33360</v>
      </c>
      <c r="M84" s="557">
        <f t="shared" si="63"/>
        <v>33280</v>
      </c>
      <c r="N84" s="557">
        <f t="shared" si="63"/>
        <v>32960</v>
      </c>
      <c r="O84" s="557">
        <f t="shared" si="63"/>
        <v>32960</v>
      </c>
      <c r="P84" s="557">
        <f t="shared" si="63"/>
        <v>32560</v>
      </c>
      <c r="Q84" s="557">
        <f t="shared" si="63"/>
        <v>32960</v>
      </c>
      <c r="R84" s="557">
        <f t="shared" si="63"/>
        <v>34640</v>
      </c>
      <c r="S84" s="557">
        <f t="shared" si="63"/>
        <v>35120</v>
      </c>
      <c r="T84" s="557">
        <f t="shared" si="63"/>
        <v>38000</v>
      </c>
      <c r="U84" s="557">
        <f t="shared" si="63"/>
        <v>39200</v>
      </c>
      <c r="V84" s="557">
        <f t="shared" si="63"/>
        <v>35440</v>
      </c>
      <c r="W84" s="557">
        <f t="shared" si="63"/>
        <v>30400</v>
      </c>
      <c r="X84" s="557">
        <f t="shared" ref="X84" si="64">SUM(X85:X86)</f>
        <v>23200</v>
      </c>
      <c r="Y84" s="557">
        <f t="shared" si="63"/>
        <v>8064</v>
      </c>
      <c r="Z84" s="291"/>
    </row>
    <row r="85" spans="2:28" customFormat="1" hidden="1" outlineLevel="1" x14ac:dyDescent="0.2">
      <c r="B85" s="295" t="s">
        <v>326</v>
      </c>
      <c r="C85" s="295"/>
      <c r="D85" s="554" t="s">
        <v>329</v>
      </c>
      <c r="E85" s="297">
        <f>E79*E82</f>
        <v>27448</v>
      </c>
      <c r="F85" s="297">
        <f t="shared" ref="F85:Y85" si="65">F79*F82</f>
        <v>29120</v>
      </c>
      <c r="G85" s="297">
        <f t="shared" si="65"/>
        <v>29920</v>
      </c>
      <c r="H85" s="297">
        <f t="shared" si="65"/>
        <v>30640</v>
      </c>
      <c r="I85" s="297">
        <f t="shared" si="65"/>
        <v>32080</v>
      </c>
      <c r="J85" s="297">
        <f t="shared" si="65"/>
        <v>32160</v>
      </c>
      <c r="K85" s="297">
        <f t="shared" si="65"/>
        <v>32160</v>
      </c>
      <c r="L85" s="693">
        <f t="shared" si="65"/>
        <v>33360</v>
      </c>
      <c r="M85" s="297">
        <f t="shared" si="65"/>
        <v>33280</v>
      </c>
      <c r="N85" s="297">
        <f t="shared" si="65"/>
        <v>32960</v>
      </c>
      <c r="O85" s="297">
        <f t="shared" si="65"/>
        <v>32960</v>
      </c>
      <c r="P85" s="297">
        <f t="shared" si="65"/>
        <v>32560</v>
      </c>
      <c r="Q85" s="297">
        <f t="shared" si="65"/>
        <v>32960</v>
      </c>
      <c r="R85" s="297">
        <f t="shared" si="65"/>
        <v>34640</v>
      </c>
      <c r="S85" s="297">
        <f t="shared" si="65"/>
        <v>35120</v>
      </c>
      <c r="T85" s="297">
        <f t="shared" si="65"/>
        <v>38000</v>
      </c>
      <c r="U85" s="297">
        <f t="shared" si="65"/>
        <v>39200</v>
      </c>
      <c r="V85" s="297">
        <f t="shared" si="65"/>
        <v>35440</v>
      </c>
      <c r="W85" s="297">
        <f t="shared" si="65"/>
        <v>30400</v>
      </c>
      <c r="X85" s="297">
        <f t="shared" ref="X85" si="66">X79*X82</f>
        <v>23200</v>
      </c>
      <c r="Y85" s="297">
        <f t="shared" si="65"/>
        <v>8064</v>
      </c>
      <c r="Z85" s="291"/>
    </row>
    <row r="86" spans="2:28" customFormat="1" hidden="1" outlineLevel="1" x14ac:dyDescent="0.2">
      <c r="B86" s="295" t="s">
        <v>336</v>
      </c>
      <c r="C86" s="295"/>
      <c r="D86" s="554" t="s">
        <v>329</v>
      </c>
      <c r="E86" s="557">
        <f>E80*E83</f>
        <v>0</v>
      </c>
      <c r="F86" s="557">
        <f t="shared" ref="F86:Y86" si="67">F80*F83</f>
        <v>0</v>
      </c>
      <c r="G86" s="557">
        <f t="shared" si="67"/>
        <v>0</v>
      </c>
      <c r="H86" s="557">
        <f t="shared" si="67"/>
        <v>0</v>
      </c>
      <c r="I86" s="557">
        <f t="shared" si="67"/>
        <v>0</v>
      </c>
      <c r="J86" s="557">
        <f t="shared" si="67"/>
        <v>0</v>
      </c>
      <c r="K86" s="557">
        <f t="shared" si="67"/>
        <v>0</v>
      </c>
      <c r="L86" s="944">
        <f t="shared" si="67"/>
        <v>0</v>
      </c>
      <c r="M86" s="557">
        <f t="shared" si="67"/>
        <v>0</v>
      </c>
      <c r="N86" s="557">
        <f t="shared" si="67"/>
        <v>0</v>
      </c>
      <c r="O86" s="557">
        <f t="shared" si="67"/>
        <v>0</v>
      </c>
      <c r="P86" s="557">
        <f t="shared" si="67"/>
        <v>0</v>
      </c>
      <c r="Q86" s="557">
        <f t="shared" si="67"/>
        <v>0</v>
      </c>
      <c r="R86" s="557">
        <f t="shared" si="67"/>
        <v>0</v>
      </c>
      <c r="S86" s="557">
        <f t="shared" si="67"/>
        <v>0</v>
      </c>
      <c r="T86" s="557">
        <f t="shared" si="67"/>
        <v>0</v>
      </c>
      <c r="U86" s="557">
        <f t="shared" si="67"/>
        <v>0</v>
      </c>
      <c r="V86" s="557">
        <f t="shared" si="67"/>
        <v>0</v>
      </c>
      <c r="W86" s="557">
        <f t="shared" si="67"/>
        <v>0</v>
      </c>
      <c r="X86" s="557">
        <f t="shared" ref="X86" si="68">X80*X83</f>
        <v>0</v>
      </c>
      <c r="Y86" s="557">
        <f t="shared" si="67"/>
        <v>0</v>
      </c>
      <c r="Z86" s="563"/>
    </row>
    <row r="87" spans="2:28" customFormat="1" ht="15" collapsed="1" x14ac:dyDescent="0.25">
      <c r="B87" s="537" t="s">
        <v>390</v>
      </c>
      <c r="C87" s="537"/>
      <c r="D87" s="569" t="s">
        <v>375</v>
      </c>
      <c r="E87" s="539">
        <f t="shared" ref="E87:Y87" si="69">E21+E30+E31</f>
        <v>37470</v>
      </c>
      <c r="F87" s="539">
        <f t="shared" si="69"/>
        <v>40400</v>
      </c>
      <c r="G87" s="539">
        <f t="shared" si="69"/>
        <v>41400</v>
      </c>
      <c r="H87" s="539">
        <f t="shared" si="69"/>
        <v>42000</v>
      </c>
      <c r="I87" s="539">
        <f t="shared" si="69"/>
        <v>43400</v>
      </c>
      <c r="J87" s="539">
        <f t="shared" si="69"/>
        <v>44000</v>
      </c>
      <c r="K87" s="539">
        <f t="shared" si="69"/>
        <v>46000</v>
      </c>
      <c r="L87" s="938">
        <f t="shared" si="69"/>
        <v>47500</v>
      </c>
      <c r="M87" s="539">
        <f t="shared" si="69"/>
        <v>47400</v>
      </c>
      <c r="N87" s="539">
        <f t="shared" si="69"/>
        <v>47000</v>
      </c>
      <c r="O87" s="539">
        <f t="shared" si="69"/>
        <v>47000</v>
      </c>
      <c r="P87" s="539">
        <f t="shared" si="69"/>
        <v>46500</v>
      </c>
      <c r="Q87" s="539">
        <f t="shared" si="69"/>
        <v>46140</v>
      </c>
      <c r="R87" s="539">
        <f t="shared" si="69"/>
        <v>45000</v>
      </c>
      <c r="S87" s="539">
        <f t="shared" si="69"/>
        <v>45600</v>
      </c>
      <c r="T87" s="539">
        <f t="shared" si="69"/>
        <v>49000</v>
      </c>
      <c r="U87" s="539">
        <f t="shared" si="69"/>
        <v>49000</v>
      </c>
      <c r="V87" s="539">
        <f t="shared" si="69"/>
        <v>44300</v>
      </c>
      <c r="W87" s="539">
        <f t="shared" si="69"/>
        <v>38000</v>
      </c>
      <c r="X87" s="539">
        <f t="shared" si="69"/>
        <v>29000</v>
      </c>
      <c r="Y87" s="539">
        <f t="shared" si="69"/>
        <v>10080</v>
      </c>
      <c r="Z87" s="539">
        <f>SUM(E87:Y87)</f>
        <v>886190</v>
      </c>
      <c r="AB87">
        <f>C143+C137+C120+C125+C116+C111+C106+C97+C92</f>
        <v>886190</v>
      </c>
    </row>
    <row r="88" spans="2:28" s="302" customFormat="1" ht="15" x14ac:dyDescent="0.25">
      <c r="B88" s="567" t="s">
        <v>360</v>
      </c>
      <c r="C88" s="567"/>
      <c r="D88" s="570"/>
      <c r="E88" s="568">
        <f>E90+E115</f>
        <v>37420</v>
      </c>
      <c r="F88" s="568">
        <f t="shared" ref="F88:Y88" si="70">F90+F115</f>
        <v>39200</v>
      </c>
      <c r="G88" s="568">
        <f t="shared" si="70"/>
        <v>39000</v>
      </c>
      <c r="H88" s="568">
        <f t="shared" si="70"/>
        <v>39400</v>
      </c>
      <c r="I88" s="568">
        <f t="shared" si="70"/>
        <v>40800</v>
      </c>
      <c r="J88" s="568">
        <f t="shared" si="70"/>
        <v>41400</v>
      </c>
      <c r="K88" s="568">
        <f t="shared" si="70"/>
        <v>44400</v>
      </c>
      <c r="L88" s="938">
        <f t="shared" si="70"/>
        <v>47100</v>
      </c>
      <c r="M88" s="568">
        <f t="shared" si="70"/>
        <v>47400</v>
      </c>
      <c r="N88" s="568">
        <f t="shared" si="70"/>
        <v>47000</v>
      </c>
      <c r="O88" s="568">
        <f t="shared" si="70"/>
        <v>47000</v>
      </c>
      <c r="P88" s="568">
        <f t="shared" si="70"/>
        <v>46500</v>
      </c>
      <c r="Q88" s="568">
        <f t="shared" si="70"/>
        <v>46140</v>
      </c>
      <c r="R88" s="568">
        <f t="shared" si="70"/>
        <v>45000</v>
      </c>
      <c r="S88" s="568">
        <f t="shared" si="70"/>
        <v>45600</v>
      </c>
      <c r="T88" s="568">
        <f t="shared" si="70"/>
        <v>49000</v>
      </c>
      <c r="U88" s="568">
        <f t="shared" si="70"/>
        <v>49000</v>
      </c>
      <c r="V88" s="568">
        <f t="shared" si="70"/>
        <v>44300</v>
      </c>
      <c r="W88" s="568">
        <f t="shared" si="70"/>
        <v>38000</v>
      </c>
      <c r="X88" s="568">
        <f t="shared" si="70"/>
        <v>29000</v>
      </c>
      <c r="Y88" s="568">
        <f t="shared" si="70"/>
        <v>10080</v>
      </c>
      <c r="Z88" s="568">
        <f>SUM(E88:Y88)</f>
        <v>872740</v>
      </c>
    </row>
    <row r="89" spans="2:28" s="302" customFormat="1" ht="15" x14ac:dyDescent="0.25">
      <c r="B89" s="936"/>
      <c r="C89" s="936"/>
      <c r="D89" s="937"/>
      <c r="E89" s="938">
        <f t="shared" ref="E89:Y89" si="71">E87-E88-E142</f>
        <v>0</v>
      </c>
      <c r="F89" s="938">
        <f t="shared" si="71"/>
        <v>0</v>
      </c>
      <c r="G89" s="938">
        <f t="shared" si="71"/>
        <v>0</v>
      </c>
      <c r="H89" s="938">
        <f t="shared" si="71"/>
        <v>0</v>
      </c>
      <c r="I89" s="938">
        <f t="shared" si="71"/>
        <v>0</v>
      </c>
      <c r="J89" s="938">
        <f t="shared" si="71"/>
        <v>0</v>
      </c>
      <c r="K89" s="938">
        <f t="shared" si="71"/>
        <v>0</v>
      </c>
      <c r="L89" s="938">
        <f t="shared" si="71"/>
        <v>0</v>
      </c>
      <c r="M89" s="938">
        <f t="shared" si="71"/>
        <v>0</v>
      </c>
      <c r="N89" s="938">
        <f t="shared" si="71"/>
        <v>0</v>
      </c>
      <c r="O89" s="938">
        <f t="shared" si="71"/>
        <v>0</v>
      </c>
      <c r="P89" s="938">
        <f t="shared" si="71"/>
        <v>0</v>
      </c>
      <c r="Q89" s="938">
        <f t="shared" si="71"/>
        <v>0</v>
      </c>
      <c r="R89" s="938">
        <f t="shared" si="71"/>
        <v>0</v>
      </c>
      <c r="S89" s="938">
        <f t="shared" si="71"/>
        <v>0</v>
      </c>
      <c r="T89" s="938">
        <f t="shared" si="71"/>
        <v>0</v>
      </c>
      <c r="U89" s="938">
        <f t="shared" si="71"/>
        <v>0</v>
      </c>
      <c r="V89" s="938">
        <f t="shared" si="71"/>
        <v>0</v>
      </c>
      <c r="W89" s="938">
        <f t="shared" si="71"/>
        <v>0</v>
      </c>
      <c r="X89" s="938">
        <f t="shared" si="71"/>
        <v>0</v>
      </c>
      <c r="Y89" s="938">
        <f t="shared" si="71"/>
        <v>0</v>
      </c>
      <c r="Z89" s="938">
        <f>SUM(E89:Y89)</f>
        <v>0</v>
      </c>
    </row>
    <row r="90" spans="2:28" s="302" customFormat="1" ht="15" x14ac:dyDescent="0.25">
      <c r="B90" s="536" t="s">
        <v>391</v>
      </c>
      <c r="C90" s="537"/>
      <c r="D90" s="536" t="s">
        <v>375</v>
      </c>
      <c r="E90" s="538">
        <f>E91+E105</f>
        <v>24060</v>
      </c>
      <c r="F90" s="538">
        <f t="shared" ref="F90:Y90" si="72">F91+F105</f>
        <v>18740</v>
      </c>
      <c r="G90" s="538">
        <f t="shared" si="72"/>
        <v>21090</v>
      </c>
      <c r="H90" s="538">
        <f t="shared" si="72"/>
        <v>22500</v>
      </c>
      <c r="I90" s="538">
        <f t="shared" si="72"/>
        <v>24260</v>
      </c>
      <c r="J90" s="538">
        <f t="shared" si="72"/>
        <v>41400</v>
      </c>
      <c r="K90" s="538">
        <f t="shared" si="72"/>
        <v>44400</v>
      </c>
      <c r="L90" s="942">
        <f t="shared" si="72"/>
        <v>42000</v>
      </c>
      <c r="M90" s="538">
        <f t="shared" si="72"/>
        <v>38100</v>
      </c>
      <c r="N90" s="538">
        <f t="shared" si="72"/>
        <v>39850</v>
      </c>
      <c r="O90" s="538">
        <f t="shared" si="72"/>
        <v>42810</v>
      </c>
      <c r="P90" s="538">
        <f t="shared" si="72"/>
        <v>46500</v>
      </c>
      <c r="Q90" s="538">
        <f t="shared" si="72"/>
        <v>46140</v>
      </c>
      <c r="R90" s="538">
        <f t="shared" si="72"/>
        <v>45000</v>
      </c>
      <c r="S90" s="538">
        <f t="shared" si="72"/>
        <v>45600</v>
      </c>
      <c r="T90" s="538">
        <f t="shared" si="72"/>
        <v>49000</v>
      </c>
      <c r="U90" s="538">
        <f t="shared" si="72"/>
        <v>49000</v>
      </c>
      <c r="V90" s="538">
        <f t="shared" si="72"/>
        <v>44300</v>
      </c>
      <c r="W90" s="538">
        <f t="shared" si="72"/>
        <v>38000</v>
      </c>
      <c r="X90" s="538">
        <f t="shared" si="72"/>
        <v>29000</v>
      </c>
      <c r="Y90" s="538">
        <f t="shared" si="72"/>
        <v>10080</v>
      </c>
      <c r="Z90" s="568">
        <f t="shared" ref="Z90:Z147" si="73">SUM(E90:Y90)</f>
        <v>761830</v>
      </c>
    </row>
    <row r="91" spans="2:28" s="302" customFormat="1" ht="15" x14ac:dyDescent="0.25">
      <c r="B91" s="544" t="s">
        <v>454</v>
      </c>
      <c r="C91" s="537"/>
      <c r="D91" s="536"/>
      <c r="E91" s="538">
        <f>E92+E97</f>
        <v>19760</v>
      </c>
      <c r="F91" s="538">
        <f t="shared" ref="F91:Y91" si="74">F92+F97</f>
        <v>13940</v>
      </c>
      <c r="G91" s="538">
        <f t="shared" si="74"/>
        <v>16290</v>
      </c>
      <c r="H91" s="538">
        <f t="shared" si="74"/>
        <v>17500</v>
      </c>
      <c r="I91" s="538">
        <f t="shared" si="74"/>
        <v>19360</v>
      </c>
      <c r="J91" s="538">
        <f t="shared" si="74"/>
        <v>36200</v>
      </c>
      <c r="K91" s="538">
        <f t="shared" si="74"/>
        <v>39200</v>
      </c>
      <c r="L91" s="942">
        <f t="shared" si="74"/>
        <v>36800</v>
      </c>
      <c r="M91" s="538">
        <f t="shared" si="74"/>
        <v>32900</v>
      </c>
      <c r="N91" s="538">
        <f t="shared" si="74"/>
        <v>34650</v>
      </c>
      <c r="O91" s="538">
        <f t="shared" si="74"/>
        <v>37610</v>
      </c>
      <c r="P91" s="538">
        <f t="shared" si="74"/>
        <v>41300</v>
      </c>
      <c r="Q91" s="538">
        <f t="shared" si="74"/>
        <v>42040</v>
      </c>
      <c r="R91" s="538">
        <f t="shared" si="74"/>
        <v>44000</v>
      </c>
      <c r="S91" s="538">
        <f t="shared" si="74"/>
        <v>45600</v>
      </c>
      <c r="T91" s="538">
        <f t="shared" si="74"/>
        <v>49000</v>
      </c>
      <c r="U91" s="538">
        <f t="shared" si="74"/>
        <v>49000</v>
      </c>
      <c r="V91" s="538">
        <f t="shared" si="74"/>
        <v>44300</v>
      </c>
      <c r="W91" s="538">
        <f t="shared" si="74"/>
        <v>38000</v>
      </c>
      <c r="X91" s="538">
        <f t="shared" si="74"/>
        <v>29000</v>
      </c>
      <c r="Y91" s="538">
        <f t="shared" si="74"/>
        <v>10080</v>
      </c>
      <c r="Z91" s="568">
        <f t="shared" si="73"/>
        <v>696530</v>
      </c>
    </row>
    <row r="92" spans="2:28" s="302" customFormat="1" ht="15" x14ac:dyDescent="0.25">
      <c r="B92" s="931" t="s">
        <v>449</v>
      </c>
      <c r="C92" s="932">
        <f>SUM(C93:C96)</f>
        <v>39140</v>
      </c>
      <c r="D92" s="931"/>
      <c r="E92" s="933">
        <f>SUM(E93:E96)</f>
        <v>10050</v>
      </c>
      <c r="F92" s="933">
        <f t="shared" ref="F92:Y92" si="75">SUM(F93:F96)</f>
        <v>7900</v>
      </c>
      <c r="G92" s="933">
        <f t="shared" si="75"/>
        <v>11020</v>
      </c>
      <c r="H92" s="933">
        <f t="shared" si="75"/>
        <v>10170</v>
      </c>
      <c r="I92" s="933">
        <f t="shared" si="75"/>
        <v>0</v>
      </c>
      <c r="J92" s="933">
        <f t="shared" si="75"/>
        <v>0</v>
      </c>
      <c r="K92" s="933">
        <f t="shared" si="75"/>
        <v>0</v>
      </c>
      <c r="L92" s="942">
        <f t="shared" si="75"/>
        <v>0</v>
      </c>
      <c r="M92" s="933">
        <f t="shared" si="75"/>
        <v>0</v>
      </c>
      <c r="N92" s="933">
        <f t="shared" si="75"/>
        <v>0</v>
      </c>
      <c r="O92" s="933">
        <f t="shared" si="75"/>
        <v>0</v>
      </c>
      <c r="P92" s="933">
        <f t="shared" si="75"/>
        <v>0</v>
      </c>
      <c r="Q92" s="933">
        <f t="shared" si="75"/>
        <v>0</v>
      </c>
      <c r="R92" s="933">
        <f t="shared" si="75"/>
        <v>0</v>
      </c>
      <c r="S92" s="933">
        <f t="shared" si="75"/>
        <v>0</v>
      </c>
      <c r="T92" s="933">
        <f t="shared" si="75"/>
        <v>0</v>
      </c>
      <c r="U92" s="933">
        <f t="shared" si="75"/>
        <v>0</v>
      </c>
      <c r="V92" s="933">
        <f t="shared" si="75"/>
        <v>0</v>
      </c>
      <c r="W92" s="933">
        <f t="shared" si="75"/>
        <v>0</v>
      </c>
      <c r="X92" s="933">
        <f t="shared" si="75"/>
        <v>0</v>
      </c>
      <c r="Y92" s="933">
        <f t="shared" si="75"/>
        <v>0</v>
      </c>
      <c r="Z92" s="568">
        <f t="shared" si="73"/>
        <v>39140</v>
      </c>
      <c r="AB92" s="302">
        <f>Z97-C97</f>
        <v>0</v>
      </c>
    </row>
    <row r="93" spans="2:28" s="302" customFormat="1" ht="17.25" hidden="1" outlineLevel="1" x14ac:dyDescent="0.25">
      <c r="B93" s="540">
        <v>210</v>
      </c>
      <c r="C93" s="543">
        <v>1450</v>
      </c>
      <c r="D93" s="541" t="s">
        <v>448</v>
      </c>
      <c r="E93" s="542">
        <v>1450</v>
      </c>
      <c r="F93" s="542"/>
      <c r="G93" s="542"/>
      <c r="H93" s="542"/>
      <c r="I93" s="542"/>
      <c r="J93" s="542"/>
      <c r="K93" s="542"/>
      <c r="L93" s="942"/>
      <c r="M93" s="542"/>
      <c r="N93" s="542"/>
      <c r="O93" s="542"/>
      <c r="P93" s="542"/>
      <c r="Q93" s="542"/>
      <c r="R93" s="542"/>
      <c r="S93" s="542"/>
      <c r="T93" s="542"/>
      <c r="U93" s="542"/>
      <c r="V93" s="542"/>
      <c r="W93" s="542"/>
      <c r="X93" s="542"/>
      <c r="Y93" s="542"/>
      <c r="Z93" s="568">
        <f t="shared" si="73"/>
        <v>1450</v>
      </c>
    </row>
    <row r="94" spans="2:28" s="302" customFormat="1" ht="17.25" hidden="1" outlineLevel="1" x14ac:dyDescent="0.25">
      <c r="B94" s="540">
        <v>240</v>
      </c>
      <c r="C94" s="543">
        <v>17620</v>
      </c>
      <c r="D94" s="541" t="s">
        <v>448</v>
      </c>
      <c r="E94" s="542">
        <v>8600</v>
      </c>
      <c r="F94" s="542">
        <v>5200</v>
      </c>
      <c r="G94" s="542">
        <v>3820</v>
      </c>
      <c r="H94" s="542"/>
      <c r="I94" s="542"/>
      <c r="J94" s="542"/>
      <c r="K94" s="542"/>
      <c r="L94" s="942"/>
      <c r="M94" s="542"/>
      <c r="N94" s="542"/>
      <c r="O94" s="542"/>
      <c r="P94" s="542"/>
      <c r="Q94" s="542"/>
      <c r="R94" s="542"/>
      <c r="S94" s="542"/>
      <c r="T94" s="542"/>
      <c r="U94" s="542"/>
      <c r="V94" s="542"/>
      <c r="W94" s="542"/>
      <c r="X94" s="542"/>
      <c r="Y94" s="542"/>
      <c r="Z94" s="568">
        <f t="shared" si="73"/>
        <v>17620</v>
      </c>
    </row>
    <row r="95" spans="2:28" s="302" customFormat="1" ht="17.25" hidden="1" outlineLevel="1" x14ac:dyDescent="0.25">
      <c r="B95" s="540">
        <v>270</v>
      </c>
      <c r="C95" s="543">
        <v>15080</v>
      </c>
      <c r="D95" s="541" t="s">
        <v>448</v>
      </c>
      <c r="E95" s="542"/>
      <c r="F95" s="542">
        <v>2700</v>
      </c>
      <c r="G95" s="542">
        <v>7200</v>
      </c>
      <c r="H95" s="542">
        <v>5180</v>
      </c>
      <c r="I95" s="542"/>
      <c r="J95" s="542"/>
      <c r="K95" s="542"/>
      <c r="L95" s="942"/>
      <c r="M95" s="542"/>
      <c r="N95" s="542"/>
      <c r="O95" s="542"/>
      <c r="P95" s="542"/>
      <c r="Q95" s="542"/>
      <c r="R95" s="542"/>
      <c r="S95" s="542"/>
      <c r="T95" s="542"/>
      <c r="U95" s="542"/>
      <c r="V95" s="542"/>
      <c r="W95" s="542"/>
      <c r="X95" s="542"/>
      <c r="Y95" s="542"/>
      <c r="Z95" s="568">
        <f t="shared" si="73"/>
        <v>15080</v>
      </c>
    </row>
    <row r="96" spans="2:28" s="302" customFormat="1" ht="17.25" hidden="1" outlineLevel="1" x14ac:dyDescent="0.25">
      <c r="B96" s="540">
        <v>300</v>
      </c>
      <c r="C96" s="543">
        <v>4990</v>
      </c>
      <c r="D96" s="541" t="s">
        <v>448</v>
      </c>
      <c r="E96" s="542"/>
      <c r="F96" s="542"/>
      <c r="G96" s="542"/>
      <c r="H96" s="542">
        <v>4990</v>
      </c>
      <c r="I96" s="542"/>
      <c r="J96" s="542"/>
      <c r="K96" s="542"/>
      <c r="L96" s="942"/>
      <c r="M96" s="542"/>
      <c r="N96" s="542"/>
      <c r="O96" s="542"/>
      <c r="P96" s="542"/>
      <c r="Q96" s="542"/>
      <c r="R96" s="542"/>
      <c r="S96" s="542"/>
      <c r="T96" s="542"/>
      <c r="U96" s="542"/>
      <c r="V96" s="542"/>
      <c r="W96" s="542"/>
      <c r="X96" s="542"/>
      <c r="Y96" s="542"/>
      <c r="Z96" s="568">
        <f t="shared" si="73"/>
        <v>4990</v>
      </c>
    </row>
    <row r="97" spans="2:29" s="302" customFormat="1" ht="15" collapsed="1" x14ac:dyDescent="0.25">
      <c r="B97" s="931" t="s">
        <v>453</v>
      </c>
      <c r="C97" s="932">
        <f>SUM(C98:C104)</f>
        <v>657390</v>
      </c>
      <c r="D97" s="931"/>
      <c r="E97" s="933">
        <f>SUM(E98:E104)</f>
        <v>9710</v>
      </c>
      <c r="F97" s="933">
        <f t="shared" ref="F97:I97" si="76">SUM(F98:F104)</f>
        <v>6040</v>
      </c>
      <c r="G97" s="933">
        <f t="shared" si="76"/>
        <v>5270</v>
      </c>
      <c r="H97" s="933">
        <f t="shared" si="76"/>
        <v>7330</v>
      </c>
      <c r="I97" s="933">
        <f t="shared" si="76"/>
        <v>19360</v>
      </c>
      <c r="J97" s="933">
        <v>36200</v>
      </c>
      <c r="K97" s="933">
        <v>39200</v>
      </c>
      <c r="L97" s="942">
        <v>36800</v>
      </c>
      <c r="M97" s="933">
        <v>32900</v>
      </c>
      <c r="N97" s="933">
        <v>34650</v>
      </c>
      <c r="O97" s="933">
        <v>37610</v>
      </c>
      <c r="P97" s="933">
        <v>41300</v>
      </c>
      <c r="Q97" s="933">
        <v>42040</v>
      </c>
      <c r="R97" s="933">
        <v>44000</v>
      </c>
      <c r="S97" s="933">
        <v>45600</v>
      </c>
      <c r="T97" s="933">
        <v>49000</v>
      </c>
      <c r="U97" s="933">
        <v>49000</v>
      </c>
      <c r="V97" s="933">
        <v>44300</v>
      </c>
      <c r="W97" s="933">
        <v>38000</v>
      </c>
      <c r="X97" s="933">
        <v>29000</v>
      </c>
      <c r="Y97" s="933">
        <v>10080</v>
      </c>
      <c r="Z97" s="568">
        <f t="shared" si="73"/>
        <v>657390</v>
      </c>
    </row>
    <row r="98" spans="2:29" s="302" customFormat="1" ht="17.25" hidden="1" outlineLevel="1" x14ac:dyDescent="0.25">
      <c r="B98" s="540">
        <v>240</v>
      </c>
      <c r="C98" s="543">
        <v>21150</v>
      </c>
      <c r="D98" s="541" t="s">
        <v>448</v>
      </c>
      <c r="E98" s="542">
        <v>3200</v>
      </c>
      <c r="F98" s="542">
        <v>2100</v>
      </c>
      <c r="G98" s="542">
        <v>2300</v>
      </c>
      <c r="H98" s="542">
        <v>2600</v>
      </c>
      <c r="I98" s="542">
        <v>7600</v>
      </c>
      <c r="J98" s="542"/>
      <c r="K98" s="542"/>
      <c r="L98" s="942"/>
      <c r="M98" s="542"/>
      <c r="N98" s="542"/>
      <c r="O98" s="542"/>
      <c r="P98" s="542"/>
      <c r="Q98" s="542"/>
      <c r="R98" s="542"/>
      <c r="S98" s="542"/>
      <c r="T98" s="542"/>
      <c r="U98" s="542"/>
      <c r="V98" s="542"/>
      <c r="W98" s="542"/>
      <c r="X98" s="542"/>
      <c r="Y98" s="542"/>
      <c r="Z98" s="568">
        <f t="shared" si="73"/>
        <v>17800</v>
      </c>
    </row>
    <row r="99" spans="2:29" s="302" customFormat="1" ht="17.25" hidden="1" outlineLevel="1" x14ac:dyDescent="0.25">
      <c r="B99" s="540">
        <v>270</v>
      </c>
      <c r="C99" s="543">
        <v>93060</v>
      </c>
      <c r="D99" s="541" t="s">
        <v>448</v>
      </c>
      <c r="E99" s="542">
        <v>2800</v>
      </c>
      <c r="F99" s="542">
        <v>3400</v>
      </c>
      <c r="G99" s="542">
        <v>2900</v>
      </c>
      <c r="H99" s="542">
        <v>3100</v>
      </c>
      <c r="I99" s="542">
        <v>6200</v>
      </c>
      <c r="J99" s="542"/>
      <c r="K99" s="542"/>
      <c r="L99" s="942"/>
      <c r="M99" s="542"/>
      <c r="N99" s="542"/>
      <c r="O99" s="542"/>
      <c r="P99" s="542"/>
      <c r="Q99" s="542"/>
      <c r="R99" s="542"/>
      <c r="S99" s="542"/>
      <c r="T99" s="542"/>
      <c r="U99" s="542"/>
      <c r="V99" s="542"/>
      <c r="W99" s="542"/>
      <c r="X99" s="542"/>
      <c r="Y99" s="542"/>
      <c r="Z99" s="568">
        <f t="shared" si="73"/>
        <v>18400</v>
      </c>
    </row>
    <row r="100" spans="2:29" s="302" customFormat="1" ht="17.25" hidden="1" outlineLevel="1" x14ac:dyDescent="0.25">
      <c r="B100" s="540">
        <v>300</v>
      </c>
      <c r="C100" s="543">
        <v>105710</v>
      </c>
      <c r="D100" s="541" t="s">
        <v>448</v>
      </c>
      <c r="E100" s="542">
        <v>3710</v>
      </c>
      <c r="F100" s="542">
        <v>540</v>
      </c>
      <c r="G100" s="542">
        <v>70</v>
      </c>
      <c r="H100" s="542">
        <v>1630</v>
      </c>
      <c r="I100" s="542">
        <v>2000</v>
      </c>
      <c r="J100" s="542"/>
      <c r="K100" s="542"/>
      <c r="L100" s="942"/>
      <c r="M100" s="542"/>
      <c r="N100" s="542"/>
      <c r="O100" s="542"/>
      <c r="P100" s="542"/>
      <c r="Q100" s="542"/>
      <c r="R100" s="542"/>
      <c r="S100" s="542"/>
      <c r="T100" s="542"/>
      <c r="U100" s="542"/>
      <c r="V100" s="542"/>
      <c r="W100" s="542"/>
      <c r="X100" s="542"/>
      <c r="Y100" s="542"/>
      <c r="Z100" s="568">
        <f t="shared" si="73"/>
        <v>7950</v>
      </c>
    </row>
    <row r="101" spans="2:29" s="302" customFormat="1" ht="17.25" hidden="1" outlineLevel="1" x14ac:dyDescent="0.25">
      <c r="B101" s="540">
        <v>330</v>
      </c>
      <c r="C101" s="543">
        <v>119350</v>
      </c>
      <c r="D101" s="541" t="s">
        <v>448</v>
      </c>
      <c r="E101" s="542"/>
      <c r="F101" s="542"/>
      <c r="G101" s="542"/>
      <c r="H101" s="542"/>
      <c r="I101" s="542">
        <v>3560</v>
      </c>
      <c r="J101" s="542"/>
      <c r="K101" s="542"/>
      <c r="L101" s="942"/>
      <c r="M101" s="542"/>
      <c r="N101" s="542"/>
      <c r="O101" s="542"/>
      <c r="P101" s="542"/>
      <c r="Q101" s="542"/>
      <c r="R101" s="542"/>
      <c r="S101" s="542"/>
      <c r="T101" s="542"/>
      <c r="U101" s="542"/>
      <c r="V101" s="542"/>
      <c r="W101" s="542"/>
      <c r="X101" s="542"/>
      <c r="Y101" s="542"/>
      <c r="Z101" s="568">
        <f t="shared" si="73"/>
        <v>3560</v>
      </c>
    </row>
    <row r="102" spans="2:29" s="302" customFormat="1" ht="17.25" hidden="1" outlineLevel="1" x14ac:dyDescent="0.25">
      <c r="B102" s="540">
        <v>360</v>
      </c>
      <c r="C102" s="543">
        <v>118640</v>
      </c>
      <c r="D102" s="541" t="s">
        <v>448</v>
      </c>
      <c r="E102" s="542"/>
      <c r="F102" s="542"/>
      <c r="G102" s="542"/>
      <c r="H102" s="542"/>
      <c r="I102" s="542"/>
      <c r="J102" s="542"/>
      <c r="K102" s="542"/>
      <c r="L102" s="942"/>
      <c r="M102" s="542"/>
      <c r="N102" s="542"/>
      <c r="O102" s="542"/>
      <c r="P102" s="542"/>
      <c r="Q102" s="542"/>
      <c r="R102" s="542"/>
      <c r="S102" s="542"/>
      <c r="T102" s="542"/>
      <c r="U102" s="542"/>
      <c r="V102" s="542"/>
      <c r="W102" s="542"/>
      <c r="X102" s="542"/>
      <c r="Y102" s="542"/>
      <c r="Z102" s="568">
        <f t="shared" si="73"/>
        <v>0</v>
      </c>
    </row>
    <row r="103" spans="2:29" s="302" customFormat="1" ht="17.25" hidden="1" outlineLevel="1" x14ac:dyDescent="0.25">
      <c r="B103" s="540">
        <v>390</v>
      </c>
      <c r="C103" s="543">
        <v>112300</v>
      </c>
      <c r="D103" s="541" t="s">
        <v>448</v>
      </c>
      <c r="E103" s="542"/>
      <c r="F103" s="542"/>
      <c r="G103" s="542"/>
      <c r="H103" s="542"/>
      <c r="I103" s="542"/>
      <c r="J103" s="542"/>
      <c r="K103" s="542"/>
      <c r="L103" s="942"/>
      <c r="M103" s="542"/>
      <c r="N103" s="542"/>
      <c r="O103" s="542"/>
      <c r="P103" s="542"/>
      <c r="Q103" s="542"/>
      <c r="R103" s="542"/>
      <c r="S103" s="542"/>
      <c r="T103" s="542"/>
      <c r="U103" s="542"/>
      <c r="V103" s="542"/>
      <c r="W103" s="542"/>
      <c r="X103" s="542"/>
      <c r="Y103" s="542"/>
      <c r="Z103" s="568">
        <f t="shared" si="73"/>
        <v>0</v>
      </c>
    </row>
    <row r="104" spans="2:29" s="302" customFormat="1" ht="17.25" hidden="1" outlineLevel="1" x14ac:dyDescent="0.25">
      <c r="B104" s="540">
        <v>420</v>
      </c>
      <c r="C104" s="543">
        <v>87180</v>
      </c>
      <c r="D104" s="541" t="s">
        <v>448</v>
      </c>
      <c r="E104" s="542"/>
      <c r="F104" s="542"/>
      <c r="G104" s="542"/>
      <c r="H104" s="542"/>
      <c r="I104" s="542"/>
      <c r="J104" s="542"/>
      <c r="K104" s="542"/>
      <c r="L104" s="942"/>
      <c r="M104" s="542"/>
      <c r="N104" s="542"/>
      <c r="O104" s="542"/>
      <c r="P104" s="542"/>
      <c r="Q104" s="542"/>
      <c r="R104" s="542"/>
      <c r="S104" s="542"/>
      <c r="T104" s="542"/>
      <c r="U104" s="542"/>
      <c r="V104" s="542"/>
      <c r="W104" s="542"/>
      <c r="X104" s="542"/>
      <c r="Y104" s="542"/>
      <c r="Z104" s="568"/>
    </row>
    <row r="105" spans="2:29" s="302" customFormat="1" ht="15" collapsed="1" x14ac:dyDescent="0.25">
      <c r="B105" s="544" t="s">
        <v>455</v>
      </c>
      <c r="C105" s="537"/>
      <c r="D105" s="536"/>
      <c r="E105" s="538">
        <f>E106+E111</f>
        <v>4300</v>
      </c>
      <c r="F105" s="538">
        <f t="shared" ref="F105:Y105" si="77">F106+F111</f>
        <v>4800</v>
      </c>
      <c r="G105" s="538">
        <f t="shared" si="77"/>
        <v>4800</v>
      </c>
      <c r="H105" s="538">
        <f t="shared" si="77"/>
        <v>5000</v>
      </c>
      <c r="I105" s="538">
        <f t="shared" si="77"/>
        <v>4900</v>
      </c>
      <c r="J105" s="538">
        <f t="shared" si="77"/>
        <v>5200</v>
      </c>
      <c r="K105" s="538">
        <f t="shared" si="77"/>
        <v>5200</v>
      </c>
      <c r="L105" s="942">
        <f t="shared" si="77"/>
        <v>5200</v>
      </c>
      <c r="M105" s="538">
        <f t="shared" si="77"/>
        <v>5200</v>
      </c>
      <c r="N105" s="538">
        <f t="shared" si="77"/>
        <v>5200</v>
      </c>
      <c r="O105" s="538">
        <f t="shared" si="77"/>
        <v>5200</v>
      </c>
      <c r="P105" s="538">
        <f t="shared" si="77"/>
        <v>5200</v>
      </c>
      <c r="Q105" s="538">
        <f t="shared" si="77"/>
        <v>4100</v>
      </c>
      <c r="R105" s="538">
        <f t="shared" si="77"/>
        <v>1000</v>
      </c>
      <c r="S105" s="538">
        <f t="shared" si="77"/>
        <v>0</v>
      </c>
      <c r="T105" s="538">
        <f t="shared" si="77"/>
        <v>0</v>
      </c>
      <c r="U105" s="538">
        <f t="shared" si="77"/>
        <v>0</v>
      </c>
      <c r="V105" s="538">
        <f t="shared" si="77"/>
        <v>0</v>
      </c>
      <c r="W105" s="538">
        <f t="shared" si="77"/>
        <v>0</v>
      </c>
      <c r="X105" s="538">
        <f t="shared" si="77"/>
        <v>0</v>
      </c>
      <c r="Y105" s="538">
        <f t="shared" si="77"/>
        <v>0</v>
      </c>
      <c r="Z105" s="568">
        <f t="shared" si="73"/>
        <v>65300</v>
      </c>
    </row>
    <row r="106" spans="2:29" s="302" customFormat="1" ht="15" x14ac:dyDescent="0.25">
      <c r="B106" s="931" t="s">
        <v>456</v>
      </c>
      <c r="C106" s="932">
        <f>SUM(C107:C110)</f>
        <v>45700</v>
      </c>
      <c r="D106" s="931"/>
      <c r="E106" s="933">
        <v>2100</v>
      </c>
      <c r="F106" s="933">
        <v>2400</v>
      </c>
      <c r="G106" s="933">
        <v>2500</v>
      </c>
      <c r="H106" s="933">
        <v>3700</v>
      </c>
      <c r="I106" s="933">
        <v>3600</v>
      </c>
      <c r="J106" s="933">
        <v>3900</v>
      </c>
      <c r="K106" s="933">
        <v>3900</v>
      </c>
      <c r="L106" s="942">
        <v>3900</v>
      </c>
      <c r="M106" s="933">
        <v>3900</v>
      </c>
      <c r="N106" s="933">
        <v>3900</v>
      </c>
      <c r="O106" s="933">
        <v>3900</v>
      </c>
      <c r="P106" s="933">
        <v>3900</v>
      </c>
      <c r="Q106" s="933">
        <v>3100</v>
      </c>
      <c r="R106" s="933">
        <v>1000</v>
      </c>
      <c r="S106" s="933">
        <v>0</v>
      </c>
      <c r="T106" s="933">
        <v>0</v>
      </c>
      <c r="U106" s="933">
        <v>0</v>
      </c>
      <c r="V106" s="933">
        <v>0</v>
      </c>
      <c r="W106" s="933">
        <v>0</v>
      </c>
      <c r="X106" s="933">
        <v>0</v>
      </c>
      <c r="Y106" s="933">
        <v>0</v>
      </c>
      <c r="Z106" s="568">
        <f t="shared" si="73"/>
        <v>45700</v>
      </c>
      <c r="AC106" s="302" t="s">
        <v>459</v>
      </c>
    </row>
    <row r="107" spans="2:29" s="302" customFormat="1" ht="15" hidden="1" customHeight="1" outlineLevel="1" x14ac:dyDescent="0.25">
      <c r="B107" s="540">
        <v>200</v>
      </c>
      <c r="C107" s="543">
        <v>6400</v>
      </c>
      <c r="D107" s="541" t="s">
        <v>448</v>
      </c>
      <c r="E107" s="542"/>
      <c r="F107" s="542"/>
      <c r="G107" s="542"/>
      <c r="H107" s="542"/>
      <c r="I107" s="542"/>
      <c r="J107" s="542"/>
      <c r="K107" s="542"/>
      <c r="L107" s="942"/>
      <c r="M107" s="542"/>
      <c r="N107" s="542"/>
      <c r="O107" s="542"/>
      <c r="P107" s="542"/>
      <c r="Q107" s="542"/>
      <c r="R107" s="542"/>
      <c r="S107" s="542"/>
      <c r="T107" s="542"/>
      <c r="U107" s="542"/>
      <c r="V107" s="542"/>
      <c r="W107" s="542"/>
      <c r="X107" s="542"/>
      <c r="Y107" s="542"/>
      <c r="Z107" s="568">
        <f t="shared" ref="Z107" si="78">SUM(E107:Y107)</f>
        <v>0</v>
      </c>
    </row>
    <row r="108" spans="2:29" s="302" customFormat="1" ht="15" hidden="1" customHeight="1" outlineLevel="1" x14ac:dyDescent="0.25">
      <c r="B108" s="540">
        <v>230</v>
      </c>
      <c r="C108" s="543">
        <v>11300</v>
      </c>
      <c r="D108" s="541" t="s">
        <v>448</v>
      </c>
      <c r="E108" s="542"/>
      <c r="F108" s="542"/>
      <c r="G108" s="542"/>
      <c r="H108" s="542"/>
      <c r="I108" s="542"/>
      <c r="J108" s="542"/>
      <c r="K108" s="542"/>
      <c r="L108" s="942"/>
      <c r="M108" s="542"/>
      <c r="N108" s="542"/>
      <c r="O108" s="542"/>
      <c r="P108" s="542"/>
      <c r="Q108" s="542"/>
      <c r="R108" s="542"/>
      <c r="S108" s="542"/>
      <c r="T108" s="542"/>
      <c r="U108" s="542"/>
      <c r="V108" s="542"/>
      <c r="W108" s="542"/>
      <c r="X108" s="542"/>
      <c r="Y108" s="542"/>
      <c r="Z108" s="568">
        <f t="shared" si="73"/>
        <v>0</v>
      </c>
      <c r="AC108" s="302">
        <v>10880</v>
      </c>
    </row>
    <row r="109" spans="2:29" s="302" customFormat="1" ht="15" hidden="1" customHeight="1" outlineLevel="1" x14ac:dyDescent="0.25">
      <c r="B109" s="540">
        <v>260</v>
      </c>
      <c r="C109" s="543">
        <v>20800</v>
      </c>
      <c r="D109" s="541" t="s">
        <v>448</v>
      </c>
      <c r="E109" s="542"/>
      <c r="F109" s="542"/>
      <c r="G109" s="542"/>
      <c r="H109" s="542"/>
      <c r="I109" s="542"/>
      <c r="J109" s="542"/>
      <c r="K109" s="542"/>
      <c r="L109" s="942"/>
      <c r="M109" s="542"/>
      <c r="N109" s="542"/>
      <c r="O109" s="542"/>
      <c r="P109" s="542"/>
      <c r="Q109" s="542"/>
      <c r="R109" s="542"/>
      <c r="S109" s="542"/>
      <c r="T109" s="542"/>
      <c r="U109" s="542"/>
      <c r="V109" s="542"/>
      <c r="W109" s="542"/>
      <c r="X109" s="542"/>
      <c r="Y109" s="542"/>
      <c r="Z109" s="568">
        <f t="shared" ref="Z109" si="79">SUM(E109:Y109)</f>
        <v>0</v>
      </c>
    </row>
    <row r="110" spans="2:29" s="302" customFormat="1" ht="15" hidden="1" customHeight="1" outlineLevel="1" x14ac:dyDescent="0.25">
      <c r="B110" s="540">
        <v>275</v>
      </c>
      <c r="C110" s="543">
        <v>7200</v>
      </c>
      <c r="D110" s="541" t="s">
        <v>448</v>
      </c>
      <c r="E110" s="542"/>
      <c r="F110" s="542"/>
      <c r="G110" s="542"/>
      <c r="H110" s="542"/>
      <c r="I110" s="542"/>
      <c r="J110" s="542"/>
      <c r="K110" s="542"/>
      <c r="L110" s="942"/>
      <c r="M110" s="542"/>
      <c r="N110" s="542"/>
      <c r="O110" s="542"/>
      <c r="P110" s="542"/>
      <c r="Q110" s="542"/>
      <c r="R110" s="542"/>
      <c r="S110" s="542"/>
      <c r="T110" s="542"/>
      <c r="U110" s="542"/>
      <c r="V110" s="542"/>
      <c r="W110" s="542"/>
      <c r="X110" s="542"/>
      <c r="Y110" s="542"/>
      <c r="Z110" s="568">
        <f t="shared" si="73"/>
        <v>0</v>
      </c>
      <c r="AC110" s="302">
        <v>9690</v>
      </c>
    </row>
    <row r="111" spans="2:29" s="302" customFormat="1" ht="15" collapsed="1" x14ac:dyDescent="0.25">
      <c r="B111" s="931" t="s">
        <v>527</v>
      </c>
      <c r="C111" s="933">
        <v>19600</v>
      </c>
      <c r="D111" s="931"/>
      <c r="E111" s="933">
        <f>SUM(E112:E114)</f>
        <v>2200</v>
      </c>
      <c r="F111" s="933">
        <f t="shared" ref="F111:Y111" si="80">SUM(F112:F114)</f>
        <v>2400</v>
      </c>
      <c r="G111" s="933">
        <f t="shared" si="80"/>
        <v>2300</v>
      </c>
      <c r="H111" s="933">
        <f t="shared" si="80"/>
        <v>1300</v>
      </c>
      <c r="I111" s="933">
        <f t="shared" si="80"/>
        <v>1300</v>
      </c>
      <c r="J111" s="933">
        <f t="shared" si="80"/>
        <v>1300</v>
      </c>
      <c r="K111" s="933">
        <f t="shared" si="80"/>
        <v>1300</v>
      </c>
      <c r="L111" s="942">
        <f t="shared" si="80"/>
        <v>1300</v>
      </c>
      <c r="M111" s="933">
        <f t="shared" si="80"/>
        <v>1300</v>
      </c>
      <c r="N111" s="933">
        <f t="shared" si="80"/>
        <v>1300</v>
      </c>
      <c r="O111" s="933">
        <f t="shared" si="80"/>
        <v>1300</v>
      </c>
      <c r="P111" s="933">
        <f t="shared" si="80"/>
        <v>1300</v>
      </c>
      <c r="Q111" s="933">
        <f t="shared" si="80"/>
        <v>1000</v>
      </c>
      <c r="R111" s="933">
        <f t="shared" si="80"/>
        <v>0</v>
      </c>
      <c r="S111" s="933">
        <f t="shared" si="80"/>
        <v>0</v>
      </c>
      <c r="T111" s="933">
        <f t="shared" si="80"/>
        <v>0</v>
      </c>
      <c r="U111" s="933">
        <f t="shared" si="80"/>
        <v>0</v>
      </c>
      <c r="V111" s="933">
        <f t="shared" si="80"/>
        <v>0</v>
      </c>
      <c r="W111" s="933">
        <f t="shared" si="80"/>
        <v>0</v>
      </c>
      <c r="X111" s="933">
        <f t="shared" si="80"/>
        <v>0</v>
      </c>
      <c r="Y111" s="933">
        <f t="shared" si="80"/>
        <v>0</v>
      </c>
      <c r="Z111" s="568">
        <f t="shared" si="73"/>
        <v>19600</v>
      </c>
    </row>
    <row r="112" spans="2:29" s="302" customFormat="1" ht="17.25" hidden="1" outlineLevel="1" x14ac:dyDescent="0.25">
      <c r="B112" s="540">
        <v>300</v>
      </c>
      <c r="C112" s="543">
        <v>5100</v>
      </c>
      <c r="D112" s="541" t="s">
        <v>448</v>
      </c>
      <c r="E112" s="542">
        <v>2200</v>
      </c>
      <c r="F112" s="542">
        <v>1900</v>
      </c>
      <c r="G112" s="542">
        <v>1000</v>
      </c>
      <c r="H112" s="542"/>
      <c r="I112" s="542"/>
      <c r="J112" s="542"/>
      <c r="K112" s="542"/>
      <c r="L112" s="942"/>
      <c r="M112" s="542"/>
      <c r="N112" s="542"/>
      <c r="O112" s="542"/>
      <c r="P112" s="542"/>
      <c r="Q112" s="542"/>
      <c r="R112" s="542"/>
      <c r="S112" s="542"/>
      <c r="T112" s="542"/>
      <c r="U112" s="542"/>
      <c r="V112" s="542"/>
      <c r="W112" s="542"/>
      <c r="X112" s="542"/>
      <c r="Y112" s="542"/>
      <c r="Z112" s="568">
        <f t="shared" si="73"/>
        <v>5100</v>
      </c>
      <c r="AC112" s="302">
        <v>15290</v>
      </c>
    </row>
    <row r="113" spans="2:29" s="302" customFormat="1" ht="17.25" hidden="1" outlineLevel="1" x14ac:dyDescent="0.25">
      <c r="B113" s="540">
        <v>315</v>
      </c>
      <c r="C113" s="543">
        <v>9100</v>
      </c>
      <c r="D113" s="541" t="s">
        <v>448</v>
      </c>
      <c r="E113" s="542"/>
      <c r="F113" s="542">
        <v>500</v>
      </c>
      <c r="G113" s="542">
        <v>1300</v>
      </c>
      <c r="H113" s="542">
        <v>1300</v>
      </c>
      <c r="I113" s="542">
        <v>1300</v>
      </c>
      <c r="J113" s="542">
        <v>1300</v>
      </c>
      <c r="K113" s="542">
        <v>1300</v>
      </c>
      <c r="L113" s="942">
        <v>1300</v>
      </c>
      <c r="M113" s="542">
        <v>800</v>
      </c>
      <c r="N113" s="542"/>
      <c r="O113" s="542"/>
      <c r="P113" s="542"/>
      <c r="Q113" s="542"/>
      <c r="R113" s="542"/>
      <c r="S113" s="542"/>
      <c r="T113" s="542"/>
      <c r="U113" s="542"/>
      <c r="V113" s="542"/>
      <c r="W113" s="542"/>
      <c r="X113" s="542"/>
      <c r="Y113" s="542"/>
      <c r="Z113" s="568">
        <f t="shared" si="73"/>
        <v>9100</v>
      </c>
      <c r="AC113" s="302">
        <v>4910</v>
      </c>
    </row>
    <row r="114" spans="2:29" s="302" customFormat="1" ht="17.25" hidden="1" outlineLevel="1" x14ac:dyDescent="0.25">
      <c r="B114" s="540">
        <v>330</v>
      </c>
      <c r="C114" s="543">
        <v>5400</v>
      </c>
      <c r="D114" s="541" t="s">
        <v>448</v>
      </c>
      <c r="E114" s="542"/>
      <c r="F114" s="542"/>
      <c r="G114" s="542"/>
      <c r="H114" s="542"/>
      <c r="I114" s="542"/>
      <c r="J114" s="542"/>
      <c r="K114" s="542"/>
      <c r="L114" s="942"/>
      <c r="M114" s="542">
        <v>500</v>
      </c>
      <c r="N114" s="542">
        <v>1300</v>
      </c>
      <c r="O114" s="542">
        <v>1300</v>
      </c>
      <c r="P114" s="542">
        <v>1300</v>
      </c>
      <c r="Q114" s="542">
        <v>1000</v>
      </c>
      <c r="R114" s="542"/>
      <c r="S114" s="542"/>
      <c r="T114" s="542"/>
      <c r="U114" s="542"/>
      <c r="V114" s="542"/>
      <c r="W114" s="542"/>
      <c r="X114" s="542"/>
      <c r="Y114" s="542"/>
      <c r="Z114" s="568">
        <f t="shared" si="73"/>
        <v>5400</v>
      </c>
    </row>
    <row r="115" spans="2:29" s="302" customFormat="1" ht="17.25" collapsed="1" x14ac:dyDescent="0.25">
      <c r="B115" s="536" t="s">
        <v>447</v>
      </c>
      <c r="C115" s="537"/>
      <c r="D115" s="536" t="s">
        <v>448</v>
      </c>
      <c r="E115" s="538">
        <f t="shared" ref="E115:Y115" si="81">E116+E125+E120+E137</f>
        <v>13360</v>
      </c>
      <c r="F115" s="538">
        <f t="shared" si="81"/>
        <v>20460</v>
      </c>
      <c r="G115" s="538">
        <f t="shared" si="81"/>
        <v>17910</v>
      </c>
      <c r="H115" s="538">
        <f t="shared" si="81"/>
        <v>16900</v>
      </c>
      <c r="I115" s="538">
        <f t="shared" si="81"/>
        <v>16540</v>
      </c>
      <c r="J115" s="538">
        <f t="shared" si="81"/>
        <v>0</v>
      </c>
      <c r="K115" s="538">
        <f t="shared" si="81"/>
        <v>0</v>
      </c>
      <c r="L115" s="942">
        <f t="shared" si="81"/>
        <v>5100</v>
      </c>
      <c r="M115" s="538">
        <f t="shared" si="81"/>
        <v>9300</v>
      </c>
      <c r="N115" s="538">
        <f t="shared" si="81"/>
        <v>7150</v>
      </c>
      <c r="O115" s="538">
        <f t="shared" si="81"/>
        <v>4190</v>
      </c>
      <c r="P115" s="538">
        <f t="shared" si="81"/>
        <v>0</v>
      </c>
      <c r="Q115" s="538">
        <f t="shared" si="81"/>
        <v>0</v>
      </c>
      <c r="R115" s="538">
        <f t="shared" si="81"/>
        <v>0</v>
      </c>
      <c r="S115" s="538">
        <f t="shared" si="81"/>
        <v>0</v>
      </c>
      <c r="T115" s="538">
        <f t="shared" si="81"/>
        <v>0</v>
      </c>
      <c r="U115" s="538">
        <f t="shared" si="81"/>
        <v>0</v>
      </c>
      <c r="V115" s="538">
        <f t="shared" si="81"/>
        <v>0</v>
      </c>
      <c r="W115" s="538">
        <f t="shared" si="81"/>
        <v>0</v>
      </c>
      <c r="X115" s="538">
        <f t="shared" si="81"/>
        <v>0</v>
      </c>
      <c r="Y115" s="538">
        <f t="shared" si="81"/>
        <v>0</v>
      </c>
      <c r="Z115" s="568">
        <f t="shared" si="73"/>
        <v>110910</v>
      </c>
    </row>
    <row r="116" spans="2:29" s="302" customFormat="1" ht="15" x14ac:dyDescent="0.25">
      <c r="B116" s="931" t="s">
        <v>508</v>
      </c>
      <c r="C116" s="931">
        <f>SUM(C117:C119)</f>
        <v>12640</v>
      </c>
      <c r="D116" s="931"/>
      <c r="E116" s="931">
        <f t="shared" ref="E116:Y116" si="82">SUM(E117:E119)</f>
        <v>0</v>
      </c>
      <c r="F116" s="931">
        <f t="shared" si="82"/>
        <v>5000</v>
      </c>
      <c r="G116" s="931">
        <f t="shared" si="82"/>
        <v>7640</v>
      </c>
      <c r="H116" s="931">
        <f t="shared" si="82"/>
        <v>0</v>
      </c>
      <c r="I116" s="931">
        <f t="shared" si="82"/>
        <v>0</v>
      </c>
      <c r="J116" s="931">
        <f t="shared" si="82"/>
        <v>0</v>
      </c>
      <c r="K116" s="931">
        <f t="shared" si="82"/>
        <v>0</v>
      </c>
      <c r="L116" s="946">
        <f t="shared" si="82"/>
        <v>0</v>
      </c>
      <c r="M116" s="931">
        <f t="shared" si="82"/>
        <v>0</v>
      </c>
      <c r="N116" s="931">
        <f t="shared" si="82"/>
        <v>0</v>
      </c>
      <c r="O116" s="931">
        <f t="shared" si="82"/>
        <v>0</v>
      </c>
      <c r="P116" s="931">
        <f t="shared" si="82"/>
        <v>0</v>
      </c>
      <c r="Q116" s="931">
        <f t="shared" si="82"/>
        <v>0</v>
      </c>
      <c r="R116" s="931">
        <f t="shared" si="82"/>
        <v>0</v>
      </c>
      <c r="S116" s="931">
        <f t="shared" si="82"/>
        <v>0</v>
      </c>
      <c r="T116" s="931">
        <f t="shared" si="82"/>
        <v>0</v>
      </c>
      <c r="U116" s="931">
        <f t="shared" si="82"/>
        <v>0</v>
      </c>
      <c r="V116" s="931">
        <f t="shared" si="82"/>
        <v>0</v>
      </c>
      <c r="W116" s="931">
        <f t="shared" si="82"/>
        <v>0</v>
      </c>
      <c r="X116" s="931">
        <f t="shared" si="82"/>
        <v>0</v>
      </c>
      <c r="Y116" s="931">
        <f t="shared" si="82"/>
        <v>0</v>
      </c>
      <c r="Z116" s="568">
        <f t="shared" si="73"/>
        <v>12640</v>
      </c>
    </row>
    <row r="117" spans="2:29" s="302" customFormat="1" ht="17.25" hidden="1" outlineLevel="1" x14ac:dyDescent="0.25">
      <c r="B117" s="934">
        <v>40</v>
      </c>
      <c r="C117" s="935">
        <v>650</v>
      </c>
      <c r="D117" s="928" t="s">
        <v>448</v>
      </c>
      <c r="E117" s="934"/>
      <c r="F117" s="928">
        <v>650</v>
      </c>
      <c r="G117" s="928"/>
      <c r="H117" s="928"/>
      <c r="I117" s="928"/>
      <c r="J117" s="934"/>
      <c r="K117" s="934"/>
      <c r="L117" s="947"/>
      <c r="M117" s="934"/>
      <c r="N117" s="934"/>
      <c r="O117" s="934"/>
      <c r="P117" s="934"/>
      <c r="Q117" s="934"/>
      <c r="R117" s="934"/>
      <c r="S117" s="934"/>
      <c r="T117" s="934"/>
      <c r="U117" s="934"/>
      <c r="V117" s="934"/>
      <c r="W117" s="934"/>
      <c r="X117" s="934"/>
      <c r="Y117" s="934"/>
      <c r="Z117" s="568">
        <f t="shared" si="73"/>
        <v>650</v>
      </c>
    </row>
    <row r="118" spans="2:29" s="302" customFormat="1" ht="17.25" hidden="1" outlineLevel="1" x14ac:dyDescent="0.25">
      <c r="B118" s="934">
        <v>70</v>
      </c>
      <c r="C118" s="935">
        <v>4230</v>
      </c>
      <c r="D118" s="928" t="s">
        <v>448</v>
      </c>
      <c r="E118" s="934"/>
      <c r="F118" s="928">
        <v>4230</v>
      </c>
      <c r="G118" s="928"/>
      <c r="H118" s="928"/>
      <c r="I118" s="928"/>
      <c r="J118" s="934"/>
      <c r="K118" s="934"/>
      <c r="L118" s="947"/>
      <c r="M118" s="934"/>
      <c r="N118" s="934"/>
      <c r="O118" s="934"/>
      <c r="P118" s="934"/>
      <c r="Q118" s="934"/>
      <c r="R118" s="934"/>
      <c r="S118" s="934"/>
      <c r="T118" s="934"/>
      <c r="U118" s="934"/>
      <c r="V118" s="934"/>
      <c r="W118" s="934"/>
      <c r="X118" s="934"/>
      <c r="Y118" s="934"/>
      <c r="Z118" s="568">
        <f t="shared" si="73"/>
        <v>4230</v>
      </c>
    </row>
    <row r="119" spans="2:29" s="302" customFormat="1" ht="17.25" hidden="1" outlineLevel="1" x14ac:dyDescent="0.25">
      <c r="B119" s="934">
        <v>100</v>
      </c>
      <c r="C119" s="935">
        <v>7760</v>
      </c>
      <c r="D119" s="928" t="s">
        <v>448</v>
      </c>
      <c r="E119" s="934"/>
      <c r="F119" s="928">
        <v>120</v>
      </c>
      <c r="G119" s="928">
        <v>7640</v>
      </c>
      <c r="H119" s="928"/>
      <c r="I119" s="928"/>
      <c r="J119" s="934"/>
      <c r="K119" s="934"/>
      <c r="L119" s="947"/>
      <c r="M119" s="934"/>
      <c r="N119" s="934"/>
      <c r="O119" s="934"/>
      <c r="P119" s="934"/>
      <c r="Q119" s="934"/>
      <c r="R119" s="934"/>
      <c r="S119" s="934"/>
      <c r="T119" s="934"/>
      <c r="U119" s="934"/>
      <c r="V119" s="934"/>
      <c r="W119" s="934"/>
      <c r="X119" s="934"/>
      <c r="Y119" s="934"/>
      <c r="Z119" s="568">
        <f t="shared" si="73"/>
        <v>7760</v>
      </c>
    </row>
    <row r="120" spans="2:29" s="302" customFormat="1" ht="15" collapsed="1" x14ac:dyDescent="0.25">
      <c r="B120" s="931" t="s">
        <v>450</v>
      </c>
      <c r="C120" s="933">
        <f>SUM(C121:C124)</f>
        <v>55060</v>
      </c>
      <c r="D120" s="933"/>
      <c r="E120" s="933">
        <f t="shared" ref="E120:Y120" si="83">SUM(E121:E124)</f>
        <v>6860</v>
      </c>
      <c r="F120" s="933">
        <f t="shared" si="83"/>
        <v>8260</v>
      </c>
      <c r="G120" s="933">
        <f t="shared" si="83"/>
        <v>6500</v>
      </c>
      <c r="H120" s="933">
        <f t="shared" si="83"/>
        <v>16900</v>
      </c>
      <c r="I120" s="933">
        <f t="shared" si="83"/>
        <v>16540</v>
      </c>
      <c r="J120" s="933">
        <f t="shared" si="83"/>
        <v>0</v>
      </c>
      <c r="K120" s="933">
        <f t="shared" si="83"/>
        <v>0</v>
      </c>
      <c r="L120" s="942">
        <f t="shared" si="83"/>
        <v>0</v>
      </c>
      <c r="M120" s="933">
        <f t="shared" si="83"/>
        <v>0</v>
      </c>
      <c r="N120" s="933">
        <f t="shared" si="83"/>
        <v>0</v>
      </c>
      <c r="O120" s="933">
        <f t="shared" si="83"/>
        <v>0</v>
      </c>
      <c r="P120" s="933">
        <f t="shared" si="83"/>
        <v>0</v>
      </c>
      <c r="Q120" s="933">
        <f t="shared" si="83"/>
        <v>0</v>
      </c>
      <c r="R120" s="933">
        <f t="shared" si="83"/>
        <v>0</v>
      </c>
      <c r="S120" s="933">
        <f t="shared" si="83"/>
        <v>0</v>
      </c>
      <c r="T120" s="933">
        <f t="shared" si="83"/>
        <v>0</v>
      </c>
      <c r="U120" s="933">
        <f t="shared" si="83"/>
        <v>0</v>
      </c>
      <c r="V120" s="933">
        <f t="shared" si="83"/>
        <v>0</v>
      </c>
      <c r="W120" s="933">
        <f t="shared" si="83"/>
        <v>0</v>
      </c>
      <c r="X120" s="933">
        <f t="shared" si="83"/>
        <v>0</v>
      </c>
      <c r="Y120" s="933">
        <f t="shared" si="83"/>
        <v>0</v>
      </c>
      <c r="Z120" s="568">
        <f>SUM(E120:Y120)</f>
        <v>55060</v>
      </c>
    </row>
    <row r="121" spans="2:29" s="302" customFormat="1" ht="17.25" hidden="1" outlineLevel="1" x14ac:dyDescent="0.25">
      <c r="B121" s="540">
        <v>210</v>
      </c>
      <c r="C121" s="543">
        <v>4590</v>
      </c>
      <c r="D121" s="541" t="s">
        <v>448</v>
      </c>
      <c r="E121" s="542">
        <v>4590</v>
      </c>
      <c r="F121" s="542"/>
      <c r="G121" s="542"/>
      <c r="H121" s="542"/>
      <c r="I121" s="542"/>
      <c r="J121" s="542"/>
      <c r="K121" s="542"/>
      <c r="L121" s="942"/>
      <c r="M121" s="542"/>
      <c r="N121" s="542"/>
      <c r="O121" s="542"/>
      <c r="P121" s="542"/>
      <c r="Q121" s="542"/>
      <c r="R121" s="542"/>
      <c r="S121" s="542"/>
      <c r="T121" s="542"/>
      <c r="U121" s="542"/>
      <c r="V121" s="542"/>
      <c r="W121" s="542"/>
      <c r="X121" s="542"/>
      <c r="Y121" s="542"/>
      <c r="Z121" s="568">
        <f>SUM(E121:Y121)</f>
        <v>4590</v>
      </c>
    </row>
    <row r="122" spans="2:29" s="302" customFormat="1" ht="17.25" hidden="1" outlineLevel="1" x14ac:dyDescent="0.25">
      <c r="B122" s="540">
        <v>240</v>
      </c>
      <c r="C122" s="543">
        <v>16230</v>
      </c>
      <c r="D122" s="541" t="s">
        <v>448</v>
      </c>
      <c r="E122" s="542">
        <v>2270</v>
      </c>
      <c r="F122" s="542">
        <v>8260</v>
      </c>
      <c r="G122" s="542">
        <v>5700</v>
      </c>
      <c r="H122" s="542"/>
      <c r="I122" s="542"/>
      <c r="J122" s="542"/>
      <c r="K122" s="542"/>
      <c r="L122" s="942"/>
      <c r="M122" s="542"/>
      <c r="N122" s="542"/>
      <c r="O122" s="542"/>
      <c r="P122" s="542"/>
      <c r="Q122" s="542"/>
      <c r="R122" s="542"/>
      <c r="S122" s="542"/>
      <c r="T122" s="542"/>
      <c r="U122" s="542"/>
      <c r="V122" s="542"/>
      <c r="W122" s="542"/>
      <c r="X122" s="542"/>
      <c r="Y122" s="542"/>
      <c r="Z122" s="568">
        <f>SUM(E122:Y122)</f>
        <v>16230</v>
      </c>
    </row>
    <row r="123" spans="2:29" s="302" customFormat="1" ht="17.25" hidden="1" outlineLevel="1" x14ac:dyDescent="0.25">
      <c r="B123" s="540">
        <v>270</v>
      </c>
      <c r="C123" s="543">
        <v>15350</v>
      </c>
      <c r="D123" s="541" t="s">
        <v>448</v>
      </c>
      <c r="E123" s="542"/>
      <c r="F123" s="542"/>
      <c r="G123" s="542">
        <v>800</v>
      </c>
      <c r="H123" s="542">
        <v>11600</v>
      </c>
      <c r="I123" s="542">
        <v>2950</v>
      </c>
      <c r="J123" s="542"/>
      <c r="K123" s="542"/>
      <c r="L123" s="942"/>
      <c r="M123" s="542"/>
      <c r="N123" s="542"/>
      <c r="O123" s="542"/>
      <c r="P123" s="542"/>
      <c r="Q123" s="542"/>
      <c r="R123" s="542"/>
      <c r="S123" s="542"/>
      <c r="T123" s="542"/>
      <c r="U123" s="542"/>
      <c r="V123" s="542"/>
      <c r="W123" s="542"/>
      <c r="X123" s="542"/>
      <c r="Y123" s="542"/>
      <c r="Z123" s="568">
        <f>SUM(E123:Y123)</f>
        <v>15350</v>
      </c>
    </row>
    <row r="124" spans="2:29" s="302" customFormat="1" ht="17.25" hidden="1" outlineLevel="1" x14ac:dyDescent="0.25">
      <c r="B124" s="540">
        <v>300</v>
      </c>
      <c r="C124" s="543">
        <v>18890</v>
      </c>
      <c r="D124" s="541" t="s">
        <v>448</v>
      </c>
      <c r="E124" s="542"/>
      <c r="F124" s="542"/>
      <c r="G124" s="542"/>
      <c r="H124" s="542">
        <v>5300</v>
      </c>
      <c r="I124" s="542">
        <v>13590</v>
      </c>
      <c r="J124" s="542"/>
      <c r="K124" s="542"/>
      <c r="L124" s="942"/>
      <c r="M124" s="542"/>
      <c r="N124" s="542"/>
      <c r="O124" s="542"/>
      <c r="P124" s="542"/>
      <c r="Q124" s="542"/>
      <c r="R124" s="542"/>
      <c r="S124" s="542"/>
      <c r="T124" s="542"/>
      <c r="U124" s="542"/>
      <c r="V124" s="542"/>
      <c r="W124" s="542"/>
      <c r="X124" s="542"/>
      <c r="Y124" s="542"/>
      <c r="Z124" s="568">
        <f>SUM(E124:Y124)</f>
        <v>18890</v>
      </c>
    </row>
    <row r="125" spans="2:29" s="302" customFormat="1" ht="15" collapsed="1" x14ac:dyDescent="0.25">
      <c r="B125" s="931" t="s">
        <v>451</v>
      </c>
      <c r="C125" s="932">
        <f>SUM(C126:C136)</f>
        <v>25740</v>
      </c>
      <c r="D125" s="931"/>
      <c r="E125" s="933">
        <f>SUM(E126:E136)</f>
        <v>0</v>
      </c>
      <c r="F125" s="933">
        <f t="shared" ref="F125:Y125" si="84">SUM(F126:F136)</f>
        <v>0</v>
      </c>
      <c r="G125" s="933">
        <f t="shared" si="84"/>
        <v>0</v>
      </c>
      <c r="H125" s="933">
        <f t="shared" si="84"/>
        <v>0</v>
      </c>
      <c r="I125" s="933">
        <f t="shared" si="84"/>
        <v>0</v>
      </c>
      <c r="J125" s="933">
        <f t="shared" si="84"/>
        <v>0</v>
      </c>
      <c r="K125" s="933">
        <f t="shared" si="84"/>
        <v>0</v>
      </c>
      <c r="L125" s="942">
        <f t="shared" si="84"/>
        <v>5100</v>
      </c>
      <c r="M125" s="933">
        <f t="shared" si="84"/>
        <v>9300</v>
      </c>
      <c r="N125" s="933">
        <f t="shared" si="84"/>
        <v>7150</v>
      </c>
      <c r="O125" s="933">
        <f t="shared" si="84"/>
        <v>4190</v>
      </c>
      <c r="P125" s="933">
        <f t="shared" si="84"/>
        <v>0</v>
      </c>
      <c r="Q125" s="933">
        <f t="shared" si="84"/>
        <v>0</v>
      </c>
      <c r="R125" s="933">
        <f t="shared" si="84"/>
        <v>0</v>
      </c>
      <c r="S125" s="933">
        <f t="shared" si="84"/>
        <v>0</v>
      </c>
      <c r="T125" s="933">
        <f t="shared" si="84"/>
        <v>0</v>
      </c>
      <c r="U125" s="933">
        <f t="shared" si="84"/>
        <v>0</v>
      </c>
      <c r="V125" s="933">
        <f t="shared" si="84"/>
        <v>0</v>
      </c>
      <c r="W125" s="933">
        <f t="shared" si="84"/>
        <v>0</v>
      </c>
      <c r="X125" s="933">
        <f t="shared" si="84"/>
        <v>0</v>
      </c>
      <c r="Y125" s="933">
        <f t="shared" si="84"/>
        <v>0</v>
      </c>
      <c r="Z125" s="568">
        <f t="shared" si="73"/>
        <v>25740</v>
      </c>
    </row>
    <row r="126" spans="2:29" s="302" customFormat="1" ht="17.25" hidden="1" outlineLevel="1" x14ac:dyDescent="0.25">
      <c r="B126" s="540">
        <v>-80</v>
      </c>
      <c r="C126" s="543">
        <v>320</v>
      </c>
      <c r="D126" s="541" t="s">
        <v>448</v>
      </c>
      <c r="E126" s="542"/>
      <c r="F126" s="542"/>
      <c r="G126" s="542"/>
      <c r="H126" s="542"/>
      <c r="I126" s="542"/>
      <c r="J126" s="542"/>
      <c r="K126" s="542"/>
      <c r="L126" s="942">
        <v>320</v>
      </c>
      <c r="M126" s="542"/>
      <c r="N126" s="542"/>
      <c r="O126" s="542"/>
      <c r="P126" s="542"/>
      <c r="Q126" s="542"/>
      <c r="R126" s="542"/>
      <c r="S126" s="542"/>
      <c r="T126" s="542"/>
      <c r="U126" s="542"/>
      <c r="V126" s="542"/>
      <c r="W126" s="542"/>
      <c r="X126" s="542"/>
      <c r="Y126" s="542"/>
      <c r="Z126" s="568">
        <f t="shared" ref="Z126:Z129" si="85">SUM(E126:Y126)</f>
        <v>320</v>
      </c>
    </row>
    <row r="127" spans="2:29" s="302" customFormat="1" ht="17.25" hidden="1" outlineLevel="1" x14ac:dyDescent="0.25">
      <c r="B127" s="540">
        <v>-50</v>
      </c>
      <c r="C127" s="543">
        <v>1270</v>
      </c>
      <c r="D127" s="541" t="s">
        <v>448</v>
      </c>
      <c r="E127" s="542"/>
      <c r="F127" s="542"/>
      <c r="G127" s="542"/>
      <c r="H127" s="542"/>
      <c r="I127" s="542"/>
      <c r="J127" s="542"/>
      <c r="K127" s="542"/>
      <c r="L127" s="942">
        <v>1270</v>
      </c>
      <c r="M127" s="542"/>
      <c r="N127" s="542"/>
      <c r="O127" s="542"/>
      <c r="P127" s="542"/>
      <c r="Q127" s="542"/>
      <c r="R127" s="542"/>
      <c r="S127" s="542"/>
      <c r="T127" s="542"/>
      <c r="U127" s="542"/>
      <c r="V127" s="542"/>
      <c r="W127" s="542"/>
      <c r="X127" s="542"/>
      <c r="Y127" s="542"/>
      <c r="Z127" s="568">
        <f t="shared" si="85"/>
        <v>1270</v>
      </c>
    </row>
    <row r="128" spans="2:29" s="302" customFormat="1" ht="17.25" hidden="1" outlineLevel="1" x14ac:dyDescent="0.25">
      <c r="B128" s="540">
        <v>-20</v>
      </c>
      <c r="C128" s="543">
        <v>3260</v>
      </c>
      <c r="D128" s="541" t="s">
        <v>448</v>
      </c>
      <c r="E128" s="542"/>
      <c r="F128" s="542"/>
      <c r="G128" s="542"/>
      <c r="H128" s="542"/>
      <c r="I128" s="542"/>
      <c r="J128" s="542"/>
      <c r="K128" s="542"/>
      <c r="L128" s="942">
        <v>3260</v>
      </c>
      <c r="M128" s="542"/>
      <c r="N128" s="542"/>
      <c r="O128" s="542"/>
      <c r="P128" s="542"/>
      <c r="Q128" s="542"/>
      <c r="R128" s="542"/>
      <c r="S128" s="542"/>
      <c r="T128" s="542"/>
      <c r="U128" s="542"/>
      <c r="V128" s="542"/>
      <c r="W128" s="542"/>
      <c r="X128" s="542"/>
      <c r="Y128" s="542"/>
      <c r="Z128" s="568">
        <f t="shared" si="85"/>
        <v>3260</v>
      </c>
    </row>
    <row r="129" spans="2:26" s="302" customFormat="1" ht="17.25" hidden="1" outlineLevel="1" x14ac:dyDescent="0.25">
      <c r="B129" s="540">
        <v>10</v>
      </c>
      <c r="C129" s="543">
        <v>5950</v>
      </c>
      <c r="D129" s="541" t="s">
        <v>448</v>
      </c>
      <c r="E129" s="542"/>
      <c r="F129" s="542"/>
      <c r="G129" s="542"/>
      <c r="H129" s="542"/>
      <c r="I129" s="542"/>
      <c r="J129" s="542"/>
      <c r="K129" s="542"/>
      <c r="L129" s="942">
        <v>250</v>
      </c>
      <c r="M129" s="542">
        <v>5700</v>
      </c>
      <c r="N129" s="542"/>
      <c r="O129" s="542"/>
      <c r="P129" s="542"/>
      <c r="Q129" s="542"/>
      <c r="R129" s="542"/>
      <c r="S129" s="542"/>
      <c r="T129" s="542"/>
      <c r="U129" s="542"/>
      <c r="V129" s="542"/>
      <c r="W129" s="542"/>
      <c r="X129" s="542"/>
      <c r="Y129" s="542"/>
      <c r="Z129" s="568">
        <f t="shared" si="85"/>
        <v>5950</v>
      </c>
    </row>
    <row r="130" spans="2:26" s="302" customFormat="1" ht="17.25" hidden="1" outlineLevel="1" x14ac:dyDescent="0.25">
      <c r="B130" s="540">
        <v>40</v>
      </c>
      <c r="C130" s="543">
        <v>5580</v>
      </c>
      <c r="D130" s="541" t="s">
        <v>448</v>
      </c>
      <c r="E130" s="542"/>
      <c r="F130" s="542"/>
      <c r="G130" s="542"/>
      <c r="H130" s="542"/>
      <c r="I130" s="542"/>
      <c r="J130" s="542"/>
      <c r="K130" s="542"/>
      <c r="L130" s="942"/>
      <c r="M130" s="542">
        <v>3600</v>
      </c>
      <c r="N130" s="542">
        <v>1980</v>
      </c>
      <c r="O130" s="542"/>
      <c r="P130" s="542"/>
      <c r="Q130" s="542"/>
      <c r="R130" s="542"/>
      <c r="S130" s="542"/>
      <c r="T130" s="542"/>
      <c r="U130" s="542"/>
      <c r="V130" s="542"/>
      <c r="W130" s="542"/>
      <c r="X130" s="542"/>
      <c r="Y130" s="542"/>
      <c r="Z130" s="568">
        <f t="shared" ref="Z130:Z136" si="86">SUM(E130:Y130)</f>
        <v>5580</v>
      </c>
    </row>
    <row r="131" spans="2:26" s="302" customFormat="1" ht="17.25" hidden="1" outlineLevel="1" x14ac:dyDescent="0.25">
      <c r="B131" s="540">
        <v>70</v>
      </c>
      <c r="C131" s="543">
        <v>2160</v>
      </c>
      <c r="D131" s="541" t="s">
        <v>448</v>
      </c>
      <c r="E131" s="542"/>
      <c r="F131" s="542"/>
      <c r="G131" s="542"/>
      <c r="H131" s="542"/>
      <c r="I131" s="542"/>
      <c r="J131" s="542"/>
      <c r="K131" s="542"/>
      <c r="L131" s="942"/>
      <c r="M131" s="542"/>
      <c r="N131" s="542">
        <v>2160</v>
      </c>
      <c r="O131" s="542"/>
      <c r="P131" s="542"/>
      <c r="Q131" s="542"/>
      <c r="R131" s="542"/>
      <c r="S131" s="542"/>
      <c r="T131" s="542"/>
      <c r="U131" s="542"/>
      <c r="V131" s="542"/>
      <c r="W131" s="542"/>
      <c r="X131" s="542"/>
      <c r="Y131" s="542"/>
      <c r="Z131" s="568">
        <f t="shared" si="86"/>
        <v>2160</v>
      </c>
    </row>
    <row r="132" spans="2:26" s="302" customFormat="1" ht="17.25" hidden="1" outlineLevel="1" x14ac:dyDescent="0.25">
      <c r="B132" s="540">
        <v>100</v>
      </c>
      <c r="C132" s="543">
        <v>1400</v>
      </c>
      <c r="D132" s="541" t="s">
        <v>448</v>
      </c>
      <c r="E132" s="542"/>
      <c r="F132" s="542"/>
      <c r="G132" s="542"/>
      <c r="H132" s="542"/>
      <c r="I132" s="542"/>
      <c r="J132" s="542"/>
      <c r="K132" s="542"/>
      <c r="L132" s="942"/>
      <c r="M132" s="542"/>
      <c r="N132" s="542">
        <v>1400</v>
      </c>
      <c r="O132" s="542"/>
      <c r="P132" s="542"/>
      <c r="Q132" s="542"/>
      <c r="R132" s="542"/>
      <c r="S132" s="542"/>
      <c r="T132" s="542"/>
      <c r="U132" s="542"/>
      <c r="V132" s="542"/>
      <c r="W132" s="542"/>
      <c r="X132" s="542"/>
      <c r="Y132" s="542"/>
      <c r="Z132" s="568">
        <f t="shared" si="86"/>
        <v>1400</v>
      </c>
    </row>
    <row r="133" spans="2:26" s="302" customFormat="1" ht="17.25" hidden="1" outlineLevel="1" x14ac:dyDescent="0.25">
      <c r="B133" s="540">
        <v>130</v>
      </c>
      <c r="C133" s="543">
        <v>1110</v>
      </c>
      <c r="D133" s="541" t="s">
        <v>448</v>
      </c>
      <c r="E133" s="542"/>
      <c r="F133" s="542"/>
      <c r="G133" s="542"/>
      <c r="H133" s="542"/>
      <c r="I133" s="542"/>
      <c r="J133" s="542"/>
      <c r="K133" s="542"/>
      <c r="L133" s="942"/>
      <c r="M133" s="542"/>
      <c r="N133" s="542">
        <v>1110</v>
      </c>
      <c r="O133" s="542"/>
      <c r="P133" s="542"/>
      <c r="Q133" s="542"/>
      <c r="R133" s="542"/>
      <c r="S133" s="542"/>
      <c r="T133" s="542"/>
      <c r="U133" s="542"/>
      <c r="V133" s="542"/>
      <c r="W133" s="542"/>
      <c r="X133" s="542"/>
      <c r="Y133" s="542"/>
      <c r="Z133" s="568">
        <f t="shared" si="86"/>
        <v>1110</v>
      </c>
    </row>
    <row r="134" spans="2:26" s="302" customFormat="1" ht="17.25" hidden="1" outlineLevel="1" x14ac:dyDescent="0.25">
      <c r="B134" s="540">
        <v>160</v>
      </c>
      <c r="C134" s="543">
        <v>1570</v>
      </c>
      <c r="D134" s="541" t="s">
        <v>448</v>
      </c>
      <c r="E134" s="542"/>
      <c r="F134" s="542"/>
      <c r="G134" s="542"/>
      <c r="H134" s="542"/>
      <c r="I134" s="542"/>
      <c r="J134" s="542"/>
      <c r="K134" s="542"/>
      <c r="L134" s="942"/>
      <c r="M134" s="542"/>
      <c r="N134" s="542">
        <v>500</v>
      </c>
      <c r="O134" s="542">
        <v>1070</v>
      </c>
      <c r="P134" s="542"/>
      <c r="Q134" s="542"/>
      <c r="R134" s="542"/>
      <c r="S134" s="542"/>
      <c r="T134" s="542"/>
      <c r="U134" s="542"/>
      <c r="V134" s="542"/>
      <c r="W134" s="542"/>
      <c r="X134" s="542"/>
      <c r="Y134" s="542"/>
      <c r="Z134" s="568">
        <f t="shared" si="86"/>
        <v>1570</v>
      </c>
    </row>
    <row r="135" spans="2:26" s="302" customFormat="1" ht="17.25" hidden="1" outlineLevel="1" x14ac:dyDescent="0.25">
      <c r="B135" s="540">
        <v>190</v>
      </c>
      <c r="C135" s="543">
        <v>1870</v>
      </c>
      <c r="D135" s="541" t="s">
        <v>448</v>
      </c>
      <c r="E135" s="542"/>
      <c r="F135" s="542"/>
      <c r="G135" s="542"/>
      <c r="H135" s="542"/>
      <c r="I135" s="542"/>
      <c r="J135" s="542"/>
      <c r="K135" s="542"/>
      <c r="L135" s="942"/>
      <c r="M135" s="542"/>
      <c r="N135" s="542"/>
      <c r="O135" s="542">
        <v>1870</v>
      </c>
      <c r="P135" s="542"/>
      <c r="Q135" s="542"/>
      <c r="R135" s="542"/>
      <c r="S135" s="542"/>
      <c r="T135" s="542"/>
      <c r="U135" s="542"/>
      <c r="V135" s="542"/>
      <c r="W135" s="542"/>
      <c r="X135" s="542"/>
      <c r="Y135" s="542"/>
      <c r="Z135" s="568">
        <f t="shared" si="86"/>
        <v>1870</v>
      </c>
    </row>
    <row r="136" spans="2:26" s="302" customFormat="1" ht="17.25" hidden="1" outlineLevel="1" x14ac:dyDescent="0.25">
      <c r="B136" s="540">
        <v>220</v>
      </c>
      <c r="C136" s="543">
        <v>1250</v>
      </c>
      <c r="D136" s="541" t="s">
        <v>448</v>
      </c>
      <c r="E136" s="542"/>
      <c r="F136" s="542"/>
      <c r="G136" s="542"/>
      <c r="H136" s="542"/>
      <c r="I136" s="542"/>
      <c r="J136" s="542"/>
      <c r="K136" s="542"/>
      <c r="L136" s="942"/>
      <c r="M136" s="542"/>
      <c r="N136" s="542"/>
      <c r="O136" s="542">
        <v>1250</v>
      </c>
      <c r="P136" s="542"/>
      <c r="Q136" s="542"/>
      <c r="R136" s="542"/>
      <c r="S136" s="542"/>
      <c r="T136" s="542"/>
      <c r="U136" s="542"/>
      <c r="V136" s="542"/>
      <c r="W136" s="542"/>
      <c r="X136" s="542"/>
      <c r="Y136" s="542"/>
      <c r="Z136" s="568">
        <f t="shared" si="86"/>
        <v>1250</v>
      </c>
    </row>
    <row r="137" spans="2:26" s="302" customFormat="1" ht="15" collapsed="1" x14ac:dyDescent="0.25">
      <c r="B137" s="931" t="s">
        <v>452</v>
      </c>
      <c r="C137" s="933">
        <f>SUM(C138:C141)</f>
        <v>17470</v>
      </c>
      <c r="D137" s="931"/>
      <c r="E137" s="933">
        <f>SUM(E138:E141)</f>
        <v>6500</v>
      </c>
      <c r="F137" s="933">
        <f t="shared" ref="F137:Y137" si="87">SUM(F138:F141)</f>
        <v>7200</v>
      </c>
      <c r="G137" s="933">
        <f t="shared" si="87"/>
        <v>3770</v>
      </c>
      <c r="H137" s="933">
        <f t="shared" si="87"/>
        <v>0</v>
      </c>
      <c r="I137" s="933">
        <f t="shared" si="87"/>
        <v>0</v>
      </c>
      <c r="J137" s="933">
        <f t="shared" si="87"/>
        <v>0</v>
      </c>
      <c r="K137" s="933">
        <f t="shared" si="87"/>
        <v>0</v>
      </c>
      <c r="L137" s="942">
        <f t="shared" si="87"/>
        <v>0</v>
      </c>
      <c r="M137" s="933">
        <f t="shared" si="87"/>
        <v>0</v>
      </c>
      <c r="N137" s="933">
        <f t="shared" si="87"/>
        <v>0</v>
      </c>
      <c r="O137" s="933">
        <f t="shared" si="87"/>
        <v>0</v>
      </c>
      <c r="P137" s="933">
        <f t="shared" si="87"/>
        <v>0</v>
      </c>
      <c r="Q137" s="933">
        <f t="shared" si="87"/>
        <v>0</v>
      </c>
      <c r="R137" s="933">
        <f t="shared" si="87"/>
        <v>0</v>
      </c>
      <c r="S137" s="933">
        <f t="shared" si="87"/>
        <v>0</v>
      </c>
      <c r="T137" s="933">
        <f t="shared" si="87"/>
        <v>0</v>
      </c>
      <c r="U137" s="933">
        <f t="shared" si="87"/>
        <v>0</v>
      </c>
      <c r="V137" s="933">
        <f t="shared" si="87"/>
        <v>0</v>
      </c>
      <c r="W137" s="933">
        <f t="shared" si="87"/>
        <v>0</v>
      </c>
      <c r="X137" s="933">
        <f t="shared" si="87"/>
        <v>0</v>
      </c>
      <c r="Y137" s="933">
        <f t="shared" si="87"/>
        <v>0</v>
      </c>
      <c r="Z137" s="568">
        <f t="shared" si="73"/>
        <v>17470</v>
      </c>
    </row>
    <row r="138" spans="2:26" s="302" customFormat="1" ht="17.25" hidden="1" outlineLevel="1" x14ac:dyDescent="0.25">
      <c r="B138" s="934">
        <v>210</v>
      </c>
      <c r="C138" s="929">
        <v>1370</v>
      </c>
      <c r="D138" s="928" t="s">
        <v>448</v>
      </c>
      <c r="E138" s="930">
        <v>1370</v>
      </c>
      <c r="F138" s="930"/>
      <c r="G138" s="930"/>
      <c r="H138" s="930"/>
      <c r="I138" s="930"/>
      <c r="J138" s="930"/>
      <c r="K138" s="930"/>
      <c r="L138" s="942"/>
      <c r="M138" s="930"/>
      <c r="N138" s="930"/>
      <c r="O138" s="930"/>
      <c r="P138" s="930"/>
      <c r="Q138" s="930"/>
      <c r="R138" s="930"/>
      <c r="S138" s="930"/>
      <c r="T138" s="930"/>
      <c r="U138" s="930"/>
      <c r="V138" s="930"/>
      <c r="W138" s="930"/>
      <c r="X138" s="930"/>
      <c r="Y138" s="930"/>
      <c r="Z138" s="568">
        <f t="shared" si="73"/>
        <v>1370</v>
      </c>
    </row>
    <row r="139" spans="2:26" s="302" customFormat="1" ht="17.25" hidden="1" outlineLevel="1" x14ac:dyDescent="0.25">
      <c r="B139" s="934">
        <v>240</v>
      </c>
      <c r="C139" s="929">
        <v>4430</v>
      </c>
      <c r="D139" s="928" t="s">
        <v>448</v>
      </c>
      <c r="E139" s="930">
        <v>4430</v>
      </c>
      <c r="F139" s="930"/>
      <c r="G139" s="930"/>
      <c r="H139" s="930"/>
      <c r="I139" s="930"/>
      <c r="J139" s="930"/>
      <c r="K139" s="930"/>
      <c r="L139" s="942"/>
      <c r="M139" s="930"/>
      <c r="N139" s="930"/>
      <c r="O139" s="930"/>
      <c r="P139" s="930"/>
      <c r="Q139" s="930"/>
      <c r="R139" s="930"/>
      <c r="S139" s="930"/>
      <c r="T139" s="930"/>
      <c r="U139" s="930"/>
      <c r="V139" s="930"/>
      <c r="W139" s="930"/>
      <c r="X139" s="930"/>
      <c r="Y139" s="930"/>
      <c r="Z139" s="568">
        <f t="shared" si="73"/>
        <v>4430</v>
      </c>
    </row>
    <row r="140" spans="2:26" s="302" customFormat="1" ht="17.25" hidden="1" outlineLevel="1" x14ac:dyDescent="0.25">
      <c r="B140" s="934">
        <v>270</v>
      </c>
      <c r="C140" s="929">
        <v>5080</v>
      </c>
      <c r="D140" s="928" t="s">
        <v>448</v>
      </c>
      <c r="E140" s="930">
        <v>700</v>
      </c>
      <c r="F140" s="930">
        <v>4380</v>
      </c>
      <c r="G140" s="930"/>
      <c r="H140" s="930"/>
      <c r="I140" s="930"/>
      <c r="J140" s="930"/>
      <c r="K140" s="930"/>
      <c r="L140" s="942"/>
      <c r="M140" s="930"/>
      <c r="N140" s="930"/>
      <c r="O140" s="930"/>
      <c r="P140" s="930"/>
      <c r="Q140" s="930"/>
      <c r="R140" s="930"/>
      <c r="S140" s="930"/>
      <c r="T140" s="930"/>
      <c r="U140" s="930"/>
      <c r="V140" s="930"/>
      <c r="W140" s="930"/>
      <c r="X140" s="930"/>
      <c r="Y140" s="930"/>
      <c r="Z140" s="568">
        <f t="shared" si="73"/>
        <v>5080</v>
      </c>
    </row>
    <row r="141" spans="2:26" s="302" customFormat="1" ht="17.25" hidden="1" outlineLevel="1" x14ac:dyDescent="0.25">
      <c r="B141" s="934">
        <v>300</v>
      </c>
      <c r="C141" s="929">
        <v>6590</v>
      </c>
      <c r="D141" s="928" t="s">
        <v>448</v>
      </c>
      <c r="E141" s="930"/>
      <c r="F141" s="930">
        <v>2820</v>
      </c>
      <c r="G141" s="930">
        <v>3770</v>
      </c>
      <c r="H141" s="930"/>
      <c r="I141" s="930"/>
      <c r="J141" s="930"/>
      <c r="K141" s="930"/>
      <c r="L141" s="942"/>
      <c r="M141" s="930"/>
      <c r="N141" s="930"/>
      <c r="O141" s="930"/>
      <c r="P141" s="930"/>
      <c r="Q141" s="930"/>
      <c r="R141" s="930"/>
      <c r="S141" s="930"/>
      <c r="T141" s="930"/>
      <c r="U141" s="930"/>
      <c r="V141" s="930"/>
      <c r="W141" s="930"/>
      <c r="X141" s="930"/>
      <c r="Y141" s="930"/>
      <c r="Z141" s="568">
        <f t="shared" si="73"/>
        <v>6590</v>
      </c>
    </row>
    <row r="142" spans="2:26" s="302" customFormat="1" ht="15" collapsed="1" x14ac:dyDescent="0.25">
      <c r="B142" s="567" t="s">
        <v>361</v>
      </c>
      <c r="C142" s="567"/>
      <c r="D142" s="567"/>
      <c r="E142" s="568">
        <f t="shared" ref="E142:Y142" si="88">E66</f>
        <v>50</v>
      </c>
      <c r="F142" s="568">
        <f t="shared" si="88"/>
        <v>1200</v>
      </c>
      <c r="G142" s="568">
        <f t="shared" si="88"/>
        <v>2400</v>
      </c>
      <c r="H142" s="568">
        <f t="shared" si="88"/>
        <v>2600</v>
      </c>
      <c r="I142" s="568">
        <f t="shared" si="88"/>
        <v>2600</v>
      </c>
      <c r="J142" s="568">
        <f t="shared" si="88"/>
        <v>2600</v>
      </c>
      <c r="K142" s="568">
        <f t="shared" si="88"/>
        <v>1600</v>
      </c>
      <c r="L142" s="938">
        <f t="shared" si="88"/>
        <v>400</v>
      </c>
      <c r="M142" s="568">
        <f t="shared" si="88"/>
        <v>0</v>
      </c>
      <c r="N142" s="568">
        <f t="shared" si="88"/>
        <v>0</v>
      </c>
      <c r="O142" s="568">
        <f t="shared" si="88"/>
        <v>0</v>
      </c>
      <c r="P142" s="568">
        <f t="shared" si="88"/>
        <v>0</v>
      </c>
      <c r="Q142" s="568">
        <f t="shared" si="88"/>
        <v>0</v>
      </c>
      <c r="R142" s="568">
        <f t="shared" si="88"/>
        <v>0</v>
      </c>
      <c r="S142" s="568">
        <f t="shared" si="88"/>
        <v>0</v>
      </c>
      <c r="T142" s="568">
        <f t="shared" si="88"/>
        <v>0</v>
      </c>
      <c r="U142" s="568">
        <f t="shared" si="88"/>
        <v>0</v>
      </c>
      <c r="V142" s="568">
        <f t="shared" si="88"/>
        <v>0</v>
      </c>
      <c r="W142" s="568">
        <f t="shared" si="88"/>
        <v>0</v>
      </c>
      <c r="X142" s="568">
        <f t="shared" si="88"/>
        <v>0</v>
      </c>
      <c r="Y142" s="568">
        <f t="shared" si="88"/>
        <v>0</v>
      </c>
      <c r="Z142" s="568">
        <f t="shared" si="73"/>
        <v>13450</v>
      </c>
    </row>
    <row r="143" spans="2:26" s="302" customFormat="1" ht="15" hidden="1" outlineLevel="1" x14ac:dyDescent="0.25">
      <c r="B143" s="931" t="s">
        <v>457</v>
      </c>
      <c r="C143" s="932">
        <f>SUM(C144:C147)</f>
        <v>13450</v>
      </c>
      <c r="D143" s="932"/>
      <c r="E143" s="932">
        <f t="shared" ref="E143:Y143" si="89">SUM(E144:E147)</f>
        <v>50</v>
      </c>
      <c r="F143" s="932">
        <f t="shared" si="89"/>
        <v>1200</v>
      </c>
      <c r="G143" s="932">
        <f t="shared" si="89"/>
        <v>2400</v>
      </c>
      <c r="H143" s="932">
        <f t="shared" si="89"/>
        <v>2600</v>
      </c>
      <c r="I143" s="932">
        <f t="shared" si="89"/>
        <v>2600</v>
      </c>
      <c r="J143" s="932">
        <f t="shared" si="89"/>
        <v>2600</v>
      </c>
      <c r="K143" s="932">
        <f t="shared" si="89"/>
        <v>1600</v>
      </c>
      <c r="L143" s="938">
        <f t="shared" si="89"/>
        <v>400</v>
      </c>
      <c r="M143" s="932">
        <f t="shared" si="89"/>
        <v>0</v>
      </c>
      <c r="N143" s="932">
        <f t="shared" si="89"/>
        <v>0</v>
      </c>
      <c r="O143" s="932">
        <f t="shared" si="89"/>
        <v>0</v>
      </c>
      <c r="P143" s="932">
        <f t="shared" si="89"/>
        <v>0</v>
      </c>
      <c r="Q143" s="932">
        <f t="shared" si="89"/>
        <v>0</v>
      </c>
      <c r="R143" s="932">
        <f t="shared" si="89"/>
        <v>0</v>
      </c>
      <c r="S143" s="932">
        <f t="shared" si="89"/>
        <v>0</v>
      </c>
      <c r="T143" s="932">
        <f t="shared" si="89"/>
        <v>0</v>
      </c>
      <c r="U143" s="932">
        <f t="shared" si="89"/>
        <v>0</v>
      </c>
      <c r="V143" s="932">
        <f t="shared" si="89"/>
        <v>0</v>
      </c>
      <c r="W143" s="932">
        <f t="shared" si="89"/>
        <v>0</v>
      </c>
      <c r="X143" s="932">
        <f t="shared" si="89"/>
        <v>0</v>
      </c>
      <c r="Y143" s="932">
        <f t="shared" si="89"/>
        <v>0</v>
      </c>
      <c r="Z143" s="568">
        <f t="shared" si="73"/>
        <v>13450</v>
      </c>
    </row>
    <row r="144" spans="2:26" s="302" customFormat="1" ht="17.25" hidden="1" outlineLevel="2" x14ac:dyDescent="0.25">
      <c r="B144" s="934">
        <v>230</v>
      </c>
      <c r="C144" s="929">
        <v>2400</v>
      </c>
      <c r="D144" s="928" t="s">
        <v>448</v>
      </c>
      <c r="E144" s="930">
        <v>50</v>
      </c>
      <c r="F144" s="930">
        <v>1200</v>
      </c>
      <c r="G144" s="930">
        <v>1150</v>
      </c>
      <c r="H144" s="930"/>
      <c r="I144" s="930"/>
      <c r="J144" s="930"/>
      <c r="K144" s="930"/>
      <c r="L144" s="942"/>
      <c r="M144" s="930"/>
      <c r="N144" s="930"/>
      <c r="O144" s="930"/>
      <c r="P144" s="930"/>
      <c r="Q144" s="930"/>
      <c r="R144" s="930"/>
      <c r="S144" s="930"/>
      <c r="T144" s="930"/>
      <c r="U144" s="930"/>
      <c r="V144" s="930"/>
      <c r="W144" s="930"/>
      <c r="X144" s="930"/>
      <c r="Y144" s="930"/>
      <c r="Z144" s="568">
        <f t="shared" si="73"/>
        <v>2400</v>
      </c>
    </row>
    <row r="145" spans="2:26" s="302" customFormat="1" ht="17.25" hidden="1" outlineLevel="2" x14ac:dyDescent="0.25">
      <c r="B145" s="934">
        <v>260</v>
      </c>
      <c r="C145" s="929">
        <v>4550</v>
      </c>
      <c r="D145" s="928" t="s">
        <v>448</v>
      </c>
      <c r="E145" s="930"/>
      <c r="F145" s="930"/>
      <c r="G145" s="930">
        <v>1250</v>
      </c>
      <c r="H145" s="930">
        <v>2600</v>
      </c>
      <c r="I145" s="930">
        <v>700</v>
      </c>
      <c r="J145" s="930"/>
      <c r="K145" s="930"/>
      <c r="L145" s="942"/>
      <c r="M145" s="930"/>
      <c r="N145" s="930"/>
      <c r="O145" s="930"/>
      <c r="P145" s="930"/>
      <c r="Q145" s="930"/>
      <c r="R145" s="930"/>
      <c r="S145" s="930"/>
      <c r="T145" s="930"/>
      <c r="U145" s="930"/>
      <c r="V145" s="930"/>
      <c r="W145" s="930"/>
      <c r="X145" s="930"/>
      <c r="Y145" s="930"/>
      <c r="Z145" s="568">
        <f t="shared" si="73"/>
        <v>4550</v>
      </c>
    </row>
    <row r="146" spans="2:26" s="302" customFormat="1" ht="17.25" hidden="1" outlineLevel="2" x14ac:dyDescent="0.25">
      <c r="B146" s="934">
        <v>290</v>
      </c>
      <c r="C146" s="929">
        <v>3100</v>
      </c>
      <c r="D146" s="928" t="s">
        <v>448</v>
      </c>
      <c r="E146" s="930"/>
      <c r="F146" s="930"/>
      <c r="G146" s="930"/>
      <c r="H146" s="930"/>
      <c r="I146" s="930">
        <v>1900</v>
      </c>
      <c r="J146" s="930">
        <v>1200</v>
      </c>
      <c r="K146" s="930"/>
      <c r="L146" s="942"/>
      <c r="M146" s="930"/>
      <c r="N146" s="930"/>
      <c r="O146" s="930"/>
      <c r="P146" s="930"/>
      <c r="Q146" s="930"/>
      <c r="R146" s="930"/>
      <c r="S146" s="930"/>
      <c r="T146" s="930"/>
      <c r="U146" s="930"/>
      <c r="V146" s="930"/>
      <c r="W146" s="930"/>
      <c r="X146" s="930"/>
      <c r="Y146" s="930"/>
      <c r="Z146" s="568">
        <f t="shared" si="73"/>
        <v>3100</v>
      </c>
    </row>
    <row r="147" spans="2:26" s="302" customFormat="1" ht="17.25" hidden="1" outlineLevel="2" x14ac:dyDescent="0.25">
      <c r="B147" s="934">
        <v>320</v>
      </c>
      <c r="C147" s="929">
        <v>3400</v>
      </c>
      <c r="D147" s="928" t="s">
        <v>448</v>
      </c>
      <c r="E147" s="930"/>
      <c r="F147" s="930"/>
      <c r="G147" s="930"/>
      <c r="H147" s="930"/>
      <c r="I147" s="930"/>
      <c r="J147" s="930">
        <v>1400</v>
      </c>
      <c r="K147" s="930">
        <v>1600</v>
      </c>
      <c r="L147" s="942">
        <v>400</v>
      </c>
      <c r="M147" s="930"/>
      <c r="N147" s="930"/>
      <c r="O147" s="930"/>
      <c r="P147" s="930"/>
      <c r="Q147" s="930"/>
      <c r="R147" s="930"/>
      <c r="S147" s="930"/>
      <c r="T147" s="930"/>
      <c r="U147" s="930"/>
      <c r="V147" s="930"/>
      <c r="W147" s="930"/>
      <c r="X147" s="930"/>
      <c r="Y147" s="930"/>
      <c r="Z147" s="568">
        <f t="shared" si="73"/>
        <v>3400</v>
      </c>
    </row>
    <row r="148" spans="2:26" customFormat="1" collapsed="1" x14ac:dyDescent="0.2">
      <c r="B148" s="563" t="s">
        <v>515</v>
      </c>
      <c r="C148" s="563"/>
      <c r="D148" s="561" t="s">
        <v>1</v>
      </c>
      <c r="E148" s="297">
        <v>4.5</v>
      </c>
      <c r="F148" s="297">
        <v>4.5999999999999996</v>
      </c>
      <c r="G148" s="597">
        <v>4.8</v>
      </c>
      <c r="H148" s="597">
        <v>5</v>
      </c>
      <c r="I148" s="297">
        <v>5.5</v>
      </c>
      <c r="J148" s="297">
        <v>5.5</v>
      </c>
      <c r="K148" s="297">
        <v>5.6</v>
      </c>
      <c r="L148" s="693">
        <v>6.5</v>
      </c>
      <c r="M148" s="297">
        <v>6.5</v>
      </c>
      <c r="N148" s="597">
        <v>7</v>
      </c>
      <c r="O148" s="297">
        <v>7.2</v>
      </c>
      <c r="P148" s="297">
        <v>5.5</v>
      </c>
      <c r="Q148" s="597">
        <v>5</v>
      </c>
      <c r="R148" s="297">
        <v>4.5999999999999996</v>
      </c>
      <c r="S148" s="597">
        <v>4.2</v>
      </c>
      <c r="T148" s="297">
        <v>3.8</v>
      </c>
      <c r="U148" s="297">
        <v>3.5</v>
      </c>
      <c r="V148" s="297">
        <v>3.4</v>
      </c>
      <c r="W148" s="297">
        <v>3.6</v>
      </c>
      <c r="X148" s="297">
        <v>3.8</v>
      </c>
      <c r="Y148" s="597">
        <v>4</v>
      </c>
      <c r="Z148" s="291"/>
    </row>
    <row r="149" spans="2:26" customFormat="1" x14ac:dyDescent="0.2">
      <c r="B149" s="594" t="s">
        <v>339</v>
      </c>
      <c r="C149" s="594"/>
      <c r="D149" s="595" t="s">
        <v>1</v>
      </c>
      <c r="E149" s="707">
        <v>5.6</v>
      </c>
      <c r="F149" s="707">
        <v>5.6</v>
      </c>
      <c r="G149" s="707">
        <v>5.8</v>
      </c>
      <c r="H149" s="707">
        <v>5.8</v>
      </c>
      <c r="I149" s="708">
        <v>6</v>
      </c>
      <c r="J149" s="708">
        <v>6</v>
      </c>
      <c r="K149" s="707">
        <v>6.2</v>
      </c>
      <c r="L149" s="948">
        <v>6.2</v>
      </c>
      <c r="M149" s="707">
        <v>6.4</v>
      </c>
      <c r="N149" s="707">
        <v>6.4</v>
      </c>
      <c r="O149" s="707">
        <v>6.5</v>
      </c>
      <c r="P149" s="707">
        <v>6.5</v>
      </c>
      <c r="Q149" s="707">
        <v>6.8</v>
      </c>
      <c r="R149" s="707">
        <v>6.8</v>
      </c>
      <c r="S149" s="707">
        <v>5.8</v>
      </c>
      <c r="T149" s="708">
        <v>5</v>
      </c>
      <c r="U149" s="707">
        <v>4.5</v>
      </c>
      <c r="V149" s="707">
        <v>4.4000000000000004</v>
      </c>
      <c r="W149" s="707">
        <v>4.5999999999999996</v>
      </c>
      <c r="X149" s="707">
        <v>4.8</v>
      </c>
      <c r="Y149" s="708">
        <v>5</v>
      </c>
      <c r="Z149" s="473"/>
    </row>
    <row r="150" spans="2:26" customFormat="1" ht="15" hidden="1" outlineLevel="1" x14ac:dyDescent="0.25">
      <c r="B150" s="614" t="s">
        <v>3</v>
      </c>
      <c r="C150" s="401"/>
      <c r="D150" s="402"/>
      <c r="E150" s="613">
        <f t="shared" ref="E150:X150" si="90">E12-(E158+E164+E170+E176+E188+E182+E194+E200+E206+E212+E218+E224+E230)</f>
        <v>0</v>
      </c>
      <c r="F150" s="613">
        <f t="shared" si="90"/>
        <v>0</v>
      </c>
      <c r="G150" s="613">
        <f t="shared" si="90"/>
        <v>0</v>
      </c>
      <c r="H150" s="613">
        <f t="shared" si="90"/>
        <v>0</v>
      </c>
      <c r="I150" s="613">
        <f t="shared" si="90"/>
        <v>0</v>
      </c>
      <c r="J150" s="613">
        <f t="shared" si="90"/>
        <v>0</v>
      </c>
      <c r="K150" s="613">
        <f t="shared" si="90"/>
        <v>0</v>
      </c>
      <c r="L150" s="949">
        <f t="shared" si="90"/>
        <v>0</v>
      </c>
      <c r="M150" s="613">
        <f t="shared" si="90"/>
        <v>0</v>
      </c>
      <c r="N150" s="613">
        <f t="shared" si="90"/>
        <v>0</v>
      </c>
      <c r="O150" s="613">
        <f t="shared" si="90"/>
        <v>0</v>
      </c>
      <c r="P150" s="613">
        <f t="shared" si="90"/>
        <v>0</v>
      </c>
      <c r="Q150" s="613">
        <f t="shared" si="90"/>
        <v>0</v>
      </c>
      <c r="R150" s="613">
        <f t="shared" si="90"/>
        <v>0</v>
      </c>
      <c r="S150" s="613">
        <f t="shared" si="90"/>
        <v>0</v>
      </c>
      <c r="T150" s="613">
        <f t="shared" si="90"/>
        <v>0</v>
      </c>
      <c r="U150" s="613">
        <f t="shared" si="90"/>
        <v>0</v>
      </c>
      <c r="V150" s="613">
        <f t="shared" si="90"/>
        <v>0</v>
      </c>
      <c r="W150" s="613">
        <f t="shared" si="90"/>
        <v>0</v>
      </c>
      <c r="X150" s="613">
        <f t="shared" si="90"/>
        <v>0</v>
      </c>
      <c r="Y150" s="613">
        <f t="shared" ref="Y150" si="91">Y12-(Y158+Y164+Y170+Y176+Y188+Y182+Y194+Y200+Y206+Y212+Y218+Y224+Y230)</f>
        <v>0</v>
      </c>
      <c r="Z150" s="401"/>
    </row>
    <row r="151" spans="2:26" s="302" customFormat="1" ht="15" hidden="1" outlineLevel="1" x14ac:dyDescent="0.25">
      <c r="B151" s="614" t="s">
        <v>9</v>
      </c>
      <c r="C151" s="401"/>
      <c r="D151" s="402"/>
      <c r="E151" s="613">
        <f t="shared" ref="E151:X151" si="92">(E23+E24)-(E159+E165+E171+E177+E189+E183+E195+E201+E207+E213+E219+E225+E231)</f>
        <v>0</v>
      </c>
      <c r="F151" s="613">
        <f t="shared" si="92"/>
        <v>0</v>
      </c>
      <c r="G151" s="613">
        <f t="shared" si="92"/>
        <v>0</v>
      </c>
      <c r="H151" s="613">
        <f t="shared" si="92"/>
        <v>0</v>
      </c>
      <c r="I151" s="613">
        <f t="shared" si="92"/>
        <v>0</v>
      </c>
      <c r="J151" s="613">
        <f t="shared" si="92"/>
        <v>0</v>
      </c>
      <c r="K151" s="613">
        <f t="shared" si="92"/>
        <v>0</v>
      </c>
      <c r="L151" s="949">
        <f t="shared" si="92"/>
        <v>0</v>
      </c>
      <c r="M151" s="613">
        <f t="shared" si="92"/>
        <v>0</v>
      </c>
      <c r="N151" s="613">
        <f t="shared" si="92"/>
        <v>0</v>
      </c>
      <c r="O151" s="613">
        <f t="shared" si="92"/>
        <v>0</v>
      </c>
      <c r="P151" s="613">
        <f t="shared" si="92"/>
        <v>0</v>
      </c>
      <c r="Q151" s="613">
        <f t="shared" si="92"/>
        <v>0</v>
      </c>
      <c r="R151" s="613">
        <f t="shared" si="92"/>
        <v>0</v>
      </c>
      <c r="S151" s="613">
        <f t="shared" si="92"/>
        <v>0</v>
      </c>
      <c r="T151" s="613">
        <f t="shared" si="92"/>
        <v>0</v>
      </c>
      <c r="U151" s="613">
        <f t="shared" si="92"/>
        <v>0</v>
      </c>
      <c r="V151" s="613">
        <f t="shared" si="92"/>
        <v>0</v>
      </c>
      <c r="W151" s="613">
        <f t="shared" si="92"/>
        <v>0</v>
      </c>
      <c r="X151" s="613">
        <f t="shared" si="92"/>
        <v>0</v>
      </c>
      <c r="Y151" s="613">
        <f t="shared" ref="Y151" si="93">(Y23+Y24)-(Y159+Y165+Y171+Y177+Y189+Y183+Y195+Y201+Y207+Y213+Y219+Y225+Y231)</f>
        <v>0</v>
      </c>
      <c r="Z151" s="401"/>
    </row>
    <row r="152" spans="2:26" customFormat="1" ht="15" hidden="1" outlineLevel="1" x14ac:dyDescent="0.25">
      <c r="B152" s="614" t="s">
        <v>325</v>
      </c>
      <c r="C152" s="401"/>
      <c r="D152" s="402"/>
      <c r="E152" s="613">
        <f t="shared" ref="E152:X152" si="94">E26-(E160+E166+E172+E178+E190+E184+E196+E202+E208+E214+E220+E226+E232)</f>
        <v>0</v>
      </c>
      <c r="F152" s="613">
        <f t="shared" si="94"/>
        <v>0</v>
      </c>
      <c r="G152" s="613">
        <f t="shared" si="94"/>
        <v>0</v>
      </c>
      <c r="H152" s="613">
        <f t="shared" si="94"/>
        <v>0</v>
      </c>
      <c r="I152" s="613">
        <f t="shared" si="94"/>
        <v>0</v>
      </c>
      <c r="J152" s="613">
        <f t="shared" si="94"/>
        <v>0</v>
      </c>
      <c r="K152" s="613">
        <f t="shared" si="94"/>
        <v>0</v>
      </c>
      <c r="L152" s="949">
        <f t="shared" si="94"/>
        <v>0</v>
      </c>
      <c r="M152" s="613">
        <f t="shared" si="94"/>
        <v>0</v>
      </c>
      <c r="N152" s="613">
        <f t="shared" si="94"/>
        <v>0</v>
      </c>
      <c r="O152" s="613">
        <f t="shared" si="94"/>
        <v>0</v>
      </c>
      <c r="P152" s="613">
        <f t="shared" si="94"/>
        <v>0</v>
      </c>
      <c r="Q152" s="613">
        <f t="shared" si="94"/>
        <v>0</v>
      </c>
      <c r="R152" s="613">
        <f t="shared" si="94"/>
        <v>0</v>
      </c>
      <c r="S152" s="613">
        <f t="shared" si="94"/>
        <v>0</v>
      </c>
      <c r="T152" s="613">
        <f t="shared" si="94"/>
        <v>0</v>
      </c>
      <c r="U152" s="613">
        <f t="shared" si="94"/>
        <v>0</v>
      </c>
      <c r="V152" s="613">
        <f t="shared" si="94"/>
        <v>0</v>
      </c>
      <c r="W152" s="613">
        <f t="shared" si="94"/>
        <v>0</v>
      </c>
      <c r="X152" s="613">
        <f t="shared" si="94"/>
        <v>0</v>
      </c>
      <c r="Y152" s="613">
        <f t="shared" ref="Y152" si="95">Y26-(Y160+Y166+Y172+Y178+Y190+Y184+Y196+Y202+Y208+Y214+Y220+Y226+Y232)</f>
        <v>0</v>
      </c>
      <c r="Z152" s="401"/>
    </row>
    <row r="153" spans="2:26" customFormat="1" ht="15" hidden="1" outlineLevel="1" x14ac:dyDescent="0.25">
      <c r="B153" s="614" t="s">
        <v>6</v>
      </c>
      <c r="C153" s="401"/>
      <c r="D153" s="402"/>
      <c r="E153" s="613">
        <f t="shared" ref="E153:X153" si="96">(E30+E31)-(E161+E167+E173+E179+E191+E185+E197+E203+E209+E215+E221+E227+E233)</f>
        <v>0</v>
      </c>
      <c r="F153" s="613">
        <f t="shared" si="96"/>
        <v>0</v>
      </c>
      <c r="G153" s="613">
        <f t="shared" si="96"/>
        <v>0</v>
      </c>
      <c r="H153" s="613">
        <f t="shared" si="96"/>
        <v>0</v>
      </c>
      <c r="I153" s="613">
        <f t="shared" si="96"/>
        <v>0</v>
      </c>
      <c r="J153" s="613">
        <f t="shared" si="96"/>
        <v>0</v>
      </c>
      <c r="K153" s="613">
        <f t="shared" si="96"/>
        <v>0</v>
      </c>
      <c r="L153" s="949">
        <f t="shared" si="96"/>
        <v>0</v>
      </c>
      <c r="M153" s="613">
        <f t="shared" si="96"/>
        <v>0</v>
      </c>
      <c r="N153" s="613">
        <f t="shared" si="96"/>
        <v>0</v>
      </c>
      <c r="O153" s="613">
        <f t="shared" si="96"/>
        <v>0</v>
      </c>
      <c r="P153" s="613">
        <f t="shared" si="96"/>
        <v>0</v>
      </c>
      <c r="Q153" s="613">
        <f t="shared" si="96"/>
        <v>0</v>
      </c>
      <c r="R153" s="613">
        <f t="shared" si="96"/>
        <v>0</v>
      </c>
      <c r="S153" s="613">
        <f t="shared" si="96"/>
        <v>0</v>
      </c>
      <c r="T153" s="613">
        <f t="shared" si="96"/>
        <v>0</v>
      </c>
      <c r="U153" s="613">
        <f t="shared" si="96"/>
        <v>0</v>
      </c>
      <c r="V153" s="613">
        <f t="shared" si="96"/>
        <v>0</v>
      </c>
      <c r="W153" s="613">
        <f t="shared" si="96"/>
        <v>0</v>
      </c>
      <c r="X153" s="613">
        <f t="shared" si="96"/>
        <v>0</v>
      </c>
      <c r="Y153" s="613">
        <f t="shared" ref="Y153" si="97">(Y30+Y31)-(Y161+Y167+Y173+Y179+Y191+Y185+Y197+Y203+Y209+Y215+Y221+Y227+Y233)</f>
        <v>0</v>
      </c>
      <c r="Z153" s="401"/>
    </row>
    <row r="154" spans="2:26" customFormat="1" ht="15" hidden="1" outlineLevel="1" x14ac:dyDescent="0.25">
      <c r="B154" s="614" t="s">
        <v>462</v>
      </c>
      <c r="C154" s="401"/>
      <c r="D154" s="402"/>
      <c r="E154" s="613">
        <f t="shared" ref="E154:X154" si="98">E35-(E162+E168+E174+E180+E192+E186+E198+E204+E210+E216+E222+E228+E234)</f>
        <v>0.40000000000009095</v>
      </c>
      <c r="F154" s="613">
        <f t="shared" si="98"/>
        <v>0</v>
      </c>
      <c r="G154" s="613">
        <f t="shared" si="98"/>
        <v>0</v>
      </c>
      <c r="H154" s="613">
        <f t="shared" si="98"/>
        <v>0</v>
      </c>
      <c r="I154" s="613">
        <f t="shared" si="98"/>
        <v>0</v>
      </c>
      <c r="J154" s="613">
        <f t="shared" si="98"/>
        <v>0</v>
      </c>
      <c r="K154" s="613">
        <f t="shared" si="98"/>
        <v>0</v>
      </c>
      <c r="L154" s="949">
        <f t="shared" si="98"/>
        <v>0</v>
      </c>
      <c r="M154" s="613">
        <f t="shared" si="98"/>
        <v>0</v>
      </c>
      <c r="N154" s="613">
        <f t="shared" si="98"/>
        <v>0</v>
      </c>
      <c r="O154" s="613">
        <f t="shared" si="98"/>
        <v>0</v>
      </c>
      <c r="P154" s="613">
        <f t="shared" si="98"/>
        <v>0</v>
      </c>
      <c r="Q154" s="613">
        <f t="shared" si="98"/>
        <v>0</v>
      </c>
      <c r="R154" s="613">
        <f t="shared" si="98"/>
        <v>0</v>
      </c>
      <c r="S154" s="613">
        <f t="shared" si="98"/>
        <v>0</v>
      </c>
      <c r="T154" s="613">
        <f t="shared" si="98"/>
        <v>0</v>
      </c>
      <c r="U154" s="613">
        <f t="shared" si="98"/>
        <v>0</v>
      </c>
      <c r="V154" s="613">
        <f t="shared" si="98"/>
        <v>0</v>
      </c>
      <c r="W154" s="613">
        <f t="shared" si="98"/>
        <v>0</v>
      </c>
      <c r="X154" s="613">
        <f t="shared" si="98"/>
        <v>0</v>
      </c>
      <c r="Y154" s="613">
        <f t="shared" ref="Y154" si="99">Y35-(Y162+Y168+Y174+Y180+Y192+Y186+Y198+Y204+Y210+Y216+Y222+Y228+Y234)</f>
        <v>-0.40000000000000568</v>
      </c>
      <c r="Z154" s="401"/>
    </row>
    <row r="155" spans="2:26" customFormat="1" ht="16.5" collapsed="1" thickBot="1" x14ac:dyDescent="0.3">
      <c r="B155" s="981" t="s">
        <v>340</v>
      </c>
      <c r="C155" s="982"/>
      <c r="D155" s="982"/>
      <c r="E155" s="982"/>
      <c r="F155" s="982"/>
      <c r="G155" s="982"/>
      <c r="H155" s="982"/>
      <c r="I155" s="982"/>
      <c r="J155" s="982"/>
      <c r="K155" s="982"/>
      <c r="L155" s="982"/>
      <c r="M155" s="982"/>
      <c r="N155" s="982"/>
      <c r="O155" s="982"/>
      <c r="P155" s="982"/>
      <c r="Q155" s="982"/>
      <c r="R155" s="982"/>
      <c r="S155" s="982"/>
      <c r="T155" s="982"/>
      <c r="U155" s="982"/>
      <c r="V155" s="982"/>
      <c r="W155" s="982"/>
      <c r="X155" s="982"/>
      <c r="Y155" s="982"/>
      <c r="Z155" s="983"/>
    </row>
    <row r="156" spans="2:26" s="302" customFormat="1" ht="15.75" x14ac:dyDescent="0.25">
      <c r="B156" s="628" t="s">
        <v>510</v>
      </c>
      <c r="C156" s="599"/>
      <c r="D156" s="599"/>
      <c r="E156" s="599"/>
      <c r="F156" s="599"/>
      <c r="G156" s="599"/>
      <c r="H156" s="599"/>
      <c r="I156" s="599"/>
      <c r="J156" s="599"/>
      <c r="K156" s="599"/>
      <c r="L156" s="950"/>
      <c r="M156" s="599"/>
      <c r="N156" s="599"/>
      <c r="O156" s="599"/>
      <c r="P156" s="599"/>
      <c r="Q156" s="599"/>
      <c r="R156" s="599"/>
      <c r="S156" s="599"/>
      <c r="T156" s="599"/>
      <c r="U156" s="599"/>
      <c r="V156" s="599"/>
      <c r="W156" s="599"/>
      <c r="X156" s="599"/>
      <c r="Y156" s="599"/>
      <c r="Z156" s="600"/>
    </row>
    <row r="157" spans="2:26" customFormat="1" ht="15" x14ac:dyDescent="0.25">
      <c r="B157" s="579" t="s">
        <v>364</v>
      </c>
      <c r="C157" s="581"/>
      <c r="D157" s="584" t="s">
        <v>2</v>
      </c>
      <c r="E157" s="705">
        <f>ROUNDUP(E158/$C158+E159/$C159+E160/$C160+E161/$C161+E162/$C162,0)</f>
        <v>1</v>
      </c>
      <c r="F157" s="705">
        <f t="shared" ref="F157:Y157" si="100">ROUNDUP(F158/$C158+F159/$C159+F160/$C160+F161/$C161+F162/$C162,0)</f>
        <v>1</v>
      </c>
      <c r="G157" s="705">
        <f t="shared" si="100"/>
        <v>1</v>
      </c>
      <c r="H157" s="705">
        <f t="shared" si="100"/>
        <v>1</v>
      </c>
      <c r="I157" s="705">
        <f t="shared" si="100"/>
        <v>1</v>
      </c>
      <c r="J157" s="705">
        <f t="shared" si="100"/>
        <v>1</v>
      </c>
      <c r="K157" s="705">
        <f t="shared" si="100"/>
        <v>1</v>
      </c>
      <c r="L157" s="944">
        <f t="shared" si="100"/>
        <v>1</v>
      </c>
      <c r="M157" s="705">
        <f t="shared" si="100"/>
        <v>1</v>
      </c>
      <c r="N157" s="705">
        <f t="shared" si="100"/>
        <v>1</v>
      </c>
      <c r="O157" s="705">
        <f t="shared" si="100"/>
        <v>1</v>
      </c>
      <c r="P157" s="705">
        <f t="shared" si="100"/>
        <v>1</v>
      </c>
      <c r="Q157" s="705">
        <f t="shared" si="100"/>
        <v>1</v>
      </c>
      <c r="R157" s="705">
        <f t="shared" si="100"/>
        <v>1</v>
      </c>
      <c r="S157" s="705">
        <f t="shared" si="100"/>
        <v>1</v>
      </c>
      <c r="T157" s="705">
        <f t="shared" si="100"/>
        <v>1</v>
      </c>
      <c r="U157" s="705">
        <f t="shared" si="100"/>
        <v>1</v>
      </c>
      <c r="V157" s="705">
        <f t="shared" si="100"/>
        <v>1</v>
      </c>
      <c r="W157" s="705">
        <f t="shared" si="100"/>
        <v>1</v>
      </c>
      <c r="X157" s="705">
        <f t="shared" si="100"/>
        <v>1</v>
      </c>
      <c r="Y157" s="705">
        <f t="shared" si="100"/>
        <v>1</v>
      </c>
      <c r="Z157" s="403"/>
    </row>
    <row r="158" spans="2:26" customFormat="1" ht="15" hidden="1" outlineLevel="1" x14ac:dyDescent="0.25">
      <c r="B158" s="576" t="s">
        <v>3</v>
      </c>
      <c r="C158" s="582">
        <f>'Экскаваторы II'!E78</f>
        <v>3640</v>
      </c>
      <c r="D158" s="598" t="s">
        <v>2</v>
      </c>
      <c r="E158" s="610">
        <v>1700</v>
      </c>
      <c r="F158" s="610">
        <v>1700</v>
      </c>
      <c r="G158" s="610">
        <v>1700</v>
      </c>
      <c r="H158" s="610">
        <v>1700</v>
      </c>
      <c r="I158" s="610">
        <v>1700</v>
      </c>
      <c r="J158" s="610">
        <v>1700</v>
      </c>
      <c r="K158" s="610">
        <v>1700</v>
      </c>
      <c r="L158" s="944">
        <v>1700</v>
      </c>
      <c r="M158" s="610">
        <v>1700</v>
      </c>
      <c r="N158" s="610">
        <v>1700</v>
      </c>
      <c r="O158" s="610">
        <v>1700</v>
      </c>
      <c r="P158" s="610">
        <v>1700</v>
      </c>
      <c r="Q158" s="610">
        <v>1700</v>
      </c>
      <c r="R158" s="610">
        <v>1700</v>
      </c>
      <c r="S158" s="610">
        <v>1700</v>
      </c>
      <c r="T158" s="610">
        <v>1700</v>
      </c>
      <c r="U158" s="610">
        <v>1700</v>
      </c>
      <c r="V158" s="610">
        <v>1700</v>
      </c>
      <c r="W158" s="610">
        <v>1700</v>
      </c>
      <c r="X158" s="610">
        <v>1700</v>
      </c>
      <c r="Y158" s="610">
        <v>700</v>
      </c>
      <c r="Z158" s="293"/>
    </row>
    <row r="159" spans="2:26" customFormat="1" ht="15" hidden="1" outlineLevel="1" x14ac:dyDescent="0.25">
      <c r="B159" s="576" t="s">
        <v>9</v>
      </c>
      <c r="C159" s="582">
        <f>'Экскаваторы II'!E79</f>
        <v>2600</v>
      </c>
      <c r="D159" s="598" t="s">
        <v>2</v>
      </c>
      <c r="E159" s="610"/>
      <c r="F159" s="610"/>
      <c r="G159" s="610"/>
      <c r="H159" s="610"/>
      <c r="I159" s="610"/>
      <c r="J159" s="610"/>
      <c r="K159" s="610"/>
      <c r="L159" s="944"/>
      <c r="M159" s="610"/>
      <c r="N159" s="610"/>
      <c r="O159" s="610"/>
      <c r="P159" s="610"/>
      <c r="Q159" s="610"/>
      <c r="R159" s="610"/>
      <c r="S159" s="610"/>
      <c r="T159" s="610"/>
      <c r="U159" s="610"/>
      <c r="V159" s="610"/>
      <c r="W159" s="610"/>
      <c r="X159" s="610"/>
      <c r="Y159" s="610"/>
      <c r="Z159" s="293"/>
    </row>
    <row r="160" spans="2:26" customFormat="1" ht="15" hidden="1" outlineLevel="1" x14ac:dyDescent="0.25">
      <c r="B160" s="576" t="s">
        <v>325</v>
      </c>
      <c r="C160" s="582">
        <f>'Экскаваторы II'!E81</f>
        <v>1900</v>
      </c>
      <c r="D160" s="598" t="s">
        <v>2</v>
      </c>
      <c r="E160" s="610">
        <v>700</v>
      </c>
      <c r="F160" s="610">
        <v>700</v>
      </c>
      <c r="G160" s="610">
        <v>700</v>
      </c>
      <c r="H160" s="610">
        <v>800</v>
      </c>
      <c r="I160" s="610">
        <v>800</v>
      </c>
      <c r="J160" s="610">
        <v>800</v>
      </c>
      <c r="K160" s="610">
        <v>800</v>
      </c>
      <c r="L160" s="944">
        <v>800</v>
      </c>
      <c r="M160" s="610">
        <v>800</v>
      </c>
      <c r="N160" s="610">
        <v>800</v>
      </c>
      <c r="O160" s="610">
        <v>800</v>
      </c>
      <c r="P160" s="610">
        <v>800</v>
      </c>
      <c r="Q160" s="610">
        <v>800</v>
      </c>
      <c r="R160" s="610">
        <v>800</v>
      </c>
      <c r="S160" s="610">
        <v>800</v>
      </c>
      <c r="T160" s="610">
        <v>900</v>
      </c>
      <c r="U160" s="610">
        <v>900</v>
      </c>
      <c r="V160" s="610">
        <v>800</v>
      </c>
      <c r="W160" s="610">
        <v>800</v>
      </c>
      <c r="X160" s="610">
        <v>700</v>
      </c>
      <c r="Y160" s="610">
        <v>500</v>
      </c>
      <c r="Z160" s="293"/>
    </row>
    <row r="161" spans="2:26" customFormat="1" ht="15" hidden="1" outlineLevel="1" x14ac:dyDescent="0.25">
      <c r="B161" s="576" t="s">
        <v>6</v>
      </c>
      <c r="C161" s="582">
        <f>'Экскаваторы II'!E80</f>
        <v>2400</v>
      </c>
      <c r="D161" s="598" t="s">
        <v>2</v>
      </c>
      <c r="E161" s="610"/>
      <c r="F161" s="610"/>
      <c r="G161" s="610"/>
      <c r="H161" s="610"/>
      <c r="I161" s="610"/>
      <c r="J161" s="610"/>
      <c r="K161" s="610"/>
      <c r="L161" s="944"/>
      <c r="M161" s="610"/>
      <c r="N161" s="610"/>
      <c r="O161" s="610"/>
      <c r="P161" s="610"/>
      <c r="Q161" s="610"/>
      <c r="R161" s="610"/>
      <c r="S161" s="610"/>
      <c r="T161" s="610"/>
      <c r="U161" s="610"/>
      <c r="V161" s="610"/>
      <c r="W161" s="610"/>
      <c r="X161" s="610"/>
      <c r="Y161" s="610"/>
      <c r="Z161" s="293"/>
    </row>
    <row r="162" spans="2:26" s="302" customFormat="1" ht="15" hidden="1" outlineLevel="1" x14ac:dyDescent="0.25">
      <c r="B162" s="576" t="s">
        <v>462</v>
      </c>
      <c r="C162" s="582">
        <f>C161</f>
        <v>2400</v>
      </c>
      <c r="D162" s="598" t="s">
        <v>2</v>
      </c>
      <c r="E162" s="611">
        <v>50</v>
      </c>
      <c r="F162" s="611">
        <v>50</v>
      </c>
      <c r="G162" s="611">
        <v>50</v>
      </c>
      <c r="H162" s="611">
        <v>50</v>
      </c>
      <c r="I162" s="611">
        <v>50</v>
      </c>
      <c r="J162" s="611">
        <v>50</v>
      </c>
      <c r="K162" s="611">
        <v>50</v>
      </c>
      <c r="L162" s="951">
        <v>50</v>
      </c>
      <c r="M162" s="611">
        <v>50</v>
      </c>
      <c r="N162" s="611">
        <v>50</v>
      </c>
      <c r="O162" s="611">
        <v>50</v>
      </c>
      <c r="P162" s="611">
        <v>50</v>
      </c>
      <c r="Q162" s="611">
        <v>50</v>
      </c>
      <c r="R162" s="611">
        <v>50</v>
      </c>
      <c r="S162" s="611">
        <v>50</v>
      </c>
      <c r="T162" s="611">
        <v>50</v>
      </c>
      <c r="U162" s="611">
        <v>50</v>
      </c>
      <c r="V162" s="611">
        <v>50</v>
      </c>
      <c r="W162" s="611">
        <v>50</v>
      </c>
      <c r="X162" s="611">
        <v>50</v>
      </c>
      <c r="Y162" s="611">
        <v>202</v>
      </c>
      <c r="Z162" s="293"/>
    </row>
    <row r="163" spans="2:26" customFormat="1" ht="15" collapsed="1" x14ac:dyDescent="0.25">
      <c r="B163" s="579" t="s">
        <v>363</v>
      </c>
      <c r="C163" s="577"/>
      <c r="D163" s="584" t="s">
        <v>2</v>
      </c>
      <c r="E163" s="705">
        <f>ROUNDUP(E164/$C164+E165/$C165+E166/$C166+E167/$C167+E168/$C168,0)</f>
        <v>1</v>
      </c>
      <c r="F163" s="705">
        <f t="shared" ref="F163:Y163" si="101">ROUNDUP(F164/$C164+F165/$C165+F166/$C166+F167/$C167+F168/$C168,0)</f>
        <v>1</v>
      </c>
      <c r="G163" s="705">
        <f t="shared" si="101"/>
        <v>1</v>
      </c>
      <c r="H163" s="705">
        <f t="shared" si="101"/>
        <v>1</v>
      </c>
      <c r="I163" s="705">
        <f t="shared" si="101"/>
        <v>1</v>
      </c>
      <c r="J163" s="705">
        <f t="shared" si="101"/>
        <v>1</v>
      </c>
      <c r="K163" s="705">
        <f t="shared" si="101"/>
        <v>1</v>
      </c>
      <c r="L163" s="944">
        <f t="shared" si="101"/>
        <v>1</v>
      </c>
      <c r="M163" s="705">
        <f t="shared" si="101"/>
        <v>1</v>
      </c>
      <c r="N163" s="705">
        <f t="shared" si="101"/>
        <v>1</v>
      </c>
      <c r="O163" s="705">
        <f t="shared" si="101"/>
        <v>1</v>
      </c>
      <c r="P163" s="705">
        <f t="shared" si="101"/>
        <v>1</v>
      </c>
      <c r="Q163" s="705">
        <f t="shared" si="101"/>
        <v>1</v>
      </c>
      <c r="R163" s="705">
        <f t="shared" si="101"/>
        <v>1</v>
      </c>
      <c r="S163" s="705">
        <f t="shared" si="101"/>
        <v>1</v>
      </c>
      <c r="T163" s="705">
        <f t="shared" si="101"/>
        <v>1</v>
      </c>
      <c r="U163" s="705">
        <f t="shared" si="101"/>
        <v>1</v>
      </c>
      <c r="V163" s="705">
        <f t="shared" si="101"/>
        <v>1</v>
      </c>
      <c r="W163" s="705">
        <f t="shared" si="101"/>
        <v>1</v>
      </c>
      <c r="X163" s="705">
        <f t="shared" si="101"/>
        <v>1</v>
      </c>
      <c r="Y163" s="705">
        <f t="shared" si="101"/>
        <v>1</v>
      </c>
      <c r="Z163" s="403"/>
    </row>
    <row r="164" spans="2:26" customFormat="1" ht="15" hidden="1" outlineLevel="1" x14ac:dyDescent="0.25">
      <c r="B164" s="576" t="s">
        <v>3</v>
      </c>
      <c r="C164" s="582">
        <f>'Экскаваторы II'!I78</f>
        <v>6160</v>
      </c>
      <c r="D164" s="598" t="s">
        <v>2</v>
      </c>
      <c r="E164" s="557">
        <v>1900</v>
      </c>
      <c r="F164" s="557">
        <v>1800</v>
      </c>
      <c r="G164" s="557">
        <v>1800</v>
      </c>
      <c r="H164" s="557">
        <v>1800</v>
      </c>
      <c r="I164" s="557">
        <v>1800</v>
      </c>
      <c r="J164" s="557">
        <v>1800</v>
      </c>
      <c r="K164" s="557">
        <v>1800</v>
      </c>
      <c r="L164" s="944">
        <v>1800</v>
      </c>
      <c r="M164" s="557">
        <v>1800</v>
      </c>
      <c r="N164" s="557">
        <v>1800</v>
      </c>
      <c r="O164" s="557">
        <v>1800</v>
      </c>
      <c r="P164" s="557">
        <v>1800</v>
      </c>
      <c r="Q164" s="557">
        <v>1800</v>
      </c>
      <c r="R164" s="557">
        <v>1800</v>
      </c>
      <c r="S164" s="557">
        <v>1800</v>
      </c>
      <c r="T164" s="557">
        <v>1800</v>
      </c>
      <c r="U164" s="557">
        <v>1800</v>
      </c>
      <c r="V164" s="557">
        <v>1800</v>
      </c>
      <c r="W164" s="557">
        <v>1800</v>
      </c>
      <c r="X164" s="557">
        <v>1800</v>
      </c>
      <c r="Y164" s="557">
        <v>735</v>
      </c>
      <c r="Z164" s="293"/>
    </row>
    <row r="165" spans="2:26" customFormat="1" ht="15" hidden="1" outlineLevel="1" x14ac:dyDescent="0.25">
      <c r="B165" s="576" t="s">
        <v>9</v>
      </c>
      <c r="C165" s="582">
        <f>'Экскаваторы II'!K79</f>
        <v>4000</v>
      </c>
      <c r="D165" s="598" t="s">
        <v>2</v>
      </c>
      <c r="E165" s="557"/>
      <c r="F165" s="557"/>
      <c r="G165" s="557"/>
      <c r="H165" s="557"/>
      <c r="I165" s="557"/>
      <c r="J165" s="557"/>
      <c r="K165" s="557"/>
      <c r="L165" s="944"/>
      <c r="M165" s="557"/>
      <c r="N165" s="557"/>
      <c r="O165" s="557"/>
      <c r="P165" s="557"/>
      <c r="Q165" s="557"/>
      <c r="R165" s="557"/>
      <c r="S165" s="557"/>
      <c r="T165" s="557"/>
      <c r="U165" s="557"/>
      <c r="V165" s="557"/>
      <c r="W165" s="557"/>
      <c r="X165" s="557"/>
      <c r="Y165" s="557"/>
      <c r="Z165" s="293"/>
    </row>
    <row r="166" spans="2:26" customFormat="1" ht="15" hidden="1" outlineLevel="1" x14ac:dyDescent="0.25">
      <c r="B166" s="576" t="s">
        <v>325</v>
      </c>
      <c r="C166" s="582">
        <f>'Экскаваторы II'!K81</f>
        <v>3000</v>
      </c>
      <c r="D166" s="598" t="s">
        <v>2</v>
      </c>
      <c r="E166" s="557">
        <v>1500</v>
      </c>
      <c r="F166" s="557">
        <v>1500</v>
      </c>
      <c r="G166" s="557">
        <v>1500</v>
      </c>
      <c r="H166" s="557">
        <v>1600</v>
      </c>
      <c r="I166" s="557">
        <v>1600</v>
      </c>
      <c r="J166" s="557">
        <v>1600</v>
      </c>
      <c r="K166" s="557">
        <v>1600</v>
      </c>
      <c r="L166" s="944">
        <v>1600</v>
      </c>
      <c r="M166" s="557">
        <v>1600</v>
      </c>
      <c r="N166" s="557">
        <v>1600</v>
      </c>
      <c r="O166" s="557">
        <v>1600</v>
      </c>
      <c r="P166" s="557">
        <v>1600</v>
      </c>
      <c r="Q166" s="557">
        <v>1600</v>
      </c>
      <c r="R166" s="557">
        <v>1600</v>
      </c>
      <c r="S166" s="557">
        <v>1600</v>
      </c>
      <c r="T166" s="557">
        <v>2000</v>
      </c>
      <c r="U166" s="557">
        <v>2100</v>
      </c>
      <c r="V166" s="557">
        <v>1600</v>
      </c>
      <c r="W166" s="557">
        <v>1600</v>
      </c>
      <c r="X166" s="557">
        <v>1500</v>
      </c>
      <c r="Y166" s="557">
        <v>1500</v>
      </c>
      <c r="Z166" s="293"/>
    </row>
    <row r="167" spans="2:26" customFormat="1" ht="15" hidden="1" outlineLevel="1" x14ac:dyDescent="0.25">
      <c r="B167" s="576" t="s">
        <v>6</v>
      </c>
      <c r="C167" s="582">
        <f>'Экскаваторы II'!K80</f>
        <v>3900</v>
      </c>
      <c r="D167" s="598" t="s">
        <v>2</v>
      </c>
      <c r="E167" s="557"/>
      <c r="F167" s="557"/>
      <c r="G167" s="557"/>
      <c r="H167" s="557"/>
      <c r="I167" s="557"/>
      <c r="J167" s="557"/>
      <c r="K167" s="557"/>
      <c r="L167" s="944"/>
      <c r="M167" s="557"/>
      <c r="N167" s="557"/>
      <c r="O167" s="557"/>
      <c r="P167" s="557"/>
      <c r="Q167" s="557"/>
      <c r="R167" s="557"/>
      <c r="S167" s="557"/>
      <c r="T167" s="557"/>
      <c r="U167" s="557"/>
      <c r="V167" s="557"/>
      <c r="W167" s="557"/>
      <c r="X167" s="557"/>
      <c r="Y167" s="557"/>
      <c r="Z167" s="293"/>
    </row>
    <row r="168" spans="2:26" s="302" customFormat="1" ht="15" hidden="1" outlineLevel="1" x14ac:dyDescent="0.25">
      <c r="B168" s="576" t="s">
        <v>462</v>
      </c>
      <c r="C168" s="582">
        <f>C167</f>
        <v>3900</v>
      </c>
      <c r="D168" s="598" t="s">
        <v>2</v>
      </c>
      <c r="E168" s="591"/>
      <c r="F168" s="591"/>
      <c r="G168" s="591"/>
      <c r="H168" s="591"/>
      <c r="I168" s="591"/>
      <c r="J168" s="591"/>
      <c r="K168" s="591"/>
      <c r="L168" s="951"/>
      <c r="M168" s="591"/>
      <c r="N168" s="591"/>
      <c r="O168" s="591"/>
      <c r="P168" s="591"/>
      <c r="Q168" s="591"/>
      <c r="R168" s="591"/>
      <c r="S168" s="591"/>
      <c r="T168" s="591"/>
      <c r="U168" s="591"/>
      <c r="V168" s="591"/>
      <c r="W168" s="591"/>
      <c r="X168" s="591"/>
      <c r="Y168" s="591"/>
      <c r="Z168" s="293"/>
    </row>
    <row r="169" spans="2:26" s="302" customFormat="1" ht="15" collapsed="1" x14ac:dyDescent="0.25">
      <c r="B169" s="575" t="s">
        <v>469</v>
      </c>
      <c r="C169" s="577"/>
      <c r="D169" s="584" t="s">
        <v>2</v>
      </c>
      <c r="E169" s="705">
        <f>ROUNDUP(E170/$C170+E171/$C171+E172/$C172+E173/$C173+E174/$C174,0)</f>
        <v>1</v>
      </c>
      <c r="F169" s="705">
        <f t="shared" ref="F169:Y169" si="102">ROUNDUP(F170/$C170+F171/$C171+F172/$C172+F173/$C173+F174/$C174,0)</f>
        <v>1</v>
      </c>
      <c r="G169" s="705">
        <f t="shared" si="102"/>
        <v>1</v>
      </c>
      <c r="H169" s="705">
        <f t="shared" si="102"/>
        <v>1</v>
      </c>
      <c r="I169" s="705">
        <f t="shared" si="102"/>
        <v>1</v>
      </c>
      <c r="J169" s="705">
        <f t="shared" si="102"/>
        <v>1</v>
      </c>
      <c r="K169" s="705">
        <f t="shared" si="102"/>
        <v>1</v>
      </c>
      <c r="L169" s="944">
        <f t="shared" si="102"/>
        <v>1</v>
      </c>
      <c r="M169" s="705">
        <f t="shared" si="102"/>
        <v>1</v>
      </c>
      <c r="N169" s="705">
        <f t="shared" si="102"/>
        <v>1</v>
      </c>
      <c r="O169" s="705">
        <f t="shared" si="102"/>
        <v>1</v>
      </c>
      <c r="P169" s="705">
        <f t="shared" si="102"/>
        <v>1</v>
      </c>
      <c r="Q169" s="705">
        <f t="shared" si="102"/>
        <v>1</v>
      </c>
      <c r="R169" s="705">
        <f t="shared" si="102"/>
        <v>1</v>
      </c>
      <c r="S169" s="705">
        <f t="shared" si="102"/>
        <v>1</v>
      </c>
      <c r="T169" s="705">
        <f t="shared" si="102"/>
        <v>1</v>
      </c>
      <c r="U169" s="705">
        <f t="shared" si="102"/>
        <v>1</v>
      </c>
      <c r="V169" s="705">
        <f t="shared" si="102"/>
        <v>1</v>
      </c>
      <c r="W169" s="705">
        <f t="shared" si="102"/>
        <v>1</v>
      </c>
      <c r="X169" s="705">
        <f t="shared" si="102"/>
        <v>1</v>
      </c>
      <c r="Y169" s="705">
        <f t="shared" si="102"/>
        <v>0</v>
      </c>
      <c r="Z169" s="616"/>
    </row>
    <row r="170" spans="2:26" s="302" customFormat="1" ht="15" hidden="1" outlineLevel="1" x14ac:dyDescent="0.25">
      <c r="B170" s="576" t="s">
        <v>3</v>
      </c>
      <c r="C170" s="582">
        <f>'Экскаваторы II'!M78</f>
        <v>2100</v>
      </c>
      <c r="D170" s="598" t="s">
        <v>2</v>
      </c>
      <c r="E170" s="557">
        <v>600</v>
      </c>
      <c r="F170" s="557">
        <v>600</v>
      </c>
      <c r="G170" s="557">
        <v>600</v>
      </c>
      <c r="H170" s="557">
        <v>600</v>
      </c>
      <c r="I170" s="557">
        <v>600</v>
      </c>
      <c r="J170" s="557">
        <v>600</v>
      </c>
      <c r="K170" s="557">
        <v>600</v>
      </c>
      <c r="L170" s="944">
        <v>600</v>
      </c>
      <c r="M170" s="557">
        <v>600</v>
      </c>
      <c r="N170" s="557">
        <v>600</v>
      </c>
      <c r="O170" s="557">
        <v>600</v>
      </c>
      <c r="P170" s="557">
        <v>600</v>
      </c>
      <c r="Q170" s="557">
        <v>600</v>
      </c>
      <c r="R170" s="557">
        <v>600</v>
      </c>
      <c r="S170" s="557">
        <v>600</v>
      </c>
      <c r="T170" s="557">
        <v>600</v>
      </c>
      <c r="U170" s="557">
        <v>600</v>
      </c>
      <c r="V170" s="557">
        <v>600</v>
      </c>
      <c r="W170" s="557">
        <v>500</v>
      </c>
      <c r="X170" s="557"/>
      <c r="Y170" s="557"/>
      <c r="Z170" s="617"/>
    </row>
    <row r="171" spans="2:26" s="302" customFormat="1" ht="15" hidden="1" outlineLevel="1" x14ac:dyDescent="0.25">
      <c r="B171" s="576" t="s">
        <v>9</v>
      </c>
      <c r="C171" s="582">
        <f>'Экскаваторы II'!M79</f>
        <v>1500</v>
      </c>
      <c r="D171" s="598" t="s">
        <v>2</v>
      </c>
      <c r="E171" s="557"/>
      <c r="F171" s="557"/>
      <c r="G171" s="557"/>
      <c r="H171" s="557"/>
      <c r="I171" s="557"/>
      <c r="J171" s="557"/>
      <c r="K171" s="557"/>
      <c r="L171" s="944"/>
      <c r="M171" s="557"/>
      <c r="N171" s="557"/>
      <c r="O171" s="557"/>
      <c r="P171" s="557"/>
      <c r="Q171" s="557"/>
      <c r="R171" s="557"/>
      <c r="S171" s="557"/>
      <c r="T171" s="557"/>
      <c r="U171" s="557"/>
      <c r="V171" s="557"/>
      <c r="W171" s="557"/>
      <c r="X171" s="557"/>
      <c r="Y171" s="557"/>
      <c r="Z171" s="617"/>
    </row>
    <row r="172" spans="2:26" s="302" customFormat="1" ht="15" hidden="1" outlineLevel="1" x14ac:dyDescent="0.25">
      <c r="B172" s="576" t="s">
        <v>325</v>
      </c>
      <c r="C172" s="582">
        <f>'Экскаваторы II'!M81</f>
        <v>1300</v>
      </c>
      <c r="D172" s="598" t="s">
        <v>2</v>
      </c>
      <c r="E172" s="557"/>
      <c r="F172" s="557"/>
      <c r="G172" s="557"/>
      <c r="H172" s="557"/>
      <c r="I172" s="557"/>
      <c r="J172" s="557"/>
      <c r="K172" s="557"/>
      <c r="L172" s="944"/>
      <c r="M172" s="557"/>
      <c r="N172" s="557"/>
      <c r="O172" s="557"/>
      <c r="P172" s="557"/>
      <c r="Q172" s="557"/>
      <c r="R172" s="557"/>
      <c r="S172" s="557"/>
      <c r="T172" s="557"/>
      <c r="U172" s="557"/>
      <c r="V172" s="557"/>
      <c r="W172" s="557"/>
      <c r="X172" s="557"/>
      <c r="Y172" s="557"/>
      <c r="Z172" s="617"/>
    </row>
    <row r="173" spans="2:26" s="302" customFormat="1" ht="15" hidden="1" outlineLevel="1" x14ac:dyDescent="0.25">
      <c r="B173" s="576" t="s">
        <v>6</v>
      </c>
      <c r="C173" s="582">
        <f>'Экскаваторы II'!M80</f>
        <v>1400</v>
      </c>
      <c r="D173" s="598" t="s">
        <v>2</v>
      </c>
      <c r="E173" s="557"/>
      <c r="F173" s="557"/>
      <c r="G173" s="557"/>
      <c r="H173" s="557"/>
      <c r="I173" s="557"/>
      <c r="J173" s="557"/>
      <c r="K173" s="557"/>
      <c r="L173" s="944"/>
      <c r="M173" s="557"/>
      <c r="N173" s="557"/>
      <c r="O173" s="557"/>
      <c r="P173" s="557"/>
      <c r="Q173" s="557"/>
      <c r="R173" s="557"/>
      <c r="S173" s="557"/>
      <c r="T173" s="557"/>
      <c r="U173" s="557"/>
      <c r="V173" s="557"/>
      <c r="W173" s="557"/>
      <c r="X173" s="557"/>
      <c r="Y173" s="557"/>
      <c r="Z173" s="617"/>
    </row>
    <row r="174" spans="2:26" s="302" customFormat="1" ht="15" hidden="1" outlineLevel="1" x14ac:dyDescent="0.25">
      <c r="B174" s="576" t="s">
        <v>462</v>
      </c>
      <c r="C174" s="582">
        <f>C173</f>
        <v>1400</v>
      </c>
      <c r="D174" s="598" t="s">
        <v>2</v>
      </c>
      <c r="E174" s="591">
        <v>0</v>
      </c>
      <c r="F174" s="591">
        <v>0</v>
      </c>
      <c r="G174" s="591">
        <v>312</v>
      </c>
      <c r="H174" s="591">
        <v>324</v>
      </c>
      <c r="I174" s="591">
        <v>352</v>
      </c>
      <c r="J174" s="591">
        <v>354</v>
      </c>
      <c r="K174" s="591">
        <v>354</v>
      </c>
      <c r="L174" s="951">
        <v>384</v>
      </c>
      <c r="M174" s="591">
        <v>382</v>
      </c>
      <c r="N174" s="591">
        <v>374</v>
      </c>
      <c r="O174" s="591">
        <v>374</v>
      </c>
      <c r="P174" s="591">
        <v>374</v>
      </c>
      <c r="Q174" s="591">
        <v>384</v>
      </c>
      <c r="R174" s="591">
        <v>326</v>
      </c>
      <c r="S174" s="591">
        <v>338</v>
      </c>
      <c r="T174" s="591">
        <v>510</v>
      </c>
      <c r="U174" s="591">
        <v>430</v>
      </c>
      <c r="V174" s="591">
        <v>336</v>
      </c>
      <c r="W174" s="591">
        <v>310</v>
      </c>
      <c r="X174" s="591">
        <v>230</v>
      </c>
      <c r="Y174" s="591"/>
      <c r="Z174" s="617"/>
    </row>
    <row r="175" spans="2:26" s="302" customFormat="1" ht="15" collapsed="1" x14ac:dyDescent="0.25">
      <c r="B175" s="575" t="s">
        <v>470</v>
      </c>
      <c r="C175" s="577"/>
      <c r="D175" s="584" t="s">
        <v>2</v>
      </c>
      <c r="E175" s="705">
        <f>ROUNDUP(E176/$C176+E177/$C177+E178/$C178+E179/$C179+E180/$C180,0)</f>
        <v>1</v>
      </c>
      <c r="F175" s="705">
        <f t="shared" ref="F175:Y175" si="103">ROUNDUP(F176/$C176+F177/$C177+F178/$C178+F179/$C179+F180/$C180,0)</f>
        <v>1</v>
      </c>
      <c r="G175" s="705">
        <f t="shared" si="103"/>
        <v>1</v>
      </c>
      <c r="H175" s="705">
        <f t="shared" si="103"/>
        <v>1</v>
      </c>
      <c r="I175" s="705">
        <f t="shared" si="103"/>
        <v>1</v>
      </c>
      <c r="J175" s="705">
        <f t="shared" si="103"/>
        <v>1</v>
      </c>
      <c r="K175" s="705">
        <f t="shared" si="103"/>
        <v>1</v>
      </c>
      <c r="L175" s="944">
        <f t="shared" si="103"/>
        <v>1</v>
      </c>
      <c r="M175" s="705">
        <f t="shared" si="103"/>
        <v>1</v>
      </c>
      <c r="N175" s="705">
        <f t="shared" si="103"/>
        <v>1</v>
      </c>
      <c r="O175" s="705">
        <f t="shared" si="103"/>
        <v>1</v>
      </c>
      <c r="P175" s="705">
        <f t="shared" si="103"/>
        <v>1</v>
      </c>
      <c r="Q175" s="705">
        <f t="shared" si="103"/>
        <v>1</v>
      </c>
      <c r="R175" s="705">
        <f t="shared" si="103"/>
        <v>1</v>
      </c>
      <c r="S175" s="705">
        <f t="shared" si="103"/>
        <v>1</v>
      </c>
      <c r="T175" s="705">
        <f t="shared" si="103"/>
        <v>1</v>
      </c>
      <c r="U175" s="705">
        <f t="shared" si="103"/>
        <v>1</v>
      </c>
      <c r="V175" s="705">
        <f t="shared" si="103"/>
        <v>1</v>
      </c>
      <c r="W175" s="705">
        <f t="shared" si="103"/>
        <v>1</v>
      </c>
      <c r="X175" s="705">
        <f t="shared" si="103"/>
        <v>1</v>
      </c>
      <c r="Y175" s="705">
        <f t="shared" si="103"/>
        <v>0</v>
      </c>
      <c r="Z175" s="403"/>
    </row>
    <row r="176" spans="2:26" s="302" customFormat="1" ht="15" outlineLevel="1" x14ac:dyDescent="0.25">
      <c r="B176" s="576" t="s">
        <v>3</v>
      </c>
      <c r="C176" s="582">
        <f>'Экскаваторы II'!Q78</f>
        <v>3080</v>
      </c>
      <c r="D176" s="598" t="s">
        <v>2</v>
      </c>
      <c r="E176" s="557">
        <v>800</v>
      </c>
      <c r="F176" s="557">
        <v>700</v>
      </c>
      <c r="G176" s="557">
        <v>500</v>
      </c>
      <c r="H176" s="557">
        <v>500</v>
      </c>
      <c r="I176" s="557">
        <v>700</v>
      </c>
      <c r="J176" s="557">
        <v>900</v>
      </c>
      <c r="K176" s="557">
        <v>900</v>
      </c>
      <c r="L176" s="944">
        <v>900</v>
      </c>
      <c r="M176" s="557">
        <v>900</v>
      </c>
      <c r="N176" s="557">
        <v>900</v>
      </c>
      <c r="O176" s="557">
        <v>900</v>
      </c>
      <c r="P176" s="557">
        <v>900</v>
      </c>
      <c r="Q176" s="557">
        <v>900</v>
      </c>
      <c r="R176" s="557">
        <v>900</v>
      </c>
      <c r="S176" s="557">
        <v>900</v>
      </c>
      <c r="T176" s="557">
        <v>900</v>
      </c>
      <c r="U176" s="557">
        <v>900</v>
      </c>
      <c r="V176" s="557">
        <v>900</v>
      </c>
      <c r="W176" s="557">
        <v>500</v>
      </c>
      <c r="X176" s="557"/>
      <c r="Y176" s="557"/>
      <c r="Z176" s="617"/>
    </row>
    <row r="177" spans="2:26" s="302" customFormat="1" ht="15" outlineLevel="1" x14ac:dyDescent="0.25">
      <c r="B177" s="576" t="s">
        <v>9</v>
      </c>
      <c r="C177" s="582">
        <f>'Экскаваторы II'!T79</f>
        <v>2200</v>
      </c>
      <c r="D177" s="598" t="s">
        <v>2</v>
      </c>
      <c r="E177" s="557"/>
      <c r="F177" s="557"/>
      <c r="G177" s="557"/>
      <c r="H177" s="557"/>
      <c r="I177" s="557"/>
      <c r="J177" s="557"/>
      <c r="K177" s="557"/>
      <c r="L177" s="944"/>
      <c r="M177" s="557"/>
      <c r="N177" s="557"/>
      <c r="O177" s="557"/>
      <c r="P177" s="557"/>
      <c r="Q177" s="557"/>
      <c r="R177" s="557"/>
      <c r="S177" s="557"/>
      <c r="T177" s="557"/>
      <c r="U177" s="557"/>
      <c r="V177" s="557"/>
      <c r="W177" s="557"/>
      <c r="X177" s="557"/>
      <c r="Y177" s="557"/>
      <c r="Z177" s="617"/>
    </row>
    <row r="178" spans="2:26" s="302" customFormat="1" ht="15" outlineLevel="1" x14ac:dyDescent="0.25">
      <c r="B178" s="576" t="s">
        <v>325</v>
      </c>
      <c r="C178" s="582">
        <f>'Экскаваторы II'!Q80</f>
        <v>2300</v>
      </c>
      <c r="D178" s="598" t="s">
        <v>2</v>
      </c>
      <c r="E178" s="557"/>
      <c r="F178" s="557"/>
      <c r="G178" s="557"/>
      <c r="H178" s="557"/>
      <c r="I178" s="557"/>
      <c r="J178" s="557"/>
      <c r="K178" s="557"/>
      <c r="L178" s="944"/>
      <c r="M178" s="557"/>
      <c r="N178" s="557"/>
      <c r="O178" s="557"/>
      <c r="P178" s="557"/>
      <c r="Q178" s="557"/>
      <c r="R178" s="557"/>
      <c r="S178" s="557"/>
      <c r="T178" s="557">
        <v>1200</v>
      </c>
      <c r="U178" s="557">
        <v>900</v>
      </c>
      <c r="V178" s="557"/>
      <c r="W178" s="557"/>
      <c r="X178" s="557"/>
      <c r="Y178" s="557"/>
      <c r="Z178" s="617"/>
    </row>
    <row r="179" spans="2:26" s="302" customFormat="1" ht="15" outlineLevel="1" x14ac:dyDescent="0.25">
      <c r="B179" s="576" t="s">
        <v>6</v>
      </c>
      <c r="C179" s="582">
        <f>'Экскаваторы II'!Q80</f>
        <v>2300</v>
      </c>
      <c r="D179" s="598" t="s">
        <v>2</v>
      </c>
      <c r="E179" s="557"/>
      <c r="F179" s="557"/>
      <c r="G179" s="557"/>
      <c r="H179" s="557"/>
      <c r="I179" s="557"/>
      <c r="J179" s="557"/>
      <c r="K179" s="557"/>
      <c r="L179" s="944"/>
      <c r="M179" s="557"/>
      <c r="N179" s="557"/>
      <c r="O179" s="557"/>
      <c r="P179" s="557"/>
      <c r="Q179" s="557"/>
      <c r="R179" s="557"/>
      <c r="S179" s="557"/>
      <c r="T179" s="557"/>
      <c r="U179" s="557"/>
      <c r="V179" s="557"/>
      <c r="W179" s="557"/>
      <c r="X179" s="557"/>
      <c r="Y179" s="557"/>
      <c r="Z179" s="617"/>
    </row>
    <row r="180" spans="2:26" s="302" customFormat="1" ht="15" outlineLevel="1" x14ac:dyDescent="0.25">
      <c r="B180" s="576" t="s">
        <v>462</v>
      </c>
      <c r="C180" s="582">
        <f>C179</f>
        <v>2300</v>
      </c>
      <c r="D180" s="598" t="s">
        <v>2</v>
      </c>
      <c r="E180" s="591">
        <v>0</v>
      </c>
      <c r="F180" s="591">
        <v>0</v>
      </c>
      <c r="G180" s="591">
        <v>400</v>
      </c>
      <c r="H180" s="591">
        <v>400</v>
      </c>
      <c r="I180" s="591">
        <v>400</v>
      </c>
      <c r="J180" s="591">
        <v>400</v>
      </c>
      <c r="K180" s="591">
        <v>400</v>
      </c>
      <c r="L180" s="951">
        <v>400</v>
      </c>
      <c r="M180" s="591">
        <v>400</v>
      </c>
      <c r="N180" s="591">
        <v>400</v>
      </c>
      <c r="O180" s="591">
        <v>400</v>
      </c>
      <c r="P180" s="591">
        <v>400</v>
      </c>
      <c r="Q180" s="591">
        <v>400</v>
      </c>
      <c r="R180" s="591">
        <v>500</v>
      </c>
      <c r="S180" s="591">
        <v>500</v>
      </c>
      <c r="T180" s="591">
        <v>400</v>
      </c>
      <c r="U180" s="591">
        <v>500</v>
      </c>
      <c r="V180" s="591">
        <v>500</v>
      </c>
      <c r="W180" s="591">
        <v>400</v>
      </c>
      <c r="X180" s="591">
        <v>300</v>
      </c>
      <c r="Y180" s="591"/>
      <c r="Z180" s="617"/>
    </row>
    <row r="181" spans="2:26" customFormat="1" ht="15" x14ac:dyDescent="0.25">
      <c r="B181" s="575" t="s">
        <v>358</v>
      </c>
      <c r="C181" s="577"/>
      <c r="D181" s="584" t="s">
        <v>2</v>
      </c>
      <c r="E181" s="706">
        <f>ROUNDUP(E182/$C182+E183/$C183+E184/$C184+E185/$C185+E186/$C186,0)</f>
        <v>2</v>
      </c>
      <c r="F181" s="706">
        <f t="shared" ref="F181:Y181" si="104">ROUNDUP(F182/$C182+F183/$C183+F184/$C184+F185/$C185+F186/$C186,0)</f>
        <v>2</v>
      </c>
      <c r="G181" s="706">
        <f t="shared" si="104"/>
        <v>2</v>
      </c>
      <c r="H181" s="706">
        <f t="shared" si="104"/>
        <v>2</v>
      </c>
      <c r="I181" s="706">
        <f t="shared" si="104"/>
        <v>2</v>
      </c>
      <c r="J181" s="706">
        <f t="shared" si="104"/>
        <v>2</v>
      </c>
      <c r="K181" s="706">
        <f t="shared" si="104"/>
        <v>2</v>
      </c>
      <c r="L181" s="951">
        <f t="shared" si="104"/>
        <v>2</v>
      </c>
      <c r="M181" s="706">
        <f t="shared" si="104"/>
        <v>2</v>
      </c>
      <c r="N181" s="706">
        <f t="shared" si="104"/>
        <v>2</v>
      </c>
      <c r="O181" s="706">
        <f t="shared" si="104"/>
        <v>2</v>
      </c>
      <c r="P181" s="706">
        <f>ROUNDUP(P182/$C182+P183/$C183+P184/$C184+P185/$C185+P186/$C186,0)</f>
        <v>2</v>
      </c>
      <c r="Q181" s="706">
        <f t="shared" si="104"/>
        <v>2</v>
      </c>
      <c r="R181" s="706">
        <f t="shared" si="104"/>
        <v>2</v>
      </c>
      <c r="S181" s="706">
        <f t="shared" si="104"/>
        <v>2</v>
      </c>
      <c r="T181" s="706">
        <f t="shared" si="104"/>
        <v>2</v>
      </c>
      <c r="U181" s="706">
        <f t="shared" si="104"/>
        <v>2</v>
      </c>
      <c r="V181" s="706">
        <f t="shared" si="104"/>
        <v>2</v>
      </c>
      <c r="W181" s="706">
        <f t="shared" si="104"/>
        <v>2</v>
      </c>
      <c r="X181" s="706">
        <f t="shared" si="104"/>
        <v>2</v>
      </c>
      <c r="Y181" s="706">
        <f t="shared" si="104"/>
        <v>1</v>
      </c>
      <c r="Z181" s="403"/>
    </row>
    <row r="182" spans="2:26" customFormat="1" ht="15" hidden="1" outlineLevel="1" x14ac:dyDescent="0.25">
      <c r="B182" s="576" t="s">
        <v>3</v>
      </c>
      <c r="C182" s="583">
        <v>1</v>
      </c>
      <c r="D182" s="598" t="s">
        <v>2</v>
      </c>
      <c r="E182" s="557"/>
      <c r="F182" s="557"/>
      <c r="G182" s="557"/>
      <c r="H182" s="557"/>
      <c r="I182" s="557"/>
      <c r="J182" s="557"/>
      <c r="K182" s="557"/>
      <c r="L182" s="944"/>
      <c r="M182" s="557"/>
      <c r="N182" s="557"/>
      <c r="O182" s="557"/>
      <c r="P182" s="557"/>
      <c r="Q182" s="557"/>
      <c r="R182" s="557"/>
      <c r="S182" s="557"/>
      <c r="T182" s="557"/>
      <c r="U182" s="557"/>
      <c r="V182" s="557"/>
      <c r="W182" s="557"/>
      <c r="X182" s="557"/>
      <c r="Y182" s="557"/>
      <c r="Z182" s="293"/>
    </row>
    <row r="183" spans="2:26" customFormat="1" ht="15" hidden="1" outlineLevel="1" x14ac:dyDescent="0.25">
      <c r="B183" s="576" t="s">
        <v>9</v>
      </c>
      <c r="C183" s="583">
        <f>'Экскаваторы II'!U79</f>
        <v>9200</v>
      </c>
      <c r="D183" s="598" t="s">
        <v>2</v>
      </c>
      <c r="E183" s="557"/>
      <c r="F183" s="557"/>
      <c r="G183" s="557"/>
      <c r="H183" s="557"/>
      <c r="I183" s="557"/>
      <c r="J183" s="557"/>
      <c r="K183" s="557"/>
      <c r="L183" s="944"/>
      <c r="M183" s="557"/>
      <c r="N183" s="557"/>
      <c r="O183" s="557"/>
      <c r="P183" s="557"/>
      <c r="Q183" s="557"/>
      <c r="R183" s="557"/>
      <c r="S183" s="557"/>
      <c r="T183" s="557"/>
      <c r="U183" s="557"/>
      <c r="V183" s="557"/>
      <c r="W183" s="557"/>
      <c r="X183" s="557"/>
      <c r="Y183" s="557"/>
      <c r="Z183" s="293"/>
    </row>
    <row r="184" spans="2:26" customFormat="1" ht="15" hidden="1" outlineLevel="1" x14ac:dyDescent="0.25">
      <c r="B184" s="576" t="s">
        <v>325</v>
      </c>
      <c r="C184" s="583">
        <f>'Экскаваторы II'!U81</f>
        <v>8700</v>
      </c>
      <c r="D184" s="598" t="s">
        <v>2</v>
      </c>
      <c r="E184" s="557">
        <v>17200</v>
      </c>
      <c r="F184" s="557">
        <v>17400</v>
      </c>
      <c r="G184" s="557">
        <v>17400</v>
      </c>
      <c r="H184" s="557">
        <v>17400</v>
      </c>
      <c r="I184" s="557">
        <v>17400</v>
      </c>
      <c r="J184" s="557">
        <v>17400</v>
      </c>
      <c r="K184" s="557">
        <v>17400</v>
      </c>
      <c r="L184" s="944">
        <v>17400</v>
      </c>
      <c r="M184" s="557">
        <v>17400</v>
      </c>
      <c r="N184" s="557">
        <v>17400</v>
      </c>
      <c r="O184" s="557">
        <v>17400</v>
      </c>
      <c r="P184" s="557">
        <v>17400</v>
      </c>
      <c r="Q184" s="557">
        <v>17400</v>
      </c>
      <c r="R184" s="557">
        <v>17400</v>
      </c>
      <c r="S184" s="557">
        <v>17400</v>
      </c>
      <c r="T184" s="557">
        <v>17400</v>
      </c>
      <c r="U184" s="557">
        <v>17400</v>
      </c>
      <c r="V184" s="557">
        <v>17400</v>
      </c>
      <c r="W184" s="557">
        <v>17400</v>
      </c>
      <c r="X184" s="557">
        <v>15400</v>
      </c>
      <c r="Y184" s="557">
        <v>8080</v>
      </c>
      <c r="Z184" s="293"/>
    </row>
    <row r="185" spans="2:26" customFormat="1" ht="15" hidden="1" outlineLevel="1" x14ac:dyDescent="0.25">
      <c r="B185" s="576" t="s">
        <v>6</v>
      </c>
      <c r="C185" s="583">
        <f>'Экскаваторы II'!U80</f>
        <v>10000</v>
      </c>
      <c r="D185" s="598" t="s">
        <v>2</v>
      </c>
      <c r="E185" s="557"/>
      <c r="F185" s="557"/>
      <c r="G185" s="557"/>
      <c r="H185" s="557"/>
      <c r="I185" s="557"/>
      <c r="J185" s="557"/>
      <c r="K185" s="557"/>
      <c r="L185" s="944"/>
      <c r="M185" s="557"/>
      <c r="N185" s="557"/>
      <c r="O185" s="557"/>
      <c r="P185" s="557"/>
      <c r="Q185" s="557"/>
      <c r="R185" s="557"/>
      <c r="S185" s="557"/>
      <c r="T185" s="557"/>
      <c r="U185" s="557"/>
      <c r="V185" s="557"/>
      <c r="W185" s="557"/>
      <c r="X185" s="557"/>
      <c r="Y185" s="557"/>
      <c r="Z185" s="293"/>
    </row>
    <row r="186" spans="2:26" s="302" customFormat="1" ht="15" hidden="1" outlineLevel="1" x14ac:dyDescent="0.25">
      <c r="B186" s="576" t="s">
        <v>462</v>
      </c>
      <c r="C186" s="583">
        <f>C185</f>
        <v>10000</v>
      </c>
      <c r="D186" s="598" t="s">
        <v>2</v>
      </c>
      <c r="E186" s="591"/>
      <c r="F186" s="591"/>
      <c r="G186" s="591"/>
      <c r="H186" s="591"/>
      <c r="I186" s="591"/>
      <c r="J186" s="591"/>
      <c r="K186" s="591"/>
      <c r="L186" s="951"/>
      <c r="M186" s="591"/>
      <c r="N186" s="591"/>
      <c r="O186" s="591"/>
      <c r="P186" s="591"/>
      <c r="Q186" s="591"/>
      <c r="R186" s="591"/>
      <c r="S186" s="591"/>
      <c r="T186" s="591"/>
      <c r="U186" s="591"/>
      <c r="V186" s="591"/>
      <c r="W186" s="591"/>
      <c r="X186" s="591"/>
      <c r="Y186" s="591"/>
      <c r="Z186" s="293"/>
    </row>
    <row r="187" spans="2:26" s="302" customFormat="1" ht="15" collapsed="1" x14ac:dyDescent="0.25">
      <c r="B187" s="578" t="s">
        <v>471</v>
      </c>
      <c r="C187" s="577"/>
      <c r="D187" s="584" t="s">
        <v>2</v>
      </c>
      <c r="E187" s="706">
        <f>ROUNDUP(E188/$C188+E189/$C189+E190/$C190+E191/$C191+E192/$C192,0)</f>
        <v>0</v>
      </c>
      <c r="F187" s="706">
        <f t="shared" ref="F187:Y187" si="105">ROUNDUP(F188/$C188+F189/$C189+F190/$C190+F191/$C191+F192/$C192,0)</f>
        <v>0</v>
      </c>
      <c r="G187" s="706">
        <f t="shared" si="105"/>
        <v>0</v>
      </c>
      <c r="H187" s="706">
        <f t="shared" si="105"/>
        <v>0</v>
      </c>
      <c r="I187" s="706">
        <f t="shared" si="105"/>
        <v>0</v>
      </c>
      <c r="J187" s="706">
        <f t="shared" si="105"/>
        <v>0</v>
      </c>
      <c r="K187" s="706">
        <f t="shared" si="105"/>
        <v>1</v>
      </c>
      <c r="L187" s="951">
        <f t="shared" si="105"/>
        <v>1</v>
      </c>
      <c r="M187" s="706">
        <f t="shared" si="105"/>
        <v>1</v>
      </c>
      <c r="N187" s="706">
        <f t="shared" si="105"/>
        <v>1</v>
      </c>
      <c r="O187" s="706">
        <f t="shared" si="105"/>
        <v>1</v>
      </c>
      <c r="P187" s="706">
        <f t="shared" si="105"/>
        <v>1</v>
      </c>
      <c r="Q187" s="706">
        <f t="shared" si="105"/>
        <v>1</v>
      </c>
      <c r="R187" s="706">
        <f t="shared" si="105"/>
        <v>1</v>
      </c>
      <c r="S187" s="706">
        <f t="shared" si="105"/>
        <v>1</v>
      </c>
      <c r="T187" s="706">
        <f t="shared" si="105"/>
        <v>1</v>
      </c>
      <c r="U187" s="706">
        <f t="shared" si="105"/>
        <v>1</v>
      </c>
      <c r="V187" s="706">
        <f t="shared" si="105"/>
        <v>1</v>
      </c>
      <c r="W187" s="706">
        <f t="shared" si="105"/>
        <v>1</v>
      </c>
      <c r="X187" s="706">
        <f t="shared" si="105"/>
        <v>1</v>
      </c>
      <c r="Y187" s="706">
        <f t="shared" si="105"/>
        <v>0</v>
      </c>
      <c r="Z187" s="403"/>
    </row>
    <row r="188" spans="2:26" s="302" customFormat="1" ht="15" hidden="1" outlineLevel="1" x14ac:dyDescent="0.25">
      <c r="B188" s="576" t="s">
        <v>3</v>
      </c>
      <c r="C188" s="582">
        <v>1</v>
      </c>
      <c r="D188" s="598" t="s">
        <v>2</v>
      </c>
      <c r="E188" s="557"/>
      <c r="F188" s="557"/>
      <c r="G188" s="557"/>
      <c r="H188" s="557"/>
      <c r="I188" s="557"/>
      <c r="J188" s="557"/>
      <c r="K188" s="557"/>
      <c r="L188" s="944"/>
      <c r="M188" s="557"/>
      <c r="N188" s="557"/>
      <c r="O188" s="557"/>
      <c r="P188" s="557"/>
      <c r="Q188" s="557"/>
      <c r="R188" s="557"/>
      <c r="S188" s="557"/>
      <c r="T188" s="557"/>
      <c r="U188" s="557"/>
      <c r="V188" s="557"/>
      <c r="W188" s="557"/>
      <c r="X188" s="557"/>
      <c r="Y188" s="557"/>
      <c r="Z188" s="617"/>
    </row>
    <row r="189" spans="2:26" s="302" customFormat="1" ht="15" hidden="1" outlineLevel="1" x14ac:dyDescent="0.25">
      <c r="B189" s="576" t="s">
        <v>9</v>
      </c>
      <c r="C189" s="582">
        <f>'Экскаваторы II'!Y79</f>
        <v>9100</v>
      </c>
      <c r="D189" s="598" t="s">
        <v>2</v>
      </c>
      <c r="E189" s="557"/>
      <c r="F189" s="557"/>
      <c r="G189" s="557"/>
      <c r="H189" s="557"/>
      <c r="I189" s="557"/>
      <c r="J189" s="557"/>
      <c r="K189" s="557"/>
      <c r="L189" s="944"/>
      <c r="M189" s="557"/>
      <c r="N189" s="557"/>
      <c r="O189" s="557"/>
      <c r="P189" s="557"/>
      <c r="Q189" s="557"/>
      <c r="R189" s="557"/>
      <c r="S189" s="557"/>
      <c r="T189" s="557"/>
      <c r="U189" s="557"/>
      <c r="V189" s="557"/>
      <c r="W189" s="557"/>
      <c r="X189" s="557"/>
      <c r="Y189" s="557"/>
      <c r="Z189" s="617"/>
    </row>
    <row r="190" spans="2:26" s="302" customFormat="1" ht="15" hidden="1" outlineLevel="1" x14ac:dyDescent="0.25">
      <c r="B190" s="576" t="s">
        <v>325</v>
      </c>
      <c r="C190" s="582">
        <f>'Экскаваторы II'!Y81</f>
        <v>7800</v>
      </c>
      <c r="D190" s="598" t="s">
        <v>2</v>
      </c>
      <c r="E190" s="557"/>
      <c r="F190" s="557"/>
      <c r="G190" s="557"/>
      <c r="H190" s="557"/>
      <c r="I190" s="557"/>
      <c r="J190" s="557"/>
      <c r="K190" s="557">
        <v>1500</v>
      </c>
      <c r="L190" s="944">
        <v>4400</v>
      </c>
      <c r="M190" s="557">
        <v>4600</v>
      </c>
      <c r="N190" s="557">
        <v>4500</v>
      </c>
      <c r="O190" s="557">
        <v>4500</v>
      </c>
      <c r="P190" s="557">
        <v>4600</v>
      </c>
      <c r="Q190" s="557">
        <v>4600</v>
      </c>
      <c r="R190" s="557">
        <v>7500</v>
      </c>
      <c r="S190" s="557">
        <v>7500</v>
      </c>
      <c r="T190" s="557">
        <v>7800</v>
      </c>
      <c r="U190" s="557">
        <v>7800</v>
      </c>
      <c r="V190" s="557">
        <v>7300</v>
      </c>
      <c r="W190" s="557">
        <v>7300</v>
      </c>
      <c r="X190" s="557">
        <v>7300</v>
      </c>
      <c r="Y190" s="557"/>
      <c r="Z190" s="617"/>
    </row>
    <row r="191" spans="2:26" s="302" customFormat="1" ht="15" hidden="1" outlineLevel="1" x14ac:dyDescent="0.25">
      <c r="B191" s="576" t="s">
        <v>6</v>
      </c>
      <c r="C191" s="582">
        <f>'Экскаваторы II'!Y80</f>
        <v>8600</v>
      </c>
      <c r="D191" s="598" t="s">
        <v>2</v>
      </c>
      <c r="E191" s="557"/>
      <c r="F191" s="557"/>
      <c r="G191" s="557"/>
      <c r="H191" s="557"/>
      <c r="I191" s="557"/>
      <c r="J191" s="557"/>
      <c r="K191" s="557">
        <v>2000</v>
      </c>
      <c r="L191" s="944">
        <v>2000</v>
      </c>
      <c r="M191" s="557">
        <v>2000</v>
      </c>
      <c r="N191" s="557">
        <v>2000</v>
      </c>
      <c r="O191" s="557">
        <v>2000</v>
      </c>
      <c r="P191" s="557">
        <v>1500</v>
      </c>
      <c r="Q191" s="557">
        <v>1140</v>
      </c>
      <c r="R191" s="557"/>
      <c r="S191" s="557"/>
      <c r="T191" s="557"/>
      <c r="U191" s="557"/>
      <c r="V191" s="557"/>
      <c r="W191" s="557"/>
      <c r="X191" s="557"/>
      <c r="Y191" s="557"/>
      <c r="Z191" s="617"/>
    </row>
    <row r="192" spans="2:26" s="302" customFormat="1" ht="15" hidden="1" outlineLevel="1" x14ac:dyDescent="0.25">
      <c r="B192" s="576" t="s">
        <v>462</v>
      </c>
      <c r="C192" s="582">
        <f>C191</f>
        <v>8600</v>
      </c>
      <c r="D192" s="598" t="s">
        <v>2</v>
      </c>
      <c r="E192" s="591"/>
      <c r="F192" s="591"/>
      <c r="G192" s="591"/>
      <c r="H192" s="591"/>
      <c r="I192" s="591"/>
      <c r="J192" s="591"/>
      <c r="K192" s="591"/>
      <c r="L192" s="951"/>
      <c r="M192" s="591"/>
      <c r="N192" s="591"/>
      <c r="O192" s="591"/>
      <c r="P192" s="591"/>
      <c r="Q192" s="591"/>
      <c r="R192" s="591"/>
      <c r="S192" s="591"/>
      <c r="T192" s="591"/>
      <c r="U192" s="591"/>
      <c r="V192" s="591"/>
      <c r="W192" s="591"/>
      <c r="X192" s="591"/>
      <c r="Y192" s="591"/>
      <c r="Z192" s="617"/>
    </row>
    <row r="193" spans="2:26" s="302" customFormat="1" ht="15" collapsed="1" x14ac:dyDescent="0.25">
      <c r="B193" s="578" t="s">
        <v>463</v>
      </c>
      <c r="C193" s="577"/>
      <c r="D193" s="584" t="s">
        <v>2</v>
      </c>
      <c r="E193" s="706">
        <f>ROUNDUP(E194/$C194+E195/$C195+E196/$C196+E197/$C197+E198/$C198,0)</f>
        <v>0</v>
      </c>
      <c r="F193" s="706">
        <f t="shared" ref="F193:Y193" si="106">ROUNDUP(F194/$C194+F195/$C195+F196/$C196+F197/$C197+F198/$C198,0)</f>
        <v>1</v>
      </c>
      <c r="G193" s="706">
        <f t="shared" si="106"/>
        <v>1</v>
      </c>
      <c r="H193" s="706">
        <f t="shared" si="106"/>
        <v>1</v>
      </c>
      <c r="I193" s="706">
        <f t="shared" si="106"/>
        <v>1</v>
      </c>
      <c r="J193" s="706">
        <f t="shared" si="106"/>
        <v>1</v>
      </c>
      <c r="K193" s="706">
        <f t="shared" si="106"/>
        <v>1</v>
      </c>
      <c r="L193" s="951">
        <f t="shared" si="106"/>
        <v>1</v>
      </c>
      <c r="M193" s="706">
        <f t="shared" si="106"/>
        <v>1</v>
      </c>
      <c r="N193" s="706">
        <f t="shared" si="106"/>
        <v>1</v>
      </c>
      <c r="O193" s="706">
        <f t="shared" si="106"/>
        <v>1</v>
      </c>
      <c r="P193" s="706">
        <f t="shared" si="106"/>
        <v>1</v>
      </c>
      <c r="Q193" s="706">
        <f t="shared" si="106"/>
        <v>1</v>
      </c>
      <c r="R193" s="706">
        <f t="shared" si="106"/>
        <v>1</v>
      </c>
      <c r="S193" s="706">
        <f t="shared" si="106"/>
        <v>1</v>
      </c>
      <c r="T193" s="706">
        <f t="shared" si="106"/>
        <v>1</v>
      </c>
      <c r="U193" s="706">
        <f t="shared" si="106"/>
        <v>1</v>
      </c>
      <c r="V193" s="706">
        <f t="shared" si="106"/>
        <v>1</v>
      </c>
      <c r="W193" s="706">
        <f t="shared" si="106"/>
        <v>1</v>
      </c>
      <c r="X193" s="706">
        <f t="shared" si="106"/>
        <v>1</v>
      </c>
      <c r="Y193" s="706">
        <f t="shared" si="106"/>
        <v>0</v>
      </c>
      <c r="Z193" s="403"/>
    </row>
    <row r="194" spans="2:26" s="302" customFormat="1" ht="15" hidden="1" outlineLevel="1" x14ac:dyDescent="0.25">
      <c r="B194" s="576" t="s">
        <v>3</v>
      </c>
      <c r="C194" s="582">
        <v>1</v>
      </c>
      <c r="D194" s="598" t="s">
        <v>2</v>
      </c>
      <c r="E194" s="557"/>
      <c r="F194" s="557"/>
      <c r="G194" s="557"/>
      <c r="H194" s="557"/>
      <c r="I194" s="557"/>
      <c r="J194" s="557"/>
      <c r="K194" s="557"/>
      <c r="L194" s="944"/>
      <c r="M194" s="557"/>
      <c r="N194" s="557"/>
      <c r="O194" s="557"/>
      <c r="P194" s="557"/>
      <c r="Q194" s="557"/>
      <c r="R194" s="557"/>
      <c r="S194" s="557"/>
      <c r="T194" s="557"/>
      <c r="U194" s="557"/>
      <c r="V194" s="557"/>
      <c r="W194" s="557"/>
      <c r="X194" s="557"/>
      <c r="Y194" s="557"/>
      <c r="Z194" s="617"/>
    </row>
    <row r="195" spans="2:26" s="302" customFormat="1" ht="15" hidden="1" outlineLevel="1" x14ac:dyDescent="0.25">
      <c r="B195" s="576" t="s">
        <v>9</v>
      </c>
      <c r="C195" s="582">
        <f>'Экскаваторы II'!AA79</f>
        <v>6100</v>
      </c>
      <c r="D195" s="598" t="s">
        <v>2</v>
      </c>
      <c r="E195" s="557"/>
      <c r="F195" s="557"/>
      <c r="G195" s="557"/>
      <c r="H195" s="557"/>
      <c r="I195" s="557"/>
      <c r="J195" s="557"/>
      <c r="K195" s="557"/>
      <c r="L195" s="944"/>
      <c r="M195" s="557"/>
      <c r="N195" s="557"/>
      <c r="O195" s="557"/>
      <c r="P195" s="557"/>
      <c r="Q195" s="557"/>
      <c r="R195" s="557"/>
      <c r="S195" s="557"/>
      <c r="T195" s="557"/>
      <c r="U195" s="557"/>
      <c r="V195" s="557"/>
      <c r="W195" s="557"/>
      <c r="X195" s="557"/>
      <c r="Y195" s="557"/>
      <c r="Z195" s="617"/>
    </row>
    <row r="196" spans="2:26" s="302" customFormat="1" ht="15" hidden="1" outlineLevel="1" x14ac:dyDescent="0.25">
      <c r="B196" s="576" t="s">
        <v>325</v>
      </c>
      <c r="C196" s="582">
        <f>'Экскаваторы II'!AA81</f>
        <v>4800</v>
      </c>
      <c r="D196" s="598" t="s">
        <v>2</v>
      </c>
      <c r="E196" s="557"/>
      <c r="F196" s="557">
        <v>2300</v>
      </c>
      <c r="G196" s="557">
        <v>2300</v>
      </c>
      <c r="H196" s="557">
        <v>2300</v>
      </c>
      <c r="I196" s="557">
        <v>3900</v>
      </c>
      <c r="J196" s="557">
        <v>4000</v>
      </c>
      <c r="K196" s="557">
        <v>4000</v>
      </c>
      <c r="L196" s="944">
        <v>4000</v>
      </c>
      <c r="M196" s="557">
        <v>4000</v>
      </c>
      <c r="N196" s="557">
        <v>4000</v>
      </c>
      <c r="O196" s="557">
        <v>4000</v>
      </c>
      <c r="P196" s="557">
        <v>4000</v>
      </c>
      <c r="Q196" s="557">
        <v>4000</v>
      </c>
      <c r="R196" s="557">
        <v>4000</v>
      </c>
      <c r="S196" s="557">
        <v>4600</v>
      </c>
      <c r="T196" s="557">
        <v>4800</v>
      </c>
      <c r="U196" s="557">
        <v>4800</v>
      </c>
      <c r="V196" s="557">
        <v>4600</v>
      </c>
      <c r="W196" s="557">
        <v>4600</v>
      </c>
      <c r="X196" s="557">
        <v>4100</v>
      </c>
      <c r="Y196" s="557"/>
      <c r="Z196" s="617"/>
    </row>
    <row r="197" spans="2:26" s="302" customFormat="1" ht="15" hidden="1" outlineLevel="1" x14ac:dyDescent="0.25">
      <c r="B197" s="576" t="s">
        <v>6</v>
      </c>
      <c r="C197" s="582">
        <f>'Экскаваторы II'!AA80</f>
        <v>5800</v>
      </c>
      <c r="D197" s="598" t="s">
        <v>2</v>
      </c>
      <c r="E197" s="557"/>
      <c r="F197" s="557">
        <v>500</v>
      </c>
      <c r="G197" s="557">
        <v>500</v>
      </c>
      <c r="H197" s="557">
        <v>500</v>
      </c>
      <c r="I197" s="557"/>
      <c r="J197" s="557">
        <v>200</v>
      </c>
      <c r="K197" s="557">
        <v>200</v>
      </c>
      <c r="L197" s="944">
        <v>200</v>
      </c>
      <c r="M197" s="557"/>
      <c r="N197" s="557"/>
      <c r="O197" s="557"/>
      <c r="P197" s="557"/>
      <c r="Q197" s="557"/>
      <c r="R197" s="557"/>
      <c r="S197" s="557"/>
      <c r="T197" s="557"/>
      <c r="U197" s="557"/>
      <c r="V197" s="557"/>
      <c r="W197" s="557"/>
      <c r="X197" s="557"/>
      <c r="Y197" s="557"/>
      <c r="Z197" s="617"/>
    </row>
    <row r="198" spans="2:26" s="302" customFormat="1" ht="15" hidden="1" outlineLevel="1" x14ac:dyDescent="0.25">
      <c r="B198" s="576" t="s">
        <v>462</v>
      </c>
      <c r="C198" s="582">
        <f>C197</f>
        <v>5800</v>
      </c>
      <c r="D198" s="598" t="s">
        <v>2</v>
      </c>
      <c r="E198" s="591"/>
      <c r="F198" s="591"/>
      <c r="G198" s="591"/>
      <c r="H198" s="591"/>
      <c r="I198" s="591"/>
      <c r="J198" s="591"/>
      <c r="K198" s="591"/>
      <c r="L198" s="951"/>
      <c r="M198" s="591"/>
      <c r="N198" s="591"/>
      <c r="O198" s="591"/>
      <c r="P198" s="591"/>
      <c r="Q198" s="591"/>
      <c r="R198" s="591"/>
      <c r="S198" s="591"/>
      <c r="T198" s="591"/>
      <c r="U198" s="591"/>
      <c r="V198" s="591"/>
      <c r="W198" s="591"/>
      <c r="X198" s="591"/>
      <c r="Y198" s="591"/>
      <c r="Z198" s="617"/>
    </row>
    <row r="199" spans="2:26" customFormat="1" ht="15" collapsed="1" x14ac:dyDescent="0.25">
      <c r="B199" s="578" t="s">
        <v>16</v>
      </c>
      <c r="C199" s="577"/>
      <c r="D199" s="584" t="s">
        <v>2</v>
      </c>
      <c r="E199" s="706">
        <f>ROUNDUP(E200/$C200+E201/$C201+E202/$C202+E203/$C203+E204/$C204,0)</f>
        <v>2</v>
      </c>
      <c r="F199" s="706">
        <f t="shared" ref="F199:Y199" si="107">ROUNDUP(F200/$C200+F201/$C201+F202/$C202+F203/$C203+F204/$C204,0)</f>
        <v>2</v>
      </c>
      <c r="G199" s="706">
        <f t="shared" si="107"/>
        <v>2</v>
      </c>
      <c r="H199" s="706">
        <f t="shared" si="107"/>
        <v>2</v>
      </c>
      <c r="I199" s="706">
        <f t="shared" si="107"/>
        <v>2</v>
      </c>
      <c r="J199" s="706">
        <f t="shared" si="107"/>
        <v>2</v>
      </c>
      <c r="K199" s="706">
        <f t="shared" si="107"/>
        <v>2</v>
      </c>
      <c r="L199" s="951">
        <f t="shared" si="107"/>
        <v>2</v>
      </c>
      <c r="M199" s="706">
        <f t="shared" si="107"/>
        <v>2</v>
      </c>
      <c r="N199" s="706">
        <f t="shared" si="107"/>
        <v>2</v>
      </c>
      <c r="O199" s="706">
        <f t="shared" si="107"/>
        <v>2</v>
      </c>
      <c r="P199" s="706">
        <f t="shared" si="107"/>
        <v>2</v>
      </c>
      <c r="Q199" s="706">
        <f t="shared" si="107"/>
        <v>2</v>
      </c>
      <c r="R199" s="706">
        <f t="shared" si="107"/>
        <v>2</v>
      </c>
      <c r="S199" s="706">
        <f t="shared" si="107"/>
        <v>2</v>
      </c>
      <c r="T199" s="706">
        <f t="shared" si="107"/>
        <v>2</v>
      </c>
      <c r="U199" s="706">
        <f t="shared" si="107"/>
        <v>2</v>
      </c>
      <c r="V199" s="706">
        <f t="shared" si="107"/>
        <v>2</v>
      </c>
      <c r="W199" s="706">
        <f t="shared" si="107"/>
        <v>2</v>
      </c>
      <c r="X199" s="706">
        <f t="shared" si="107"/>
        <v>0</v>
      </c>
      <c r="Y199" s="706">
        <f t="shared" si="107"/>
        <v>0</v>
      </c>
      <c r="Z199" s="403"/>
    </row>
    <row r="200" spans="2:26" customFormat="1" ht="15" hidden="1" outlineLevel="1" x14ac:dyDescent="0.25">
      <c r="B200" s="576" t="s">
        <v>3</v>
      </c>
      <c r="C200" s="582">
        <v>1</v>
      </c>
      <c r="D200" s="598" t="s">
        <v>2</v>
      </c>
      <c r="E200" s="557"/>
      <c r="F200" s="557"/>
      <c r="G200" s="557"/>
      <c r="H200" s="557"/>
      <c r="I200" s="557"/>
      <c r="J200" s="557"/>
      <c r="K200" s="557"/>
      <c r="L200" s="944"/>
      <c r="M200" s="557"/>
      <c r="N200" s="557"/>
      <c r="O200" s="557"/>
      <c r="P200" s="557"/>
      <c r="Q200" s="557"/>
      <c r="R200" s="557"/>
      <c r="S200" s="557"/>
      <c r="T200" s="557"/>
      <c r="U200" s="557"/>
      <c r="V200" s="557"/>
      <c r="W200" s="557"/>
      <c r="X200" s="557"/>
      <c r="Y200" s="557"/>
      <c r="Z200" s="617"/>
    </row>
    <row r="201" spans="2:26" customFormat="1" ht="15" hidden="1" outlineLevel="1" x14ac:dyDescent="0.25">
      <c r="B201" s="576" t="s">
        <v>9</v>
      </c>
      <c r="C201" s="582">
        <f>'Экскаваторы II'!AC79</f>
        <v>1900</v>
      </c>
      <c r="D201" s="598" t="s">
        <v>2</v>
      </c>
      <c r="E201" s="557"/>
      <c r="F201" s="557"/>
      <c r="G201" s="557"/>
      <c r="H201" s="557"/>
      <c r="I201" s="557"/>
      <c r="J201" s="557"/>
      <c r="K201" s="557"/>
      <c r="L201" s="944"/>
      <c r="M201" s="557"/>
      <c r="N201" s="557"/>
      <c r="O201" s="557"/>
      <c r="P201" s="557">
        <v>500</v>
      </c>
      <c r="Q201" s="557">
        <v>500</v>
      </c>
      <c r="R201" s="557">
        <v>500</v>
      </c>
      <c r="S201" s="557">
        <v>500</v>
      </c>
      <c r="T201" s="557">
        <v>500</v>
      </c>
      <c r="U201" s="557"/>
      <c r="V201" s="557"/>
      <c r="W201" s="557"/>
      <c r="X201" s="557"/>
      <c r="Y201" s="557"/>
      <c r="Z201" s="617"/>
    </row>
    <row r="202" spans="2:26" customFormat="1" ht="15" hidden="1" outlineLevel="1" x14ac:dyDescent="0.25">
      <c r="B202" s="576" t="s">
        <v>325</v>
      </c>
      <c r="C202" s="582">
        <f>'Экскаваторы II'!AC81</f>
        <v>3200</v>
      </c>
      <c r="D202" s="598" t="s">
        <v>2</v>
      </c>
      <c r="E202" s="557">
        <v>6160</v>
      </c>
      <c r="F202" s="557">
        <v>4000</v>
      </c>
      <c r="G202" s="557">
        <v>4000</v>
      </c>
      <c r="H202" s="557">
        <v>4000</v>
      </c>
      <c r="I202" s="557">
        <v>4000</v>
      </c>
      <c r="J202" s="557">
        <v>4000</v>
      </c>
      <c r="K202" s="557">
        <v>4000</v>
      </c>
      <c r="L202" s="944">
        <v>4000</v>
      </c>
      <c r="M202" s="557">
        <v>4000</v>
      </c>
      <c r="N202" s="557">
        <v>4000</v>
      </c>
      <c r="O202" s="557">
        <v>4000</v>
      </c>
      <c r="P202" s="557">
        <v>3400</v>
      </c>
      <c r="Q202" s="557">
        <v>3400</v>
      </c>
      <c r="R202" s="557">
        <v>3400</v>
      </c>
      <c r="S202" s="557">
        <v>5000</v>
      </c>
      <c r="T202" s="557">
        <v>5500</v>
      </c>
      <c r="U202" s="557">
        <v>6400</v>
      </c>
      <c r="V202" s="557">
        <v>5800</v>
      </c>
      <c r="W202" s="557">
        <v>5800</v>
      </c>
      <c r="X202" s="557"/>
      <c r="Y202" s="557"/>
      <c r="Z202" s="617"/>
    </row>
    <row r="203" spans="2:26" customFormat="1" ht="15" hidden="1" outlineLevel="1" x14ac:dyDescent="0.25">
      <c r="B203" s="576" t="s">
        <v>6</v>
      </c>
      <c r="C203" s="582">
        <f>'Экскаваторы II'!AC80</f>
        <v>4200</v>
      </c>
      <c r="D203" s="598" t="s">
        <v>2</v>
      </c>
      <c r="E203" s="557"/>
      <c r="F203" s="557"/>
      <c r="G203" s="557"/>
      <c r="H203" s="557"/>
      <c r="I203" s="557"/>
      <c r="J203" s="557"/>
      <c r="K203" s="557"/>
      <c r="L203" s="944"/>
      <c r="M203" s="557"/>
      <c r="N203" s="557"/>
      <c r="O203" s="557"/>
      <c r="P203" s="557"/>
      <c r="Q203" s="557"/>
      <c r="R203" s="557"/>
      <c r="S203" s="557"/>
      <c r="T203" s="557"/>
      <c r="U203" s="557"/>
      <c r="V203" s="557"/>
      <c r="W203" s="557"/>
      <c r="X203" s="557"/>
      <c r="Y203" s="557"/>
      <c r="Z203" s="617"/>
    </row>
    <row r="204" spans="2:26" s="302" customFormat="1" ht="15" hidden="1" outlineLevel="1" x14ac:dyDescent="0.25">
      <c r="B204" s="576" t="s">
        <v>462</v>
      </c>
      <c r="C204" s="582">
        <f>C203</f>
        <v>4200</v>
      </c>
      <c r="D204" s="598" t="s">
        <v>2</v>
      </c>
      <c r="E204" s="591"/>
      <c r="F204" s="591"/>
      <c r="G204" s="591"/>
      <c r="H204" s="591"/>
      <c r="I204" s="591"/>
      <c r="J204" s="591"/>
      <c r="K204" s="591"/>
      <c r="L204" s="951"/>
      <c r="M204" s="591"/>
      <c r="N204" s="591"/>
      <c r="O204" s="591"/>
      <c r="P204" s="591"/>
      <c r="Q204" s="591"/>
      <c r="R204" s="591"/>
      <c r="S204" s="591"/>
      <c r="T204" s="591"/>
      <c r="U204" s="591"/>
      <c r="V204" s="591"/>
      <c r="W204" s="591"/>
      <c r="X204" s="591"/>
      <c r="Y204" s="591"/>
      <c r="Z204" s="617"/>
    </row>
    <row r="205" spans="2:26" customFormat="1" ht="15" collapsed="1" x14ac:dyDescent="0.25">
      <c r="B205" s="578" t="s">
        <v>245</v>
      </c>
      <c r="C205" s="577"/>
      <c r="D205" s="584" t="s">
        <v>2</v>
      </c>
      <c r="E205" s="706">
        <f>ROUNDUP(E206/$C206+E207/$C207+E208/$C208+E209/$C209+E210/$C210,0)</f>
        <v>2</v>
      </c>
      <c r="F205" s="706">
        <f t="shared" ref="F205:Y205" si="108">ROUNDUP(F206/$C206+F207/$C207+F208/$C208+F209/$C209+F210/$C210,0)</f>
        <v>2</v>
      </c>
      <c r="G205" s="706">
        <f t="shared" si="108"/>
        <v>2</v>
      </c>
      <c r="H205" s="706">
        <f t="shared" si="108"/>
        <v>2</v>
      </c>
      <c r="I205" s="706">
        <f t="shared" si="108"/>
        <v>2</v>
      </c>
      <c r="J205" s="706">
        <f t="shared" si="108"/>
        <v>2</v>
      </c>
      <c r="K205" s="706">
        <f t="shared" si="108"/>
        <v>2</v>
      </c>
      <c r="L205" s="951">
        <f t="shared" si="108"/>
        <v>2</v>
      </c>
      <c r="M205" s="706">
        <f t="shared" si="108"/>
        <v>2</v>
      </c>
      <c r="N205" s="706">
        <f t="shared" si="108"/>
        <v>2</v>
      </c>
      <c r="O205" s="706">
        <f t="shared" si="108"/>
        <v>2</v>
      </c>
      <c r="P205" s="706">
        <f t="shared" si="108"/>
        <v>2</v>
      </c>
      <c r="Q205" s="706">
        <f t="shared" si="108"/>
        <v>2</v>
      </c>
      <c r="R205" s="706">
        <f t="shared" si="108"/>
        <v>2</v>
      </c>
      <c r="S205" s="706">
        <f t="shared" si="108"/>
        <v>2</v>
      </c>
      <c r="T205" s="706">
        <f t="shared" si="108"/>
        <v>2</v>
      </c>
      <c r="U205" s="706">
        <f t="shared" si="108"/>
        <v>2</v>
      </c>
      <c r="V205" s="706">
        <f t="shared" si="108"/>
        <v>2</v>
      </c>
      <c r="W205" s="706">
        <f t="shared" si="108"/>
        <v>1</v>
      </c>
      <c r="X205" s="706">
        <f t="shared" si="108"/>
        <v>0</v>
      </c>
      <c r="Y205" s="706">
        <f t="shared" si="108"/>
        <v>0</v>
      </c>
      <c r="Z205" s="403"/>
    </row>
    <row r="206" spans="2:26" customFormat="1" ht="15" hidden="1" outlineLevel="1" x14ac:dyDescent="0.25">
      <c r="B206" s="576" t="s">
        <v>3</v>
      </c>
      <c r="C206" s="582">
        <v>1</v>
      </c>
      <c r="D206" s="598" t="s">
        <v>2</v>
      </c>
      <c r="E206" s="557"/>
      <c r="F206" s="557"/>
      <c r="G206" s="557"/>
      <c r="H206" s="557"/>
      <c r="I206" s="557"/>
      <c r="J206" s="557"/>
      <c r="K206" s="557"/>
      <c r="L206" s="944"/>
      <c r="M206" s="557"/>
      <c r="N206" s="557"/>
      <c r="O206" s="557"/>
      <c r="P206" s="557"/>
      <c r="Q206" s="557"/>
      <c r="R206" s="557"/>
      <c r="S206" s="557"/>
      <c r="T206" s="557"/>
      <c r="U206" s="557"/>
      <c r="V206" s="557"/>
      <c r="W206" s="557"/>
      <c r="X206" s="557"/>
      <c r="Y206" s="557"/>
      <c r="Z206" s="617"/>
    </row>
    <row r="207" spans="2:26" customFormat="1" ht="15" hidden="1" outlineLevel="1" x14ac:dyDescent="0.25">
      <c r="B207" s="576" t="s">
        <v>9</v>
      </c>
      <c r="C207" s="582">
        <f>'Экскаваторы II'!AE79</f>
        <v>4400</v>
      </c>
      <c r="D207" s="598" t="s">
        <v>2</v>
      </c>
      <c r="E207" s="557"/>
      <c r="F207" s="557"/>
      <c r="G207" s="557"/>
      <c r="H207" s="557"/>
      <c r="I207" s="557"/>
      <c r="J207" s="557"/>
      <c r="K207" s="557"/>
      <c r="L207" s="944"/>
      <c r="M207" s="557"/>
      <c r="N207" s="557"/>
      <c r="O207" s="557"/>
      <c r="P207" s="557"/>
      <c r="Q207" s="557"/>
      <c r="R207" s="557"/>
      <c r="S207" s="557"/>
      <c r="T207" s="557"/>
      <c r="U207" s="557"/>
      <c r="V207" s="557"/>
      <c r="W207" s="557"/>
      <c r="X207" s="557"/>
      <c r="Y207" s="557"/>
      <c r="Z207" s="617"/>
    </row>
    <row r="208" spans="2:26" customFormat="1" ht="15" hidden="1" outlineLevel="1" x14ac:dyDescent="0.25">
      <c r="B208" s="576" t="s">
        <v>325</v>
      </c>
      <c r="C208" s="582">
        <f>'Экскаваторы II'!AE81</f>
        <v>3100</v>
      </c>
      <c r="D208" s="598" t="s">
        <v>2</v>
      </c>
      <c r="E208" s="557">
        <v>5400</v>
      </c>
      <c r="F208" s="557">
        <v>5400</v>
      </c>
      <c r="G208" s="557">
        <v>5400</v>
      </c>
      <c r="H208" s="557">
        <v>5400</v>
      </c>
      <c r="I208" s="557">
        <v>6000</v>
      </c>
      <c r="J208" s="557">
        <v>6000</v>
      </c>
      <c r="K208" s="557">
        <v>5700</v>
      </c>
      <c r="L208" s="944">
        <v>5400</v>
      </c>
      <c r="M208" s="557">
        <v>5400</v>
      </c>
      <c r="N208" s="557">
        <v>4000</v>
      </c>
      <c r="O208" s="557">
        <v>4000</v>
      </c>
      <c r="P208" s="557">
        <v>4000</v>
      </c>
      <c r="Q208" s="557">
        <v>5100</v>
      </c>
      <c r="R208" s="557">
        <v>5300</v>
      </c>
      <c r="S208" s="557">
        <v>5000</v>
      </c>
      <c r="T208" s="557">
        <v>5400</v>
      </c>
      <c r="U208" s="557">
        <v>6200</v>
      </c>
      <c r="V208" s="557">
        <v>4600</v>
      </c>
      <c r="W208" s="557">
        <v>500</v>
      </c>
      <c r="X208" s="557"/>
      <c r="Y208" s="557"/>
      <c r="Z208" s="617"/>
    </row>
    <row r="209" spans="2:26" customFormat="1" ht="15" hidden="1" outlineLevel="1" x14ac:dyDescent="0.25">
      <c r="B209" s="576" t="s">
        <v>6</v>
      </c>
      <c r="C209" s="582">
        <f>'Экскаваторы II'!AE80</f>
        <v>4300</v>
      </c>
      <c r="D209" s="598" t="s">
        <v>2</v>
      </c>
      <c r="E209" s="557"/>
      <c r="F209" s="557"/>
      <c r="G209" s="557"/>
      <c r="H209" s="557"/>
      <c r="I209" s="557"/>
      <c r="J209" s="557"/>
      <c r="K209" s="557"/>
      <c r="L209" s="944"/>
      <c r="M209" s="557">
        <v>200</v>
      </c>
      <c r="N209" s="557">
        <v>1200</v>
      </c>
      <c r="O209" s="557">
        <v>1200</v>
      </c>
      <c r="P209" s="557">
        <v>1200</v>
      </c>
      <c r="Q209" s="557">
        <v>1200</v>
      </c>
      <c r="R209" s="557">
        <v>1200</v>
      </c>
      <c r="S209" s="557">
        <v>1200</v>
      </c>
      <c r="T209" s="557">
        <v>1000</v>
      </c>
      <c r="U209" s="557"/>
      <c r="V209" s="557"/>
      <c r="W209" s="557"/>
      <c r="X209" s="557"/>
      <c r="Y209" s="557"/>
      <c r="Z209" s="617"/>
    </row>
    <row r="210" spans="2:26" s="302" customFormat="1" ht="15" hidden="1" outlineLevel="1" x14ac:dyDescent="0.25">
      <c r="B210" s="576" t="s">
        <v>462</v>
      </c>
      <c r="C210" s="582">
        <f>C209</f>
        <v>4300</v>
      </c>
      <c r="D210" s="598" t="s">
        <v>2</v>
      </c>
      <c r="E210" s="591"/>
      <c r="F210" s="591"/>
      <c r="G210" s="591"/>
      <c r="H210" s="591"/>
      <c r="I210" s="591"/>
      <c r="J210" s="591"/>
      <c r="K210" s="591"/>
      <c r="L210" s="951"/>
      <c r="M210" s="591"/>
      <c r="N210" s="591"/>
      <c r="O210" s="591"/>
      <c r="P210" s="591"/>
      <c r="Q210" s="591"/>
      <c r="R210" s="591"/>
      <c r="S210" s="591"/>
      <c r="T210" s="591"/>
      <c r="U210" s="591"/>
      <c r="V210" s="591"/>
      <c r="W210" s="591"/>
      <c r="X210" s="591"/>
      <c r="Y210" s="591"/>
      <c r="Z210" s="617"/>
    </row>
    <row r="211" spans="2:26" customFormat="1" ht="15" collapsed="1" x14ac:dyDescent="0.25">
      <c r="B211" s="578" t="s">
        <v>15</v>
      </c>
      <c r="C211" s="577"/>
      <c r="D211" s="584" t="s">
        <v>2</v>
      </c>
      <c r="E211" s="706">
        <f>ROUNDUP(E212/$C212+E213/$C213+E214/$C214+E215/$C215+E216/$C216,0)</f>
        <v>1</v>
      </c>
      <c r="F211" s="706">
        <f t="shared" ref="F211:Y211" si="109">ROUNDUP(F212/$C212+F213/$C213+F214/$C214+F215/$C215+F216/$C216,0)</f>
        <v>1</v>
      </c>
      <c r="G211" s="706">
        <f t="shared" si="109"/>
        <v>1</v>
      </c>
      <c r="H211" s="706">
        <f t="shared" si="109"/>
        <v>1</v>
      </c>
      <c r="I211" s="706">
        <f t="shared" si="109"/>
        <v>1</v>
      </c>
      <c r="J211" s="706">
        <f t="shared" si="109"/>
        <v>1</v>
      </c>
      <c r="K211" s="706">
        <f t="shared" si="109"/>
        <v>1</v>
      </c>
      <c r="L211" s="951">
        <f t="shared" si="109"/>
        <v>1</v>
      </c>
      <c r="M211" s="706">
        <f t="shared" si="109"/>
        <v>1</v>
      </c>
      <c r="N211" s="706">
        <f t="shared" si="109"/>
        <v>1</v>
      </c>
      <c r="O211" s="706">
        <f t="shared" si="109"/>
        <v>1</v>
      </c>
      <c r="P211" s="706">
        <f t="shared" si="109"/>
        <v>1</v>
      </c>
      <c r="Q211" s="706">
        <f t="shared" si="109"/>
        <v>1</v>
      </c>
      <c r="R211" s="706">
        <f t="shared" si="109"/>
        <v>1</v>
      </c>
      <c r="S211" s="706">
        <f t="shared" si="109"/>
        <v>1</v>
      </c>
      <c r="T211" s="706">
        <f t="shared" si="109"/>
        <v>1</v>
      </c>
      <c r="U211" s="706">
        <f t="shared" si="109"/>
        <v>1</v>
      </c>
      <c r="V211" s="706">
        <f t="shared" si="109"/>
        <v>1</v>
      </c>
      <c r="W211" s="706">
        <f t="shared" si="109"/>
        <v>0</v>
      </c>
      <c r="X211" s="706">
        <f t="shared" si="109"/>
        <v>0</v>
      </c>
      <c r="Y211" s="706">
        <f t="shared" si="109"/>
        <v>0</v>
      </c>
      <c r="Z211" s="403"/>
    </row>
    <row r="212" spans="2:26" customFormat="1" ht="15" hidden="1" outlineLevel="1" x14ac:dyDescent="0.25">
      <c r="B212" s="576" t="s">
        <v>3</v>
      </c>
      <c r="C212" s="623">
        <v>1</v>
      </c>
      <c r="D212" s="598" t="s">
        <v>2</v>
      </c>
      <c r="E212" s="557"/>
      <c r="F212" s="557"/>
      <c r="G212" s="557"/>
      <c r="H212" s="557"/>
      <c r="I212" s="557"/>
      <c r="J212" s="557"/>
      <c r="K212" s="557"/>
      <c r="L212" s="944"/>
      <c r="M212" s="557"/>
      <c r="N212" s="557"/>
      <c r="O212" s="557"/>
      <c r="P212" s="557"/>
      <c r="Q212" s="557"/>
      <c r="R212" s="557"/>
      <c r="S212" s="557"/>
      <c r="T212" s="557"/>
      <c r="U212" s="557"/>
      <c r="V212" s="557"/>
      <c r="W212" s="557"/>
      <c r="X212" s="557"/>
      <c r="Y212" s="557"/>
      <c r="Z212" s="293"/>
    </row>
    <row r="213" spans="2:26" customFormat="1" ht="15" hidden="1" outlineLevel="1" x14ac:dyDescent="0.25">
      <c r="B213" s="576" t="s">
        <v>9</v>
      </c>
      <c r="C213" s="624">
        <f>'Экскаваторы II'!AH79</f>
        <v>3400</v>
      </c>
      <c r="D213" s="595" t="s">
        <v>2</v>
      </c>
      <c r="E213" s="625"/>
      <c r="F213" s="625"/>
      <c r="G213" s="625"/>
      <c r="H213" s="625"/>
      <c r="I213" s="625"/>
      <c r="J213" s="625"/>
      <c r="K213" s="625"/>
      <c r="L213" s="952"/>
      <c r="M213" s="625"/>
      <c r="N213" s="625"/>
      <c r="O213" s="625"/>
      <c r="P213" s="625"/>
      <c r="Q213" s="625"/>
      <c r="R213" s="625"/>
      <c r="S213" s="625"/>
      <c r="T213" s="625"/>
      <c r="U213" s="625"/>
      <c r="V213" s="625"/>
      <c r="W213" s="625"/>
      <c r="X213" s="625"/>
      <c r="Y213" s="625"/>
      <c r="Z213" s="404"/>
    </row>
    <row r="214" spans="2:26" customFormat="1" ht="15" hidden="1" outlineLevel="1" x14ac:dyDescent="0.25">
      <c r="B214" s="576" t="s">
        <v>325</v>
      </c>
      <c r="C214" s="624">
        <f>'Экскаваторы II'!AH81</f>
        <v>2500</v>
      </c>
      <c r="D214" s="595" t="s">
        <v>2</v>
      </c>
      <c r="E214" s="625"/>
      <c r="F214" s="625">
        <v>400</v>
      </c>
      <c r="G214" s="625">
        <v>200</v>
      </c>
      <c r="H214" s="625">
        <v>500</v>
      </c>
      <c r="I214" s="625">
        <v>1200</v>
      </c>
      <c r="J214" s="625">
        <v>1200</v>
      </c>
      <c r="K214" s="625">
        <v>1000</v>
      </c>
      <c r="L214" s="952">
        <v>1100</v>
      </c>
      <c r="M214" s="625">
        <v>1200</v>
      </c>
      <c r="N214" s="625">
        <v>2300</v>
      </c>
      <c r="O214" s="625">
        <v>2300</v>
      </c>
      <c r="P214" s="625">
        <v>2300</v>
      </c>
      <c r="Q214" s="625">
        <v>2300</v>
      </c>
      <c r="R214" s="625">
        <v>2300</v>
      </c>
      <c r="S214" s="625">
        <v>2000</v>
      </c>
      <c r="T214" s="625">
        <v>2500</v>
      </c>
      <c r="U214" s="625">
        <v>2500</v>
      </c>
      <c r="V214" s="625">
        <v>2200</v>
      </c>
      <c r="W214" s="625"/>
      <c r="X214" s="625"/>
      <c r="Y214" s="625"/>
      <c r="Z214" s="404"/>
    </row>
    <row r="215" spans="2:26" customFormat="1" ht="15" hidden="1" outlineLevel="1" x14ac:dyDescent="0.25">
      <c r="B215" s="576" t="s">
        <v>6</v>
      </c>
      <c r="C215" s="624">
        <f>'Экскаваторы II'!AH80</f>
        <v>3200</v>
      </c>
      <c r="D215" s="595" t="s">
        <v>2</v>
      </c>
      <c r="E215" s="625">
        <v>1500</v>
      </c>
      <c r="F215" s="625">
        <v>1500</v>
      </c>
      <c r="G215" s="625">
        <v>1500</v>
      </c>
      <c r="H215" s="625">
        <v>1500</v>
      </c>
      <c r="I215" s="625">
        <v>1000</v>
      </c>
      <c r="J215" s="625">
        <v>1000</v>
      </c>
      <c r="K215" s="625">
        <v>1000</v>
      </c>
      <c r="L215" s="952">
        <v>1000</v>
      </c>
      <c r="M215" s="625">
        <v>1000</v>
      </c>
      <c r="N215" s="625"/>
      <c r="O215" s="625"/>
      <c r="P215" s="625"/>
      <c r="Q215" s="625"/>
      <c r="R215" s="625"/>
      <c r="S215" s="625"/>
      <c r="T215" s="625"/>
      <c r="U215" s="625"/>
      <c r="V215" s="625"/>
      <c r="W215" s="625"/>
      <c r="X215" s="625"/>
      <c r="Y215" s="625"/>
      <c r="Z215" s="404"/>
    </row>
    <row r="216" spans="2:26" s="302" customFormat="1" ht="15" hidden="1" outlineLevel="1" x14ac:dyDescent="0.25">
      <c r="B216" s="576" t="s">
        <v>462</v>
      </c>
      <c r="C216" s="624">
        <f>C215</f>
        <v>3200</v>
      </c>
      <c r="D216" s="595" t="s">
        <v>2</v>
      </c>
      <c r="E216" s="625"/>
      <c r="F216" s="625"/>
      <c r="G216" s="625"/>
      <c r="H216" s="625"/>
      <c r="I216" s="625"/>
      <c r="J216" s="625"/>
      <c r="K216" s="625"/>
      <c r="L216" s="952"/>
      <c r="M216" s="625"/>
      <c r="N216" s="625"/>
      <c r="O216" s="625"/>
      <c r="P216" s="625"/>
      <c r="Q216" s="625"/>
      <c r="R216" s="625"/>
      <c r="S216" s="625"/>
      <c r="T216" s="625"/>
      <c r="U216" s="625"/>
      <c r="V216" s="625"/>
      <c r="W216" s="625"/>
      <c r="X216" s="625"/>
      <c r="Y216" s="625"/>
      <c r="Z216" s="404"/>
    </row>
    <row r="217" spans="2:26" s="302" customFormat="1" ht="15" collapsed="1" x14ac:dyDescent="0.25">
      <c r="B217" s="578" t="s">
        <v>366</v>
      </c>
      <c r="C217" s="577"/>
      <c r="D217" s="584" t="s">
        <v>2</v>
      </c>
      <c r="E217" s="705">
        <f>ROUNDUP(E218/$C218+E219/$C219+E220/$C220+E221/$C221+E222/$C222,0)</f>
        <v>1</v>
      </c>
      <c r="F217" s="705">
        <f t="shared" ref="F217:Y217" si="110">ROUNDUP(F218/$C218+F219/$C219+F220/$C220+F221/$C221+F222/$C222,0)</f>
        <v>1</v>
      </c>
      <c r="G217" s="705">
        <f t="shared" si="110"/>
        <v>1</v>
      </c>
      <c r="H217" s="705">
        <f t="shared" si="110"/>
        <v>1</v>
      </c>
      <c r="I217" s="705">
        <f t="shared" si="110"/>
        <v>1</v>
      </c>
      <c r="J217" s="705">
        <f t="shared" si="110"/>
        <v>1</v>
      </c>
      <c r="K217" s="705">
        <f t="shared" si="110"/>
        <v>1</v>
      </c>
      <c r="L217" s="944">
        <f t="shared" si="110"/>
        <v>1</v>
      </c>
      <c r="M217" s="705">
        <f t="shared" si="110"/>
        <v>1</v>
      </c>
      <c r="N217" s="705">
        <f t="shared" si="110"/>
        <v>1</v>
      </c>
      <c r="O217" s="705">
        <f t="shared" si="110"/>
        <v>1</v>
      </c>
      <c r="P217" s="705">
        <f t="shared" si="110"/>
        <v>1</v>
      </c>
      <c r="Q217" s="705">
        <f t="shared" si="110"/>
        <v>1</v>
      </c>
      <c r="R217" s="705">
        <f t="shared" si="110"/>
        <v>0</v>
      </c>
      <c r="S217" s="705">
        <f t="shared" si="110"/>
        <v>0</v>
      </c>
      <c r="T217" s="705">
        <f t="shared" si="110"/>
        <v>0</v>
      </c>
      <c r="U217" s="705">
        <f t="shared" si="110"/>
        <v>0</v>
      </c>
      <c r="V217" s="705">
        <f t="shared" si="110"/>
        <v>0</v>
      </c>
      <c r="W217" s="705">
        <f t="shared" si="110"/>
        <v>0</v>
      </c>
      <c r="X217" s="705">
        <f t="shared" si="110"/>
        <v>0</v>
      </c>
      <c r="Y217" s="705">
        <f t="shared" si="110"/>
        <v>0</v>
      </c>
      <c r="Z217" s="403"/>
    </row>
    <row r="218" spans="2:26" s="302" customFormat="1" ht="15" hidden="1" outlineLevel="1" x14ac:dyDescent="0.25">
      <c r="B218" s="576" t="s">
        <v>3</v>
      </c>
      <c r="C218" s="623">
        <v>1</v>
      </c>
      <c r="D218" s="598" t="s">
        <v>2</v>
      </c>
      <c r="E218" s="557"/>
      <c r="F218" s="557"/>
      <c r="G218" s="557"/>
      <c r="H218" s="557"/>
      <c r="I218" s="557"/>
      <c r="J218" s="557"/>
      <c r="K218" s="557"/>
      <c r="L218" s="944"/>
      <c r="M218" s="557"/>
      <c r="N218" s="557"/>
      <c r="O218" s="557"/>
      <c r="P218" s="557"/>
      <c r="Q218" s="557"/>
      <c r="R218" s="557"/>
      <c r="S218" s="557"/>
      <c r="T218" s="557"/>
      <c r="U218" s="557"/>
      <c r="V218" s="557"/>
      <c r="W218" s="557"/>
      <c r="X218" s="557"/>
      <c r="Y218" s="557"/>
      <c r="Z218" s="293"/>
    </row>
    <row r="219" spans="2:26" s="302" customFormat="1" ht="15" hidden="1" outlineLevel="1" x14ac:dyDescent="0.25">
      <c r="B219" s="576" t="s">
        <v>9</v>
      </c>
      <c r="C219" s="624">
        <f>'Экскаваторы II'!AI79</f>
        <v>1500</v>
      </c>
      <c r="D219" s="595" t="s">
        <v>2</v>
      </c>
      <c r="E219" s="625"/>
      <c r="F219" s="625"/>
      <c r="G219" s="625"/>
      <c r="H219" s="625"/>
      <c r="I219" s="625"/>
      <c r="J219" s="625"/>
      <c r="K219" s="625"/>
      <c r="L219" s="952"/>
      <c r="M219" s="625"/>
      <c r="N219" s="625"/>
      <c r="O219" s="625"/>
      <c r="P219" s="625"/>
      <c r="Q219" s="625"/>
      <c r="R219" s="625"/>
      <c r="S219" s="625"/>
      <c r="T219" s="625"/>
      <c r="U219" s="625"/>
      <c r="V219" s="625"/>
      <c r="W219" s="625"/>
      <c r="X219" s="625"/>
      <c r="Y219" s="625"/>
      <c r="Z219" s="404"/>
    </row>
    <row r="220" spans="2:26" s="302" customFormat="1" ht="15" hidden="1" outlineLevel="1" x14ac:dyDescent="0.25">
      <c r="B220" s="576" t="s">
        <v>325</v>
      </c>
      <c r="C220" s="624">
        <f>'Экскаваторы II'!AI81</f>
        <v>1300</v>
      </c>
      <c r="D220" s="595" t="s">
        <v>2</v>
      </c>
      <c r="E220" s="625">
        <v>1300</v>
      </c>
      <c r="F220" s="625">
        <v>1300</v>
      </c>
      <c r="G220" s="625">
        <v>1300</v>
      </c>
      <c r="H220" s="625">
        <v>1300</v>
      </c>
      <c r="I220" s="625">
        <v>1300</v>
      </c>
      <c r="J220" s="625">
        <v>1300</v>
      </c>
      <c r="K220" s="625">
        <v>1300</v>
      </c>
      <c r="L220" s="952">
        <v>1300</v>
      </c>
      <c r="M220" s="625">
        <v>1300</v>
      </c>
      <c r="N220" s="625">
        <v>1300</v>
      </c>
      <c r="O220" s="625">
        <v>1300</v>
      </c>
      <c r="P220" s="625">
        <v>1300</v>
      </c>
      <c r="Q220" s="625">
        <v>1200</v>
      </c>
      <c r="R220" s="625"/>
      <c r="S220" s="625"/>
      <c r="T220" s="625"/>
      <c r="U220" s="625"/>
      <c r="V220" s="625"/>
      <c r="W220" s="625"/>
      <c r="X220" s="625"/>
      <c r="Y220" s="625"/>
      <c r="Z220" s="404"/>
    </row>
    <row r="221" spans="2:26" s="302" customFormat="1" ht="15" hidden="1" outlineLevel="1" x14ac:dyDescent="0.25">
      <c r="B221" s="576" t="s">
        <v>6</v>
      </c>
      <c r="C221" s="624">
        <f>'Экскаваторы II'!AI80</f>
        <v>1400</v>
      </c>
      <c r="D221" s="595" t="s">
        <v>2</v>
      </c>
      <c r="E221" s="625"/>
      <c r="F221" s="625"/>
      <c r="G221" s="625"/>
      <c r="H221" s="625"/>
      <c r="I221" s="625"/>
      <c r="J221" s="625"/>
      <c r="K221" s="625"/>
      <c r="L221" s="952"/>
      <c r="M221" s="625"/>
      <c r="N221" s="625"/>
      <c r="O221" s="625"/>
      <c r="P221" s="625"/>
      <c r="Q221" s="625"/>
      <c r="R221" s="625"/>
      <c r="S221" s="625"/>
      <c r="T221" s="625"/>
      <c r="U221" s="625"/>
      <c r="V221" s="625"/>
      <c r="W221" s="625"/>
      <c r="X221" s="625"/>
      <c r="Y221" s="625"/>
      <c r="Z221" s="404"/>
    </row>
    <row r="222" spans="2:26" s="302" customFormat="1" ht="15" hidden="1" outlineLevel="1" x14ac:dyDescent="0.25">
      <c r="B222" s="576" t="s">
        <v>462</v>
      </c>
      <c r="C222" s="624">
        <f>C221</f>
        <v>1400</v>
      </c>
      <c r="D222" s="595" t="s">
        <v>2</v>
      </c>
      <c r="E222" s="625"/>
      <c r="F222" s="625"/>
      <c r="G222" s="625"/>
      <c r="H222" s="625"/>
      <c r="I222" s="625"/>
      <c r="J222" s="625"/>
      <c r="K222" s="625"/>
      <c r="L222" s="952"/>
      <c r="M222" s="625"/>
      <c r="N222" s="625"/>
      <c r="O222" s="625"/>
      <c r="P222" s="625"/>
      <c r="Q222" s="625"/>
      <c r="R222" s="625"/>
      <c r="S222" s="625"/>
      <c r="T222" s="625"/>
      <c r="U222" s="625"/>
      <c r="V222" s="625"/>
      <c r="W222" s="625"/>
      <c r="X222" s="625"/>
      <c r="Y222" s="625"/>
      <c r="Z222" s="404"/>
    </row>
    <row r="223" spans="2:26" customFormat="1" ht="15" collapsed="1" x14ac:dyDescent="0.25">
      <c r="B223" s="578" t="s">
        <v>365</v>
      </c>
      <c r="C223" s="581"/>
      <c r="D223" s="584" t="s">
        <v>2</v>
      </c>
      <c r="E223" s="705">
        <f>ROUNDUP(E224/$C224+E225/$C225+E226/$C226+E227/$C227+E228/$C228,0)</f>
        <v>3</v>
      </c>
      <c r="F223" s="705">
        <f t="shared" ref="F223:Y223" si="111">ROUNDUP(F224/$C224+F225/$C225+F226/$C226+F227/$C227+F228/$C228,0)</f>
        <v>3</v>
      </c>
      <c r="G223" s="705">
        <f t="shared" si="111"/>
        <v>3</v>
      </c>
      <c r="H223" s="705">
        <f t="shared" si="111"/>
        <v>3</v>
      </c>
      <c r="I223" s="705">
        <f t="shared" si="111"/>
        <v>3</v>
      </c>
      <c r="J223" s="705">
        <f t="shared" si="111"/>
        <v>3</v>
      </c>
      <c r="K223" s="705">
        <f t="shared" si="111"/>
        <v>3</v>
      </c>
      <c r="L223" s="944">
        <f t="shared" si="111"/>
        <v>3</v>
      </c>
      <c r="M223" s="705">
        <f t="shared" si="111"/>
        <v>3</v>
      </c>
      <c r="N223" s="705">
        <f t="shared" si="111"/>
        <v>3</v>
      </c>
      <c r="O223" s="705">
        <f t="shared" si="111"/>
        <v>3</v>
      </c>
      <c r="P223" s="705">
        <f t="shared" si="111"/>
        <v>3</v>
      </c>
      <c r="Q223" s="705">
        <f t="shared" si="111"/>
        <v>3</v>
      </c>
      <c r="R223" s="705">
        <f t="shared" si="111"/>
        <v>1</v>
      </c>
      <c r="S223" s="705">
        <f t="shared" si="111"/>
        <v>0</v>
      </c>
      <c r="T223" s="705">
        <f t="shared" si="111"/>
        <v>0</v>
      </c>
      <c r="U223" s="705">
        <f t="shared" si="111"/>
        <v>0</v>
      </c>
      <c r="V223" s="705">
        <f t="shared" si="111"/>
        <v>0</v>
      </c>
      <c r="W223" s="705">
        <f t="shared" si="111"/>
        <v>0</v>
      </c>
      <c r="X223" s="705">
        <f t="shared" si="111"/>
        <v>0</v>
      </c>
      <c r="Y223" s="705">
        <f t="shared" si="111"/>
        <v>0</v>
      </c>
      <c r="Z223" s="616"/>
    </row>
    <row r="224" spans="2:26" customFormat="1" ht="15" hidden="1" outlineLevel="1" x14ac:dyDescent="0.25">
      <c r="B224" s="576" t="s">
        <v>3</v>
      </c>
      <c r="C224" s="582">
        <v>1</v>
      </c>
      <c r="D224" s="598" t="s">
        <v>2</v>
      </c>
      <c r="E224" s="557"/>
      <c r="F224" s="557"/>
      <c r="G224" s="557"/>
      <c r="H224" s="557"/>
      <c r="I224" s="557"/>
      <c r="J224" s="557"/>
      <c r="K224" s="557"/>
      <c r="L224" s="944"/>
      <c r="M224" s="557"/>
      <c r="N224" s="557"/>
      <c r="O224" s="557"/>
      <c r="P224" s="557"/>
      <c r="Q224" s="557"/>
      <c r="R224" s="557"/>
      <c r="S224" s="557"/>
      <c r="T224" s="557"/>
      <c r="U224" s="557"/>
      <c r="V224" s="557"/>
      <c r="W224" s="557"/>
      <c r="X224" s="557"/>
      <c r="Y224" s="557"/>
      <c r="Z224" s="617"/>
    </row>
    <row r="225" spans="2:26" customFormat="1" ht="15" hidden="1" outlineLevel="1" x14ac:dyDescent="0.25">
      <c r="B225" s="576" t="s">
        <v>9</v>
      </c>
      <c r="C225" s="582">
        <f>'Экскаваторы II'!AJ79</f>
        <v>1600</v>
      </c>
      <c r="D225" s="598" t="s">
        <v>2</v>
      </c>
      <c r="E225" s="557">
        <f>E24</f>
        <v>300</v>
      </c>
      <c r="F225" s="557">
        <f>F24</f>
        <v>400</v>
      </c>
      <c r="G225" s="557">
        <f>G24</f>
        <v>400</v>
      </c>
      <c r="H225" s="557">
        <f>H24</f>
        <v>200</v>
      </c>
      <c r="I225" s="557"/>
      <c r="J225" s="557"/>
      <c r="K225" s="557"/>
      <c r="L225" s="944"/>
      <c r="M225" s="557"/>
      <c r="N225" s="557"/>
      <c r="O225" s="557"/>
      <c r="P225" s="557"/>
      <c r="Q225" s="557"/>
      <c r="R225" s="557"/>
      <c r="S225" s="557"/>
      <c r="T225" s="557"/>
      <c r="U225" s="557"/>
      <c r="V225" s="557"/>
      <c r="W225" s="557"/>
      <c r="X225" s="557"/>
      <c r="Y225" s="557"/>
      <c r="Z225" s="617"/>
    </row>
    <row r="226" spans="2:26" customFormat="1" ht="15" hidden="1" outlineLevel="1" x14ac:dyDescent="0.25">
      <c r="B226" s="576" t="s">
        <v>325</v>
      </c>
      <c r="C226" s="582">
        <f>'Экскаваторы II'!AJ81</f>
        <v>1300</v>
      </c>
      <c r="D226" s="598" t="s">
        <v>2</v>
      </c>
      <c r="E226" s="557">
        <f t="shared" ref="E226:R226" si="112">E45+E59-E220</f>
        <v>2000</v>
      </c>
      <c r="F226" s="557">
        <f t="shared" si="112"/>
        <v>2200</v>
      </c>
      <c r="G226" s="557">
        <f t="shared" si="112"/>
        <v>2200</v>
      </c>
      <c r="H226" s="557">
        <f t="shared" si="112"/>
        <v>2400</v>
      </c>
      <c r="I226" s="557">
        <f t="shared" si="112"/>
        <v>1300</v>
      </c>
      <c r="J226" s="557">
        <f t="shared" si="112"/>
        <v>1300</v>
      </c>
      <c r="K226" s="557">
        <f t="shared" si="112"/>
        <v>1300</v>
      </c>
      <c r="L226" s="944">
        <f t="shared" si="112"/>
        <v>1300</v>
      </c>
      <c r="M226" s="557">
        <f t="shared" si="112"/>
        <v>1300</v>
      </c>
      <c r="N226" s="557">
        <f t="shared" si="112"/>
        <v>1300</v>
      </c>
      <c r="O226" s="557">
        <f t="shared" si="112"/>
        <v>1300</v>
      </c>
      <c r="P226" s="557">
        <f t="shared" si="112"/>
        <v>1300</v>
      </c>
      <c r="Q226" s="557">
        <f t="shared" si="112"/>
        <v>800</v>
      </c>
      <c r="R226" s="557">
        <f t="shared" si="112"/>
        <v>1000</v>
      </c>
      <c r="S226" s="557"/>
      <c r="T226" s="557"/>
      <c r="U226" s="557"/>
      <c r="V226" s="557"/>
      <c r="W226" s="557"/>
      <c r="X226" s="557"/>
      <c r="Y226" s="557"/>
      <c r="Z226" s="617"/>
    </row>
    <row r="227" spans="2:26" customFormat="1" ht="15" hidden="1" outlineLevel="1" x14ac:dyDescent="0.25">
      <c r="B227" s="576" t="s">
        <v>6</v>
      </c>
      <c r="C227" s="582">
        <f>'Экскаваторы II'!AJ80</f>
        <v>1500</v>
      </c>
      <c r="D227" s="598" t="s">
        <v>2</v>
      </c>
      <c r="E227" s="557">
        <f t="shared" ref="E227:R227" si="113">E62</f>
        <v>1000</v>
      </c>
      <c r="F227" s="557">
        <f t="shared" si="113"/>
        <v>1300</v>
      </c>
      <c r="G227" s="557">
        <f t="shared" si="113"/>
        <v>1300</v>
      </c>
      <c r="H227" s="557">
        <f t="shared" si="113"/>
        <v>1300</v>
      </c>
      <c r="I227" s="557">
        <f t="shared" si="113"/>
        <v>2300</v>
      </c>
      <c r="J227" s="557">
        <f t="shared" si="113"/>
        <v>2600</v>
      </c>
      <c r="K227" s="557">
        <f t="shared" si="113"/>
        <v>2600</v>
      </c>
      <c r="L227" s="944">
        <f t="shared" si="113"/>
        <v>2600</v>
      </c>
      <c r="M227" s="557">
        <f t="shared" si="113"/>
        <v>2600</v>
      </c>
      <c r="N227" s="557">
        <f t="shared" si="113"/>
        <v>2600</v>
      </c>
      <c r="O227" s="557">
        <f t="shared" si="113"/>
        <v>2600</v>
      </c>
      <c r="P227" s="557">
        <f t="shared" si="113"/>
        <v>2600</v>
      </c>
      <c r="Q227" s="557">
        <f t="shared" si="113"/>
        <v>2100</v>
      </c>
      <c r="R227" s="557">
        <f t="shared" si="113"/>
        <v>0</v>
      </c>
      <c r="S227" s="557"/>
      <c r="T227" s="557"/>
      <c r="U227" s="557"/>
      <c r="V227" s="557"/>
      <c r="W227" s="557"/>
      <c r="X227" s="557"/>
      <c r="Y227" s="557"/>
      <c r="Z227" s="617"/>
    </row>
    <row r="228" spans="2:26" s="302" customFormat="1" ht="15" hidden="1" outlineLevel="1" x14ac:dyDescent="0.25">
      <c r="B228" s="576" t="s">
        <v>462</v>
      </c>
      <c r="C228" s="582">
        <f>C227</f>
        <v>1500</v>
      </c>
      <c r="D228" s="598" t="s">
        <v>2</v>
      </c>
      <c r="E228" s="591"/>
      <c r="F228" s="591"/>
      <c r="G228" s="591"/>
      <c r="H228" s="591"/>
      <c r="I228" s="591"/>
      <c r="J228" s="591"/>
      <c r="K228" s="591"/>
      <c r="L228" s="951"/>
      <c r="M228" s="591"/>
      <c r="N228" s="591"/>
      <c r="O228" s="591"/>
      <c r="P228" s="591"/>
      <c r="Q228" s="591"/>
      <c r="R228" s="591"/>
      <c r="S228" s="591"/>
      <c r="T228" s="591"/>
      <c r="U228" s="591"/>
      <c r="V228" s="591"/>
      <c r="W228" s="591"/>
      <c r="X228" s="591"/>
      <c r="Y228" s="591"/>
      <c r="Z228" s="617"/>
    </row>
    <row r="229" spans="2:26" s="302" customFormat="1" ht="15" collapsed="1" x14ac:dyDescent="0.25">
      <c r="B229" s="578" t="s">
        <v>392</v>
      </c>
      <c r="C229" s="581"/>
      <c r="D229" s="584" t="s">
        <v>2</v>
      </c>
      <c r="E229" s="705">
        <f>ROUNDUP(E230/$C230+E231/$C231+E232/$C232+E233/$C233+E234/$C234,0)+1</f>
        <v>2</v>
      </c>
      <c r="F229" s="705">
        <f t="shared" ref="F229:Y229" si="114">ROUNDUP(F230/$C230+F231/$C231+F232/$C232+F233/$C233+F234/$C234,0)</f>
        <v>2</v>
      </c>
      <c r="G229" s="705">
        <f t="shared" si="114"/>
        <v>2</v>
      </c>
      <c r="H229" s="705">
        <f t="shared" si="114"/>
        <v>2</v>
      </c>
      <c r="I229" s="705">
        <f t="shared" si="114"/>
        <v>2</v>
      </c>
      <c r="J229" s="705">
        <f t="shared" si="114"/>
        <v>2</v>
      </c>
      <c r="K229" s="705">
        <f t="shared" si="114"/>
        <v>2</v>
      </c>
      <c r="L229" s="944">
        <f t="shared" si="114"/>
        <v>1</v>
      </c>
      <c r="M229" s="705">
        <f t="shared" si="114"/>
        <v>0</v>
      </c>
      <c r="N229" s="705">
        <f t="shared" si="114"/>
        <v>0</v>
      </c>
      <c r="O229" s="705">
        <f t="shared" si="114"/>
        <v>0</v>
      </c>
      <c r="P229" s="705">
        <f t="shared" si="114"/>
        <v>0</v>
      </c>
      <c r="Q229" s="705">
        <f t="shared" si="114"/>
        <v>0</v>
      </c>
      <c r="R229" s="705">
        <f t="shared" si="114"/>
        <v>0</v>
      </c>
      <c r="S229" s="705">
        <f t="shared" si="114"/>
        <v>0</v>
      </c>
      <c r="T229" s="705">
        <f t="shared" si="114"/>
        <v>0</v>
      </c>
      <c r="U229" s="705">
        <f t="shared" si="114"/>
        <v>0</v>
      </c>
      <c r="V229" s="705">
        <f t="shared" si="114"/>
        <v>0</v>
      </c>
      <c r="W229" s="705">
        <f t="shared" si="114"/>
        <v>0</v>
      </c>
      <c r="X229" s="705">
        <f t="shared" si="114"/>
        <v>0</v>
      </c>
      <c r="Y229" s="705">
        <f t="shared" si="114"/>
        <v>0</v>
      </c>
      <c r="Z229" s="403"/>
    </row>
    <row r="230" spans="2:26" s="302" customFormat="1" ht="15" hidden="1" outlineLevel="1" x14ac:dyDescent="0.25">
      <c r="B230" s="576" t="s">
        <v>3</v>
      </c>
      <c r="C230" s="582">
        <f>'Экскаваторы II'!AK78</f>
        <v>3080</v>
      </c>
      <c r="D230" s="598" t="s">
        <v>2</v>
      </c>
      <c r="E230" s="297">
        <v>0</v>
      </c>
      <c r="F230" s="297">
        <v>200</v>
      </c>
      <c r="G230" s="297">
        <v>400</v>
      </c>
      <c r="H230" s="297">
        <v>400</v>
      </c>
      <c r="I230" s="297">
        <v>200</v>
      </c>
      <c r="J230" s="289"/>
      <c r="K230" s="289"/>
      <c r="L230" s="953"/>
      <c r="M230" s="289"/>
      <c r="N230" s="289"/>
      <c r="O230" s="289"/>
      <c r="P230" s="289"/>
      <c r="Q230" s="289"/>
      <c r="R230" s="289"/>
      <c r="S230" s="289"/>
      <c r="T230" s="289"/>
      <c r="U230" s="289"/>
      <c r="V230" s="289"/>
      <c r="W230" s="289"/>
      <c r="X230" s="289"/>
      <c r="Y230" s="289"/>
      <c r="Z230" s="293"/>
    </row>
    <row r="231" spans="2:26" s="302" customFormat="1" ht="15" hidden="1" outlineLevel="1" x14ac:dyDescent="0.25">
      <c r="B231" s="576" t="s">
        <v>9</v>
      </c>
      <c r="C231" s="582">
        <f>'Экскаваторы II'!AK79</f>
        <v>2200</v>
      </c>
      <c r="D231" s="598" t="s">
        <v>2</v>
      </c>
      <c r="E231" s="297"/>
      <c r="F231" s="297"/>
      <c r="G231" s="297"/>
      <c r="H231" s="297"/>
      <c r="I231" s="297"/>
      <c r="J231" s="297"/>
      <c r="K231" s="297"/>
      <c r="L231" s="693"/>
      <c r="M231" s="289"/>
      <c r="N231" s="289"/>
      <c r="O231" s="289"/>
      <c r="P231" s="289"/>
      <c r="Q231" s="289"/>
      <c r="R231" s="289"/>
      <c r="S231" s="289"/>
      <c r="T231" s="289"/>
      <c r="U231" s="289"/>
      <c r="V231" s="289"/>
      <c r="W231" s="289"/>
      <c r="X231" s="289"/>
      <c r="Y231" s="289"/>
      <c r="Z231" s="293"/>
    </row>
    <row r="232" spans="2:26" s="302" customFormat="1" ht="15" hidden="1" outlineLevel="1" x14ac:dyDescent="0.25">
      <c r="B232" s="576" t="s">
        <v>325</v>
      </c>
      <c r="C232" s="582">
        <v>1500</v>
      </c>
      <c r="D232" s="598" t="s">
        <v>2</v>
      </c>
      <c r="E232" s="297">
        <f t="shared" ref="E232:L232" si="115">E70</f>
        <v>50</v>
      </c>
      <c r="F232" s="297">
        <f t="shared" si="115"/>
        <v>1200</v>
      </c>
      <c r="G232" s="297">
        <f t="shared" si="115"/>
        <v>2400</v>
      </c>
      <c r="H232" s="297">
        <f t="shared" si="115"/>
        <v>2600</v>
      </c>
      <c r="I232" s="297">
        <f t="shared" si="115"/>
        <v>2600</v>
      </c>
      <c r="J232" s="297">
        <f t="shared" si="115"/>
        <v>2600</v>
      </c>
      <c r="K232" s="297">
        <f t="shared" si="115"/>
        <v>1600</v>
      </c>
      <c r="L232" s="693">
        <f t="shared" si="115"/>
        <v>400</v>
      </c>
      <c r="M232" s="289"/>
      <c r="N232" s="289"/>
      <c r="O232" s="289"/>
      <c r="P232" s="289"/>
      <c r="Q232" s="289"/>
      <c r="R232" s="289"/>
      <c r="S232" s="289"/>
      <c r="T232" s="289"/>
      <c r="U232" s="289"/>
      <c r="V232" s="289"/>
      <c r="W232" s="289"/>
      <c r="X232" s="289"/>
      <c r="Y232" s="289"/>
      <c r="Z232" s="293"/>
    </row>
    <row r="233" spans="2:26" s="302" customFormat="1" ht="15" hidden="1" outlineLevel="1" x14ac:dyDescent="0.25">
      <c r="B233" s="576" t="s">
        <v>6</v>
      </c>
      <c r="C233" s="627">
        <f>'Экскаваторы II'!AK80</f>
        <v>2000</v>
      </c>
      <c r="D233" s="598" t="s">
        <v>2</v>
      </c>
      <c r="E233" s="596"/>
      <c r="F233" s="596"/>
      <c r="G233" s="596"/>
      <c r="H233" s="596"/>
      <c r="I233" s="596"/>
      <c r="J233" s="596"/>
      <c r="K233" s="596"/>
      <c r="L233" s="954"/>
      <c r="M233" s="405"/>
      <c r="N233" s="405"/>
      <c r="O233" s="405"/>
      <c r="P233" s="405"/>
      <c r="Q233" s="405"/>
      <c r="R233" s="405"/>
      <c r="S233" s="405"/>
      <c r="T233" s="405"/>
      <c r="U233" s="405"/>
      <c r="V233" s="405"/>
      <c r="W233" s="405"/>
      <c r="X233" s="405"/>
      <c r="Y233" s="405"/>
      <c r="Z233" s="626"/>
    </row>
    <row r="234" spans="2:26" s="302" customFormat="1" ht="15" hidden="1" outlineLevel="1" x14ac:dyDescent="0.25">
      <c r="B234" s="576" t="s">
        <v>462</v>
      </c>
      <c r="C234" s="627">
        <f>'Экскаваторы II'!AK81</f>
        <v>1800</v>
      </c>
      <c r="D234" s="598" t="s">
        <v>2</v>
      </c>
      <c r="E234" s="557">
        <v>1148</v>
      </c>
      <c r="F234" s="557">
        <v>1168</v>
      </c>
      <c r="G234" s="596"/>
      <c r="H234" s="596"/>
      <c r="I234" s="596"/>
      <c r="J234" s="596"/>
      <c r="K234" s="596"/>
      <c r="L234" s="954"/>
      <c r="M234" s="405"/>
      <c r="N234" s="405"/>
      <c r="O234" s="405"/>
      <c r="P234" s="405"/>
      <c r="Q234" s="405"/>
      <c r="R234" s="405"/>
      <c r="S234" s="405"/>
      <c r="T234" s="405"/>
      <c r="U234" s="405"/>
      <c r="V234" s="405"/>
      <c r="W234" s="405"/>
      <c r="X234" s="405"/>
      <c r="Y234" s="405"/>
      <c r="Z234" s="293"/>
    </row>
    <row r="235" spans="2:26" s="302" customFormat="1" ht="15.75" collapsed="1" x14ac:dyDescent="0.25">
      <c r="B235" s="580" t="s">
        <v>357</v>
      </c>
      <c r="C235" s="474"/>
      <c r="D235" s="475"/>
      <c r="E235" s="476"/>
      <c r="F235" s="476"/>
      <c r="G235" s="476"/>
      <c r="H235" s="476"/>
      <c r="I235" s="476"/>
      <c r="J235" s="476"/>
      <c r="K235" s="476"/>
      <c r="L235" s="955"/>
      <c r="M235" s="476"/>
      <c r="N235" s="476"/>
      <c r="O235" s="476"/>
      <c r="P235" s="476"/>
      <c r="Q235" s="476"/>
      <c r="R235" s="476"/>
      <c r="S235" s="476"/>
      <c r="T235" s="476"/>
      <c r="U235" s="476"/>
      <c r="V235" s="476"/>
      <c r="W235" s="476"/>
      <c r="X235" s="476"/>
      <c r="Y235" s="476"/>
      <c r="Z235" s="451"/>
    </row>
    <row r="236" spans="2:26" s="302" customFormat="1" ht="15" x14ac:dyDescent="0.25">
      <c r="B236" s="578" t="s">
        <v>256</v>
      </c>
      <c r="C236" s="581"/>
      <c r="D236" s="584" t="s">
        <v>2</v>
      </c>
      <c r="E236" s="705">
        <f>ROUNDUP(E237/$C237+E238/$C238+E239/$C239+E240/$C240+E241/$C241,0)</f>
        <v>2</v>
      </c>
      <c r="F236" s="705">
        <f t="shared" ref="F236:X236" si="116">ROUNDUP(F237/$C237+F238/$C238+F239/$C239+F240/$C240+F241/$C241,0)</f>
        <v>2</v>
      </c>
      <c r="G236" s="705">
        <f t="shared" si="116"/>
        <v>2</v>
      </c>
      <c r="H236" s="705">
        <f t="shared" si="116"/>
        <v>2</v>
      </c>
      <c r="I236" s="705">
        <f t="shared" si="116"/>
        <v>2</v>
      </c>
      <c r="J236" s="705">
        <f t="shared" si="116"/>
        <v>2</v>
      </c>
      <c r="K236" s="705">
        <f t="shared" si="116"/>
        <v>2</v>
      </c>
      <c r="L236" s="944">
        <f t="shared" si="116"/>
        <v>2</v>
      </c>
      <c r="M236" s="705">
        <f t="shared" si="116"/>
        <v>2</v>
      </c>
      <c r="N236" s="705">
        <f t="shared" si="116"/>
        <v>2</v>
      </c>
      <c r="O236" s="705">
        <f t="shared" si="116"/>
        <v>2</v>
      </c>
      <c r="P236" s="705">
        <f t="shared" si="116"/>
        <v>2</v>
      </c>
      <c r="Q236" s="705">
        <f t="shared" si="116"/>
        <v>2</v>
      </c>
      <c r="R236" s="705">
        <f t="shared" si="116"/>
        <v>1</v>
      </c>
      <c r="S236" s="705">
        <f t="shared" si="116"/>
        <v>0</v>
      </c>
      <c r="T236" s="705">
        <f t="shared" si="116"/>
        <v>0</v>
      </c>
      <c r="U236" s="705">
        <f t="shared" si="116"/>
        <v>0</v>
      </c>
      <c r="V236" s="705">
        <f t="shared" si="116"/>
        <v>0</v>
      </c>
      <c r="W236" s="705">
        <f t="shared" si="116"/>
        <v>0</v>
      </c>
      <c r="X236" s="705">
        <f t="shared" si="116"/>
        <v>0</v>
      </c>
      <c r="Y236" s="609"/>
      <c r="Z236" s="403"/>
    </row>
    <row r="237" spans="2:26" s="302" customFormat="1" ht="15" hidden="1" outlineLevel="1" x14ac:dyDescent="0.25">
      <c r="B237" s="576" t="s">
        <v>3</v>
      </c>
      <c r="C237" s="582">
        <v>1</v>
      </c>
      <c r="D237" s="598" t="s">
        <v>2</v>
      </c>
      <c r="E237" s="557">
        <f>(E218+E224)/2</f>
        <v>0</v>
      </c>
      <c r="F237" s="557">
        <f t="shared" ref="F237:R237" si="117">(F218+F224)/2</f>
        <v>0</v>
      </c>
      <c r="G237" s="557">
        <f t="shared" si="117"/>
        <v>0</v>
      </c>
      <c r="H237" s="557">
        <f t="shared" si="117"/>
        <v>0</v>
      </c>
      <c r="I237" s="557">
        <f t="shared" si="117"/>
        <v>0</v>
      </c>
      <c r="J237" s="557">
        <f t="shared" si="117"/>
        <v>0</v>
      </c>
      <c r="K237" s="557">
        <f t="shared" si="117"/>
        <v>0</v>
      </c>
      <c r="L237" s="944">
        <f t="shared" si="117"/>
        <v>0</v>
      </c>
      <c r="M237" s="557">
        <f t="shared" si="117"/>
        <v>0</v>
      </c>
      <c r="N237" s="557">
        <f t="shared" si="117"/>
        <v>0</v>
      </c>
      <c r="O237" s="557">
        <f t="shared" si="117"/>
        <v>0</v>
      </c>
      <c r="P237" s="557">
        <f t="shared" si="117"/>
        <v>0</v>
      </c>
      <c r="Q237" s="557">
        <f t="shared" si="117"/>
        <v>0</v>
      </c>
      <c r="R237" s="557">
        <f t="shared" si="117"/>
        <v>0</v>
      </c>
      <c r="S237" s="557"/>
      <c r="T237" s="557"/>
      <c r="U237" s="557"/>
      <c r="V237" s="557"/>
      <c r="W237" s="557"/>
      <c r="X237" s="557"/>
      <c r="Y237" s="297"/>
      <c r="Z237" s="617"/>
    </row>
    <row r="238" spans="2:26" s="302" customFormat="1" ht="15" hidden="1" outlineLevel="1" x14ac:dyDescent="0.25">
      <c r="B238" s="576" t="s">
        <v>9</v>
      </c>
      <c r="C238" s="582">
        <f>'Экскаваторы II'!AO79</f>
        <v>1600</v>
      </c>
      <c r="D238" s="598" t="s">
        <v>2</v>
      </c>
      <c r="E238" s="557">
        <f t="shared" ref="E238:R241" si="118">(E219+E225)/2</f>
        <v>150</v>
      </c>
      <c r="F238" s="557">
        <f t="shared" si="118"/>
        <v>200</v>
      </c>
      <c r="G238" s="557">
        <f t="shared" si="118"/>
        <v>200</v>
      </c>
      <c r="H238" s="557">
        <f t="shared" si="118"/>
        <v>100</v>
      </c>
      <c r="I238" s="557">
        <f t="shared" si="118"/>
        <v>0</v>
      </c>
      <c r="J238" s="557">
        <f t="shared" si="118"/>
        <v>0</v>
      </c>
      <c r="K238" s="557">
        <f t="shared" si="118"/>
        <v>0</v>
      </c>
      <c r="L238" s="944">
        <f t="shared" si="118"/>
        <v>0</v>
      </c>
      <c r="M238" s="557">
        <f t="shared" si="118"/>
        <v>0</v>
      </c>
      <c r="N238" s="557">
        <f t="shared" si="118"/>
        <v>0</v>
      </c>
      <c r="O238" s="557">
        <f t="shared" si="118"/>
        <v>0</v>
      </c>
      <c r="P238" s="557">
        <f t="shared" si="118"/>
        <v>0</v>
      </c>
      <c r="Q238" s="557">
        <f t="shared" si="118"/>
        <v>0</v>
      </c>
      <c r="R238" s="557">
        <f t="shared" si="118"/>
        <v>0</v>
      </c>
      <c r="S238" s="557"/>
      <c r="T238" s="557"/>
      <c r="U238" s="557"/>
      <c r="V238" s="557"/>
      <c r="W238" s="557"/>
      <c r="X238" s="557"/>
      <c r="Y238" s="297"/>
      <c r="Z238" s="617"/>
    </row>
    <row r="239" spans="2:26" s="302" customFormat="1" ht="15" hidden="1" outlineLevel="1" x14ac:dyDescent="0.25">
      <c r="B239" s="576" t="s">
        <v>325</v>
      </c>
      <c r="C239" s="582">
        <f>'Экскаваторы II'!AO81</f>
        <v>1300</v>
      </c>
      <c r="D239" s="598" t="s">
        <v>2</v>
      </c>
      <c r="E239" s="557">
        <f t="shared" si="118"/>
        <v>1650</v>
      </c>
      <c r="F239" s="557">
        <f t="shared" si="118"/>
        <v>1750</v>
      </c>
      <c r="G239" s="557">
        <f t="shared" si="118"/>
        <v>1750</v>
      </c>
      <c r="H239" s="557">
        <f t="shared" si="118"/>
        <v>1850</v>
      </c>
      <c r="I239" s="557">
        <f t="shared" si="118"/>
        <v>1300</v>
      </c>
      <c r="J239" s="557">
        <f t="shared" si="118"/>
        <v>1300</v>
      </c>
      <c r="K239" s="557">
        <f t="shared" si="118"/>
        <v>1300</v>
      </c>
      <c r="L239" s="944">
        <f t="shared" si="118"/>
        <v>1300</v>
      </c>
      <c r="M239" s="557">
        <f t="shared" si="118"/>
        <v>1300</v>
      </c>
      <c r="N239" s="557">
        <f t="shared" si="118"/>
        <v>1300</v>
      </c>
      <c r="O239" s="557">
        <f t="shared" si="118"/>
        <v>1300</v>
      </c>
      <c r="P239" s="557">
        <f t="shared" si="118"/>
        <v>1300</v>
      </c>
      <c r="Q239" s="557">
        <f t="shared" si="118"/>
        <v>1000</v>
      </c>
      <c r="R239" s="557">
        <f t="shared" si="118"/>
        <v>500</v>
      </c>
      <c r="S239" s="557"/>
      <c r="T239" s="557"/>
      <c r="U239" s="557"/>
      <c r="V239" s="557"/>
      <c r="W239" s="557"/>
      <c r="X239" s="557"/>
      <c r="Y239" s="557"/>
      <c r="Z239" s="617"/>
    </row>
    <row r="240" spans="2:26" s="302" customFormat="1" ht="15" hidden="1" outlineLevel="1" x14ac:dyDescent="0.25">
      <c r="B240" s="576" t="s">
        <v>6</v>
      </c>
      <c r="C240" s="582">
        <f>'Экскаваторы II'!AO80</f>
        <v>1500</v>
      </c>
      <c r="D240" s="598" t="s">
        <v>2</v>
      </c>
      <c r="E240" s="557">
        <f t="shared" si="118"/>
        <v>500</v>
      </c>
      <c r="F240" s="557">
        <f t="shared" si="118"/>
        <v>650</v>
      </c>
      <c r="G240" s="557">
        <f t="shared" si="118"/>
        <v>650</v>
      </c>
      <c r="H240" s="557">
        <f t="shared" si="118"/>
        <v>650</v>
      </c>
      <c r="I240" s="557">
        <f t="shared" si="118"/>
        <v>1150</v>
      </c>
      <c r="J240" s="557">
        <f t="shared" si="118"/>
        <v>1300</v>
      </c>
      <c r="K240" s="557">
        <f t="shared" si="118"/>
        <v>1300</v>
      </c>
      <c r="L240" s="944">
        <f t="shared" si="118"/>
        <v>1300</v>
      </c>
      <c r="M240" s="557">
        <f t="shared" si="118"/>
        <v>1300</v>
      </c>
      <c r="N240" s="557">
        <f t="shared" si="118"/>
        <v>1300</v>
      </c>
      <c r="O240" s="557">
        <f t="shared" si="118"/>
        <v>1300</v>
      </c>
      <c r="P240" s="557">
        <f t="shared" si="118"/>
        <v>1300</v>
      </c>
      <c r="Q240" s="557">
        <f t="shared" si="118"/>
        <v>1050</v>
      </c>
      <c r="R240" s="557">
        <f t="shared" si="118"/>
        <v>0</v>
      </c>
      <c r="S240" s="557"/>
      <c r="T240" s="557"/>
      <c r="U240" s="557"/>
      <c r="V240" s="557"/>
      <c r="W240" s="557"/>
      <c r="X240" s="557"/>
      <c r="Y240" s="557"/>
      <c r="Z240" s="617"/>
    </row>
    <row r="241" spans="2:26" s="302" customFormat="1" ht="15" hidden="1" outlineLevel="1" x14ac:dyDescent="0.25">
      <c r="B241" s="576" t="s">
        <v>462</v>
      </c>
      <c r="C241" s="582">
        <f>C240</f>
        <v>1500</v>
      </c>
      <c r="D241" s="598" t="s">
        <v>2</v>
      </c>
      <c r="E241" s="557">
        <f t="shared" si="118"/>
        <v>0</v>
      </c>
      <c r="F241" s="557">
        <f t="shared" si="118"/>
        <v>0</v>
      </c>
      <c r="G241" s="557">
        <f t="shared" si="118"/>
        <v>0</v>
      </c>
      <c r="H241" s="557">
        <f t="shared" si="118"/>
        <v>0</v>
      </c>
      <c r="I241" s="557">
        <f t="shared" si="118"/>
        <v>0</v>
      </c>
      <c r="J241" s="557">
        <f t="shared" si="118"/>
        <v>0</v>
      </c>
      <c r="K241" s="557">
        <f t="shared" si="118"/>
        <v>0</v>
      </c>
      <c r="L241" s="944">
        <f t="shared" si="118"/>
        <v>0</v>
      </c>
      <c r="M241" s="557">
        <f t="shared" si="118"/>
        <v>0</v>
      </c>
      <c r="N241" s="557">
        <f t="shared" si="118"/>
        <v>0</v>
      </c>
      <c r="O241" s="557">
        <f t="shared" si="118"/>
        <v>0</v>
      </c>
      <c r="P241" s="557">
        <f t="shared" si="118"/>
        <v>0</v>
      </c>
      <c r="Q241" s="557">
        <f t="shared" si="118"/>
        <v>0</v>
      </c>
      <c r="R241" s="557">
        <f t="shared" si="118"/>
        <v>0</v>
      </c>
      <c r="S241" s="591"/>
      <c r="T241" s="591"/>
      <c r="U241" s="591"/>
      <c r="V241" s="591"/>
      <c r="W241" s="591"/>
      <c r="X241" s="591"/>
      <c r="Y241" s="591"/>
      <c r="Z241" s="617"/>
    </row>
    <row r="242" spans="2:26" s="302" customFormat="1" ht="15" collapsed="1" x14ac:dyDescent="0.25">
      <c r="B242" s="578" t="s">
        <v>15</v>
      </c>
      <c r="C242" s="577"/>
      <c r="D242" s="584" t="s">
        <v>2</v>
      </c>
      <c r="E242" s="706">
        <f>ROUNDUP(E243/$C243+E244/$C244+E245/$C245+E246/$C246+E247/$C247,0)</f>
        <v>2</v>
      </c>
      <c r="F242" s="706">
        <f t="shared" ref="F242:X242" si="119">ROUNDUP(F243/$C243+F244/$C244+F245/$C245+F246/$C246+F247/$C247,0)</f>
        <v>2</v>
      </c>
      <c r="G242" s="706">
        <f t="shared" si="119"/>
        <v>2</v>
      </c>
      <c r="H242" s="706">
        <f t="shared" si="119"/>
        <v>2</v>
      </c>
      <c r="I242" s="706">
        <f t="shared" si="119"/>
        <v>2</v>
      </c>
      <c r="J242" s="706">
        <f t="shared" si="119"/>
        <v>2</v>
      </c>
      <c r="K242" s="706">
        <f t="shared" si="119"/>
        <v>2</v>
      </c>
      <c r="L242" s="951">
        <f t="shared" si="119"/>
        <v>2</v>
      </c>
      <c r="M242" s="706">
        <f t="shared" si="119"/>
        <v>2</v>
      </c>
      <c r="N242" s="706">
        <f t="shared" si="119"/>
        <v>2</v>
      </c>
      <c r="O242" s="706">
        <f t="shared" si="119"/>
        <v>2</v>
      </c>
      <c r="P242" s="706">
        <f t="shared" si="119"/>
        <v>2</v>
      </c>
      <c r="Q242" s="706">
        <f t="shared" si="119"/>
        <v>2</v>
      </c>
      <c r="R242" s="706">
        <f t="shared" si="119"/>
        <v>1</v>
      </c>
      <c r="S242" s="706">
        <f t="shared" si="119"/>
        <v>0</v>
      </c>
      <c r="T242" s="706">
        <f t="shared" si="119"/>
        <v>0</v>
      </c>
      <c r="U242" s="706">
        <f t="shared" si="119"/>
        <v>0</v>
      </c>
      <c r="V242" s="706">
        <f t="shared" si="119"/>
        <v>0</v>
      </c>
      <c r="W242" s="706">
        <f t="shared" si="119"/>
        <v>0</v>
      </c>
      <c r="X242" s="706">
        <f t="shared" si="119"/>
        <v>0</v>
      </c>
      <c r="Y242" s="585"/>
      <c r="Z242" s="403"/>
    </row>
    <row r="243" spans="2:26" s="302" customFormat="1" ht="15" hidden="1" outlineLevel="1" x14ac:dyDescent="0.25">
      <c r="B243" s="576" t="s">
        <v>3</v>
      </c>
      <c r="C243" s="623">
        <v>1</v>
      </c>
      <c r="D243" s="598" t="s">
        <v>2</v>
      </c>
      <c r="E243" s="297">
        <f>(E218+E224)/2</f>
        <v>0</v>
      </c>
      <c r="F243" s="297">
        <f t="shared" ref="F243:R243" si="120">(F218+F224)/2</f>
        <v>0</v>
      </c>
      <c r="G243" s="297">
        <f t="shared" si="120"/>
        <v>0</v>
      </c>
      <c r="H243" s="297">
        <f t="shared" si="120"/>
        <v>0</v>
      </c>
      <c r="I243" s="297">
        <f t="shared" si="120"/>
        <v>0</v>
      </c>
      <c r="J243" s="297">
        <f t="shared" si="120"/>
        <v>0</v>
      </c>
      <c r="K243" s="297">
        <f t="shared" si="120"/>
        <v>0</v>
      </c>
      <c r="L243" s="693">
        <f t="shared" si="120"/>
        <v>0</v>
      </c>
      <c r="M243" s="297">
        <f t="shared" si="120"/>
        <v>0</v>
      </c>
      <c r="N243" s="297">
        <f t="shared" si="120"/>
        <v>0</v>
      </c>
      <c r="O243" s="297">
        <f t="shared" si="120"/>
        <v>0</v>
      </c>
      <c r="P243" s="297">
        <f t="shared" si="120"/>
        <v>0</v>
      </c>
      <c r="Q243" s="297">
        <f t="shared" si="120"/>
        <v>0</v>
      </c>
      <c r="R243" s="297">
        <f t="shared" si="120"/>
        <v>0</v>
      </c>
      <c r="S243" s="297"/>
      <c r="T243" s="297"/>
      <c r="U243" s="297"/>
      <c r="V243" s="297"/>
      <c r="W243" s="297"/>
      <c r="X243" s="297"/>
      <c r="Y243" s="297"/>
      <c r="Z243" s="617"/>
    </row>
    <row r="244" spans="2:26" s="302" customFormat="1" ht="15" hidden="1" outlineLevel="1" x14ac:dyDescent="0.25">
      <c r="B244" s="576" t="s">
        <v>9</v>
      </c>
      <c r="C244" s="624">
        <f>'Экскаваторы II'!AP79</f>
        <v>2200</v>
      </c>
      <c r="D244" s="598" t="s">
        <v>2</v>
      </c>
      <c r="E244" s="297">
        <f t="shared" ref="E244:R247" si="121">(E219+E225)/2</f>
        <v>150</v>
      </c>
      <c r="F244" s="297">
        <f t="shared" si="121"/>
        <v>200</v>
      </c>
      <c r="G244" s="297">
        <f t="shared" si="121"/>
        <v>200</v>
      </c>
      <c r="H244" s="297">
        <f t="shared" si="121"/>
        <v>100</v>
      </c>
      <c r="I244" s="297">
        <f t="shared" si="121"/>
        <v>0</v>
      </c>
      <c r="J244" s="297">
        <f t="shared" si="121"/>
        <v>0</v>
      </c>
      <c r="K244" s="297">
        <f t="shared" si="121"/>
        <v>0</v>
      </c>
      <c r="L244" s="693">
        <f t="shared" si="121"/>
        <v>0</v>
      </c>
      <c r="M244" s="297">
        <f t="shared" si="121"/>
        <v>0</v>
      </c>
      <c r="N244" s="297">
        <f t="shared" si="121"/>
        <v>0</v>
      </c>
      <c r="O244" s="297">
        <f t="shared" si="121"/>
        <v>0</v>
      </c>
      <c r="P244" s="297">
        <f t="shared" si="121"/>
        <v>0</v>
      </c>
      <c r="Q244" s="297">
        <f t="shared" si="121"/>
        <v>0</v>
      </c>
      <c r="R244" s="297">
        <f t="shared" si="121"/>
        <v>0</v>
      </c>
      <c r="S244" s="297"/>
      <c r="T244" s="297"/>
      <c r="U244" s="297"/>
      <c r="V244" s="297"/>
      <c r="W244" s="297"/>
      <c r="X244" s="297"/>
      <c r="Y244" s="297"/>
      <c r="Z244" s="617"/>
    </row>
    <row r="245" spans="2:26" s="302" customFormat="1" ht="15" hidden="1" outlineLevel="1" x14ac:dyDescent="0.25">
      <c r="B245" s="576" t="s">
        <v>325</v>
      </c>
      <c r="C245" s="624">
        <f>'Экскаваторы II'!AP81</f>
        <v>1700</v>
      </c>
      <c r="D245" s="598" t="s">
        <v>2</v>
      </c>
      <c r="E245" s="297">
        <f t="shared" si="121"/>
        <v>1650</v>
      </c>
      <c r="F245" s="297">
        <f t="shared" si="121"/>
        <v>1750</v>
      </c>
      <c r="G245" s="297">
        <f t="shared" si="121"/>
        <v>1750</v>
      </c>
      <c r="H245" s="297">
        <f t="shared" si="121"/>
        <v>1850</v>
      </c>
      <c r="I245" s="297">
        <f t="shared" si="121"/>
        <v>1300</v>
      </c>
      <c r="J245" s="297">
        <f t="shared" si="121"/>
        <v>1300</v>
      </c>
      <c r="K245" s="297">
        <f t="shared" si="121"/>
        <v>1300</v>
      </c>
      <c r="L245" s="693">
        <f t="shared" si="121"/>
        <v>1300</v>
      </c>
      <c r="M245" s="297">
        <f t="shared" si="121"/>
        <v>1300</v>
      </c>
      <c r="N245" s="297">
        <f t="shared" si="121"/>
        <v>1300</v>
      </c>
      <c r="O245" s="297">
        <f t="shared" si="121"/>
        <v>1300</v>
      </c>
      <c r="P245" s="297">
        <f t="shared" si="121"/>
        <v>1300</v>
      </c>
      <c r="Q245" s="297">
        <f t="shared" si="121"/>
        <v>1000</v>
      </c>
      <c r="R245" s="297">
        <f t="shared" si="121"/>
        <v>500</v>
      </c>
      <c r="S245" s="557"/>
      <c r="T245" s="557"/>
      <c r="U245" s="557"/>
      <c r="V245" s="557"/>
      <c r="W245" s="557"/>
      <c r="X245" s="557"/>
      <c r="Y245" s="557"/>
      <c r="Z245" s="617"/>
    </row>
    <row r="246" spans="2:26" s="302" customFormat="1" ht="15" hidden="1" outlineLevel="1" x14ac:dyDescent="0.25">
      <c r="B246" s="576" t="s">
        <v>6</v>
      </c>
      <c r="C246" s="297">
        <f>'Экскаваторы II'!AP80</f>
        <v>2000</v>
      </c>
      <c r="D246" s="598" t="s">
        <v>2</v>
      </c>
      <c r="E246" s="297">
        <f t="shared" si="121"/>
        <v>500</v>
      </c>
      <c r="F246" s="297">
        <f t="shared" si="121"/>
        <v>650</v>
      </c>
      <c r="G246" s="297">
        <f t="shared" si="121"/>
        <v>650</v>
      </c>
      <c r="H246" s="297">
        <f t="shared" si="121"/>
        <v>650</v>
      </c>
      <c r="I246" s="297">
        <f t="shared" si="121"/>
        <v>1150</v>
      </c>
      <c r="J246" s="297">
        <f t="shared" si="121"/>
        <v>1300</v>
      </c>
      <c r="K246" s="297">
        <f t="shared" si="121"/>
        <v>1300</v>
      </c>
      <c r="L246" s="693">
        <f t="shared" si="121"/>
        <v>1300</v>
      </c>
      <c r="M246" s="297">
        <f t="shared" si="121"/>
        <v>1300</v>
      </c>
      <c r="N246" s="297">
        <f t="shared" si="121"/>
        <v>1300</v>
      </c>
      <c r="O246" s="297">
        <f t="shared" si="121"/>
        <v>1300</v>
      </c>
      <c r="P246" s="297">
        <f t="shared" si="121"/>
        <v>1300</v>
      </c>
      <c r="Q246" s="297">
        <f t="shared" si="121"/>
        <v>1050</v>
      </c>
      <c r="R246" s="297">
        <f t="shared" si="121"/>
        <v>0</v>
      </c>
      <c r="S246" s="557"/>
      <c r="T246" s="557"/>
      <c r="U246" s="557"/>
      <c r="V246" s="557"/>
      <c r="W246" s="557"/>
      <c r="X246" s="557"/>
      <c r="Y246" s="557"/>
      <c r="Z246" s="617"/>
    </row>
    <row r="247" spans="2:26" s="302" customFormat="1" ht="15.75" hidden="1" outlineLevel="1" thickBot="1" x14ac:dyDescent="0.3">
      <c r="B247" s="629" t="s">
        <v>462</v>
      </c>
      <c r="C247" s="630">
        <f>C246</f>
        <v>2000</v>
      </c>
      <c r="D247" s="631" t="s">
        <v>2</v>
      </c>
      <c r="E247" s="297">
        <f t="shared" si="121"/>
        <v>0</v>
      </c>
      <c r="F247" s="297">
        <f t="shared" si="121"/>
        <v>0</v>
      </c>
      <c r="G247" s="297">
        <f t="shared" si="121"/>
        <v>0</v>
      </c>
      <c r="H247" s="297">
        <f t="shared" si="121"/>
        <v>0</v>
      </c>
      <c r="I247" s="297">
        <f t="shared" si="121"/>
        <v>0</v>
      </c>
      <c r="J247" s="297">
        <f t="shared" si="121"/>
        <v>0</v>
      </c>
      <c r="K247" s="297">
        <f t="shared" si="121"/>
        <v>0</v>
      </c>
      <c r="L247" s="693">
        <f t="shared" si="121"/>
        <v>0</v>
      </c>
      <c r="M247" s="297">
        <f t="shared" si="121"/>
        <v>0</v>
      </c>
      <c r="N247" s="297">
        <f t="shared" si="121"/>
        <v>0</v>
      </c>
      <c r="O247" s="297">
        <f t="shared" si="121"/>
        <v>0</v>
      </c>
      <c r="P247" s="297">
        <f t="shared" si="121"/>
        <v>0</v>
      </c>
      <c r="Q247" s="297">
        <f t="shared" si="121"/>
        <v>0</v>
      </c>
      <c r="R247" s="297">
        <f t="shared" si="121"/>
        <v>0</v>
      </c>
      <c r="S247" s="665"/>
      <c r="T247" s="665"/>
      <c r="U247" s="665"/>
      <c r="V247" s="665"/>
      <c r="W247" s="665"/>
      <c r="X247" s="665"/>
      <c r="Y247" s="665"/>
      <c r="Z247" s="666"/>
    </row>
    <row r="248" spans="2:26" customFormat="1" ht="16.5" collapsed="1" thickBot="1" x14ac:dyDescent="0.3">
      <c r="B248" s="993" t="s">
        <v>343</v>
      </c>
      <c r="C248" s="994"/>
      <c r="D248" s="994"/>
      <c r="E248" s="994"/>
      <c r="F248" s="994"/>
      <c r="G248" s="994"/>
      <c r="H248" s="994"/>
      <c r="I248" s="994"/>
      <c r="J248" s="994"/>
      <c r="K248" s="994"/>
      <c r="L248" s="994"/>
      <c r="M248" s="994"/>
      <c r="N248" s="994"/>
      <c r="O248" s="994"/>
      <c r="P248" s="994"/>
      <c r="Q248" s="994"/>
      <c r="R248" s="994"/>
      <c r="S248" s="994"/>
      <c r="T248" s="994"/>
      <c r="U248" s="994"/>
      <c r="V248" s="994"/>
      <c r="W248" s="994"/>
      <c r="X248" s="994"/>
      <c r="Y248" s="994"/>
      <c r="Z248" s="995"/>
    </row>
    <row r="249" spans="2:26" customFormat="1" x14ac:dyDescent="0.2">
      <c r="B249" s="668" t="str">
        <f>Бурстанки!D6</f>
        <v>Pit Viper PV 271</v>
      </c>
      <c r="C249" s="669"/>
      <c r="D249" s="670" t="s">
        <v>2</v>
      </c>
      <c r="E249" s="857">
        <f>ROUNDUP(E250/$C252,0)</f>
        <v>1</v>
      </c>
      <c r="F249" s="857">
        <f t="shared" ref="F249:Y249" si="122">ROUNDUP(F250/$C252,0)</f>
        <v>1</v>
      </c>
      <c r="G249" s="857">
        <f t="shared" si="122"/>
        <v>1</v>
      </c>
      <c r="H249" s="857">
        <f t="shared" si="122"/>
        <v>1</v>
      </c>
      <c r="I249" s="857">
        <f t="shared" si="122"/>
        <v>1</v>
      </c>
      <c r="J249" s="857">
        <f t="shared" si="122"/>
        <v>1</v>
      </c>
      <c r="K249" s="857">
        <f t="shared" si="122"/>
        <v>1</v>
      </c>
      <c r="L249" s="944">
        <f t="shared" si="122"/>
        <v>1</v>
      </c>
      <c r="M249" s="857">
        <f t="shared" si="122"/>
        <v>1</v>
      </c>
      <c r="N249" s="857">
        <f t="shared" si="122"/>
        <v>1</v>
      </c>
      <c r="O249" s="857">
        <f t="shared" si="122"/>
        <v>1</v>
      </c>
      <c r="P249" s="857">
        <f t="shared" si="122"/>
        <v>1</v>
      </c>
      <c r="Q249" s="857">
        <f t="shared" si="122"/>
        <v>1</v>
      </c>
      <c r="R249" s="857">
        <f t="shared" si="122"/>
        <v>1</v>
      </c>
      <c r="S249" s="857">
        <f t="shared" si="122"/>
        <v>1</v>
      </c>
      <c r="T249" s="857">
        <f t="shared" si="122"/>
        <v>1</v>
      </c>
      <c r="U249" s="857">
        <f t="shared" si="122"/>
        <v>1</v>
      </c>
      <c r="V249" s="857">
        <f t="shared" si="122"/>
        <v>1</v>
      </c>
      <c r="W249" s="857">
        <f t="shared" si="122"/>
        <v>1</v>
      </c>
      <c r="X249" s="857">
        <f t="shared" si="122"/>
        <v>1</v>
      </c>
      <c r="Y249" s="857">
        <f t="shared" si="122"/>
        <v>1</v>
      </c>
      <c r="Z249" s="681"/>
    </row>
    <row r="250" spans="2:26" customFormat="1" ht="15" hidden="1" outlineLevel="1" x14ac:dyDescent="0.25">
      <c r="B250" s="300" t="s">
        <v>229</v>
      </c>
      <c r="C250" s="671"/>
      <c r="D250" s="598"/>
      <c r="E250" s="858">
        <f>SUM(E251:E252)</f>
        <v>290</v>
      </c>
      <c r="F250" s="858">
        <f t="shared" ref="F250:Y250" si="123">SUM(F251:F252)</f>
        <v>310</v>
      </c>
      <c r="G250" s="858">
        <f t="shared" si="123"/>
        <v>315</v>
      </c>
      <c r="H250" s="858">
        <f t="shared" si="123"/>
        <v>315</v>
      </c>
      <c r="I250" s="858">
        <f t="shared" si="123"/>
        <v>315</v>
      </c>
      <c r="J250" s="858">
        <f t="shared" si="123"/>
        <v>315</v>
      </c>
      <c r="K250" s="858">
        <f t="shared" si="123"/>
        <v>315</v>
      </c>
      <c r="L250" s="956">
        <f t="shared" si="123"/>
        <v>315</v>
      </c>
      <c r="M250" s="858">
        <f t="shared" si="123"/>
        <v>315</v>
      </c>
      <c r="N250" s="858">
        <f t="shared" si="123"/>
        <v>315</v>
      </c>
      <c r="O250" s="858">
        <f t="shared" si="123"/>
        <v>315</v>
      </c>
      <c r="P250" s="858">
        <f t="shared" si="123"/>
        <v>315</v>
      </c>
      <c r="Q250" s="858">
        <f t="shared" si="123"/>
        <v>315</v>
      </c>
      <c r="R250" s="858">
        <f t="shared" si="123"/>
        <v>315</v>
      </c>
      <c r="S250" s="858">
        <f t="shared" si="123"/>
        <v>315</v>
      </c>
      <c r="T250" s="858">
        <f t="shared" si="123"/>
        <v>315</v>
      </c>
      <c r="U250" s="858">
        <f t="shared" si="123"/>
        <v>315</v>
      </c>
      <c r="V250" s="858">
        <f t="shared" si="123"/>
        <v>315</v>
      </c>
      <c r="W250" s="858">
        <f t="shared" si="123"/>
        <v>315</v>
      </c>
      <c r="X250" s="858">
        <f t="shared" ref="X250" si="124">SUM(X251:X252)</f>
        <v>200</v>
      </c>
      <c r="Y250" s="682">
        <f t="shared" si="123"/>
        <v>200</v>
      </c>
      <c r="Z250" s="617"/>
    </row>
    <row r="251" spans="2:26" customFormat="1" hidden="1" outlineLevel="1" x14ac:dyDescent="0.2">
      <c r="B251" s="300" t="s">
        <v>3</v>
      </c>
      <c r="C251" s="671"/>
      <c r="D251" s="598"/>
      <c r="E251" s="557">
        <v>0</v>
      </c>
      <c r="F251" s="557">
        <v>0</v>
      </c>
      <c r="G251" s="557">
        <v>0</v>
      </c>
      <c r="H251" s="557">
        <v>0</v>
      </c>
      <c r="I251" s="557">
        <v>0</v>
      </c>
      <c r="J251" s="557">
        <v>0</v>
      </c>
      <c r="K251" s="557">
        <v>0</v>
      </c>
      <c r="L251" s="944">
        <v>0</v>
      </c>
      <c r="M251" s="557">
        <v>0</v>
      </c>
      <c r="N251" s="557">
        <v>0</v>
      </c>
      <c r="O251" s="557">
        <v>0</v>
      </c>
      <c r="P251" s="557">
        <v>0</v>
      </c>
      <c r="Q251" s="557">
        <v>0</v>
      </c>
      <c r="R251" s="557">
        <v>0</v>
      </c>
      <c r="S251" s="557">
        <v>0</v>
      </c>
      <c r="T251" s="557">
        <v>0</v>
      </c>
      <c r="U251" s="557">
        <v>0</v>
      </c>
      <c r="V251" s="557">
        <v>0</v>
      </c>
      <c r="W251" s="557">
        <v>0</v>
      </c>
      <c r="X251" s="557">
        <v>0</v>
      </c>
      <c r="Y251" s="557">
        <v>0</v>
      </c>
      <c r="Z251" s="617"/>
    </row>
    <row r="252" spans="2:26" customFormat="1" hidden="1" outlineLevel="1" x14ac:dyDescent="0.2">
      <c r="B252" s="300" t="s">
        <v>5</v>
      </c>
      <c r="C252" s="672">
        <f>Бурстанки!D24</f>
        <v>317.05920000000003</v>
      </c>
      <c r="D252" s="598"/>
      <c r="E252" s="557">
        <v>290</v>
      </c>
      <c r="F252" s="557">
        <v>310</v>
      </c>
      <c r="G252" s="557">
        <v>315</v>
      </c>
      <c r="H252" s="557">
        <v>315</v>
      </c>
      <c r="I252" s="557">
        <v>315</v>
      </c>
      <c r="J252" s="557">
        <v>315</v>
      </c>
      <c r="K252" s="557">
        <v>315</v>
      </c>
      <c r="L252" s="944">
        <v>315</v>
      </c>
      <c r="M252" s="557">
        <v>315</v>
      </c>
      <c r="N252" s="557">
        <v>315</v>
      </c>
      <c r="O252" s="557">
        <v>315</v>
      </c>
      <c r="P252" s="557">
        <v>315</v>
      </c>
      <c r="Q252" s="557">
        <v>315</v>
      </c>
      <c r="R252" s="557">
        <v>315</v>
      </c>
      <c r="S252" s="557">
        <v>315</v>
      </c>
      <c r="T252" s="557">
        <v>315</v>
      </c>
      <c r="U252" s="557">
        <v>315</v>
      </c>
      <c r="V252" s="557">
        <v>315</v>
      </c>
      <c r="W252" s="557">
        <v>315</v>
      </c>
      <c r="X252" s="557">
        <v>200</v>
      </c>
      <c r="Y252" s="557">
        <v>200</v>
      </c>
      <c r="Z252" s="617"/>
    </row>
    <row r="253" spans="2:26" customFormat="1" collapsed="1" x14ac:dyDescent="0.2">
      <c r="B253" s="673" t="str">
        <f>Бурстанки!E6</f>
        <v>Atlas Copco DML</v>
      </c>
      <c r="C253" s="674"/>
      <c r="D253" s="675" t="s">
        <v>2</v>
      </c>
      <c r="E253" s="857">
        <f>ROUNDUP(E254/$C256,0)</f>
        <v>2</v>
      </c>
      <c r="F253" s="857">
        <f t="shared" ref="F253:Y253" si="125">ROUNDUP(F254/$C256,0)</f>
        <v>2</v>
      </c>
      <c r="G253" s="857">
        <f t="shared" si="125"/>
        <v>2</v>
      </c>
      <c r="H253" s="857">
        <f t="shared" si="125"/>
        <v>3</v>
      </c>
      <c r="I253" s="857">
        <f t="shared" si="125"/>
        <v>3</v>
      </c>
      <c r="J253" s="857">
        <f t="shared" si="125"/>
        <v>3</v>
      </c>
      <c r="K253" s="857">
        <f t="shared" si="125"/>
        <v>3</v>
      </c>
      <c r="L253" s="944">
        <f t="shared" si="125"/>
        <v>3</v>
      </c>
      <c r="M253" s="857">
        <f t="shared" si="125"/>
        <v>3</v>
      </c>
      <c r="N253" s="857">
        <f t="shared" si="125"/>
        <v>3</v>
      </c>
      <c r="O253" s="857">
        <f t="shared" si="125"/>
        <v>3</v>
      </c>
      <c r="P253" s="857">
        <f t="shared" si="125"/>
        <v>3</v>
      </c>
      <c r="Q253" s="857">
        <f t="shared" si="125"/>
        <v>3</v>
      </c>
      <c r="R253" s="857">
        <f t="shared" si="125"/>
        <v>3</v>
      </c>
      <c r="S253" s="857">
        <f t="shared" si="125"/>
        <v>3</v>
      </c>
      <c r="T253" s="857">
        <f t="shared" si="125"/>
        <v>4</v>
      </c>
      <c r="U253" s="857">
        <f t="shared" si="125"/>
        <v>4</v>
      </c>
      <c r="V253" s="857">
        <f t="shared" si="125"/>
        <v>3</v>
      </c>
      <c r="W253" s="857">
        <f t="shared" si="125"/>
        <v>3</v>
      </c>
      <c r="X253" s="857">
        <f t="shared" si="125"/>
        <v>2</v>
      </c>
      <c r="Y253" s="857">
        <f t="shared" si="125"/>
        <v>1</v>
      </c>
      <c r="Z253" s="294"/>
    </row>
    <row r="254" spans="2:26" customFormat="1" ht="15" hidden="1" outlineLevel="1" x14ac:dyDescent="0.25">
      <c r="B254" s="676" t="s">
        <v>229</v>
      </c>
      <c r="C254" s="677"/>
      <c r="D254" s="678"/>
      <c r="E254" s="858">
        <f>SUM(E255:E256)</f>
        <v>374</v>
      </c>
      <c r="F254" s="858">
        <f t="shared" ref="F254:Y254" si="126">SUM(F255:F256)</f>
        <v>413</v>
      </c>
      <c r="G254" s="858">
        <f t="shared" si="126"/>
        <v>440</v>
      </c>
      <c r="H254" s="858">
        <f t="shared" si="126"/>
        <v>468</v>
      </c>
      <c r="I254" s="858">
        <f t="shared" si="126"/>
        <v>525</v>
      </c>
      <c r="J254" s="858">
        <f t="shared" si="126"/>
        <v>528</v>
      </c>
      <c r="K254" s="858">
        <f t="shared" si="126"/>
        <v>528</v>
      </c>
      <c r="L254" s="956">
        <f t="shared" si="126"/>
        <v>575</v>
      </c>
      <c r="M254" s="858">
        <f t="shared" si="126"/>
        <v>572</v>
      </c>
      <c r="N254" s="858">
        <f t="shared" si="126"/>
        <v>559</v>
      </c>
      <c r="O254" s="858">
        <f t="shared" si="126"/>
        <v>559</v>
      </c>
      <c r="P254" s="858">
        <f t="shared" si="126"/>
        <v>543</v>
      </c>
      <c r="Q254" s="858">
        <f t="shared" si="126"/>
        <v>559</v>
      </c>
      <c r="R254" s="858">
        <f t="shared" si="126"/>
        <v>625</v>
      </c>
      <c r="S254" s="858">
        <f t="shared" si="126"/>
        <v>644</v>
      </c>
      <c r="T254" s="858">
        <f t="shared" si="126"/>
        <v>757</v>
      </c>
      <c r="U254" s="858">
        <f t="shared" si="126"/>
        <v>804</v>
      </c>
      <c r="V254" s="858">
        <f t="shared" si="126"/>
        <v>657</v>
      </c>
      <c r="W254" s="858">
        <f t="shared" si="126"/>
        <v>459</v>
      </c>
      <c r="X254" s="858">
        <f t="shared" ref="X254" si="127">SUM(X255:X256)</f>
        <v>401</v>
      </c>
      <c r="Y254" s="682">
        <f t="shared" si="126"/>
        <v>117</v>
      </c>
      <c r="Z254" s="293"/>
    </row>
    <row r="255" spans="2:26" customFormat="1" hidden="1" outlineLevel="1" x14ac:dyDescent="0.2">
      <c r="B255" s="300" t="s">
        <v>3</v>
      </c>
      <c r="C255" s="671"/>
      <c r="D255" s="598"/>
      <c r="E255" s="557">
        <v>0</v>
      </c>
      <c r="F255" s="557">
        <v>0</v>
      </c>
      <c r="G255" s="557">
        <v>0</v>
      </c>
      <c r="H255" s="557">
        <v>0</v>
      </c>
      <c r="I255" s="557">
        <v>0</v>
      </c>
      <c r="J255" s="557">
        <v>0</v>
      </c>
      <c r="K255" s="557">
        <v>0</v>
      </c>
      <c r="L255" s="944">
        <v>0</v>
      </c>
      <c r="M255" s="557">
        <v>0</v>
      </c>
      <c r="N255" s="557">
        <v>0</v>
      </c>
      <c r="O255" s="557">
        <v>0</v>
      </c>
      <c r="P255" s="557">
        <v>0</v>
      </c>
      <c r="Q255" s="557">
        <v>0</v>
      </c>
      <c r="R255" s="557">
        <v>0</v>
      </c>
      <c r="S255" s="557">
        <v>0</v>
      </c>
      <c r="T255" s="557">
        <v>0</v>
      </c>
      <c r="U255" s="557">
        <v>0</v>
      </c>
      <c r="V255" s="557">
        <v>0</v>
      </c>
      <c r="W255" s="557">
        <v>0</v>
      </c>
      <c r="X255" s="557">
        <v>0</v>
      </c>
      <c r="Y255" s="297">
        <v>0</v>
      </c>
      <c r="Z255" s="293"/>
    </row>
    <row r="256" spans="2:26" customFormat="1" hidden="1" outlineLevel="1" x14ac:dyDescent="0.2">
      <c r="B256" s="300" t="s">
        <v>5</v>
      </c>
      <c r="C256" s="672">
        <f>Бурстанки!E24</f>
        <v>223.66800000000001</v>
      </c>
      <c r="D256" s="598"/>
      <c r="E256" s="557">
        <f t="shared" ref="E256:Y256" si="128">E76-E252-E260-E264</f>
        <v>374</v>
      </c>
      <c r="F256" s="557">
        <f t="shared" si="128"/>
        <v>413</v>
      </c>
      <c r="G256" s="557">
        <f t="shared" si="128"/>
        <v>440</v>
      </c>
      <c r="H256" s="557">
        <f t="shared" si="128"/>
        <v>468</v>
      </c>
      <c r="I256" s="557">
        <f t="shared" si="128"/>
        <v>525</v>
      </c>
      <c r="J256" s="557">
        <f t="shared" si="128"/>
        <v>528</v>
      </c>
      <c r="K256" s="557">
        <f t="shared" si="128"/>
        <v>528</v>
      </c>
      <c r="L256" s="944">
        <f t="shared" si="128"/>
        <v>575</v>
      </c>
      <c r="M256" s="557">
        <f t="shared" si="128"/>
        <v>572</v>
      </c>
      <c r="N256" s="557">
        <f t="shared" si="128"/>
        <v>559</v>
      </c>
      <c r="O256" s="557">
        <f t="shared" si="128"/>
        <v>559</v>
      </c>
      <c r="P256" s="557">
        <f t="shared" si="128"/>
        <v>543</v>
      </c>
      <c r="Q256" s="557">
        <f t="shared" si="128"/>
        <v>559</v>
      </c>
      <c r="R256" s="557">
        <f t="shared" si="128"/>
        <v>625</v>
      </c>
      <c r="S256" s="557">
        <f t="shared" si="128"/>
        <v>644</v>
      </c>
      <c r="T256" s="557">
        <f t="shared" si="128"/>
        <v>757</v>
      </c>
      <c r="U256" s="557">
        <f t="shared" si="128"/>
        <v>804</v>
      </c>
      <c r="V256" s="557">
        <f t="shared" si="128"/>
        <v>657</v>
      </c>
      <c r="W256" s="557">
        <f t="shared" si="128"/>
        <v>459</v>
      </c>
      <c r="X256" s="557">
        <f t="shared" si="128"/>
        <v>401</v>
      </c>
      <c r="Y256" s="557">
        <f t="shared" si="128"/>
        <v>117</v>
      </c>
      <c r="Z256" s="293"/>
    </row>
    <row r="257" spans="2:26" customFormat="1" collapsed="1" x14ac:dyDescent="0.2">
      <c r="B257" s="679" t="str">
        <f>Бурстанки!F6</f>
        <v>Atlas Copco DM-45</v>
      </c>
      <c r="C257" s="680"/>
      <c r="D257" s="680" t="s">
        <v>2</v>
      </c>
      <c r="E257" s="857">
        <f>ROUNDUP(E258/$C260,0)</f>
        <v>1</v>
      </c>
      <c r="F257" s="857">
        <f t="shared" ref="F257:Y257" si="129">ROUNDUP(F258/$C260,0)</f>
        <v>1</v>
      </c>
      <c r="G257" s="857">
        <f t="shared" si="129"/>
        <v>1</v>
      </c>
      <c r="H257" s="857">
        <f t="shared" si="129"/>
        <v>1</v>
      </c>
      <c r="I257" s="857">
        <f t="shared" si="129"/>
        <v>1</v>
      </c>
      <c r="J257" s="857">
        <f t="shared" si="129"/>
        <v>1</v>
      </c>
      <c r="K257" s="857">
        <f t="shared" si="129"/>
        <v>1</v>
      </c>
      <c r="L257" s="944">
        <f t="shared" si="129"/>
        <v>1</v>
      </c>
      <c r="M257" s="857">
        <f t="shared" si="129"/>
        <v>1</v>
      </c>
      <c r="N257" s="857">
        <f t="shared" si="129"/>
        <v>1</v>
      </c>
      <c r="O257" s="857">
        <f t="shared" si="129"/>
        <v>1</v>
      </c>
      <c r="P257" s="857">
        <f t="shared" si="129"/>
        <v>1</v>
      </c>
      <c r="Q257" s="857">
        <f t="shared" si="129"/>
        <v>1</v>
      </c>
      <c r="R257" s="857">
        <f t="shared" si="129"/>
        <v>1</v>
      </c>
      <c r="S257" s="857">
        <f t="shared" si="129"/>
        <v>1</v>
      </c>
      <c r="T257" s="857">
        <f t="shared" si="129"/>
        <v>1</v>
      </c>
      <c r="U257" s="857">
        <f t="shared" si="129"/>
        <v>1</v>
      </c>
      <c r="V257" s="857">
        <f t="shared" si="129"/>
        <v>1</v>
      </c>
      <c r="W257" s="857">
        <f t="shared" si="129"/>
        <v>1</v>
      </c>
      <c r="X257" s="857">
        <f t="shared" si="129"/>
        <v>1</v>
      </c>
      <c r="Y257" s="857">
        <f t="shared" si="129"/>
        <v>0</v>
      </c>
      <c r="Z257" s="406"/>
    </row>
    <row r="258" spans="2:26" customFormat="1" ht="12.75" hidden="1" customHeight="1" outlineLevel="1" x14ac:dyDescent="0.25">
      <c r="B258" s="676" t="s">
        <v>229</v>
      </c>
      <c r="C258" s="671"/>
      <c r="D258" s="598"/>
      <c r="E258" s="858">
        <f>SUM(E259:E260)</f>
        <v>200</v>
      </c>
      <c r="F258" s="858">
        <f t="shared" ref="F258:Y258" si="130">SUM(F259:F260)</f>
        <v>200</v>
      </c>
      <c r="G258" s="858">
        <f t="shared" si="130"/>
        <v>200</v>
      </c>
      <c r="H258" s="858">
        <f t="shared" si="130"/>
        <v>200</v>
      </c>
      <c r="I258" s="858">
        <f t="shared" si="130"/>
        <v>200</v>
      </c>
      <c r="J258" s="858">
        <f t="shared" si="130"/>
        <v>200</v>
      </c>
      <c r="K258" s="858">
        <f t="shared" si="130"/>
        <v>200</v>
      </c>
      <c r="L258" s="956">
        <f t="shared" si="130"/>
        <v>200</v>
      </c>
      <c r="M258" s="858">
        <f t="shared" si="130"/>
        <v>200</v>
      </c>
      <c r="N258" s="858">
        <f t="shared" si="130"/>
        <v>200</v>
      </c>
      <c r="O258" s="858">
        <f t="shared" si="130"/>
        <v>200</v>
      </c>
      <c r="P258" s="858">
        <f t="shared" si="130"/>
        <v>200</v>
      </c>
      <c r="Q258" s="858">
        <f t="shared" si="130"/>
        <v>200</v>
      </c>
      <c r="R258" s="858">
        <f t="shared" si="130"/>
        <v>200</v>
      </c>
      <c r="S258" s="858">
        <f t="shared" si="130"/>
        <v>200</v>
      </c>
      <c r="T258" s="858">
        <f t="shared" si="130"/>
        <v>200</v>
      </c>
      <c r="U258" s="858">
        <f t="shared" si="130"/>
        <v>200</v>
      </c>
      <c r="V258" s="858">
        <f t="shared" si="130"/>
        <v>200</v>
      </c>
      <c r="W258" s="858">
        <f t="shared" si="130"/>
        <v>200</v>
      </c>
      <c r="X258" s="858">
        <f t="shared" ref="X258" si="131">SUM(X259:X260)</f>
        <v>160</v>
      </c>
      <c r="Y258" s="682">
        <f t="shared" si="130"/>
        <v>0</v>
      </c>
      <c r="Z258" s="293"/>
    </row>
    <row r="259" spans="2:26" customFormat="1" hidden="1" outlineLevel="1" x14ac:dyDescent="0.2">
      <c r="B259" s="300" t="s">
        <v>3</v>
      </c>
      <c r="C259" s="671"/>
      <c r="D259" s="598"/>
      <c r="E259" s="557">
        <v>0</v>
      </c>
      <c r="F259" s="557">
        <v>0</v>
      </c>
      <c r="G259" s="557">
        <v>0</v>
      </c>
      <c r="H259" s="557">
        <v>0</v>
      </c>
      <c r="I259" s="557">
        <v>0</v>
      </c>
      <c r="J259" s="557">
        <v>0</v>
      </c>
      <c r="K259" s="557">
        <v>0</v>
      </c>
      <c r="L259" s="944">
        <v>0</v>
      </c>
      <c r="M259" s="557">
        <v>0</v>
      </c>
      <c r="N259" s="557">
        <v>0</v>
      </c>
      <c r="O259" s="557">
        <v>0</v>
      </c>
      <c r="P259" s="557">
        <v>0</v>
      </c>
      <c r="Q259" s="557">
        <v>0</v>
      </c>
      <c r="R259" s="557">
        <v>0</v>
      </c>
      <c r="S259" s="557">
        <v>0</v>
      </c>
      <c r="T259" s="557">
        <v>0</v>
      </c>
      <c r="U259" s="557">
        <v>0</v>
      </c>
      <c r="V259" s="557">
        <v>0</v>
      </c>
      <c r="W259" s="557">
        <v>0</v>
      </c>
      <c r="X259" s="557">
        <v>0</v>
      </c>
      <c r="Y259" s="297">
        <v>0</v>
      </c>
      <c r="Z259" s="293"/>
    </row>
    <row r="260" spans="2:26" customFormat="1" hidden="1" outlineLevel="1" x14ac:dyDescent="0.2">
      <c r="B260" s="300" t="s">
        <v>5</v>
      </c>
      <c r="C260" s="672">
        <f>Бурстанки!F24</f>
        <v>202.08600000000001</v>
      </c>
      <c r="D260" s="598"/>
      <c r="E260" s="557">
        <v>200</v>
      </c>
      <c r="F260" s="557">
        <v>200</v>
      </c>
      <c r="G260" s="557">
        <v>200</v>
      </c>
      <c r="H260" s="557">
        <v>200</v>
      </c>
      <c r="I260" s="557">
        <v>200</v>
      </c>
      <c r="J260" s="557">
        <v>200</v>
      </c>
      <c r="K260" s="557">
        <v>200</v>
      </c>
      <c r="L260" s="944">
        <v>200</v>
      </c>
      <c r="M260" s="557">
        <v>200</v>
      </c>
      <c r="N260" s="557">
        <v>200</v>
      </c>
      <c r="O260" s="557">
        <v>200</v>
      </c>
      <c r="P260" s="557">
        <v>200</v>
      </c>
      <c r="Q260" s="557">
        <v>200</v>
      </c>
      <c r="R260" s="557">
        <v>200</v>
      </c>
      <c r="S260" s="557">
        <v>200</v>
      </c>
      <c r="T260" s="557">
        <v>200</v>
      </c>
      <c r="U260" s="557">
        <v>200</v>
      </c>
      <c r="V260" s="557">
        <v>200</v>
      </c>
      <c r="W260" s="557">
        <v>200</v>
      </c>
      <c r="X260" s="557">
        <v>160</v>
      </c>
      <c r="Y260" s="557">
        <v>0</v>
      </c>
      <c r="Z260" s="293"/>
    </row>
    <row r="261" spans="2:26" customFormat="1" ht="13.5" collapsed="1" thickBot="1" x14ac:dyDescent="0.25">
      <c r="B261" s="673" t="str">
        <f>Бурстанки!G6</f>
        <v>Sandvik D50KS</v>
      </c>
      <c r="C261" s="674"/>
      <c r="D261" s="675" t="s">
        <v>2</v>
      </c>
      <c r="E261" s="857">
        <f>ROUNDUP(E262/$C264,0)</f>
        <v>1</v>
      </c>
      <c r="F261" s="857">
        <f t="shared" ref="F261:Y261" si="132">ROUNDUP(F262/$C264,0)</f>
        <v>1</v>
      </c>
      <c r="G261" s="857">
        <f t="shared" si="132"/>
        <v>1</v>
      </c>
      <c r="H261" s="857">
        <f t="shared" si="132"/>
        <v>1</v>
      </c>
      <c r="I261" s="857">
        <f t="shared" si="132"/>
        <v>1</v>
      </c>
      <c r="J261" s="857">
        <f t="shared" si="132"/>
        <v>1</v>
      </c>
      <c r="K261" s="857">
        <f t="shared" si="132"/>
        <v>1</v>
      </c>
      <c r="L261" s="944">
        <f t="shared" si="132"/>
        <v>1</v>
      </c>
      <c r="M261" s="857">
        <f t="shared" si="132"/>
        <v>1</v>
      </c>
      <c r="N261" s="857">
        <f t="shared" si="132"/>
        <v>1</v>
      </c>
      <c r="O261" s="857">
        <f t="shared" si="132"/>
        <v>1</v>
      </c>
      <c r="P261" s="857">
        <f t="shared" si="132"/>
        <v>1</v>
      </c>
      <c r="Q261" s="857">
        <f t="shared" si="132"/>
        <v>1</v>
      </c>
      <c r="R261" s="857">
        <f t="shared" si="132"/>
        <v>1</v>
      </c>
      <c r="S261" s="857">
        <f t="shared" si="132"/>
        <v>1</v>
      </c>
      <c r="T261" s="857">
        <f t="shared" si="132"/>
        <v>1</v>
      </c>
      <c r="U261" s="857">
        <f t="shared" si="132"/>
        <v>1</v>
      </c>
      <c r="V261" s="857">
        <f t="shared" si="132"/>
        <v>1</v>
      </c>
      <c r="W261" s="857">
        <f t="shared" si="132"/>
        <v>1</v>
      </c>
      <c r="X261" s="857">
        <f t="shared" si="132"/>
        <v>1</v>
      </c>
      <c r="Y261" s="857">
        <f t="shared" si="132"/>
        <v>0</v>
      </c>
      <c r="Z261" s="294"/>
    </row>
    <row r="262" spans="2:26" customFormat="1" ht="15" hidden="1" outlineLevel="1" x14ac:dyDescent="0.25">
      <c r="B262" s="676" t="s">
        <v>229</v>
      </c>
      <c r="C262" s="677"/>
      <c r="D262" s="678"/>
      <c r="E262" s="682">
        <f>SUM(E263:E264)</f>
        <v>180</v>
      </c>
      <c r="F262" s="682">
        <f t="shared" ref="F262:Y262" si="133">SUM(F263:F264)</f>
        <v>220</v>
      </c>
      <c r="G262" s="682">
        <f t="shared" si="133"/>
        <v>220</v>
      </c>
      <c r="H262" s="682">
        <f t="shared" si="133"/>
        <v>220</v>
      </c>
      <c r="I262" s="682">
        <f t="shared" si="133"/>
        <v>220</v>
      </c>
      <c r="J262" s="682">
        <f t="shared" si="133"/>
        <v>220</v>
      </c>
      <c r="K262" s="682">
        <f t="shared" si="133"/>
        <v>220</v>
      </c>
      <c r="L262" s="938">
        <f t="shared" si="133"/>
        <v>220</v>
      </c>
      <c r="M262" s="682">
        <f t="shared" si="133"/>
        <v>220</v>
      </c>
      <c r="N262" s="682">
        <f t="shared" si="133"/>
        <v>220</v>
      </c>
      <c r="O262" s="682">
        <f t="shared" si="133"/>
        <v>220</v>
      </c>
      <c r="P262" s="682">
        <f t="shared" si="133"/>
        <v>220</v>
      </c>
      <c r="Q262" s="682">
        <f t="shared" si="133"/>
        <v>220</v>
      </c>
      <c r="R262" s="682">
        <f t="shared" si="133"/>
        <v>220</v>
      </c>
      <c r="S262" s="682">
        <f t="shared" si="133"/>
        <v>220</v>
      </c>
      <c r="T262" s="682">
        <f t="shared" si="133"/>
        <v>220</v>
      </c>
      <c r="U262" s="682">
        <f t="shared" si="133"/>
        <v>220</v>
      </c>
      <c r="V262" s="682">
        <f t="shared" si="133"/>
        <v>220</v>
      </c>
      <c r="W262" s="682">
        <f t="shared" si="133"/>
        <v>220</v>
      </c>
      <c r="X262" s="682">
        <f t="shared" ref="X262" si="134">SUM(X263:X264)</f>
        <v>150</v>
      </c>
      <c r="Y262" s="682">
        <f t="shared" si="133"/>
        <v>0</v>
      </c>
      <c r="Z262" s="293"/>
    </row>
    <row r="263" spans="2:26" customFormat="1" hidden="1" outlineLevel="1" x14ac:dyDescent="0.2">
      <c r="B263" s="300" t="s">
        <v>3</v>
      </c>
      <c r="C263" s="671"/>
      <c r="D263" s="598"/>
      <c r="E263" s="297">
        <v>0</v>
      </c>
      <c r="F263" s="297">
        <v>0</v>
      </c>
      <c r="G263" s="297">
        <v>0</v>
      </c>
      <c r="H263" s="297">
        <v>0</v>
      </c>
      <c r="I263" s="297">
        <v>0</v>
      </c>
      <c r="J263" s="297">
        <v>0</v>
      </c>
      <c r="K263" s="297">
        <v>0</v>
      </c>
      <c r="L263" s="693">
        <v>0</v>
      </c>
      <c r="M263" s="297">
        <v>0</v>
      </c>
      <c r="N263" s="297">
        <v>0</v>
      </c>
      <c r="O263" s="297">
        <v>0</v>
      </c>
      <c r="P263" s="297">
        <v>0</v>
      </c>
      <c r="Q263" s="297">
        <v>0</v>
      </c>
      <c r="R263" s="297">
        <v>0</v>
      </c>
      <c r="S263" s="297">
        <v>0</v>
      </c>
      <c r="T263" s="297">
        <v>0</v>
      </c>
      <c r="U263" s="297">
        <v>0</v>
      </c>
      <c r="V263" s="297">
        <v>0</v>
      </c>
      <c r="W263" s="297">
        <v>0</v>
      </c>
      <c r="X263" s="297">
        <v>0</v>
      </c>
      <c r="Y263" s="297">
        <v>0</v>
      </c>
      <c r="Z263" s="293"/>
    </row>
    <row r="264" spans="2:26" customFormat="1" ht="13.5" hidden="1" outlineLevel="1" thickBot="1" x14ac:dyDescent="0.25">
      <c r="B264" s="300" t="s">
        <v>5</v>
      </c>
      <c r="C264" s="672">
        <f>Бурстанки!G24</f>
        <v>223.66800000000001</v>
      </c>
      <c r="D264" s="598"/>
      <c r="E264" s="557">
        <v>180</v>
      </c>
      <c r="F264" s="557">
        <v>220</v>
      </c>
      <c r="G264" s="557">
        <v>220</v>
      </c>
      <c r="H264" s="557">
        <v>220</v>
      </c>
      <c r="I264" s="557">
        <v>220</v>
      </c>
      <c r="J264" s="557">
        <v>220</v>
      </c>
      <c r="K264" s="557">
        <v>220</v>
      </c>
      <c r="L264" s="944">
        <v>220</v>
      </c>
      <c r="M264" s="557">
        <v>220</v>
      </c>
      <c r="N264" s="557">
        <v>220</v>
      </c>
      <c r="O264" s="557">
        <v>220</v>
      </c>
      <c r="P264" s="557">
        <v>220</v>
      </c>
      <c r="Q264" s="557">
        <v>220</v>
      </c>
      <c r="R264" s="557">
        <v>220</v>
      </c>
      <c r="S264" s="557">
        <v>220</v>
      </c>
      <c r="T264" s="557">
        <v>220</v>
      </c>
      <c r="U264" s="557">
        <v>220</v>
      </c>
      <c r="V264" s="557">
        <v>220</v>
      </c>
      <c r="W264" s="557">
        <v>220</v>
      </c>
      <c r="X264" s="557">
        <v>150</v>
      </c>
      <c r="Y264" s="557">
        <v>0</v>
      </c>
      <c r="Z264" s="293"/>
    </row>
    <row r="265" spans="2:26" customFormat="1" ht="15.75" collapsed="1" x14ac:dyDescent="0.25">
      <c r="B265" s="996" t="s">
        <v>356</v>
      </c>
      <c r="C265" s="997"/>
      <c r="D265" s="997"/>
      <c r="E265" s="997"/>
      <c r="F265" s="997"/>
      <c r="G265" s="997"/>
      <c r="H265" s="997"/>
      <c r="I265" s="997"/>
      <c r="J265" s="997"/>
      <c r="K265" s="997"/>
      <c r="L265" s="997"/>
      <c r="M265" s="997"/>
      <c r="N265" s="997"/>
      <c r="O265" s="997"/>
      <c r="P265" s="997"/>
      <c r="Q265" s="997"/>
      <c r="R265" s="997"/>
      <c r="S265" s="997"/>
      <c r="T265" s="997"/>
      <c r="U265" s="997"/>
      <c r="V265" s="997"/>
      <c r="W265" s="997"/>
      <c r="X265" s="997"/>
      <c r="Y265" s="997"/>
      <c r="Z265" s="998"/>
    </row>
    <row r="266" spans="2:26" customFormat="1" ht="15.75" x14ac:dyDescent="0.25">
      <c r="B266" s="1002" t="s">
        <v>510</v>
      </c>
      <c r="C266" s="1003"/>
      <c r="D266" s="1003"/>
      <c r="E266" s="1003"/>
      <c r="F266" s="1003"/>
      <c r="G266" s="1003"/>
      <c r="H266" s="1003"/>
      <c r="I266" s="1003"/>
      <c r="J266" s="1003"/>
      <c r="K266" s="1003"/>
      <c r="L266" s="1003"/>
      <c r="M266" s="1003"/>
      <c r="N266" s="1003"/>
      <c r="O266" s="1003"/>
      <c r="P266" s="1003"/>
      <c r="Q266" s="1003"/>
      <c r="R266" s="1003"/>
      <c r="S266" s="1003"/>
      <c r="T266" s="1003"/>
      <c r="U266" s="1003"/>
      <c r="V266" s="1003"/>
      <c r="W266" s="1003"/>
      <c r="X266" s="1003"/>
      <c r="Y266" s="1003"/>
      <c r="Z266" s="1004"/>
    </row>
    <row r="267" spans="2:26" s="307" customFormat="1" ht="15.75" x14ac:dyDescent="0.25">
      <c r="B267" s="683" t="s">
        <v>511</v>
      </c>
      <c r="C267" s="477"/>
      <c r="D267" s="685" t="s">
        <v>2</v>
      </c>
      <c r="E267" s="686">
        <v>2</v>
      </c>
      <c r="F267" s="686">
        <v>2</v>
      </c>
      <c r="G267" s="686">
        <v>2</v>
      </c>
      <c r="H267" s="686">
        <v>2</v>
      </c>
      <c r="I267" s="686">
        <v>2</v>
      </c>
      <c r="J267" s="686">
        <v>2</v>
      </c>
      <c r="K267" s="686">
        <v>2</v>
      </c>
      <c r="L267" s="957">
        <v>2</v>
      </c>
      <c r="M267" s="686">
        <v>2</v>
      </c>
      <c r="N267" s="686">
        <v>2</v>
      </c>
      <c r="O267" s="686">
        <v>2</v>
      </c>
      <c r="P267" s="686">
        <v>2</v>
      </c>
      <c r="Q267" s="686">
        <v>2</v>
      </c>
      <c r="R267" s="686">
        <v>2</v>
      </c>
      <c r="S267" s="686">
        <v>2</v>
      </c>
      <c r="T267" s="686">
        <v>2</v>
      </c>
      <c r="U267" s="686">
        <v>2</v>
      </c>
      <c r="V267" s="686">
        <v>2</v>
      </c>
      <c r="W267" s="686">
        <v>2</v>
      </c>
      <c r="X267" s="686">
        <v>2</v>
      </c>
      <c r="Y267" s="686">
        <v>1</v>
      </c>
      <c r="Z267" s="407"/>
    </row>
    <row r="268" spans="2:26" s="307" customFormat="1" ht="15.75" x14ac:dyDescent="0.25">
      <c r="B268" s="683" t="s">
        <v>512</v>
      </c>
      <c r="C268" s="477"/>
      <c r="D268" s="685" t="s">
        <v>2</v>
      </c>
      <c r="E268" s="686">
        <v>2</v>
      </c>
      <c r="F268" s="686">
        <v>2</v>
      </c>
      <c r="G268" s="686">
        <v>2</v>
      </c>
      <c r="H268" s="686">
        <v>2</v>
      </c>
      <c r="I268" s="686">
        <v>2</v>
      </c>
      <c r="J268" s="686">
        <v>2</v>
      </c>
      <c r="K268" s="686">
        <v>2</v>
      </c>
      <c r="L268" s="957">
        <v>2</v>
      </c>
      <c r="M268" s="686">
        <v>2</v>
      </c>
      <c r="N268" s="686">
        <v>2</v>
      </c>
      <c r="O268" s="686">
        <v>2</v>
      </c>
      <c r="P268" s="686">
        <v>2</v>
      </c>
      <c r="Q268" s="686">
        <v>2</v>
      </c>
      <c r="R268" s="686">
        <v>2</v>
      </c>
      <c r="S268" s="686">
        <v>2</v>
      </c>
      <c r="T268" s="686">
        <v>2</v>
      </c>
      <c r="U268" s="686">
        <v>2</v>
      </c>
      <c r="V268" s="686">
        <v>2</v>
      </c>
      <c r="W268" s="686">
        <v>1</v>
      </c>
      <c r="X268" s="686">
        <v>1</v>
      </c>
      <c r="Y268" s="686">
        <v>1</v>
      </c>
      <c r="Z268" s="407"/>
    </row>
    <row r="269" spans="2:26" s="307" customFormat="1" ht="15.75" x14ac:dyDescent="0.25">
      <c r="B269" s="683" t="s">
        <v>513</v>
      </c>
      <c r="C269" s="477"/>
      <c r="D269" s="685" t="s">
        <v>2</v>
      </c>
      <c r="E269" s="686">
        <v>2</v>
      </c>
      <c r="F269" s="686">
        <v>2</v>
      </c>
      <c r="G269" s="686">
        <v>2</v>
      </c>
      <c r="H269" s="686">
        <v>2</v>
      </c>
      <c r="I269" s="686">
        <v>2</v>
      </c>
      <c r="J269" s="686">
        <v>2</v>
      </c>
      <c r="K269" s="686">
        <v>2</v>
      </c>
      <c r="L269" s="957">
        <v>2</v>
      </c>
      <c r="M269" s="686">
        <v>2</v>
      </c>
      <c r="N269" s="686">
        <v>2</v>
      </c>
      <c r="O269" s="686">
        <v>2</v>
      </c>
      <c r="P269" s="686">
        <v>2</v>
      </c>
      <c r="Q269" s="686">
        <v>2</v>
      </c>
      <c r="R269" s="686">
        <v>2</v>
      </c>
      <c r="S269" s="686">
        <v>2</v>
      </c>
      <c r="T269" s="686">
        <v>2</v>
      </c>
      <c r="U269" s="686">
        <v>2</v>
      </c>
      <c r="V269" s="686">
        <v>2</v>
      </c>
      <c r="W269" s="686">
        <v>1</v>
      </c>
      <c r="X269" s="686">
        <v>1</v>
      </c>
      <c r="Y269" s="686">
        <v>0</v>
      </c>
      <c r="Z269" s="407"/>
    </row>
    <row r="270" spans="2:26" s="307" customFormat="1" ht="15.75" x14ac:dyDescent="0.25">
      <c r="B270" s="683" t="s">
        <v>378</v>
      </c>
      <c r="C270" s="408"/>
      <c r="D270" s="685" t="s">
        <v>2</v>
      </c>
      <c r="E270" s="686">
        <v>2</v>
      </c>
      <c r="F270" s="686">
        <v>2</v>
      </c>
      <c r="G270" s="686">
        <v>2</v>
      </c>
      <c r="H270" s="686">
        <v>2</v>
      </c>
      <c r="I270" s="686">
        <v>2</v>
      </c>
      <c r="J270" s="686">
        <v>2</v>
      </c>
      <c r="K270" s="686">
        <v>2</v>
      </c>
      <c r="L270" s="957">
        <v>2</v>
      </c>
      <c r="M270" s="686">
        <v>2</v>
      </c>
      <c r="N270" s="686">
        <v>2</v>
      </c>
      <c r="O270" s="686">
        <v>2</v>
      </c>
      <c r="P270" s="686">
        <v>2</v>
      </c>
      <c r="Q270" s="686">
        <v>2</v>
      </c>
      <c r="R270" s="686">
        <v>2</v>
      </c>
      <c r="S270" s="686">
        <v>2</v>
      </c>
      <c r="T270" s="686">
        <v>2</v>
      </c>
      <c r="U270" s="686">
        <v>2</v>
      </c>
      <c r="V270" s="686">
        <v>1</v>
      </c>
      <c r="W270" s="686">
        <v>1</v>
      </c>
      <c r="X270" s="686">
        <v>1</v>
      </c>
      <c r="Y270" s="686">
        <v>0</v>
      </c>
      <c r="Z270" s="407"/>
    </row>
    <row r="271" spans="2:26" s="307" customFormat="1" ht="15.75" x14ac:dyDescent="0.25">
      <c r="B271" s="683" t="s">
        <v>192</v>
      </c>
      <c r="C271" s="408"/>
      <c r="D271" s="685" t="s">
        <v>2</v>
      </c>
      <c r="E271" s="686">
        <v>1</v>
      </c>
      <c r="F271" s="686">
        <v>1</v>
      </c>
      <c r="G271" s="686">
        <v>2</v>
      </c>
      <c r="H271" s="686">
        <v>2</v>
      </c>
      <c r="I271" s="686">
        <v>2</v>
      </c>
      <c r="J271" s="686">
        <v>2</v>
      </c>
      <c r="K271" s="686">
        <v>2</v>
      </c>
      <c r="L271" s="957">
        <v>2</v>
      </c>
      <c r="M271" s="686">
        <v>2</v>
      </c>
      <c r="N271" s="686">
        <v>2</v>
      </c>
      <c r="O271" s="686">
        <v>2</v>
      </c>
      <c r="P271" s="686">
        <v>2</v>
      </c>
      <c r="Q271" s="686">
        <v>2</v>
      </c>
      <c r="R271" s="686">
        <v>2</v>
      </c>
      <c r="S271" s="686">
        <v>2</v>
      </c>
      <c r="T271" s="686">
        <v>2</v>
      </c>
      <c r="U271" s="686">
        <v>2</v>
      </c>
      <c r="V271" s="686">
        <v>1</v>
      </c>
      <c r="W271" s="686">
        <v>1</v>
      </c>
      <c r="X271" s="686">
        <v>0</v>
      </c>
      <c r="Y271" s="686">
        <v>0</v>
      </c>
      <c r="Z271" s="407"/>
    </row>
    <row r="272" spans="2:26" s="307" customFormat="1" ht="15.75" x14ac:dyDescent="0.25">
      <c r="B272" s="684" t="s">
        <v>377</v>
      </c>
      <c r="C272" s="408"/>
      <c r="D272" s="685" t="s">
        <v>2</v>
      </c>
      <c r="E272" s="686">
        <v>1</v>
      </c>
      <c r="F272" s="686">
        <v>1</v>
      </c>
      <c r="G272" s="686">
        <v>1</v>
      </c>
      <c r="H272" s="686">
        <v>1</v>
      </c>
      <c r="I272" s="686">
        <v>2</v>
      </c>
      <c r="J272" s="686">
        <v>2</v>
      </c>
      <c r="K272" s="686">
        <v>2</v>
      </c>
      <c r="L272" s="957">
        <v>2</v>
      </c>
      <c r="M272" s="686">
        <v>2</v>
      </c>
      <c r="N272" s="686">
        <v>2</v>
      </c>
      <c r="O272" s="686">
        <v>2</v>
      </c>
      <c r="P272" s="686">
        <v>2</v>
      </c>
      <c r="Q272" s="686">
        <v>2</v>
      </c>
      <c r="R272" s="686">
        <v>1</v>
      </c>
      <c r="S272" s="686">
        <v>1</v>
      </c>
      <c r="T272" s="686">
        <v>1</v>
      </c>
      <c r="U272" s="686">
        <v>1</v>
      </c>
      <c r="V272" s="686">
        <v>1</v>
      </c>
      <c r="W272" s="686">
        <v>1</v>
      </c>
      <c r="X272" s="686">
        <v>1</v>
      </c>
      <c r="Y272" s="686">
        <v>0</v>
      </c>
      <c r="Z272" s="407"/>
    </row>
    <row r="273" spans="2:26" s="307" customFormat="1" ht="15.75" x14ac:dyDescent="0.25">
      <c r="B273" s="1002" t="s">
        <v>357</v>
      </c>
      <c r="C273" s="1003"/>
      <c r="D273" s="1003"/>
      <c r="E273" s="1003"/>
      <c r="F273" s="1003"/>
      <c r="G273" s="1003"/>
      <c r="H273" s="1003"/>
      <c r="I273" s="1003"/>
      <c r="J273" s="1003"/>
      <c r="K273" s="1003"/>
      <c r="L273" s="1003"/>
      <c r="M273" s="1003"/>
      <c r="N273" s="1003"/>
      <c r="O273" s="1003"/>
      <c r="P273" s="1003"/>
      <c r="Q273" s="1003"/>
      <c r="R273" s="1003"/>
      <c r="S273" s="1003"/>
      <c r="T273" s="1003"/>
      <c r="U273" s="1003"/>
      <c r="V273" s="1003"/>
      <c r="W273" s="1003"/>
      <c r="X273" s="1003"/>
      <c r="Y273" s="1003"/>
      <c r="Z273" s="1004"/>
    </row>
    <row r="274" spans="2:26" s="307" customFormat="1" ht="15.75" x14ac:dyDescent="0.25">
      <c r="B274" s="683" t="s">
        <v>192</v>
      </c>
      <c r="C274" s="686">
        <f>Бульдозера!E26</f>
        <v>5656.2162162162158</v>
      </c>
      <c r="D274" s="685" t="s">
        <v>43</v>
      </c>
      <c r="E274" s="686">
        <f t="shared" ref="E274:Y274" si="135">ROUNDUP((E87-$C276*E276-$C275*E275)/$C274,0)</f>
        <v>3</v>
      </c>
      <c r="F274" s="686">
        <f t="shared" si="135"/>
        <v>3</v>
      </c>
      <c r="G274" s="686">
        <f t="shared" si="135"/>
        <v>4</v>
      </c>
      <c r="H274" s="686">
        <f t="shared" si="135"/>
        <v>4</v>
      </c>
      <c r="I274" s="686">
        <f t="shared" si="135"/>
        <v>4</v>
      </c>
      <c r="J274" s="686">
        <f t="shared" si="135"/>
        <v>4</v>
      </c>
      <c r="K274" s="686">
        <f t="shared" si="135"/>
        <v>4</v>
      </c>
      <c r="L274" s="957">
        <f t="shared" si="135"/>
        <v>5</v>
      </c>
      <c r="M274" s="686">
        <f t="shared" si="135"/>
        <v>5</v>
      </c>
      <c r="N274" s="686">
        <f t="shared" si="135"/>
        <v>5</v>
      </c>
      <c r="O274" s="686">
        <f t="shared" si="135"/>
        <v>5</v>
      </c>
      <c r="P274" s="686">
        <f t="shared" si="135"/>
        <v>4</v>
      </c>
      <c r="Q274" s="686">
        <f t="shared" si="135"/>
        <v>4</v>
      </c>
      <c r="R274" s="686">
        <f t="shared" si="135"/>
        <v>4</v>
      </c>
      <c r="S274" s="686">
        <f t="shared" si="135"/>
        <v>4</v>
      </c>
      <c r="T274" s="686">
        <f t="shared" si="135"/>
        <v>5</v>
      </c>
      <c r="U274" s="686">
        <f t="shared" si="135"/>
        <v>5</v>
      </c>
      <c r="V274" s="686">
        <f t="shared" si="135"/>
        <v>4</v>
      </c>
      <c r="W274" s="686">
        <f t="shared" si="135"/>
        <v>3</v>
      </c>
      <c r="X274" s="686">
        <f t="shared" si="135"/>
        <v>2</v>
      </c>
      <c r="Y274" s="686">
        <f t="shared" si="135"/>
        <v>1</v>
      </c>
      <c r="Z274" s="701"/>
    </row>
    <row r="275" spans="2:26" s="307" customFormat="1" ht="15.75" x14ac:dyDescent="0.25">
      <c r="B275" s="684" t="s">
        <v>377</v>
      </c>
      <c r="C275" s="702">
        <f>Бульдозера!D26</f>
        <v>4014.4416356877327</v>
      </c>
      <c r="D275" s="685" t="s">
        <v>43</v>
      </c>
      <c r="E275" s="702">
        <v>3</v>
      </c>
      <c r="F275" s="702">
        <v>3</v>
      </c>
      <c r="G275" s="702">
        <v>3</v>
      </c>
      <c r="H275" s="702">
        <v>3</v>
      </c>
      <c r="I275" s="702">
        <v>3</v>
      </c>
      <c r="J275" s="702">
        <v>3</v>
      </c>
      <c r="K275" s="702">
        <v>3</v>
      </c>
      <c r="L275" s="958">
        <v>3</v>
      </c>
      <c r="M275" s="702">
        <v>3</v>
      </c>
      <c r="N275" s="702">
        <v>3</v>
      </c>
      <c r="O275" s="702">
        <v>3</v>
      </c>
      <c r="P275" s="702">
        <v>3</v>
      </c>
      <c r="Q275" s="702">
        <v>3</v>
      </c>
      <c r="R275" s="702">
        <v>3</v>
      </c>
      <c r="S275" s="702">
        <v>3</v>
      </c>
      <c r="T275" s="702">
        <v>3</v>
      </c>
      <c r="U275" s="702">
        <v>3</v>
      </c>
      <c r="V275" s="702">
        <v>3</v>
      </c>
      <c r="W275" s="702">
        <v>3</v>
      </c>
      <c r="X275" s="702">
        <v>2</v>
      </c>
      <c r="Y275" s="702">
        <v>1</v>
      </c>
      <c r="Z275" s="703"/>
    </row>
    <row r="276" spans="2:26" s="307" customFormat="1" ht="16.5" thickBot="1" x14ac:dyDescent="0.3">
      <c r="B276" s="684" t="s">
        <v>351</v>
      </c>
      <c r="C276" s="702">
        <f>Бульдозера!F26</f>
        <v>6039.7816822429904</v>
      </c>
      <c r="D276" s="704" t="s">
        <v>43</v>
      </c>
      <c r="E276" s="702">
        <v>2</v>
      </c>
      <c r="F276" s="702">
        <v>2</v>
      </c>
      <c r="G276" s="702">
        <v>2</v>
      </c>
      <c r="H276" s="702">
        <v>2</v>
      </c>
      <c r="I276" s="702">
        <v>2</v>
      </c>
      <c r="J276" s="702">
        <v>2</v>
      </c>
      <c r="K276" s="702">
        <v>2</v>
      </c>
      <c r="L276" s="958">
        <v>2</v>
      </c>
      <c r="M276" s="702">
        <v>2</v>
      </c>
      <c r="N276" s="702">
        <v>2</v>
      </c>
      <c r="O276" s="702">
        <v>2</v>
      </c>
      <c r="P276" s="702">
        <v>2</v>
      </c>
      <c r="Q276" s="702">
        <v>2</v>
      </c>
      <c r="R276" s="702">
        <v>2</v>
      </c>
      <c r="S276" s="702">
        <v>2</v>
      </c>
      <c r="T276" s="702">
        <v>2</v>
      </c>
      <c r="U276" s="702">
        <v>2</v>
      </c>
      <c r="V276" s="702">
        <v>2</v>
      </c>
      <c r="W276" s="702">
        <v>2</v>
      </c>
      <c r="X276" s="702">
        <v>2</v>
      </c>
      <c r="Y276" s="702">
        <v>1</v>
      </c>
      <c r="Z276" s="703"/>
    </row>
    <row r="277" spans="2:26" customFormat="1" ht="16.5" thickBot="1" x14ac:dyDescent="0.3">
      <c r="B277" s="999" t="s">
        <v>166</v>
      </c>
      <c r="C277" s="1000"/>
      <c r="D277" s="1000"/>
      <c r="E277" s="1000"/>
      <c r="F277" s="1000"/>
      <c r="G277" s="1000"/>
      <c r="H277" s="1000"/>
      <c r="I277" s="1000"/>
      <c r="J277" s="1000"/>
      <c r="K277" s="1000"/>
      <c r="L277" s="1000"/>
      <c r="M277" s="1000"/>
      <c r="N277" s="1000"/>
      <c r="O277" s="1000"/>
      <c r="P277" s="1000"/>
      <c r="Q277" s="1000"/>
      <c r="R277" s="1000"/>
      <c r="S277" s="1000"/>
      <c r="T277" s="1000"/>
      <c r="U277" s="1000"/>
      <c r="V277" s="1000"/>
      <c r="W277" s="1000"/>
      <c r="X277" s="1000"/>
      <c r="Y277" s="1000"/>
      <c r="Z277" s="1001"/>
    </row>
    <row r="278" spans="2:26" s="302" customFormat="1" x14ac:dyDescent="0.2">
      <c r="B278" s="832" t="s">
        <v>525</v>
      </c>
      <c r="C278" s="833"/>
      <c r="D278" s="834"/>
      <c r="E278" s="835"/>
      <c r="F278" s="835"/>
      <c r="G278" s="835"/>
      <c r="H278" s="835"/>
      <c r="I278" s="835"/>
      <c r="J278" s="835"/>
      <c r="K278" s="835"/>
      <c r="L278" s="959"/>
      <c r="M278" s="835"/>
      <c r="N278" s="835"/>
      <c r="O278" s="835"/>
      <c r="P278" s="835"/>
      <c r="Q278" s="835"/>
      <c r="R278" s="835"/>
      <c r="S278" s="835"/>
      <c r="T278" s="835"/>
      <c r="U278" s="835"/>
      <c r="V278" s="835"/>
      <c r="W278" s="835"/>
      <c r="X278" s="835"/>
      <c r="Y278" s="835"/>
      <c r="Z278" s="836"/>
    </row>
    <row r="279" spans="2:26" s="302" customFormat="1" x14ac:dyDescent="0.2">
      <c r="B279" s="300" t="s">
        <v>346</v>
      </c>
      <c r="C279" s="671"/>
      <c r="D279" s="709" t="s">
        <v>43</v>
      </c>
      <c r="E279" s="597" t="e">
        <f>Самосвалы!#REF!</f>
        <v>#REF!</v>
      </c>
      <c r="F279" s="597" t="e">
        <f>Самосвалы!#REF!</f>
        <v>#REF!</v>
      </c>
      <c r="G279" s="597" t="e">
        <f>Самосвалы!#REF!</f>
        <v>#REF!</v>
      </c>
      <c r="H279" s="597" t="e">
        <f>Самосвалы!#REF!</f>
        <v>#REF!</v>
      </c>
      <c r="I279" s="597" t="e">
        <f>Самосвалы!#REF!</f>
        <v>#REF!</v>
      </c>
      <c r="J279" s="597" t="e">
        <f>Самосвалы!#REF!</f>
        <v>#REF!</v>
      </c>
      <c r="K279" s="597" t="e">
        <f>Самосвалы!#REF!</f>
        <v>#REF!</v>
      </c>
      <c r="L279" s="960">
        <f>Самосвалы!D89</f>
        <v>49.280000000000008</v>
      </c>
      <c r="M279" s="597" t="e">
        <f>Самосвалы!#REF!</f>
        <v>#REF!</v>
      </c>
      <c r="N279" s="597" t="e">
        <f>Самосвалы!#REF!</f>
        <v>#REF!</v>
      </c>
      <c r="O279" s="597" t="e">
        <f>Самосвалы!#REF!</f>
        <v>#REF!</v>
      </c>
      <c r="P279" s="597" t="e">
        <f>Самосвалы!#REF!</f>
        <v>#REF!</v>
      </c>
      <c r="Q279" s="597" t="e">
        <f>Самосвалы!#REF!</f>
        <v>#REF!</v>
      </c>
      <c r="R279" s="597" t="e">
        <f>Самосвалы!#REF!</f>
        <v>#REF!</v>
      </c>
      <c r="S279" s="597" t="e">
        <f>Самосвалы!#REF!</f>
        <v>#REF!</v>
      </c>
      <c r="T279" s="597" t="e">
        <f>Самосвалы!#REF!</f>
        <v>#REF!</v>
      </c>
      <c r="U279" s="597" t="e">
        <f>Самосвалы!#REF!</f>
        <v>#REF!</v>
      </c>
      <c r="V279" s="597" t="e">
        <f>Самосвалы!#REF!</f>
        <v>#REF!</v>
      </c>
      <c r="W279" s="597" t="e">
        <f>Самосвалы!#REF!</f>
        <v>#REF!</v>
      </c>
      <c r="X279" s="597" t="e">
        <f>Самосвалы!#REF!</f>
        <v>#REF!</v>
      </c>
      <c r="Y279" s="597">
        <v>7.8</v>
      </c>
      <c r="Z279" s="837"/>
    </row>
    <row r="280" spans="2:26" s="302" customFormat="1" x14ac:dyDescent="0.2">
      <c r="B280" s="838" t="s">
        <v>347</v>
      </c>
      <c r="C280" s="839"/>
      <c r="D280" s="595" t="s">
        <v>43</v>
      </c>
      <c r="E280" s="557" t="e">
        <f>ROUNDUP(Самосвалы!#REF!,0)</f>
        <v>#REF!</v>
      </c>
      <c r="F280" s="557" t="e">
        <f>ROUNDUP(Самосвалы!#REF!,0)</f>
        <v>#REF!</v>
      </c>
      <c r="G280" s="557" t="e">
        <f>ROUNDUP(Самосвалы!#REF!,0)</f>
        <v>#REF!</v>
      </c>
      <c r="H280" s="557" t="e">
        <f>ROUNDUP(Самосвалы!#REF!,0)</f>
        <v>#REF!</v>
      </c>
      <c r="I280" s="557" t="e">
        <f>ROUNDUP(Самосвалы!#REF!,0)</f>
        <v>#REF!</v>
      </c>
      <c r="J280" s="557" t="e">
        <f>ROUNDUP(Самосвалы!#REF!,0)</f>
        <v>#REF!</v>
      </c>
      <c r="K280" s="557" t="e">
        <f>ROUNDUP(Самосвалы!#REF!,0)</f>
        <v>#REF!</v>
      </c>
      <c r="L280" s="944">
        <f>ROUNDUP(Самосвалы!D90,0)</f>
        <v>60</v>
      </c>
      <c r="M280" s="557" t="e">
        <f>ROUNDUP(Самосвалы!#REF!,0)</f>
        <v>#REF!</v>
      </c>
      <c r="N280" s="557" t="e">
        <f>ROUNDUP(Самосвалы!#REF!,0)</f>
        <v>#REF!</v>
      </c>
      <c r="O280" s="557" t="e">
        <f>ROUNDUP(Самосвалы!#REF!,0)</f>
        <v>#REF!</v>
      </c>
      <c r="P280" s="557" t="e">
        <f>ROUNDUP(Самосвалы!#REF!,0)</f>
        <v>#REF!</v>
      </c>
      <c r="Q280" s="557" t="e">
        <f>ROUNDUP(Самосвалы!#REF!,0)</f>
        <v>#REF!</v>
      </c>
      <c r="R280" s="557" t="e">
        <f>ROUNDUP(Самосвалы!#REF!,0)</f>
        <v>#REF!</v>
      </c>
      <c r="S280" s="557" t="e">
        <f>ROUNDUP(Самосвалы!#REF!,0)</f>
        <v>#REF!</v>
      </c>
      <c r="T280" s="557" t="e">
        <f>ROUNDUP(Самосвалы!#REF!,0)</f>
        <v>#REF!</v>
      </c>
      <c r="U280" s="557" t="e">
        <f>ROUNDUP(Самосвалы!#REF!,0)</f>
        <v>#REF!</v>
      </c>
      <c r="V280" s="557" t="e">
        <f>ROUNDUP(Самосвалы!#REF!,0)</f>
        <v>#REF!</v>
      </c>
      <c r="W280" s="557" t="e">
        <f>ROUNDUP(Самосвалы!#REF!,0)</f>
        <v>#REF!</v>
      </c>
      <c r="X280" s="557" t="e">
        <f>ROUNDUP(Самосвалы!#REF!,0)</f>
        <v>#REF!</v>
      </c>
      <c r="Y280" s="557">
        <v>10</v>
      </c>
      <c r="Z280" s="840"/>
    </row>
    <row r="281" spans="2:26" s="302" customFormat="1" x14ac:dyDescent="0.2">
      <c r="B281" s="309" t="s">
        <v>526</v>
      </c>
      <c r="C281" s="915"/>
      <c r="D281" s="916"/>
      <c r="E281" s="917"/>
      <c r="F281" s="917"/>
      <c r="G281" s="917"/>
      <c r="H281" s="917"/>
      <c r="I281" s="917"/>
      <c r="J281" s="917"/>
      <c r="K281" s="917"/>
      <c r="L281" s="944"/>
      <c r="M281" s="917"/>
      <c r="N281" s="917"/>
      <c r="O281" s="917"/>
      <c r="P281" s="917"/>
      <c r="Q281" s="917"/>
      <c r="R281" s="917"/>
      <c r="S281" s="917"/>
      <c r="T281" s="917"/>
      <c r="U281" s="917"/>
      <c r="V281" s="917"/>
      <c r="W281" s="917"/>
      <c r="X281" s="917"/>
      <c r="Y281" s="917"/>
      <c r="Z281" s="918"/>
    </row>
    <row r="282" spans="2:26" s="302" customFormat="1" x14ac:dyDescent="0.2">
      <c r="B282" s="300" t="s">
        <v>346</v>
      </c>
      <c r="C282" s="839"/>
      <c r="D282" s="595" t="s">
        <v>43</v>
      </c>
      <c r="E282" s="597" t="e">
        <f>E285+E288</f>
        <v>#REF!</v>
      </c>
      <c r="F282" s="597" t="e">
        <f t="shared" ref="F282:X282" si="136">F285+F288</f>
        <v>#REF!</v>
      </c>
      <c r="G282" s="597" t="e">
        <f t="shared" si="136"/>
        <v>#REF!</v>
      </c>
      <c r="H282" s="597" t="e">
        <f t="shared" si="136"/>
        <v>#REF!</v>
      </c>
      <c r="I282" s="597" t="e">
        <f t="shared" si="136"/>
        <v>#REF!</v>
      </c>
      <c r="J282" s="597" t="e">
        <f t="shared" si="136"/>
        <v>#REF!</v>
      </c>
      <c r="K282" s="597" t="e">
        <f t="shared" si="136"/>
        <v>#REF!</v>
      </c>
      <c r="L282" s="960">
        <f t="shared" si="136"/>
        <v>9.73</v>
      </c>
      <c r="M282" s="597" t="e">
        <f t="shared" si="136"/>
        <v>#REF!</v>
      </c>
      <c r="N282" s="597" t="e">
        <f t="shared" si="136"/>
        <v>#REF!</v>
      </c>
      <c r="O282" s="597" t="e">
        <f t="shared" si="136"/>
        <v>#REF!</v>
      </c>
      <c r="P282" s="597" t="e">
        <f t="shared" si="136"/>
        <v>#REF!</v>
      </c>
      <c r="Q282" s="597" t="e">
        <f t="shared" si="136"/>
        <v>#REF!</v>
      </c>
      <c r="R282" s="597" t="e">
        <f t="shared" si="136"/>
        <v>#REF!</v>
      </c>
      <c r="S282" s="597" t="e">
        <f t="shared" si="136"/>
        <v>#REF!</v>
      </c>
      <c r="T282" s="597" t="e">
        <f t="shared" si="136"/>
        <v>#REF!</v>
      </c>
      <c r="U282" s="597" t="e">
        <f t="shared" si="136"/>
        <v>#REF!</v>
      </c>
      <c r="V282" s="597" t="e">
        <f t="shared" si="136"/>
        <v>#REF!</v>
      </c>
      <c r="W282" s="597" t="e">
        <f t="shared" si="136"/>
        <v>#REF!</v>
      </c>
      <c r="X282" s="597" t="e">
        <f t="shared" si="136"/>
        <v>#REF!</v>
      </c>
      <c r="Y282" s="597">
        <f t="shared" ref="Y282" si="137">Y285+Y288</f>
        <v>4.8</v>
      </c>
      <c r="Z282" s="840"/>
    </row>
    <row r="283" spans="2:26" s="302" customFormat="1" x14ac:dyDescent="0.2">
      <c r="B283" s="838" t="s">
        <v>347</v>
      </c>
      <c r="C283" s="839"/>
      <c r="D283" s="595" t="s">
        <v>43</v>
      </c>
      <c r="E283" s="557" t="e">
        <f>ROUNDUP(E282*1.2,0)</f>
        <v>#REF!</v>
      </c>
      <c r="F283" s="557" t="e">
        <f t="shared" ref="F283:X283" si="138">ROUNDUP(F282*1.2,0)</f>
        <v>#REF!</v>
      </c>
      <c r="G283" s="557" t="e">
        <f t="shared" si="138"/>
        <v>#REF!</v>
      </c>
      <c r="H283" s="557" t="e">
        <f t="shared" si="138"/>
        <v>#REF!</v>
      </c>
      <c r="I283" s="557" t="e">
        <f t="shared" si="138"/>
        <v>#REF!</v>
      </c>
      <c r="J283" s="557" t="e">
        <f t="shared" si="138"/>
        <v>#REF!</v>
      </c>
      <c r="K283" s="557" t="e">
        <f t="shared" si="138"/>
        <v>#REF!</v>
      </c>
      <c r="L283" s="944">
        <f t="shared" si="138"/>
        <v>12</v>
      </c>
      <c r="M283" s="557" t="e">
        <f t="shared" si="138"/>
        <v>#REF!</v>
      </c>
      <c r="N283" s="557" t="e">
        <f t="shared" si="138"/>
        <v>#REF!</v>
      </c>
      <c r="O283" s="557" t="e">
        <f t="shared" si="138"/>
        <v>#REF!</v>
      </c>
      <c r="P283" s="557" t="e">
        <f t="shared" si="138"/>
        <v>#REF!</v>
      </c>
      <c r="Q283" s="557" t="e">
        <f t="shared" si="138"/>
        <v>#REF!</v>
      </c>
      <c r="R283" s="557" t="e">
        <f t="shared" si="138"/>
        <v>#REF!</v>
      </c>
      <c r="S283" s="557" t="e">
        <f t="shared" si="138"/>
        <v>#REF!</v>
      </c>
      <c r="T283" s="557" t="e">
        <f t="shared" si="138"/>
        <v>#REF!</v>
      </c>
      <c r="U283" s="557" t="e">
        <f t="shared" si="138"/>
        <v>#REF!</v>
      </c>
      <c r="V283" s="557" t="e">
        <f t="shared" si="138"/>
        <v>#REF!</v>
      </c>
      <c r="W283" s="557" t="e">
        <f t="shared" si="138"/>
        <v>#REF!</v>
      </c>
      <c r="X283" s="557" t="e">
        <f t="shared" si="138"/>
        <v>#REF!</v>
      </c>
      <c r="Y283" s="557">
        <f t="shared" ref="Y283" si="139">ROUNDUP(Y282*1.2,0)</f>
        <v>6</v>
      </c>
      <c r="Z283" s="840"/>
    </row>
    <row r="284" spans="2:26" s="302" customFormat="1" outlineLevel="1" x14ac:dyDescent="0.2">
      <c r="B284" s="919" t="s">
        <v>385</v>
      </c>
      <c r="C284" s="922"/>
      <c r="D284" s="923"/>
      <c r="E284" s="924"/>
      <c r="F284" s="924"/>
      <c r="G284" s="924"/>
      <c r="H284" s="924"/>
      <c r="I284" s="924"/>
      <c r="J284" s="924"/>
      <c r="K284" s="924"/>
      <c r="L284" s="960"/>
      <c r="M284" s="924"/>
      <c r="N284" s="924"/>
      <c r="O284" s="924"/>
      <c r="P284" s="924"/>
      <c r="Q284" s="924"/>
      <c r="R284" s="924"/>
      <c r="S284" s="924"/>
      <c r="T284" s="924"/>
      <c r="U284" s="924"/>
      <c r="V284" s="924"/>
      <c r="W284" s="924"/>
      <c r="X284" s="924"/>
      <c r="Y284" s="923"/>
      <c r="Z284" s="925"/>
    </row>
    <row r="285" spans="2:26" s="302" customFormat="1" outlineLevel="1" x14ac:dyDescent="0.2">
      <c r="B285" s="920" t="s">
        <v>346</v>
      </c>
      <c r="C285" s="671"/>
      <c r="D285" s="709" t="s">
        <v>43</v>
      </c>
      <c r="E285" s="597" t="e">
        <f>Самосвалы!#REF!</f>
        <v>#REF!</v>
      </c>
      <c r="F285" s="597" t="e">
        <f>Самосвалы!#REF!</f>
        <v>#REF!</v>
      </c>
      <c r="G285" s="597" t="e">
        <f>Самосвалы!#REF!</f>
        <v>#REF!</v>
      </c>
      <c r="H285" s="597" t="e">
        <f>Самосвалы!#REF!</f>
        <v>#REF!</v>
      </c>
      <c r="I285" s="597" t="e">
        <f>Самосвалы!#REF!</f>
        <v>#REF!</v>
      </c>
      <c r="J285" s="597" t="e">
        <f>Самосвалы!#REF!</f>
        <v>#REF!</v>
      </c>
      <c r="K285" s="597" t="e">
        <f>Самосвалы!#REF!</f>
        <v>#REF!</v>
      </c>
      <c r="L285" s="960">
        <f>Самосвалы!D92</f>
        <v>6.41</v>
      </c>
      <c r="M285" s="597" t="e">
        <f>Самосвалы!#REF!</f>
        <v>#REF!</v>
      </c>
      <c r="N285" s="597" t="e">
        <f>Самосвалы!#REF!</f>
        <v>#REF!</v>
      </c>
      <c r="O285" s="597" t="e">
        <f>Самосвалы!#REF!</f>
        <v>#REF!</v>
      </c>
      <c r="P285" s="597" t="e">
        <f>Самосвалы!#REF!</f>
        <v>#REF!</v>
      </c>
      <c r="Q285" s="597" t="e">
        <f>Самосвалы!#REF!</f>
        <v>#REF!</v>
      </c>
      <c r="R285" s="597" t="e">
        <f>Самосвалы!#REF!</f>
        <v>#REF!</v>
      </c>
      <c r="S285" s="597" t="e">
        <f>Самосвалы!#REF!</f>
        <v>#REF!</v>
      </c>
      <c r="T285" s="597" t="e">
        <f>Самосвалы!#REF!</f>
        <v>#REF!</v>
      </c>
      <c r="U285" s="597" t="e">
        <f>Самосвалы!#REF!</f>
        <v>#REF!</v>
      </c>
      <c r="V285" s="597" t="e">
        <f>Самосвалы!#REF!</f>
        <v>#REF!</v>
      </c>
      <c r="W285" s="597" t="e">
        <f>Самосвалы!#REF!</f>
        <v>#REF!</v>
      </c>
      <c r="X285" s="597" t="e">
        <f>Самосвалы!#REF!</f>
        <v>#REF!</v>
      </c>
      <c r="Y285" s="597">
        <v>4</v>
      </c>
      <c r="Z285" s="837"/>
    </row>
    <row r="286" spans="2:26" s="302" customFormat="1" outlineLevel="1" x14ac:dyDescent="0.2">
      <c r="B286" s="921" t="s">
        <v>347</v>
      </c>
      <c r="C286" s="671"/>
      <c r="D286" s="709" t="s">
        <v>43</v>
      </c>
      <c r="E286" s="557" t="e">
        <f>ROUNDUP(Самосвалы!#REF!,0)</f>
        <v>#REF!</v>
      </c>
      <c r="F286" s="557" t="e">
        <f>ROUNDUP(Самосвалы!#REF!,0)</f>
        <v>#REF!</v>
      </c>
      <c r="G286" s="557" t="e">
        <f>ROUNDUP(Самосвалы!#REF!,0)</f>
        <v>#REF!</v>
      </c>
      <c r="H286" s="557" t="e">
        <f>ROUNDUP(Самосвалы!#REF!,0)</f>
        <v>#REF!</v>
      </c>
      <c r="I286" s="557" t="e">
        <f>ROUNDUP(Самосвалы!#REF!,0)</f>
        <v>#REF!</v>
      </c>
      <c r="J286" s="557" t="e">
        <f>ROUNDUP(Самосвалы!#REF!,0)</f>
        <v>#REF!</v>
      </c>
      <c r="K286" s="557" t="e">
        <f>ROUNDUP(Самосвалы!#REF!,0)</f>
        <v>#REF!</v>
      </c>
      <c r="L286" s="944">
        <f>ROUNDUP(Самосвалы!D93,0)</f>
        <v>8</v>
      </c>
      <c r="M286" s="557" t="e">
        <f>ROUNDUP(Самосвалы!#REF!,0)</f>
        <v>#REF!</v>
      </c>
      <c r="N286" s="557" t="e">
        <f>ROUNDUP(Самосвалы!#REF!,0)</f>
        <v>#REF!</v>
      </c>
      <c r="O286" s="557" t="e">
        <f>ROUNDUP(Самосвалы!#REF!,0)</f>
        <v>#REF!</v>
      </c>
      <c r="P286" s="557" t="e">
        <f>ROUNDUP(Самосвалы!#REF!,0)</f>
        <v>#REF!</v>
      </c>
      <c r="Q286" s="557" t="e">
        <f>ROUNDUP(Самосвалы!#REF!,0)</f>
        <v>#REF!</v>
      </c>
      <c r="R286" s="557" t="e">
        <f>ROUNDUP(Самосвалы!#REF!,0)</f>
        <v>#REF!</v>
      </c>
      <c r="S286" s="557" t="e">
        <f>ROUNDUP(Самосвалы!#REF!,0)</f>
        <v>#REF!</v>
      </c>
      <c r="T286" s="557" t="e">
        <f>ROUNDUP(Самосвалы!#REF!,0)</f>
        <v>#REF!</v>
      </c>
      <c r="U286" s="557" t="e">
        <f>ROUNDUP(Самосвалы!#REF!,0)</f>
        <v>#REF!</v>
      </c>
      <c r="V286" s="557" t="e">
        <f>ROUNDUP(Самосвалы!#REF!,0)</f>
        <v>#REF!</v>
      </c>
      <c r="W286" s="557" t="e">
        <f>ROUNDUP(Самосвалы!#REF!,0)</f>
        <v>#REF!</v>
      </c>
      <c r="X286" s="557" t="e">
        <f>ROUNDUP(Самосвалы!#REF!,0)</f>
        <v>#REF!</v>
      </c>
      <c r="Y286" s="557">
        <v>5</v>
      </c>
      <c r="Z286" s="837"/>
    </row>
    <row r="287" spans="2:26" s="302" customFormat="1" outlineLevel="1" x14ac:dyDescent="0.2">
      <c r="B287" s="919" t="s">
        <v>426</v>
      </c>
      <c r="C287" s="922"/>
      <c r="D287" s="923"/>
      <c r="E287" s="924"/>
      <c r="F287" s="924"/>
      <c r="G287" s="924"/>
      <c r="H287" s="924"/>
      <c r="I287" s="924"/>
      <c r="J287" s="924"/>
      <c r="K287" s="924"/>
      <c r="L287" s="960"/>
      <c r="M287" s="924"/>
      <c r="N287" s="924"/>
      <c r="O287" s="924"/>
      <c r="P287" s="924"/>
      <c r="Q287" s="924"/>
      <c r="R287" s="924"/>
      <c r="S287" s="924"/>
      <c r="T287" s="924"/>
      <c r="U287" s="924"/>
      <c r="V287" s="924"/>
      <c r="W287" s="924"/>
      <c r="X287" s="924"/>
      <c r="Y287" s="923"/>
      <c r="Z287" s="923"/>
    </row>
    <row r="288" spans="2:26" s="302" customFormat="1" outlineLevel="1" x14ac:dyDescent="0.2">
      <c r="B288" s="920" t="s">
        <v>346</v>
      </c>
      <c r="C288" s="671"/>
      <c r="D288" s="709" t="s">
        <v>43</v>
      </c>
      <c r="E288" s="597" t="e">
        <f>Самосвалы!#REF!</f>
        <v>#REF!</v>
      </c>
      <c r="F288" s="597" t="e">
        <f>Самосвалы!#REF!</f>
        <v>#REF!</v>
      </c>
      <c r="G288" s="597" t="e">
        <f>Самосвалы!#REF!</f>
        <v>#REF!</v>
      </c>
      <c r="H288" s="597" t="e">
        <f>Самосвалы!#REF!</f>
        <v>#REF!</v>
      </c>
      <c r="I288" s="597" t="e">
        <f>Самосвалы!#REF!</f>
        <v>#REF!</v>
      </c>
      <c r="J288" s="597" t="e">
        <f>Самосвалы!#REF!</f>
        <v>#REF!</v>
      </c>
      <c r="K288" s="597" t="e">
        <f>Самосвалы!#REF!</f>
        <v>#REF!</v>
      </c>
      <c r="L288" s="960">
        <f>Самосвалы!D95</f>
        <v>3.3200000000000003</v>
      </c>
      <c r="M288" s="597" t="e">
        <f>Самосвалы!#REF!</f>
        <v>#REF!</v>
      </c>
      <c r="N288" s="597" t="e">
        <f>Самосвалы!#REF!</f>
        <v>#REF!</v>
      </c>
      <c r="O288" s="597" t="e">
        <f>Самосвалы!#REF!</f>
        <v>#REF!</v>
      </c>
      <c r="P288" s="597" t="e">
        <f>Самосвалы!#REF!</f>
        <v>#REF!</v>
      </c>
      <c r="Q288" s="597" t="e">
        <f>Самосвалы!#REF!</f>
        <v>#REF!</v>
      </c>
      <c r="R288" s="597" t="e">
        <f>Самосвалы!#REF!</f>
        <v>#REF!</v>
      </c>
      <c r="S288" s="597" t="e">
        <f>Самосвалы!#REF!</f>
        <v>#REF!</v>
      </c>
      <c r="T288" s="597" t="e">
        <f>Самосвалы!#REF!</f>
        <v>#REF!</v>
      </c>
      <c r="U288" s="597" t="e">
        <f>Самосвалы!#REF!</f>
        <v>#REF!</v>
      </c>
      <c r="V288" s="597" t="e">
        <f>Самосвалы!#REF!</f>
        <v>#REF!</v>
      </c>
      <c r="W288" s="597" t="e">
        <f>Самосвалы!#REF!</f>
        <v>#REF!</v>
      </c>
      <c r="X288" s="597" t="e">
        <f>Самосвалы!#REF!</f>
        <v>#REF!</v>
      </c>
      <c r="Y288" s="597">
        <v>0.8</v>
      </c>
      <c r="Z288" s="837"/>
    </row>
    <row r="289" spans="2:26" s="302" customFormat="1" outlineLevel="1" x14ac:dyDescent="0.2">
      <c r="B289" s="921" t="s">
        <v>347</v>
      </c>
      <c r="C289" s="839"/>
      <c r="D289" s="595" t="s">
        <v>43</v>
      </c>
      <c r="E289" s="557" t="e">
        <f>ROUNDUP(Самосвалы!#REF!,0)</f>
        <v>#REF!</v>
      </c>
      <c r="F289" s="557" t="e">
        <f>ROUNDUP(Самосвалы!#REF!,0)</f>
        <v>#REF!</v>
      </c>
      <c r="G289" s="557" t="e">
        <f>ROUNDUP(Самосвалы!#REF!,0)</f>
        <v>#REF!</v>
      </c>
      <c r="H289" s="557" t="e">
        <f>ROUNDUP(Самосвалы!#REF!,0)</f>
        <v>#REF!</v>
      </c>
      <c r="I289" s="557" t="e">
        <f>ROUNDUP(Самосвалы!#REF!,0)</f>
        <v>#REF!</v>
      </c>
      <c r="J289" s="557" t="e">
        <f>ROUNDUP(Самосвалы!#REF!,0)</f>
        <v>#REF!</v>
      </c>
      <c r="K289" s="557" t="e">
        <f>ROUNDUP(Самосвалы!#REF!,0)</f>
        <v>#REF!</v>
      </c>
      <c r="L289" s="944">
        <f>ROUNDUP(Самосвалы!D96,0)</f>
        <v>4</v>
      </c>
      <c r="M289" s="557" t="e">
        <f>ROUNDUP(Самосвалы!#REF!,0)</f>
        <v>#REF!</v>
      </c>
      <c r="N289" s="557" t="e">
        <f>ROUNDUP(Самосвалы!#REF!,0)</f>
        <v>#REF!</v>
      </c>
      <c r="O289" s="557" t="e">
        <f>ROUNDUP(Самосвалы!#REF!,0)</f>
        <v>#REF!</v>
      </c>
      <c r="P289" s="557" t="e">
        <f>ROUNDUP(Самосвалы!#REF!,0)</f>
        <v>#REF!</v>
      </c>
      <c r="Q289" s="557" t="e">
        <f>ROUNDUP(Самосвалы!#REF!,0)</f>
        <v>#REF!</v>
      </c>
      <c r="R289" s="557" t="e">
        <f>ROUNDUP(Самосвалы!#REF!,0)</f>
        <v>#REF!</v>
      </c>
      <c r="S289" s="557" t="e">
        <f>ROUNDUP(Самосвалы!#REF!,0)</f>
        <v>#REF!</v>
      </c>
      <c r="T289" s="557" t="e">
        <f>ROUNDUP(Самосвалы!#REF!,0)</f>
        <v>#REF!</v>
      </c>
      <c r="U289" s="557" t="e">
        <f>ROUNDUP(Самосвалы!#REF!,0)</f>
        <v>#REF!</v>
      </c>
      <c r="V289" s="557" t="e">
        <f>ROUNDUP(Самосвалы!#REF!,0)</f>
        <v>#REF!</v>
      </c>
      <c r="W289" s="557" t="e">
        <f>ROUNDUP(Самосвалы!#REF!,0)</f>
        <v>#REF!</v>
      </c>
      <c r="X289" s="557" t="e">
        <f>ROUNDUP(Самосвалы!#REF!,0)</f>
        <v>#REF!</v>
      </c>
      <c r="Y289" s="625">
        <f>ROUNDUP(Y288*1.2,0)</f>
        <v>1</v>
      </c>
      <c r="Z289" s="840"/>
    </row>
    <row r="290" spans="2:26" customFormat="1" x14ac:dyDescent="0.2">
      <c r="B290" s="309" t="s">
        <v>387</v>
      </c>
      <c r="C290" s="841"/>
      <c r="D290" s="842"/>
      <c r="E290" s="844"/>
      <c r="F290" s="844"/>
      <c r="G290" s="844"/>
      <c r="H290" s="844"/>
      <c r="I290" s="844"/>
      <c r="J290" s="844"/>
      <c r="K290" s="844"/>
      <c r="L290" s="960"/>
      <c r="M290" s="844"/>
      <c r="N290" s="844"/>
      <c r="O290" s="844"/>
      <c r="P290" s="844"/>
      <c r="Q290" s="844"/>
      <c r="R290" s="844"/>
      <c r="S290" s="844"/>
      <c r="T290" s="844"/>
      <c r="U290" s="844"/>
      <c r="V290" s="844"/>
      <c r="W290" s="844"/>
      <c r="X290" s="844"/>
      <c r="Y290" s="842"/>
      <c r="Z290" s="843"/>
    </row>
    <row r="291" spans="2:26" customFormat="1" x14ac:dyDescent="0.2">
      <c r="B291" s="300" t="s">
        <v>346</v>
      </c>
      <c r="C291" s="671"/>
      <c r="D291" s="709" t="s">
        <v>43</v>
      </c>
      <c r="E291" s="597" t="e">
        <f>Самосвалы!#REF!</f>
        <v>#REF!</v>
      </c>
      <c r="F291" s="597" t="e">
        <f>Самосвалы!#REF!</f>
        <v>#REF!</v>
      </c>
      <c r="G291" s="597" t="e">
        <f>Самосвалы!#REF!</f>
        <v>#REF!</v>
      </c>
      <c r="H291" s="597" t="e">
        <f>Самосвалы!#REF!</f>
        <v>#REF!</v>
      </c>
      <c r="I291" s="597" t="e">
        <f>Самосвалы!#REF!</f>
        <v>#REF!</v>
      </c>
      <c r="J291" s="597" t="e">
        <f>Самосвалы!#REF!</f>
        <v>#REF!</v>
      </c>
      <c r="K291" s="597" t="e">
        <f>Самосвалы!#REF!</f>
        <v>#REF!</v>
      </c>
      <c r="L291" s="960">
        <f>Самосвалы!D98</f>
        <v>7.16</v>
      </c>
      <c r="M291" s="597" t="e">
        <f>Самосвалы!#REF!</f>
        <v>#REF!</v>
      </c>
      <c r="N291" s="597" t="e">
        <f>Самосвалы!#REF!</f>
        <v>#REF!</v>
      </c>
      <c r="O291" s="597" t="e">
        <f>Самосвалы!#REF!</f>
        <v>#REF!</v>
      </c>
      <c r="P291" s="597" t="e">
        <f>Самосвалы!#REF!</f>
        <v>#REF!</v>
      </c>
      <c r="Q291" s="597" t="e">
        <f>Самосвалы!#REF!</f>
        <v>#REF!</v>
      </c>
      <c r="R291" s="597" t="e">
        <f>Самосвалы!#REF!</f>
        <v>#REF!</v>
      </c>
      <c r="S291" s="597" t="e">
        <f>Самосвалы!#REF!</f>
        <v>#REF!</v>
      </c>
      <c r="T291" s="597" t="e">
        <f>Самосвалы!#REF!</f>
        <v>#REF!</v>
      </c>
      <c r="U291" s="597" t="e">
        <f>Самосвалы!#REF!</f>
        <v>#REF!</v>
      </c>
      <c r="V291" s="597" t="e">
        <f>Самосвалы!#REF!</f>
        <v>#REF!</v>
      </c>
      <c r="W291" s="597" t="e">
        <f>Самосвалы!#REF!</f>
        <v>#REF!</v>
      </c>
      <c r="X291" s="597" t="e">
        <f>Самосвалы!#REF!</f>
        <v>#REF!</v>
      </c>
      <c r="Y291" s="597">
        <v>2.2999999999999998</v>
      </c>
      <c r="Z291" s="837"/>
    </row>
    <row r="292" spans="2:26" customFormat="1" ht="13.5" thickBot="1" x14ac:dyDescent="0.25">
      <c r="B292" s="838" t="s">
        <v>347</v>
      </c>
      <c r="C292" s="839"/>
      <c r="D292" s="595" t="s">
        <v>43</v>
      </c>
      <c r="E292" s="625" t="e">
        <f>ROUNDUP(Самосвалы!#REF!,0)</f>
        <v>#REF!</v>
      </c>
      <c r="F292" s="625" t="e">
        <f>ROUNDUP(Самосвалы!#REF!,0)</f>
        <v>#REF!</v>
      </c>
      <c r="G292" s="625" t="e">
        <f>ROUNDUP(Самосвалы!#REF!,0)</f>
        <v>#REF!</v>
      </c>
      <c r="H292" s="625" t="e">
        <f>ROUNDUP(Самосвалы!#REF!,0)</f>
        <v>#REF!</v>
      </c>
      <c r="I292" s="625" t="e">
        <f>ROUNDUP(Самосвалы!#REF!,0)</f>
        <v>#REF!</v>
      </c>
      <c r="J292" s="625" t="e">
        <f>ROUNDUP(Самосвалы!#REF!,0)</f>
        <v>#REF!</v>
      </c>
      <c r="K292" s="625" t="e">
        <f>ROUNDUP(Самосвалы!#REF!,0)</f>
        <v>#REF!</v>
      </c>
      <c r="L292" s="952">
        <f>ROUNDUP(Самосвалы!D99,0)</f>
        <v>9</v>
      </c>
      <c r="M292" s="625" t="e">
        <f>ROUNDUP(Самосвалы!#REF!,0)</f>
        <v>#REF!</v>
      </c>
      <c r="N292" s="625" t="e">
        <f>ROUNDUP(Самосвалы!#REF!,0)</f>
        <v>#REF!</v>
      </c>
      <c r="O292" s="625" t="e">
        <f>ROUNDUP(Самосвалы!#REF!,0)</f>
        <v>#REF!</v>
      </c>
      <c r="P292" s="625" t="e">
        <f>ROUNDUP(Самосвалы!#REF!,0)</f>
        <v>#REF!</v>
      </c>
      <c r="Q292" s="625" t="e">
        <f>ROUNDUP(Самосвалы!#REF!,0)</f>
        <v>#REF!</v>
      </c>
      <c r="R292" s="625" t="e">
        <f>ROUNDUP(Самосвалы!#REF!,0)</f>
        <v>#REF!</v>
      </c>
      <c r="S292" s="625" t="e">
        <f>ROUNDUP(Самосвалы!#REF!,0)</f>
        <v>#REF!</v>
      </c>
      <c r="T292" s="625" t="e">
        <f>ROUNDUP(Самосвалы!#REF!,0)</f>
        <v>#REF!</v>
      </c>
      <c r="U292" s="625" t="e">
        <f>ROUNDUP(Самосвалы!#REF!,0)</f>
        <v>#REF!</v>
      </c>
      <c r="V292" s="625" t="e">
        <f>ROUNDUP(Самосвалы!#REF!,0)</f>
        <v>#REF!</v>
      </c>
      <c r="W292" s="625" t="e">
        <f>ROUNDUP(Самосвалы!#REF!,0)</f>
        <v>#REF!</v>
      </c>
      <c r="X292" s="625" t="e">
        <f>ROUNDUP(Самосвалы!#REF!,0)</f>
        <v>#REF!</v>
      </c>
      <c r="Y292" s="625">
        <f>ROUNDUP(Y291*1.2,0)</f>
        <v>3</v>
      </c>
      <c r="Z292" s="840"/>
    </row>
    <row r="293" spans="2:26" ht="16.5" thickBot="1" x14ac:dyDescent="0.3">
      <c r="B293" s="987" t="s">
        <v>354</v>
      </c>
      <c r="C293" s="988"/>
      <c r="D293" s="988"/>
      <c r="E293" s="988"/>
      <c r="F293" s="988"/>
      <c r="G293" s="988"/>
      <c r="H293" s="988"/>
      <c r="I293" s="988"/>
      <c r="J293" s="988"/>
      <c r="K293" s="988"/>
      <c r="L293" s="988"/>
      <c r="M293" s="988"/>
      <c r="N293" s="988"/>
      <c r="O293" s="988"/>
      <c r="P293" s="988"/>
      <c r="Q293" s="988"/>
      <c r="R293" s="988"/>
      <c r="S293" s="988"/>
      <c r="T293" s="988"/>
      <c r="U293" s="988"/>
      <c r="V293" s="988"/>
      <c r="W293" s="988"/>
      <c r="X293" s="988"/>
      <c r="Y293" s="988"/>
      <c r="Z293" s="989"/>
    </row>
    <row r="294" spans="2:26" x14ac:dyDescent="0.2">
      <c r="B294" s="854" t="s">
        <v>525</v>
      </c>
      <c r="C294" s="855"/>
      <c r="D294" s="856" t="s">
        <v>1</v>
      </c>
      <c r="E294" s="591" t="e">
        <f>Самосвалы!#REF!</f>
        <v>#REF!</v>
      </c>
      <c r="F294" s="591" t="e">
        <f>Самосвалы!#REF!</f>
        <v>#REF!</v>
      </c>
      <c r="G294" s="591" t="e">
        <f>Самосвалы!#REF!</f>
        <v>#REF!</v>
      </c>
      <c r="H294" s="591" t="e">
        <f>Самосвалы!#REF!</f>
        <v>#REF!</v>
      </c>
      <c r="I294" s="591" t="e">
        <f>Самосвалы!#REF!</f>
        <v>#REF!</v>
      </c>
      <c r="J294" s="591" t="e">
        <f>Самосвалы!#REF!</f>
        <v>#REF!</v>
      </c>
      <c r="K294" s="591" t="e">
        <f>Самосвалы!#REF!</f>
        <v>#REF!</v>
      </c>
      <c r="L294" s="951">
        <f>Самосвалы!D106</f>
        <v>6877230</v>
      </c>
      <c r="M294" s="591" t="e">
        <f>Самосвалы!#REF!</f>
        <v>#REF!</v>
      </c>
      <c r="N294" s="591" t="e">
        <f>Самосвалы!#REF!</f>
        <v>#REF!</v>
      </c>
      <c r="O294" s="591" t="e">
        <f>Самосвалы!#REF!</f>
        <v>#REF!</v>
      </c>
      <c r="P294" s="591" t="e">
        <f>Самосвалы!#REF!</f>
        <v>#REF!</v>
      </c>
      <c r="Q294" s="591" t="e">
        <f>Самосвалы!#REF!</f>
        <v>#REF!</v>
      </c>
      <c r="R294" s="591" t="e">
        <f>Самосвалы!#REF!</f>
        <v>#REF!</v>
      </c>
      <c r="S294" s="591" t="e">
        <f>Самосвалы!#REF!</f>
        <v>#REF!</v>
      </c>
      <c r="T294" s="591" t="e">
        <f>Самосвалы!#REF!</f>
        <v>#REF!</v>
      </c>
      <c r="U294" s="591" t="e">
        <f>Самосвалы!#REF!</f>
        <v>#REF!</v>
      </c>
      <c r="V294" s="591" t="e">
        <f>Самосвалы!#REF!</f>
        <v>#REF!</v>
      </c>
      <c r="W294" s="591" t="e">
        <f>Самосвалы!#REF!</f>
        <v>#REF!</v>
      </c>
      <c r="X294" s="591" t="e">
        <f>Самосвалы!#REF!</f>
        <v>#REF!</v>
      </c>
      <c r="Y294" s="591">
        <v>897280</v>
      </c>
      <c r="Z294" s="393"/>
    </row>
    <row r="295" spans="2:26" x14ac:dyDescent="0.2">
      <c r="B295" s="309" t="s">
        <v>526</v>
      </c>
      <c r="C295" s="855"/>
      <c r="D295" s="856" t="s">
        <v>1</v>
      </c>
      <c r="E295" s="591" t="e">
        <f>E296+E297</f>
        <v>#REF!</v>
      </c>
      <c r="F295" s="591" t="e">
        <f t="shared" ref="F295:Y295" si="140">F296+F297</f>
        <v>#REF!</v>
      </c>
      <c r="G295" s="591" t="e">
        <f t="shared" si="140"/>
        <v>#REF!</v>
      </c>
      <c r="H295" s="591" t="e">
        <f t="shared" si="140"/>
        <v>#REF!</v>
      </c>
      <c r="I295" s="591" t="e">
        <f t="shared" si="140"/>
        <v>#REF!</v>
      </c>
      <c r="J295" s="591" t="e">
        <f t="shared" si="140"/>
        <v>#REF!</v>
      </c>
      <c r="K295" s="591" t="e">
        <f t="shared" si="140"/>
        <v>#REF!</v>
      </c>
      <c r="L295" s="951">
        <f t="shared" si="140"/>
        <v>1019850</v>
      </c>
      <c r="M295" s="591" t="e">
        <f t="shared" si="140"/>
        <v>#REF!</v>
      </c>
      <c r="N295" s="591" t="e">
        <f t="shared" si="140"/>
        <v>#REF!</v>
      </c>
      <c r="O295" s="591" t="e">
        <f t="shared" si="140"/>
        <v>#REF!</v>
      </c>
      <c r="P295" s="591" t="e">
        <f t="shared" si="140"/>
        <v>#REF!</v>
      </c>
      <c r="Q295" s="591" t="e">
        <f t="shared" si="140"/>
        <v>#REF!</v>
      </c>
      <c r="R295" s="591" t="e">
        <f t="shared" si="140"/>
        <v>#REF!</v>
      </c>
      <c r="S295" s="591" t="e">
        <f t="shared" si="140"/>
        <v>#REF!</v>
      </c>
      <c r="T295" s="591" t="e">
        <f t="shared" si="140"/>
        <v>#REF!</v>
      </c>
      <c r="U295" s="591" t="e">
        <f t="shared" si="140"/>
        <v>#REF!</v>
      </c>
      <c r="V295" s="591" t="e">
        <f t="shared" si="140"/>
        <v>#REF!</v>
      </c>
      <c r="W295" s="591" t="e">
        <f t="shared" si="140"/>
        <v>#REF!</v>
      </c>
      <c r="X295" s="591" t="e">
        <f t="shared" si="140"/>
        <v>#REF!</v>
      </c>
      <c r="Y295" s="591">
        <f t="shared" si="140"/>
        <v>405800</v>
      </c>
      <c r="Z295" s="393"/>
    </row>
    <row r="296" spans="2:26" outlineLevel="1" x14ac:dyDescent="0.2">
      <c r="B296" s="919" t="s">
        <v>385</v>
      </c>
      <c r="C296" s="550"/>
      <c r="D296" s="304" t="s">
        <v>1</v>
      </c>
      <c r="E296" s="557" t="e">
        <f>Самосвалы!#REF!</f>
        <v>#REF!</v>
      </c>
      <c r="F296" s="557" t="e">
        <f>Самосвалы!#REF!</f>
        <v>#REF!</v>
      </c>
      <c r="G296" s="557" t="e">
        <f>Самосвалы!#REF!</f>
        <v>#REF!</v>
      </c>
      <c r="H296" s="557" t="e">
        <f>Самосвалы!#REF!</f>
        <v>#REF!</v>
      </c>
      <c r="I296" s="557" t="e">
        <f>Самосвалы!#REF!</f>
        <v>#REF!</v>
      </c>
      <c r="J296" s="557" t="e">
        <f>Самосвалы!#REF!</f>
        <v>#REF!</v>
      </c>
      <c r="K296" s="557" t="e">
        <f>Самосвалы!#REF!</f>
        <v>#REF!</v>
      </c>
      <c r="L296" s="944">
        <f>Самосвалы!D107</f>
        <v>600000</v>
      </c>
      <c r="M296" s="557" t="e">
        <f>Самосвалы!#REF!</f>
        <v>#REF!</v>
      </c>
      <c r="N296" s="557" t="e">
        <f>Самосвалы!#REF!</f>
        <v>#REF!</v>
      </c>
      <c r="O296" s="557" t="e">
        <f>Самосвалы!#REF!</f>
        <v>#REF!</v>
      </c>
      <c r="P296" s="557" t="e">
        <f>Самосвалы!#REF!</f>
        <v>#REF!</v>
      </c>
      <c r="Q296" s="557" t="e">
        <f>Самосвалы!#REF!</f>
        <v>#REF!</v>
      </c>
      <c r="R296" s="557" t="e">
        <f>Самосвалы!#REF!</f>
        <v>#REF!</v>
      </c>
      <c r="S296" s="557" t="e">
        <f>Самосвалы!#REF!</f>
        <v>#REF!</v>
      </c>
      <c r="T296" s="557" t="e">
        <f>Самосвалы!#REF!</f>
        <v>#REF!</v>
      </c>
      <c r="U296" s="557" t="e">
        <f>Самосвалы!#REF!</f>
        <v>#REF!</v>
      </c>
      <c r="V296" s="557" t="e">
        <f>Самосвалы!#REF!</f>
        <v>#REF!</v>
      </c>
      <c r="W296" s="557" t="e">
        <f>Самосвалы!#REF!</f>
        <v>#REF!</v>
      </c>
      <c r="X296" s="557" t="e">
        <f>Самосвалы!#REF!</f>
        <v>#REF!</v>
      </c>
      <c r="Y296" s="557">
        <v>287600</v>
      </c>
      <c r="Z296" s="391"/>
    </row>
    <row r="297" spans="2:26" outlineLevel="1" x14ac:dyDescent="0.2">
      <c r="B297" s="926" t="s">
        <v>426</v>
      </c>
      <c r="C297" s="849"/>
      <c r="D297" s="304" t="s">
        <v>1</v>
      </c>
      <c r="E297" s="557" t="e">
        <f>Самосвалы!#REF!</f>
        <v>#REF!</v>
      </c>
      <c r="F297" s="557" t="e">
        <f>Самосвалы!#REF!</f>
        <v>#REF!</v>
      </c>
      <c r="G297" s="557" t="e">
        <f>Самосвалы!#REF!</f>
        <v>#REF!</v>
      </c>
      <c r="H297" s="557" t="e">
        <f>Самосвалы!#REF!</f>
        <v>#REF!</v>
      </c>
      <c r="I297" s="557" t="e">
        <f>Самосвалы!#REF!</f>
        <v>#REF!</v>
      </c>
      <c r="J297" s="557" t="e">
        <f>Самосвалы!#REF!</f>
        <v>#REF!</v>
      </c>
      <c r="K297" s="557" t="e">
        <f>Самосвалы!#REF!</f>
        <v>#REF!</v>
      </c>
      <c r="L297" s="944">
        <f>Самосвалы!D108</f>
        <v>419850</v>
      </c>
      <c r="M297" s="557" t="e">
        <f>Самосвалы!#REF!</f>
        <v>#REF!</v>
      </c>
      <c r="N297" s="557" t="e">
        <f>Самосвалы!#REF!</f>
        <v>#REF!</v>
      </c>
      <c r="O297" s="557" t="e">
        <f>Самосвалы!#REF!</f>
        <v>#REF!</v>
      </c>
      <c r="P297" s="557" t="e">
        <f>Самосвалы!#REF!</f>
        <v>#REF!</v>
      </c>
      <c r="Q297" s="557" t="e">
        <f>Самосвалы!#REF!</f>
        <v>#REF!</v>
      </c>
      <c r="R297" s="557" t="e">
        <f>Самосвалы!#REF!</f>
        <v>#REF!</v>
      </c>
      <c r="S297" s="557" t="e">
        <f>Самосвалы!#REF!</f>
        <v>#REF!</v>
      </c>
      <c r="T297" s="557" t="e">
        <f>Самосвалы!#REF!</f>
        <v>#REF!</v>
      </c>
      <c r="U297" s="557" t="e">
        <f>Самосвалы!#REF!</f>
        <v>#REF!</v>
      </c>
      <c r="V297" s="557" t="e">
        <f>Самосвалы!#REF!</f>
        <v>#REF!</v>
      </c>
      <c r="W297" s="557" t="e">
        <f>Самосвалы!#REF!</f>
        <v>#REF!</v>
      </c>
      <c r="X297" s="557" t="e">
        <f>Самосвалы!#REF!</f>
        <v>#REF!</v>
      </c>
      <c r="Y297" s="557">
        <v>118200</v>
      </c>
      <c r="Z297" s="394"/>
    </row>
    <row r="298" spans="2:26" ht="13.5" thickBot="1" x14ac:dyDescent="0.25">
      <c r="B298" s="309" t="s">
        <v>387</v>
      </c>
      <c r="C298" s="852"/>
      <c r="D298" s="853" t="s">
        <v>1</v>
      </c>
      <c r="E298" s="557" t="e">
        <f>Самосвалы!#REF!</f>
        <v>#REF!</v>
      </c>
      <c r="F298" s="557" t="e">
        <f>Самосвалы!#REF!</f>
        <v>#REF!</v>
      </c>
      <c r="G298" s="557" t="e">
        <f>Самосвалы!#REF!</f>
        <v>#REF!</v>
      </c>
      <c r="H298" s="557" t="e">
        <f>Самосвалы!#REF!</f>
        <v>#REF!</v>
      </c>
      <c r="I298" s="557" t="e">
        <f>Самосвалы!#REF!</f>
        <v>#REF!</v>
      </c>
      <c r="J298" s="557" t="e">
        <f>Самосвалы!#REF!</f>
        <v>#REF!</v>
      </c>
      <c r="K298" s="557" t="e">
        <f>Самосвалы!#REF!</f>
        <v>#REF!</v>
      </c>
      <c r="L298" s="944">
        <f>Самосвалы!D109</f>
        <v>883210</v>
      </c>
      <c r="M298" s="557" t="e">
        <f>Самосвалы!#REF!</f>
        <v>#REF!</v>
      </c>
      <c r="N298" s="557" t="e">
        <f>Самосвалы!#REF!</f>
        <v>#REF!</v>
      </c>
      <c r="O298" s="557" t="e">
        <f>Самосвалы!#REF!</f>
        <v>#REF!</v>
      </c>
      <c r="P298" s="557" t="e">
        <f>Самосвалы!#REF!</f>
        <v>#REF!</v>
      </c>
      <c r="Q298" s="557" t="e">
        <f>Самосвалы!#REF!</f>
        <v>#REF!</v>
      </c>
      <c r="R298" s="557" t="e">
        <f>Самосвалы!#REF!</f>
        <v>#REF!</v>
      </c>
      <c r="S298" s="557" t="e">
        <f>Самосвалы!#REF!</f>
        <v>#REF!</v>
      </c>
      <c r="T298" s="557" t="e">
        <f>Самосвалы!#REF!</f>
        <v>#REF!</v>
      </c>
      <c r="U298" s="557" t="e">
        <f>Самосвалы!#REF!</f>
        <v>#REF!</v>
      </c>
      <c r="V298" s="557" t="e">
        <f>Самосвалы!#REF!</f>
        <v>#REF!</v>
      </c>
      <c r="W298" s="557" t="e">
        <f>Самосвалы!#REF!</f>
        <v>#REF!</v>
      </c>
      <c r="X298" s="557" t="e">
        <f>Самосвалы!#REF!</f>
        <v>#REF!</v>
      </c>
      <c r="Y298" s="557">
        <v>232550</v>
      </c>
      <c r="Z298" s="392"/>
    </row>
    <row r="299" spans="2:26" s="302" customFormat="1" ht="16.5" thickBot="1" x14ac:dyDescent="0.3">
      <c r="B299" s="990" t="s">
        <v>359</v>
      </c>
      <c r="C299" s="991"/>
      <c r="D299" s="991"/>
      <c r="E299" s="991"/>
      <c r="F299" s="991"/>
      <c r="G299" s="991"/>
      <c r="H299" s="991"/>
      <c r="I299" s="991"/>
      <c r="J299" s="991"/>
      <c r="K299" s="991"/>
      <c r="L299" s="991"/>
      <c r="M299" s="991"/>
      <c r="N299" s="991"/>
      <c r="O299" s="991"/>
      <c r="P299" s="991"/>
      <c r="Q299" s="991"/>
      <c r="R299" s="991"/>
      <c r="S299" s="991"/>
      <c r="T299" s="991"/>
      <c r="U299" s="991"/>
      <c r="V299" s="991"/>
      <c r="W299" s="991"/>
      <c r="X299" s="991"/>
      <c r="Y299" s="991"/>
      <c r="Z299" s="992"/>
    </row>
    <row r="300" spans="2:26" s="302" customFormat="1" ht="15.75" x14ac:dyDescent="0.25">
      <c r="B300" s="1005" t="s">
        <v>340</v>
      </c>
      <c r="C300" s="1006"/>
      <c r="D300" s="1006"/>
      <c r="E300" s="1006"/>
      <c r="F300" s="1006"/>
      <c r="G300" s="1006"/>
      <c r="H300" s="1006"/>
      <c r="I300" s="1006"/>
      <c r="J300" s="1006"/>
      <c r="K300" s="1006"/>
      <c r="L300" s="1006"/>
      <c r="M300" s="1006"/>
      <c r="N300" s="1006"/>
      <c r="O300" s="1006"/>
      <c r="P300" s="1006"/>
      <c r="Q300" s="1006"/>
      <c r="R300" s="1006"/>
      <c r="S300" s="1006"/>
      <c r="T300" s="1006"/>
      <c r="U300" s="1006"/>
      <c r="V300" s="1006"/>
      <c r="W300" s="1006"/>
      <c r="X300" s="1006"/>
      <c r="Y300" s="1006"/>
      <c r="Z300" s="1007"/>
    </row>
    <row r="301" spans="2:26" s="302" customFormat="1" ht="15.75" x14ac:dyDescent="0.25">
      <c r="B301" s="1002" t="s">
        <v>510</v>
      </c>
      <c r="C301" s="1003"/>
      <c r="D301" s="1003"/>
      <c r="E301" s="1003"/>
      <c r="F301" s="1003"/>
      <c r="G301" s="1003"/>
      <c r="H301" s="1003"/>
      <c r="I301" s="1003"/>
      <c r="J301" s="1003"/>
      <c r="K301" s="1003"/>
      <c r="L301" s="1003"/>
      <c r="M301" s="1003"/>
      <c r="N301" s="1003"/>
      <c r="O301" s="1003"/>
      <c r="P301" s="1003"/>
      <c r="Q301" s="1003"/>
      <c r="R301" s="1003"/>
      <c r="S301" s="1003"/>
      <c r="T301" s="1003"/>
      <c r="U301" s="1003"/>
      <c r="V301" s="1003"/>
      <c r="W301" s="1003"/>
      <c r="X301" s="1003"/>
      <c r="Y301" s="1003"/>
      <c r="Z301" s="1004"/>
    </row>
    <row r="302" spans="2:26" s="302" customFormat="1" ht="15" x14ac:dyDescent="0.25">
      <c r="B302" s="859" t="s">
        <v>364</v>
      </c>
      <c r="C302" s="479"/>
      <c r="D302" s="862" t="s">
        <v>522</v>
      </c>
      <c r="E302" s="869">
        <f>SUM(E303:E307)</f>
        <v>5172.1247365603895</v>
      </c>
      <c r="F302" s="869">
        <f t="shared" ref="F302:X302" si="141">SUM(F303:F307)</f>
        <v>5172.1247365603895</v>
      </c>
      <c r="G302" s="869">
        <f t="shared" si="141"/>
        <v>5172.1247365603895</v>
      </c>
      <c r="H302" s="869">
        <f t="shared" si="141"/>
        <v>5516.1925331705588</v>
      </c>
      <c r="I302" s="869">
        <f t="shared" si="141"/>
        <v>5516.1925331705588</v>
      </c>
      <c r="J302" s="869">
        <f t="shared" si="141"/>
        <v>5516.1925331705588</v>
      </c>
      <c r="K302" s="869">
        <f t="shared" si="141"/>
        <v>5516.1925331705588</v>
      </c>
      <c r="L302" s="951">
        <f t="shared" si="141"/>
        <v>5516.1925331705588</v>
      </c>
      <c r="M302" s="869">
        <f t="shared" si="141"/>
        <v>5516.1925331705588</v>
      </c>
      <c r="N302" s="869">
        <f t="shared" si="141"/>
        <v>5516.1925331705588</v>
      </c>
      <c r="O302" s="869">
        <f t="shared" si="141"/>
        <v>5516.1925331705588</v>
      </c>
      <c r="P302" s="869">
        <f t="shared" si="141"/>
        <v>5516.1925331705588</v>
      </c>
      <c r="Q302" s="869">
        <f t="shared" si="141"/>
        <v>5516.1925331705588</v>
      </c>
      <c r="R302" s="869">
        <f t="shared" si="141"/>
        <v>5516.1925331705588</v>
      </c>
      <c r="S302" s="869">
        <f t="shared" si="141"/>
        <v>5516.1925331705588</v>
      </c>
      <c r="T302" s="869">
        <f t="shared" si="141"/>
        <v>5860.2603297807282</v>
      </c>
      <c r="U302" s="869">
        <f t="shared" si="141"/>
        <v>5860.2603297807282</v>
      </c>
      <c r="V302" s="869">
        <f t="shared" si="141"/>
        <v>5516.1925331705588</v>
      </c>
      <c r="W302" s="869">
        <f t="shared" si="141"/>
        <v>5516.1925331705588</v>
      </c>
      <c r="X302" s="869">
        <f t="shared" si="141"/>
        <v>5172.1247365603895</v>
      </c>
      <c r="Y302" s="869">
        <f t="shared" ref="Y302" si="142">SUM(Y303:Y307)</f>
        <v>3366.9671121007077</v>
      </c>
      <c r="Z302" s="870"/>
    </row>
    <row r="303" spans="2:26" s="302" customFormat="1" ht="15" hidden="1" outlineLevel="1" x14ac:dyDescent="0.25">
      <c r="B303" s="576" t="s">
        <v>3</v>
      </c>
      <c r="C303" s="582">
        <f>'Экскаваторы II'!E66</f>
        <v>648</v>
      </c>
      <c r="D303" s="862" t="s">
        <v>522</v>
      </c>
      <c r="E303" s="557">
        <f t="shared" ref="E303:X303" si="143">E158*1000/$C303</f>
        <v>2623.4567901234568</v>
      </c>
      <c r="F303" s="557">
        <f t="shared" si="143"/>
        <v>2623.4567901234568</v>
      </c>
      <c r="G303" s="557">
        <f t="shared" si="143"/>
        <v>2623.4567901234568</v>
      </c>
      <c r="H303" s="557">
        <f t="shared" si="143"/>
        <v>2623.4567901234568</v>
      </c>
      <c r="I303" s="557">
        <f t="shared" si="143"/>
        <v>2623.4567901234568</v>
      </c>
      <c r="J303" s="557">
        <f t="shared" si="143"/>
        <v>2623.4567901234568</v>
      </c>
      <c r="K303" s="557">
        <f t="shared" si="143"/>
        <v>2623.4567901234568</v>
      </c>
      <c r="L303" s="944">
        <f t="shared" si="143"/>
        <v>2623.4567901234568</v>
      </c>
      <c r="M303" s="557">
        <f t="shared" si="143"/>
        <v>2623.4567901234568</v>
      </c>
      <c r="N303" s="557">
        <f t="shared" si="143"/>
        <v>2623.4567901234568</v>
      </c>
      <c r="O303" s="557">
        <f t="shared" si="143"/>
        <v>2623.4567901234568</v>
      </c>
      <c r="P303" s="557">
        <f t="shared" si="143"/>
        <v>2623.4567901234568</v>
      </c>
      <c r="Q303" s="557">
        <f t="shared" si="143"/>
        <v>2623.4567901234568</v>
      </c>
      <c r="R303" s="557">
        <f t="shared" si="143"/>
        <v>2623.4567901234568</v>
      </c>
      <c r="S303" s="557">
        <f t="shared" si="143"/>
        <v>2623.4567901234568</v>
      </c>
      <c r="T303" s="557">
        <f t="shared" si="143"/>
        <v>2623.4567901234568</v>
      </c>
      <c r="U303" s="557">
        <f t="shared" si="143"/>
        <v>2623.4567901234568</v>
      </c>
      <c r="V303" s="557">
        <f t="shared" si="143"/>
        <v>2623.4567901234568</v>
      </c>
      <c r="W303" s="557">
        <f t="shared" si="143"/>
        <v>2623.4567901234568</v>
      </c>
      <c r="X303" s="557">
        <f t="shared" si="143"/>
        <v>2623.4567901234568</v>
      </c>
      <c r="Y303" s="557">
        <f t="shared" ref="Y303" si="144">Y158*1000/$C303</f>
        <v>1080.2469135802469</v>
      </c>
      <c r="Z303" s="617"/>
    </row>
    <row r="304" spans="2:26" s="302" customFormat="1" ht="15" hidden="1" outlineLevel="1" x14ac:dyDescent="0.25">
      <c r="B304" s="576" t="s">
        <v>9</v>
      </c>
      <c r="C304" s="861">
        <f>'Экскаваторы II'!E67</f>
        <v>392.11822660098522</v>
      </c>
      <c r="D304" s="862" t="s">
        <v>522</v>
      </c>
      <c r="E304" s="557">
        <f t="shared" ref="E304:X304" si="145">E159*1000/$C304</f>
        <v>0</v>
      </c>
      <c r="F304" s="557">
        <f t="shared" si="145"/>
        <v>0</v>
      </c>
      <c r="G304" s="557">
        <f t="shared" si="145"/>
        <v>0</v>
      </c>
      <c r="H304" s="557">
        <f t="shared" si="145"/>
        <v>0</v>
      </c>
      <c r="I304" s="557">
        <f t="shared" si="145"/>
        <v>0</v>
      </c>
      <c r="J304" s="557">
        <f t="shared" si="145"/>
        <v>0</v>
      </c>
      <c r="K304" s="557">
        <f t="shared" si="145"/>
        <v>0</v>
      </c>
      <c r="L304" s="944">
        <f t="shared" si="145"/>
        <v>0</v>
      </c>
      <c r="M304" s="557">
        <f t="shared" si="145"/>
        <v>0</v>
      </c>
      <c r="N304" s="557">
        <f t="shared" si="145"/>
        <v>0</v>
      </c>
      <c r="O304" s="557">
        <f t="shared" si="145"/>
        <v>0</v>
      </c>
      <c r="P304" s="557">
        <f t="shared" si="145"/>
        <v>0</v>
      </c>
      <c r="Q304" s="557">
        <f t="shared" si="145"/>
        <v>0</v>
      </c>
      <c r="R304" s="557">
        <f t="shared" si="145"/>
        <v>0</v>
      </c>
      <c r="S304" s="557">
        <f t="shared" si="145"/>
        <v>0</v>
      </c>
      <c r="T304" s="557">
        <f t="shared" si="145"/>
        <v>0</v>
      </c>
      <c r="U304" s="557">
        <f t="shared" si="145"/>
        <v>0</v>
      </c>
      <c r="V304" s="557">
        <f t="shared" si="145"/>
        <v>0</v>
      </c>
      <c r="W304" s="557">
        <f t="shared" si="145"/>
        <v>0</v>
      </c>
      <c r="X304" s="557">
        <f t="shared" si="145"/>
        <v>0</v>
      </c>
      <c r="Y304" s="557">
        <f t="shared" ref="Y304" si="146">Y159*1000/$C304</f>
        <v>0</v>
      </c>
      <c r="Z304" s="617"/>
    </row>
    <row r="305" spans="2:26" s="302" customFormat="1" ht="15" hidden="1" outlineLevel="1" x14ac:dyDescent="0.25">
      <c r="B305" s="576" t="s">
        <v>325</v>
      </c>
      <c r="C305" s="861">
        <f>'Экскаваторы II'!E69</f>
        <v>290.64039408866995</v>
      </c>
      <c r="D305" s="862" t="s">
        <v>522</v>
      </c>
      <c r="E305" s="557">
        <f t="shared" ref="E305:X305" si="147">E160*1000/$C305</f>
        <v>2408.4745762711864</v>
      </c>
      <c r="F305" s="557">
        <f t="shared" si="147"/>
        <v>2408.4745762711864</v>
      </c>
      <c r="G305" s="557">
        <f t="shared" si="147"/>
        <v>2408.4745762711864</v>
      </c>
      <c r="H305" s="557">
        <f t="shared" si="147"/>
        <v>2752.5423728813557</v>
      </c>
      <c r="I305" s="557">
        <f t="shared" si="147"/>
        <v>2752.5423728813557</v>
      </c>
      <c r="J305" s="557">
        <f t="shared" si="147"/>
        <v>2752.5423728813557</v>
      </c>
      <c r="K305" s="557">
        <f t="shared" si="147"/>
        <v>2752.5423728813557</v>
      </c>
      <c r="L305" s="944">
        <f t="shared" si="147"/>
        <v>2752.5423728813557</v>
      </c>
      <c r="M305" s="557">
        <f t="shared" si="147"/>
        <v>2752.5423728813557</v>
      </c>
      <c r="N305" s="557">
        <f t="shared" si="147"/>
        <v>2752.5423728813557</v>
      </c>
      <c r="O305" s="557">
        <f t="shared" si="147"/>
        <v>2752.5423728813557</v>
      </c>
      <c r="P305" s="557">
        <f t="shared" si="147"/>
        <v>2752.5423728813557</v>
      </c>
      <c r="Q305" s="557">
        <f t="shared" si="147"/>
        <v>2752.5423728813557</v>
      </c>
      <c r="R305" s="557">
        <f t="shared" si="147"/>
        <v>2752.5423728813557</v>
      </c>
      <c r="S305" s="557">
        <f t="shared" si="147"/>
        <v>2752.5423728813557</v>
      </c>
      <c r="T305" s="557">
        <f t="shared" si="147"/>
        <v>3096.6101694915255</v>
      </c>
      <c r="U305" s="557">
        <f t="shared" si="147"/>
        <v>3096.6101694915255</v>
      </c>
      <c r="V305" s="557">
        <f t="shared" si="147"/>
        <v>2752.5423728813557</v>
      </c>
      <c r="W305" s="557">
        <f t="shared" si="147"/>
        <v>2752.5423728813557</v>
      </c>
      <c r="X305" s="557">
        <f t="shared" si="147"/>
        <v>2408.4745762711864</v>
      </c>
      <c r="Y305" s="557">
        <f t="shared" ref="Y305" si="148">Y160*1000/$C305</f>
        <v>1720.3389830508474</v>
      </c>
      <c r="Z305" s="617"/>
    </row>
    <row r="306" spans="2:26" s="302" customFormat="1" ht="15" hidden="1" outlineLevel="1" x14ac:dyDescent="0.25">
      <c r="B306" s="576" t="s">
        <v>6</v>
      </c>
      <c r="C306" s="861">
        <f>'Экскаваторы II'!E68</f>
        <v>356.6502463054187</v>
      </c>
      <c r="D306" s="862" t="s">
        <v>522</v>
      </c>
      <c r="E306" s="557">
        <f t="shared" ref="E306:X306" si="149">E161*1000/$C306</f>
        <v>0</v>
      </c>
      <c r="F306" s="557">
        <f t="shared" si="149"/>
        <v>0</v>
      </c>
      <c r="G306" s="557">
        <f t="shared" si="149"/>
        <v>0</v>
      </c>
      <c r="H306" s="557">
        <f t="shared" si="149"/>
        <v>0</v>
      </c>
      <c r="I306" s="557">
        <f t="shared" si="149"/>
        <v>0</v>
      </c>
      <c r="J306" s="557">
        <f t="shared" si="149"/>
        <v>0</v>
      </c>
      <c r="K306" s="557">
        <f t="shared" si="149"/>
        <v>0</v>
      </c>
      <c r="L306" s="944">
        <f t="shared" si="149"/>
        <v>0</v>
      </c>
      <c r="M306" s="557">
        <f t="shared" si="149"/>
        <v>0</v>
      </c>
      <c r="N306" s="557">
        <f t="shared" si="149"/>
        <v>0</v>
      </c>
      <c r="O306" s="557">
        <f t="shared" si="149"/>
        <v>0</v>
      </c>
      <c r="P306" s="557">
        <f t="shared" si="149"/>
        <v>0</v>
      </c>
      <c r="Q306" s="557">
        <f t="shared" si="149"/>
        <v>0</v>
      </c>
      <c r="R306" s="557">
        <f t="shared" si="149"/>
        <v>0</v>
      </c>
      <c r="S306" s="557">
        <f t="shared" si="149"/>
        <v>0</v>
      </c>
      <c r="T306" s="557">
        <f t="shared" si="149"/>
        <v>0</v>
      </c>
      <c r="U306" s="557">
        <f t="shared" si="149"/>
        <v>0</v>
      </c>
      <c r="V306" s="557">
        <f t="shared" si="149"/>
        <v>0</v>
      </c>
      <c r="W306" s="557">
        <f t="shared" si="149"/>
        <v>0</v>
      </c>
      <c r="X306" s="557">
        <f t="shared" si="149"/>
        <v>0</v>
      </c>
      <c r="Y306" s="557">
        <f t="shared" ref="Y306" si="150">Y161*1000/$C306</f>
        <v>0</v>
      </c>
      <c r="Z306" s="617"/>
    </row>
    <row r="307" spans="2:26" s="302" customFormat="1" ht="15" hidden="1" outlineLevel="1" x14ac:dyDescent="0.25">
      <c r="B307" s="576" t="s">
        <v>462</v>
      </c>
      <c r="C307" s="861">
        <f>C306</f>
        <v>356.6502463054187</v>
      </c>
      <c r="D307" s="862" t="s">
        <v>522</v>
      </c>
      <c r="E307" s="557">
        <f t="shared" ref="E307:X307" si="151">E162*1000/$C307</f>
        <v>140.19337016574588</v>
      </c>
      <c r="F307" s="557">
        <f t="shared" si="151"/>
        <v>140.19337016574588</v>
      </c>
      <c r="G307" s="557">
        <f t="shared" si="151"/>
        <v>140.19337016574588</v>
      </c>
      <c r="H307" s="557">
        <f t="shared" si="151"/>
        <v>140.19337016574588</v>
      </c>
      <c r="I307" s="557">
        <f t="shared" si="151"/>
        <v>140.19337016574588</v>
      </c>
      <c r="J307" s="557">
        <f t="shared" si="151"/>
        <v>140.19337016574588</v>
      </c>
      <c r="K307" s="557">
        <f t="shared" si="151"/>
        <v>140.19337016574588</v>
      </c>
      <c r="L307" s="944">
        <f t="shared" si="151"/>
        <v>140.19337016574588</v>
      </c>
      <c r="M307" s="557">
        <f t="shared" si="151"/>
        <v>140.19337016574588</v>
      </c>
      <c r="N307" s="557">
        <f t="shared" si="151"/>
        <v>140.19337016574588</v>
      </c>
      <c r="O307" s="557">
        <f t="shared" si="151"/>
        <v>140.19337016574588</v>
      </c>
      <c r="P307" s="557">
        <f t="shared" si="151"/>
        <v>140.19337016574588</v>
      </c>
      <c r="Q307" s="557">
        <f t="shared" si="151"/>
        <v>140.19337016574588</v>
      </c>
      <c r="R307" s="557">
        <f t="shared" si="151"/>
        <v>140.19337016574588</v>
      </c>
      <c r="S307" s="557">
        <f t="shared" si="151"/>
        <v>140.19337016574588</v>
      </c>
      <c r="T307" s="557">
        <f t="shared" si="151"/>
        <v>140.19337016574588</v>
      </c>
      <c r="U307" s="557">
        <f t="shared" si="151"/>
        <v>140.19337016574588</v>
      </c>
      <c r="V307" s="557">
        <f t="shared" si="151"/>
        <v>140.19337016574588</v>
      </c>
      <c r="W307" s="557">
        <f t="shared" si="151"/>
        <v>140.19337016574588</v>
      </c>
      <c r="X307" s="557">
        <f t="shared" si="151"/>
        <v>140.19337016574588</v>
      </c>
      <c r="Y307" s="557">
        <f t="shared" ref="Y307" si="152">Y162*1000/$C307</f>
        <v>566.38121546961327</v>
      </c>
      <c r="Z307" s="617"/>
    </row>
    <row r="308" spans="2:26" s="302" customFormat="1" ht="15" collapsed="1" x14ac:dyDescent="0.25">
      <c r="B308" s="859" t="s">
        <v>363</v>
      </c>
      <c r="C308" s="479"/>
      <c r="D308" s="862" t="s">
        <v>522</v>
      </c>
      <c r="E308" s="869">
        <f>SUM(E309:E313)</f>
        <v>4814.0698488023381</v>
      </c>
      <c r="F308" s="869">
        <f t="shared" ref="F308" si="153">SUM(F309:F313)</f>
        <v>4723.8985232838531</v>
      </c>
      <c r="G308" s="869">
        <f t="shared" ref="G308" si="154">SUM(G309:G313)</f>
        <v>4723.8985232838531</v>
      </c>
      <c r="H308" s="869">
        <f t="shared" ref="H308" si="155">SUM(H309:H313)</f>
        <v>4930.6195008805935</v>
      </c>
      <c r="I308" s="869">
        <f t="shared" ref="I308" si="156">SUM(I309:I313)</f>
        <v>4930.6195008805935</v>
      </c>
      <c r="J308" s="869">
        <f t="shared" ref="J308" si="157">SUM(J309:J313)</f>
        <v>4930.6195008805935</v>
      </c>
      <c r="K308" s="869">
        <f t="shared" ref="K308" si="158">SUM(K309:K313)</f>
        <v>4930.6195008805935</v>
      </c>
      <c r="L308" s="951">
        <f t="shared" ref="L308" si="159">SUM(L309:L313)</f>
        <v>4930.6195008805935</v>
      </c>
      <c r="M308" s="869">
        <f t="shared" ref="M308" si="160">SUM(M309:M313)</f>
        <v>4930.6195008805935</v>
      </c>
      <c r="N308" s="869">
        <f t="shared" ref="N308" si="161">SUM(N309:N313)</f>
        <v>4930.6195008805935</v>
      </c>
      <c r="O308" s="869">
        <f t="shared" ref="O308" si="162">SUM(O309:O313)</f>
        <v>4930.6195008805935</v>
      </c>
      <c r="P308" s="869">
        <f t="shared" ref="P308" si="163">SUM(P309:P313)</f>
        <v>4930.6195008805935</v>
      </c>
      <c r="Q308" s="869">
        <f t="shared" ref="Q308" si="164">SUM(Q309:Q313)</f>
        <v>4930.6195008805935</v>
      </c>
      <c r="R308" s="869">
        <f t="shared" ref="R308" si="165">SUM(R309:R313)</f>
        <v>4930.6195008805935</v>
      </c>
      <c r="S308" s="869">
        <f t="shared" ref="S308" si="166">SUM(S309:S313)</f>
        <v>4930.6195008805935</v>
      </c>
      <c r="T308" s="869">
        <f t="shared" ref="T308" si="167">SUM(T309:T313)</f>
        <v>5757.5034112675585</v>
      </c>
      <c r="U308" s="869">
        <f t="shared" ref="U308" si="168">SUM(U309:U313)</f>
        <v>5964.2243888643006</v>
      </c>
      <c r="V308" s="869">
        <f t="shared" ref="V308" si="169">SUM(V309:V313)</f>
        <v>4930.6195008805935</v>
      </c>
      <c r="W308" s="869">
        <f t="shared" ref="W308" si="170">SUM(W309:W313)</f>
        <v>4930.6195008805935</v>
      </c>
      <c r="X308" s="869">
        <f t="shared" ref="X308:Y308" si="171">SUM(X309:X313)</f>
        <v>4723.8985232838531</v>
      </c>
      <c r="Y308" s="869">
        <f t="shared" si="171"/>
        <v>3763.573906511986</v>
      </c>
      <c r="Z308" s="870"/>
    </row>
    <row r="309" spans="2:26" s="302" customFormat="1" ht="15" hidden="1" outlineLevel="1" x14ac:dyDescent="0.25">
      <c r="B309" s="576" t="s">
        <v>3</v>
      </c>
      <c r="C309" s="582">
        <f>'Экскаваторы II'!I66</f>
        <v>1109</v>
      </c>
      <c r="D309" s="862" t="s">
        <v>522</v>
      </c>
      <c r="E309" s="557">
        <f t="shared" ref="E309:X309" si="172">E164*1000/$C309</f>
        <v>1713.2551848512173</v>
      </c>
      <c r="F309" s="557">
        <f t="shared" si="172"/>
        <v>1623.0838593327321</v>
      </c>
      <c r="G309" s="557">
        <f t="shared" si="172"/>
        <v>1623.0838593327321</v>
      </c>
      <c r="H309" s="557">
        <f t="shared" si="172"/>
        <v>1623.0838593327321</v>
      </c>
      <c r="I309" s="557">
        <f t="shared" si="172"/>
        <v>1623.0838593327321</v>
      </c>
      <c r="J309" s="557">
        <f t="shared" si="172"/>
        <v>1623.0838593327321</v>
      </c>
      <c r="K309" s="557">
        <f t="shared" si="172"/>
        <v>1623.0838593327321</v>
      </c>
      <c r="L309" s="944">
        <f t="shared" si="172"/>
        <v>1623.0838593327321</v>
      </c>
      <c r="M309" s="557">
        <f t="shared" si="172"/>
        <v>1623.0838593327321</v>
      </c>
      <c r="N309" s="557">
        <f t="shared" si="172"/>
        <v>1623.0838593327321</v>
      </c>
      <c r="O309" s="557">
        <f t="shared" si="172"/>
        <v>1623.0838593327321</v>
      </c>
      <c r="P309" s="557">
        <f t="shared" si="172"/>
        <v>1623.0838593327321</v>
      </c>
      <c r="Q309" s="557">
        <f t="shared" si="172"/>
        <v>1623.0838593327321</v>
      </c>
      <c r="R309" s="557">
        <f t="shared" si="172"/>
        <v>1623.0838593327321</v>
      </c>
      <c r="S309" s="557">
        <f t="shared" si="172"/>
        <v>1623.0838593327321</v>
      </c>
      <c r="T309" s="557">
        <f t="shared" si="172"/>
        <v>1623.0838593327321</v>
      </c>
      <c r="U309" s="557">
        <f t="shared" si="172"/>
        <v>1623.0838593327321</v>
      </c>
      <c r="V309" s="557">
        <f t="shared" si="172"/>
        <v>1623.0838593327321</v>
      </c>
      <c r="W309" s="557">
        <f t="shared" si="172"/>
        <v>1623.0838593327321</v>
      </c>
      <c r="X309" s="557">
        <f t="shared" si="172"/>
        <v>1623.0838593327321</v>
      </c>
      <c r="Y309" s="557">
        <f t="shared" ref="Y309" si="173">Y164*1000/$C309</f>
        <v>662.75924256086569</v>
      </c>
      <c r="Z309" s="617"/>
    </row>
    <row r="310" spans="2:26" s="302" customFormat="1" ht="15" hidden="1" outlineLevel="1" x14ac:dyDescent="0.25">
      <c r="B310" s="576" t="s">
        <v>9</v>
      </c>
      <c r="C310" s="861">
        <f>'Экскаваторы II'!I67</f>
        <v>669.95073891625611</v>
      </c>
      <c r="D310" s="862" t="s">
        <v>522</v>
      </c>
      <c r="E310" s="557">
        <f t="shared" ref="E310:X310" si="174">E165*1000/$C310</f>
        <v>0</v>
      </c>
      <c r="F310" s="557">
        <f t="shared" si="174"/>
        <v>0</v>
      </c>
      <c r="G310" s="557">
        <f t="shared" si="174"/>
        <v>0</v>
      </c>
      <c r="H310" s="557">
        <f t="shared" si="174"/>
        <v>0</v>
      </c>
      <c r="I310" s="557">
        <f t="shared" si="174"/>
        <v>0</v>
      </c>
      <c r="J310" s="557">
        <f t="shared" si="174"/>
        <v>0</v>
      </c>
      <c r="K310" s="557">
        <f t="shared" si="174"/>
        <v>0</v>
      </c>
      <c r="L310" s="944">
        <f t="shared" si="174"/>
        <v>0</v>
      </c>
      <c r="M310" s="557">
        <f t="shared" si="174"/>
        <v>0</v>
      </c>
      <c r="N310" s="557">
        <f t="shared" si="174"/>
        <v>0</v>
      </c>
      <c r="O310" s="557">
        <f t="shared" si="174"/>
        <v>0</v>
      </c>
      <c r="P310" s="557">
        <f t="shared" si="174"/>
        <v>0</v>
      </c>
      <c r="Q310" s="557">
        <f t="shared" si="174"/>
        <v>0</v>
      </c>
      <c r="R310" s="557">
        <f t="shared" si="174"/>
        <v>0</v>
      </c>
      <c r="S310" s="557">
        <f t="shared" si="174"/>
        <v>0</v>
      </c>
      <c r="T310" s="557">
        <f t="shared" si="174"/>
        <v>0</v>
      </c>
      <c r="U310" s="557">
        <f t="shared" si="174"/>
        <v>0</v>
      </c>
      <c r="V310" s="557">
        <f t="shared" si="174"/>
        <v>0</v>
      </c>
      <c r="W310" s="557">
        <f t="shared" si="174"/>
        <v>0</v>
      </c>
      <c r="X310" s="557">
        <f t="shared" si="174"/>
        <v>0</v>
      </c>
      <c r="Y310" s="557">
        <f t="shared" ref="Y310" si="175">Y165*1000/$C310</f>
        <v>0</v>
      </c>
      <c r="Z310" s="617"/>
    </row>
    <row r="311" spans="2:26" s="302" customFormat="1" ht="15" hidden="1" outlineLevel="1" x14ac:dyDescent="0.25">
      <c r="B311" s="576" t="s">
        <v>325</v>
      </c>
      <c r="C311" s="861">
        <f>'Экскаваторы II'!I69</f>
        <v>483.74384236453199</v>
      </c>
      <c r="D311" s="862" t="s">
        <v>522</v>
      </c>
      <c r="E311" s="557">
        <f t="shared" ref="E311:X311" si="176">E166*1000/$C311</f>
        <v>3100.8146639511206</v>
      </c>
      <c r="F311" s="557">
        <f t="shared" si="176"/>
        <v>3100.8146639511206</v>
      </c>
      <c r="G311" s="557">
        <f t="shared" si="176"/>
        <v>3100.8146639511206</v>
      </c>
      <c r="H311" s="557">
        <f t="shared" si="176"/>
        <v>3307.5356415478618</v>
      </c>
      <c r="I311" s="557">
        <f t="shared" si="176"/>
        <v>3307.5356415478618</v>
      </c>
      <c r="J311" s="557">
        <f t="shared" si="176"/>
        <v>3307.5356415478618</v>
      </c>
      <c r="K311" s="557">
        <f t="shared" si="176"/>
        <v>3307.5356415478618</v>
      </c>
      <c r="L311" s="944">
        <f t="shared" si="176"/>
        <v>3307.5356415478618</v>
      </c>
      <c r="M311" s="557">
        <f t="shared" si="176"/>
        <v>3307.5356415478618</v>
      </c>
      <c r="N311" s="557">
        <f t="shared" si="176"/>
        <v>3307.5356415478618</v>
      </c>
      <c r="O311" s="557">
        <f t="shared" si="176"/>
        <v>3307.5356415478618</v>
      </c>
      <c r="P311" s="557">
        <f t="shared" si="176"/>
        <v>3307.5356415478618</v>
      </c>
      <c r="Q311" s="557">
        <f t="shared" si="176"/>
        <v>3307.5356415478618</v>
      </c>
      <c r="R311" s="557">
        <f t="shared" si="176"/>
        <v>3307.5356415478618</v>
      </c>
      <c r="S311" s="557">
        <f t="shared" si="176"/>
        <v>3307.5356415478618</v>
      </c>
      <c r="T311" s="557">
        <f t="shared" si="176"/>
        <v>4134.4195519348268</v>
      </c>
      <c r="U311" s="557">
        <f t="shared" si="176"/>
        <v>4341.140529531569</v>
      </c>
      <c r="V311" s="557">
        <f t="shared" si="176"/>
        <v>3307.5356415478618</v>
      </c>
      <c r="W311" s="557">
        <f t="shared" si="176"/>
        <v>3307.5356415478618</v>
      </c>
      <c r="X311" s="557">
        <f t="shared" si="176"/>
        <v>3100.8146639511206</v>
      </c>
      <c r="Y311" s="557">
        <f t="shared" ref="Y311" si="177">Y166*1000/$C311</f>
        <v>3100.8146639511206</v>
      </c>
      <c r="Z311" s="617"/>
    </row>
    <row r="312" spans="2:26" s="302" customFormat="1" ht="15" hidden="1" outlineLevel="1" x14ac:dyDescent="0.25">
      <c r="B312" s="576" t="s">
        <v>6</v>
      </c>
      <c r="C312" s="861">
        <f>'Экскаваторы II'!I68</f>
        <v>634.48275862068965</v>
      </c>
      <c r="D312" s="862" t="s">
        <v>522</v>
      </c>
      <c r="E312" s="557">
        <f t="shared" ref="E312:X312" si="178">E167*1000/$C312</f>
        <v>0</v>
      </c>
      <c r="F312" s="557">
        <f t="shared" si="178"/>
        <v>0</v>
      </c>
      <c r="G312" s="557">
        <f t="shared" si="178"/>
        <v>0</v>
      </c>
      <c r="H312" s="557">
        <f t="shared" si="178"/>
        <v>0</v>
      </c>
      <c r="I312" s="557">
        <f t="shared" si="178"/>
        <v>0</v>
      </c>
      <c r="J312" s="557">
        <f t="shared" si="178"/>
        <v>0</v>
      </c>
      <c r="K312" s="557">
        <f t="shared" si="178"/>
        <v>0</v>
      </c>
      <c r="L312" s="944">
        <f t="shared" si="178"/>
        <v>0</v>
      </c>
      <c r="M312" s="557">
        <f t="shared" si="178"/>
        <v>0</v>
      </c>
      <c r="N312" s="557">
        <f t="shared" si="178"/>
        <v>0</v>
      </c>
      <c r="O312" s="557">
        <f t="shared" si="178"/>
        <v>0</v>
      </c>
      <c r="P312" s="557">
        <f t="shared" si="178"/>
        <v>0</v>
      </c>
      <c r="Q312" s="557">
        <f t="shared" si="178"/>
        <v>0</v>
      </c>
      <c r="R312" s="557">
        <f t="shared" si="178"/>
        <v>0</v>
      </c>
      <c r="S312" s="557">
        <f t="shared" si="178"/>
        <v>0</v>
      </c>
      <c r="T312" s="557">
        <f t="shared" si="178"/>
        <v>0</v>
      </c>
      <c r="U312" s="557">
        <f t="shared" si="178"/>
        <v>0</v>
      </c>
      <c r="V312" s="557">
        <f t="shared" si="178"/>
        <v>0</v>
      </c>
      <c r="W312" s="557">
        <f t="shared" si="178"/>
        <v>0</v>
      </c>
      <c r="X312" s="557">
        <f t="shared" si="178"/>
        <v>0</v>
      </c>
      <c r="Y312" s="557">
        <f t="shared" ref="Y312" si="179">Y167*1000/$C312</f>
        <v>0</v>
      </c>
      <c r="Z312" s="617"/>
    </row>
    <row r="313" spans="2:26" s="302" customFormat="1" ht="15" hidden="1" outlineLevel="1" x14ac:dyDescent="0.25">
      <c r="B313" s="576" t="s">
        <v>462</v>
      </c>
      <c r="C313" s="861">
        <f>C312</f>
        <v>634.48275862068965</v>
      </c>
      <c r="D313" s="862" t="s">
        <v>522</v>
      </c>
      <c r="E313" s="557">
        <f t="shared" ref="E313:X313" si="180">E168*1000/$C313</f>
        <v>0</v>
      </c>
      <c r="F313" s="557">
        <f t="shared" si="180"/>
        <v>0</v>
      </c>
      <c r="G313" s="557">
        <f t="shared" si="180"/>
        <v>0</v>
      </c>
      <c r="H313" s="557">
        <f t="shared" si="180"/>
        <v>0</v>
      </c>
      <c r="I313" s="557">
        <f t="shared" si="180"/>
        <v>0</v>
      </c>
      <c r="J313" s="557">
        <f t="shared" si="180"/>
        <v>0</v>
      </c>
      <c r="K313" s="557">
        <f t="shared" si="180"/>
        <v>0</v>
      </c>
      <c r="L313" s="944">
        <f t="shared" si="180"/>
        <v>0</v>
      </c>
      <c r="M313" s="557">
        <f t="shared" si="180"/>
        <v>0</v>
      </c>
      <c r="N313" s="557">
        <f t="shared" si="180"/>
        <v>0</v>
      </c>
      <c r="O313" s="557">
        <f t="shared" si="180"/>
        <v>0</v>
      </c>
      <c r="P313" s="557">
        <f t="shared" si="180"/>
        <v>0</v>
      </c>
      <c r="Q313" s="557">
        <f t="shared" si="180"/>
        <v>0</v>
      </c>
      <c r="R313" s="557">
        <f t="shared" si="180"/>
        <v>0</v>
      </c>
      <c r="S313" s="557">
        <f t="shared" si="180"/>
        <v>0</v>
      </c>
      <c r="T313" s="557">
        <f t="shared" si="180"/>
        <v>0</v>
      </c>
      <c r="U313" s="557">
        <f t="shared" si="180"/>
        <v>0</v>
      </c>
      <c r="V313" s="557">
        <f t="shared" si="180"/>
        <v>0</v>
      </c>
      <c r="W313" s="557">
        <f t="shared" si="180"/>
        <v>0</v>
      </c>
      <c r="X313" s="557">
        <f t="shared" si="180"/>
        <v>0</v>
      </c>
      <c r="Y313" s="557">
        <f t="shared" ref="Y313" si="181">Y168*1000/$C313</f>
        <v>0</v>
      </c>
      <c r="Z313" s="617"/>
    </row>
    <row r="314" spans="2:26" s="302" customFormat="1" ht="15" collapsed="1" x14ac:dyDescent="0.25">
      <c r="B314" s="859" t="s">
        <v>469</v>
      </c>
      <c r="C314" s="479"/>
      <c r="D314" s="862" t="s">
        <v>522</v>
      </c>
      <c r="E314" s="869">
        <f>SUM(E315:E319)</f>
        <v>1643.8356164383561</v>
      </c>
      <c r="F314" s="869">
        <f t="shared" ref="F314" si="182">SUM(F315:F319)</f>
        <v>1643.8356164383561</v>
      </c>
      <c r="G314" s="869">
        <f t="shared" ref="G314" si="183">SUM(G315:G319)</f>
        <v>3103.1904551480338</v>
      </c>
      <c r="H314" s="869">
        <f t="shared" ref="H314" si="184">SUM(H315:H319)</f>
        <v>3159.3194874060982</v>
      </c>
      <c r="I314" s="869">
        <f t="shared" ref="I314" si="185">SUM(I315:I319)</f>
        <v>3290.2872293415821</v>
      </c>
      <c r="J314" s="869">
        <f t="shared" ref="J314" si="186">SUM(J315:J319)</f>
        <v>3299.6420680512592</v>
      </c>
      <c r="K314" s="869">
        <f t="shared" ref="K314" si="187">SUM(K315:K319)</f>
        <v>3299.6420680512592</v>
      </c>
      <c r="L314" s="951">
        <f t="shared" ref="L314" si="188">SUM(L315:L319)</f>
        <v>3439.9646486964207</v>
      </c>
      <c r="M314" s="869">
        <f t="shared" ref="M314" si="189">SUM(M315:M319)</f>
        <v>3430.6098099867431</v>
      </c>
      <c r="N314" s="869">
        <f t="shared" ref="N314" si="190">SUM(N315:N319)</f>
        <v>3393.1904551480338</v>
      </c>
      <c r="O314" s="869">
        <f t="shared" ref="O314" si="191">SUM(O315:O319)</f>
        <v>3393.1904551480338</v>
      </c>
      <c r="P314" s="869">
        <f t="shared" ref="P314" si="192">SUM(P315:P319)</f>
        <v>3393.1904551480338</v>
      </c>
      <c r="Q314" s="869">
        <f t="shared" ref="Q314" si="193">SUM(Q315:Q319)</f>
        <v>3439.9646486964207</v>
      </c>
      <c r="R314" s="869">
        <f t="shared" ref="R314" si="194">SUM(R315:R319)</f>
        <v>3168.6743261157753</v>
      </c>
      <c r="S314" s="869">
        <f t="shared" ref="S314" si="195">SUM(S315:S319)</f>
        <v>3224.8033583738397</v>
      </c>
      <c r="T314" s="869">
        <f t="shared" ref="T314" si="196">SUM(T315:T319)</f>
        <v>4029.3194874060982</v>
      </c>
      <c r="U314" s="869">
        <f t="shared" ref="U314" si="197">SUM(U315:U319)</f>
        <v>3655.1259390190016</v>
      </c>
      <c r="V314" s="869">
        <f t="shared" ref="V314" si="198">SUM(V315:V319)</f>
        <v>3215.4485196641626</v>
      </c>
      <c r="W314" s="869">
        <f t="shared" ref="W314" si="199">SUM(W315:W319)</f>
        <v>2819.8630136986303</v>
      </c>
      <c r="X314" s="869">
        <f t="shared" ref="X314:Y314" si="200">SUM(X315:X319)</f>
        <v>1075.8064516129034</v>
      </c>
      <c r="Y314" s="869">
        <f t="shared" si="200"/>
        <v>0</v>
      </c>
      <c r="Z314" s="870"/>
    </row>
    <row r="315" spans="2:26" s="302" customFormat="1" ht="15" hidden="1" outlineLevel="1" x14ac:dyDescent="0.25">
      <c r="B315" s="576" t="s">
        <v>3</v>
      </c>
      <c r="C315" s="582">
        <f>'Экскаваторы II'!M66</f>
        <v>365</v>
      </c>
      <c r="D315" s="862" t="s">
        <v>522</v>
      </c>
      <c r="E315" s="557">
        <f t="shared" ref="E315:X315" si="201">E170*1000/$C315</f>
        <v>1643.8356164383561</v>
      </c>
      <c r="F315" s="557">
        <f t="shared" si="201"/>
        <v>1643.8356164383561</v>
      </c>
      <c r="G315" s="557">
        <f t="shared" si="201"/>
        <v>1643.8356164383561</v>
      </c>
      <c r="H315" s="557">
        <f t="shared" si="201"/>
        <v>1643.8356164383561</v>
      </c>
      <c r="I315" s="557">
        <f t="shared" si="201"/>
        <v>1643.8356164383561</v>
      </c>
      <c r="J315" s="557">
        <f t="shared" si="201"/>
        <v>1643.8356164383561</v>
      </c>
      <c r="K315" s="557">
        <f t="shared" si="201"/>
        <v>1643.8356164383561</v>
      </c>
      <c r="L315" s="944">
        <f t="shared" si="201"/>
        <v>1643.8356164383561</v>
      </c>
      <c r="M315" s="557">
        <f t="shared" si="201"/>
        <v>1643.8356164383561</v>
      </c>
      <c r="N315" s="557">
        <f t="shared" si="201"/>
        <v>1643.8356164383561</v>
      </c>
      <c r="O315" s="557">
        <f t="shared" si="201"/>
        <v>1643.8356164383561</v>
      </c>
      <c r="P315" s="557">
        <f t="shared" si="201"/>
        <v>1643.8356164383561</v>
      </c>
      <c r="Q315" s="557">
        <f t="shared" si="201"/>
        <v>1643.8356164383561</v>
      </c>
      <c r="R315" s="557">
        <f t="shared" si="201"/>
        <v>1643.8356164383561</v>
      </c>
      <c r="S315" s="557">
        <f t="shared" si="201"/>
        <v>1643.8356164383561</v>
      </c>
      <c r="T315" s="557">
        <f t="shared" si="201"/>
        <v>1643.8356164383561</v>
      </c>
      <c r="U315" s="557">
        <f t="shared" si="201"/>
        <v>1643.8356164383561</v>
      </c>
      <c r="V315" s="557">
        <f t="shared" si="201"/>
        <v>1643.8356164383561</v>
      </c>
      <c r="W315" s="557">
        <f t="shared" si="201"/>
        <v>1369.8630136986301</v>
      </c>
      <c r="X315" s="557">
        <f t="shared" si="201"/>
        <v>0</v>
      </c>
      <c r="Y315" s="557">
        <f t="shared" ref="Y315" si="202">Y170*1000/$C315</f>
        <v>0</v>
      </c>
      <c r="Z315" s="617"/>
    </row>
    <row r="316" spans="2:26" s="302" customFormat="1" ht="15" hidden="1" outlineLevel="1" x14ac:dyDescent="0.25">
      <c r="B316" s="576" t="s">
        <v>9</v>
      </c>
      <c r="C316" s="861">
        <f>'Экскаваторы II'!M67</f>
        <v>220.68965517241378</v>
      </c>
      <c r="D316" s="862" t="s">
        <v>522</v>
      </c>
      <c r="E316" s="557">
        <f t="shared" ref="E316:X316" si="203">E171*1000/$C316</f>
        <v>0</v>
      </c>
      <c r="F316" s="557">
        <f t="shared" si="203"/>
        <v>0</v>
      </c>
      <c r="G316" s="557">
        <f t="shared" si="203"/>
        <v>0</v>
      </c>
      <c r="H316" s="557">
        <f t="shared" si="203"/>
        <v>0</v>
      </c>
      <c r="I316" s="557">
        <f t="shared" si="203"/>
        <v>0</v>
      </c>
      <c r="J316" s="557">
        <f t="shared" si="203"/>
        <v>0</v>
      </c>
      <c r="K316" s="557">
        <f t="shared" si="203"/>
        <v>0</v>
      </c>
      <c r="L316" s="944">
        <f t="shared" si="203"/>
        <v>0</v>
      </c>
      <c r="M316" s="557">
        <f t="shared" si="203"/>
        <v>0</v>
      </c>
      <c r="N316" s="557">
        <f t="shared" si="203"/>
        <v>0</v>
      </c>
      <c r="O316" s="557">
        <f t="shared" si="203"/>
        <v>0</v>
      </c>
      <c r="P316" s="557">
        <f t="shared" si="203"/>
        <v>0</v>
      </c>
      <c r="Q316" s="557">
        <f t="shared" si="203"/>
        <v>0</v>
      </c>
      <c r="R316" s="557">
        <f t="shared" si="203"/>
        <v>0</v>
      </c>
      <c r="S316" s="557">
        <f t="shared" si="203"/>
        <v>0</v>
      </c>
      <c r="T316" s="557">
        <f t="shared" si="203"/>
        <v>0</v>
      </c>
      <c r="U316" s="557">
        <f t="shared" si="203"/>
        <v>0</v>
      </c>
      <c r="V316" s="557">
        <f t="shared" si="203"/>
        <v>0</v>
      </c>
      <c r="W316" s="557">
        <f t="shared" si="203"/>
        <v>0</v>
      </c>
      <c r="X316" s="557">
        <f t="shared" si="203"/>
        <v>0</v>
      </c>
      <c r="Y316" s="557">
        <f t="shared" ref="Y316" si="204">Y171*1000/$C316</f>
        <v>0</v>
      </c>
      <c r="Z316" s="617"/>
    </row>
    <row r="317" spans="2:26" s="302" customFormat="1" ht="15" hidden="1" outlineLevel="1" x14ac:dyDescent="0.25">
      <c r="B317" s="576" t="s">
        <v>325</v>
      </c>
      <c r="C317" s="861">
        <f>'Экскаваторы II'!M69</f>
        <v>196.05911330049261</v>
      </c>
      <c r="D317" s="862" t="s">
        <v>522</v>
      </c>
      <c r="E317" s="557">
        <f t="shared" ref="E317:X317" si="205">E172*1000/$C317</f>
        <v>0</v>
      </c>
      <c r="F317" s="557">
        <f t="shared" si="205"/>
        <v>0</v>
      </c>
      <c r="G317" s="557">
        <f t="shared" si="205"/>
        <v>0</v>
      </c>
      <c r="H317" s="557">
        <f t="shared" si="205"/>
        <v>0</v>
      </c>
      <c r="I317" s="557">
        <f t="shared" si="205"/>
        <v>0</v>
      </c>
      <c r="J317" s="557">
        <f t="shared" si="205"/>
        <v>0</v>
      </c>
      <c r="K317" s="557">
        <f t="shared" si="205"/>
        <v>0</v>
      </c>
      <c r="L317" s="944">
        <f t="shared" si="205"/>
        <v>0</v>
      </c>
      <c r="M317" s="557">
        <f t="shared" si="205"/>
        <v>0</v>
      </c>
      <c r="N317" s="557">
        <f t="shared" si="205"/>
        <v>0</v>
      </c>
      <c r="O317" s="557">
        <f t="shared" si="205"/>
        <v>0</v>
      </c>
      <c r="P317" s="557">
        <f t="shared" si="205"/>
        <v>0</v>
      </c>
      <c r="Q317" s="557">
        <f t="shared" si="205"/>
        <v>0</v>
      </c>
      <c r="R317" s="557">
        <f t="shared" si="205"/>
        <v>0</v>
      </c>
      <c r="S317" s="557">
        <f t="shared" si="205"/>
        <v>0</v>
      </c>
      <c r="T317" s="557">
        <f t="shared" si="205"/>
        <v>0</v>
      </c>
      <c r="U317" s="557">
        <f t="shared" si="205"/>
        <v>0</v>
      </c>
      <c r="V317" s="557">
        <f t="shared" si="205"/>
        <v>0</v>
      </c>
      <c r="W317" s="557">
        <f t="shared" si="205"/>
        <v>0</v>
      </c>
      <c r="X317" s="557">
        <f t="shared" si="205"/>
        <v>0</v>
      </c>
      <c r="Y317" s="557">
        <f t="shared" ref="Y317" si="206">Y172*1000/$C317</f>
        <v>0</v>
      </c>
      <c r="Z317" s="617"/>
    </row>
    <row r="318" spans="2:26" s="302" customFormat="1" ht="15" hidden="1" outlineLevel="1" x14ac:dyDescent="0.25">
      <c r="B318" s="576" t="s">
        <v>6</v>
      </c>
      <c r="C318" s="861">
        <f>'Экскаваторы II'!M68</f>
        <v>213.79310344827584</v>
      </c>
      <c r="D318" s="862" t="s">
        <v>522</v>
      </c>
      <c r="E318" s="557">
        <f t="shared" ref="E318:X318" si="207">E173*1000/$C318</f>
        <v>0</v>
      </c>
      <c r="F318" s="557">
        <f t="shared" si="207"/>
        <v>0</v>
      </c>
      <c r="G318" s="557">
        <f t="shared" si="207"/>
        <v>0</v>
      </c>
      <c r="H318" s="557">
        <f t="shared" si="207"/>
        <v>0</v>
      </c>
      <c r="I318" s="557">
        <f t="shared" si="207"/>
        <v>0</v>
      </c>
      <c r="J318" s="557">
        <f t="shared" si="207"/>
        <v>0</v>
      </c>
      <c r="K318" s="557">
        <f t="shared" si="207"/>
        <v>0</v>
      </c>
      <c r="L318" s="944">
        <f t="shared" si="207"/>
        <v>0</v>
      </c>
      <c r="M318" s="557">
        <f t="shared" si="207"/>
        <v>0</v>
      </c>
      <c r="N318" s="557">
        <f t="shared" si="207"/>
        <v>0</v>
      </c>
      <c r="O318" s="557">
        <f t="shared" si="207"/>
        <v>0</v>
      </c>
      <c r="P318" s="557">
        <f t="shared" si="207"/>
        <v>0</v>
      </c>
      <c r="Q318" s="557">
        <f t="shared" si="207"/>
        <v>0</v>
      </c>
      <c r="R318" s="557">
        <f t="shared" si="207"/>
        <v>0</v>
      </c>
      <c r="S318" s="557">
        <f t="shared" si="207"/>
        <v>0</v>
      </c>
      <c r="T318" s="557">
        <f t="shared" si="207"/>
        <v>0</v>
      </c>
      <c r="U318" s="557">
        <f t="shared" si="207"/>
        <v>0</v>
      </c>
      <c r="V318" s="557">
        <f t="shared" si="207"/>
        <v>0</v>
      </c>
      <c r="W318" s="557">
        <f t="shared" si="207"/>
        <v>0</v>
      </c>
      <c r="X318" s="557">
        <f t="shared" si="207"/>
        <v>0</v>
      </c>
      <c r="Y318" s="557">
        <f t="shared" ref="Y318" si="208">Y173*1000/$C318</f>
        <v>0</v>
      </c>
      <c r="Z318" s="617"/>
    </row>
    <row r="319" spans="2:26" s="302" customFormat="1" ht="15" hidden="1" outlineLevel="1" x14ac:dyDescent="0.25">
      <c r="B319" s="576" t="s">
        <v>462</v>
      </c>
      <c r="C319" s="861">
        <f>C318</f>
        <v>213.79310344827584</v>
      </c>
      <c r="D319" s="862" t="s">
        <v>522</v>
      </c>
      <c r="E319" s="557">
        <f t="shared" ref="E319:X319" si="209">E174*1000/$C319</f>
        <v>0</v>
      </c>
      <c r="F319" s="557">
        <f t="shared" si="209"/>
        <v>0</v>
      </c>
      <c r="G319" s="557">
        <f t="shared" si="209"/>
        <v>1459.3548387096776</v>
      </c>
      <c r="H319" s="557">
        <f t="shared" si="209"/>
        <v>1515.4838709677422</v>
      </c>
      <c r="I319" s="557">
        <f t="shared" si="209"/>
        <v>1646.4516129032259</v>
      </c>
      <c r="J319" s="557">
        <f t="shared" si="209"/>
        <v>1655.8064516129034</v>
      </c>
      <c r="K319" s="557">
        <f t="shared" si="209"/>
        <v>1655.8064516129034</v>
      </c>
      <c r="L319" s="944">
        <f t="shared" si="209"/>
        <v>1796.1290322580646</v>
      </c>
      <c r="M319" s="557">
        <f t="shared" si="209"/>
        <v>1786.7741935483873</v>
      </c>
      <c r="N319" s="557">
        <f t="shared" si="209"/>
        <v>1749.3548387096776</v>
      </c>
      <c r="O319" s="557">
        <f t="shared" si="209"/>
        <v>1749.3548387096776</v>
      </c>
      <c r="P319" s="557">
        <f t="shared" si="209"/>
        <v>1749.3548387096776</v>
      </c>
      <c r="Q319" s="557">
        <f t="shared" si="209"/>
        <v>1796.1290322580646</v>
      </c>
      <c r="R319" s="557">
        <f t="shared" si="209"/>
        <v>1524.8387096774195</v>
      </c>
      <c r="S319" s="557">
        <f t="shared" si="209"/>
        <v>1580.9677419354839</v>
      </c>
      <c r="T319" s="557">
        <f t="shared" si="209"/>
        <v>2385.483870967742</v>
      </c>
      <c r="U319" s="557">
        <f t="shared" si="209"/>
        <v>2011.2903225806454</v>
      </c>
      <c r="V319" s="557">
        <f t="shared" si="209"/>
        <v>1571.6129032258066</v>
      </c>
      <c r="W319" s="557">
        <f t="shared" si="209"/>
        <v>1450.0000000000002</v>
      </c>
      <c r="X319" s="557">
        <f t="shared" si="209"/>
        <v>1075.8064516129034</v>
      </c>
      <c r="Y319" s="557">
        <f t="shared" ref="Y319" si="210">Y174*1000/$C319</f>
        <v>0</v>
      </c>
      <c r="Z319" s="617"/>
    </row>
    <row r="320" spans="2:26" s="302" customFormat="1" ht="15" collapsed="1" x14ac:dyDescent="0.25">
      <c r="B320" s="859" t="s">
        <v>470</v>
      </c>
      <c r="C320" s="479"/>
      <c r="D320" s="862" t="s">
        <v>522</v>
      </c>
      <c r="E320" s="869">
        <f>SUM(E321:E325)</f>
        <v>1433.6917562724013</v>
      </c>
      <c r="F320" s="869">
        <f t="shared" ref="F320" si="211">SUM(F321:F325)</f>
        <v>1254.4802867383512</v>
      </c>
      <c r="G320" s="869">
        <f t="shared" ref="G320" si="212">SUM(G321:G325)</f>
        <v>2036.5067858724981</v>
      </c>
      <c r="H320" s="869">
        <f t="shared" ref="H320" si="213">SUM(H321:H325)</f>
        <v>2036.5067858724981</v>
      </c>
      <c r="I320" s="869">
        <f t="shared" ref="I320" si="214">SUM(I321:I325)</f>
        <v>2394.9297249405981</v>
      </c>
      <c r="J320" s="869">
        <f t="shared" ref="J320" si="215">SUM(J321:J325)</f>
        <v>2753.3526640086989</v>
      </c>
      <c r="K320" s="869">
        <f t="shared" ref="K320" si="216">SUM(K321:K325)</f>
        <v>2753.3526640086989</v>
      </c>
      <c r="L320" s="951">
        <f t="shared" ref="L320" si="217">SUM(L321:L325)</f>
        <v>2753.3526640086989</v>
      </c>
      <c r="M320" s="869">
        <f t="shared" ref="M320" si="218">SUM(M321:M325)</f>
        <v>2753.3526640086989</v>
      </c>
      <c r="N320" s="869">
        <f t="shared" ref="N320" si="219">SUM(N321:N325)</f>
        <v>2753.3526640086989</v>
      </c>
      <c r="O320" s="869">
        <f t="shared" ref="O320" si="220">SUM(O321:O325)</f>
        <v>2753.3526640086989</v>
      </c>
      <c r="P320" s="869">
        <f t="shared" ref="P320" si="221">SUM(P321:P325)</f>
        <v>2753.3526640086989</v>
      </c>
      <c r="Q320" s="869">
        <f t="shared" ref="Q320" si="222">SUM(Q321:Q325)</f>
        <v>2753.3526640086989</v>
      </c>
      <c r="R320" s="869">
        <f t="shared" ref="R320" si="223">SUM(R321:R325)</f>
        <v>3038.4650235592608</v>
      </c>
      <c r="S320" s="869">
        <f t="shared" ref="S320" si="224">SUM(S321:S325)</f>
        <v>3038.4650235592608</v>
      </c>
      <c r="T320" s="869">
        <f t="shared" ref="T320" si="225">SUM(T321:T325)</f>
        <v>7150.4645773660995</v>
      </c>
      <c r="U320" s="869">
        <f t="shared" ref="U320" si="226">SUM(U321:U325)</f>
        <v>6336.2989585773121</v>
      </c>
      <c r="V320" s="869">
        <f t="shared" ref="V320" si="227">SUM(V321:V325)</f>
        <v>3038.4650235592608</v>
      </c>
      <c r="W320" s="869">
        <f t="shared" ref="W320" si="228">SUM(W321:W325)</f>
        <v>2036.5067858724981</v>
      </c>
      <c r="X320" s="869">
        <f t="shared" ref="X320:Y320" si="229">SUM(X321:X325)</f>
        <v>855.33707865168549</v>
      </c>
      <c r="Y320" s="869">
        <f t="shared" si="229"/>
        <v>0</v>
      </c>
      <c r="Z320" s="870"/>
    </row>
    <row r="321" spans="2:26" s="302" customFormat="1" ht="15" hidden="1" outlineLevel="1" x14ac:dyDescent="0.25">
      <c r="B321" s="576" t="s">
        <v>3</v>
      </c>
      <c r="C321" s="582">
        <f>'Экскаваторы II'!Q66</f>
        <v>558</v>
      </c>
      <c r="D321" s="862" t="s">
        <v>522</v>
      </c>
      <c r="E321" s="557">
        <f t="shared" ref="E321:X321" si="230">E176*1000/$C321</f>
        <v>1433.6917562724013</v>
      </c>
      <c r="F321" s="557">
        <f t="shared" si="230"/>
        <v>1254.4802867383512</v>
      </c>
      <c r="G321" s="557">
        <f t="shared" si="230"/>
        <v>896.05734767025092</v>
      </c>
      <c r="H321" s="557">
        <f t="shared" si="230"/>
        <v>896.05734767025092</v>
      </c>
      <c r="I321" s="557">
        <f t="shared" si="230"/>
        <v>1254.4802867383512</v>
      </c>
      <c r="J321" s="557">
        <f t="shared" si="230"/>
        <v>1612.9032258064517</v>
      </c>
      <c r="K321" s="557">
        <f t="shared" si="230"/>
        <v>1612.9032258064517</v>
      </c>
      <c r="L321" s="944">
        <f t="shared" si="230"/>
        <v>1612.9032258064517</v>
      </c>
      <c r="M321" s="557">
        <f t="shared" si="230"/>
        <v>1612.9032258064517</v>
      </c>
      <c r="N321" s="557">
        <f t="shared" si="230"/>
        <v>1612.9032258064517</v>
      </c>
      <c r="O321" s="557">
        <f t="shared" si="230"/>
        <v>1612.9032258064517</v>
      </c>
      <c r="P321" s="557">
        <f t="shared" si="230"/>
        <v>1612.9032258064517</v>
      </c>
      <c r="Q321" s="557">
        <f t="shared" si="230"/>
        <v>1612.9032258064517</v>
      </c>
      <c r="R321" s="557">
        <f t="shared" si="230"/>
        <v>1612.9032258064517</v>
      </c>
      <c r="S321" s="557">
        <f t="shared" si="230"/>
        <v>1612.9032258064517</v>
      </c>
      <c r="T321" s="557">
        <f t="shared" si="230"/>
        <v>1612.9032258064517</v>
      </c>
      <c r="U321" s="557">
        <f t="shared" si="230"/>
        <v>1612.9032258064517</v>
      </c>
      <c r="V321" s="557">
        <f t="shared" si="230"/>
        <v>1612.9032258064517</v>
      </c>
      <c r="W321" s="557">
        <f t="shared" si="230"/>
        <v>896.05734767025092</v>
      </c>
      <c r="X321" s="557">
        <f t="shared" si="230"/>
        <v>0</v>
      </c>
      <c r="Y321" s="557">
        <f t="shared" ref="Y321" si="231">Y176*1000/$C321</f>
        <v>0</v>
      </c>
      <c r="Z321" s="617"/>
    </row>
    <row r="322" spans="2:26" s="302" customFormat="1" ht="15" hidden="1" outlineLevel="1" x14ac:dyDescent="0.25">
      <c r="B322" s="576" t="s">
        <v>9</v>
      </c>
      <c r="C322" s="861">
        <f>'Экскаваторы II'!Q67</f>
        <v>336.94581280788174</v>
      </c>
      <c r="D322" s="862" t="s">
        <v>522</v>
      </c>
      <c r="E322" s="557">
        <f t="shared" ref="E322:X322" si="232">E177*1000/$C322</f>
        <v>0</v>
      </c>
      <c r="F322" s="557">
        <f t="shared" si="232"/>
        <v>0</v>
      </c>
      <c r="G322" s="557">
        <f t="shared" si="232"/>
        <v>0</v>
      </c>
      <c r="H322" s="557">
        <f t="shared" si="232"/>
        <v>0</v>
      </c>
      <c r="I322" s="557">
        <f t="shared" si="232"/>
        <v>0</v>
      </c>
      <c r="J322" s="557">
        <f t="shared" si="232"/>
        <v>0</v>
      </c>
      <c r="K322" s="557">
        <f t="shared" si="232"/>
        <v>0</v>
      </c>
      <c r="L322" s="944">
        <f t="shared" si="232"/>
        <v>0</v>
      </c>
      <c r="M322" s="557">
        <f t="shared" si="232"/>
        <v>0</v>
      </c>
      <c r="N322" s="557">
        <f t="shared" si="232"/>
        <v>0</v>
      </c>
      <c r="O322" s="557">
        <f t="shared" si="232"/>
        <v>0</v>
      </c>
      <c r="P322" s="557">
        <f t="shared" si="232"/>
        <v>0</v>
      </c>
      <c r="Q322" s="557">
        <f t="shared" si="232"/>
        <v>0</v>
      </c>
      <c r="R322" s="557">
        <f t="shared" si="232"/>
        <v>0</v>
      </c>
      <c r="S322" s="557">
        <f t="shared" si="232"/>
        <v>0</v>
      </c>
      <c r="T322" s="557">
        <f t="shared" si="232"/>
        <v>0</v>
      </c>
      <c r="U322" s="557">
        <f t="shared" si="232"/>
        <v>0</v>
      </c>
      <c r="V322" s="557">
        <f t="shared" si="232"/>
        <v>0</v>
      </c>
      <c r="W322" s="557">
        <f t="shared" si="232"/>
        <v>0</v>
      </c>
      <c r="X322" s="557">
        <f t="shared" si="232"/>
        <v>0</v>
      </c>
      <c r="Y322" s="557">
        <f t="shared" ref="Y322" si="233">Y177*1000/$C322</f>
        <v>0</v>
      </c>
      <c r="Z322" s="617"/>
    </row>
    <row r="323" spans="2:26" s="302" customFormat="1" ht="15" hidden="1" outlineLevel="1" x14ac:dyDescent="0.25">
      <c r="B323" s="576" t="s">
        <v>325</v>
      </c>
      <c r="C323" s="861">
        <f>'Экскаваторы II'!Q69</f>
        <v>272.90640394088666</v>
      </c>
      <c r="D323" s="862" t="s">
        <v>522</v>
      </c>
      <c r="E323" s="557">
        <f t="shared" ref="E323:X323" si="234">E178*1000/$C323</f>
        <v>0</v>
      </c>
      <c r="F323" s="557">
        <f t="shared" si="234"/>
        <v>0</v>
      </c>
      <c r="G323" s="557">
        <f t="shared" si="234"/>
        <v>0</v>
      </c>
      <c r="H323" s="557">
        <f t="shared" si="234"/>
        <v>0</v>
      </c>
      <c r="I323" s="557">
        <f t="shared" si="234"/>
        <v>0</v>
      </c>
      <c r="J323" s="557">
        <f t="shared" si="234"/>
        <v>0</v>
      </c>
      <c r="K323" s="557">
        <f t="shared" si="234"/>
        <v>0</v>
      </c>
      <c r="L323" s="944">
        <f t="shared" si="234"/>
        <v>0</v>
      </c>
      <c r="M323" s="557">
        <f t="shared" si="234"/>
        <v>0</v>
      </c>
      <c r="N323" s="557">
        <f t="shared" si="234"/>
        <v>0</v>
      </c>
      <c r="O323" s="557">
        <f t="shared" si="234"/>
        <v>0</v>
      </c>
      <c r="P323" s="557">
        <f t="shared" si="234"/>
        <v>0</v>
      </c>
      <c r="Q323" s="557">
        <f t="shared" si="234"/>
        <v>0</v>
      </c>
      <c r="R323" s="557">
        <f t="shared" si="234"/>
        <v>0</v>
      </c>
      <c r="S323" s="557">
        <f t="shared" si="234"/>
        <v>0</v>
      </c>
      <c r="T323" s="557">
        <f t="shared" si="234"/>
        <v>4397.1119133574011</v>
      </c>
      <c r="U323" s="557">
        <f t="shared" si="234"/>
        <v>3297.8339350180509</v>
      </c>
      <c r="V323" s="557">
        <f t="shared" si="234"/>
        <v>0</v>
      </c>
      <c r="W323" s="557">
        <f t="shared" si="234"/>
        <v>0</v>
      </c>
      <c r="X323" s="557">
        <f t="shared" si="234"/>
        <v>0</v>
      </c>
      <c r="Y323" s="557">
        <f t="shared" ref="Y323" si="235">Y178*1000/$C323</f>
        <v>0</v>
      </c>
      <c r="Z323" s="617"/>
    </row>
    <row r="324" spans="2:26" s="302" customFormat="1" ht="15" hidden="1" outlineLevel="1" x14ac:dyDescent="0.25">
      <c r="B324" s="576" t="s">
        <v>6</v>
      </c>
      <c r="C324" s="861">
        <f>'Экскаваторы II'!Q68</f>
        <v>350.73891625615761</v>
      </c>
      <c r="D324" s="862" t="s">
        <v>522</v>
      </c>
      <c r="E324" s="557">
        <f t="shared" ref="E324:X324" si="236">E179*1000/$C324</f>
        <v>0</v>
      </c>
      <c r="F324" s="557">
        <f t="shared" si="236"/>
        <v>0</v>
      </c>
      <c r="G324" s="557">
        <f t="shared" si="236"/>
        <v>0</v>
      </c>
      <c r="H324" s="557">
        <f t="shared" si="236"/>
        <v>0</v>
      </c>
      <c r="I324" s="557">
        <f t="shared" si="236"/>
        <v>0</v>
      </c>
      <c r="J324" s="557">
        <f t="shared" si="236"/>
        <v>0</v>
      </c>
      <c r="K324" s="557">
        <f t="shared" si="236"/>
        <v>0</v>
      </c>
      <c r="L324" s="944">
        <f t="shared" si="236"/>
        <v>0</v>
      </c>
      <c r="M324" s="557">
        <f t="shared" si="236"/>
        <v>0</v>
      </c>
      <c r="N324" s="557">
        <f t="shared" si="236"/>
        <v>0</v>
      </c>
      <c r="O324" s="557">
        <f t="shared" si="236"/>
        <v>0</v>
      </c>
      <c r="P324" s="557">
        <f t="shared" si="236"/>
        <v>0</v>
      </c>
      <c r="Q324" s="557">
        <f t="shared" si="236"/>
        <v>0</v>
      </c>
      <c r="R324" s="557">
        <f t="shared" si="236"/>
        <v>0</v>
      </c>
      <c r="S324" s="557">
        <f t="shared" si="236"/>
        <v>0</v>
      </c>
      <c r="T324" s="557">
        <f t="shared" si="236"/>
        <v>0</v>
      </c>
      <c r="U324" s="557">
        <f t="shared" si="236"/>
        <v>0</v>
      </c>
      <c r="V324" s="557">
        <f t="shared" si="236"/>
        <v>0</v>
      </c>
      <c r="W324" s="557">
        <f t="shared" si="236"/>
        <v>0</v>
      </c>
      <c r="X324" s="557">
        <f t="shared" si="236"/>
        <v>0</v>
      </c>
      <c r="Y324" s="557">
        <f t="shared" ref="Y324" si="237">Y179*1000/$C324</f>
        <v>0</v>
      </c>
      <c r="Z324" s="617"/>
    </row>
    <row r="325" spans="2:26" s="302" customFormat="1" ht="15" hidden="1" outlineLevel="1" x14ac:dyDescent="0.25">
      <c r="B325" s="576" t="s">
        <v>462</v>
      </c>
      <c r="C325" s="861">
        <f>C324</f>
        <v>350.73891625615761</v>
      </c>
      <c r="D325" s="862" t="s">
        <v>522</v>
      </c>
      <c r="E325" s="557">
        <f t="shared" ref="E325:X325" si="238">E180*1000/$C325</f>
        <v>0</v>
      </c>
      <c r="F325" s="557">
        <f t="shared" si="238"/>
        <v>0</v>
      </c>
      <c r="G325" s="557">
        <f t="shared" si="238"/>
        <v>1140.4494382022472</v>
      </c>
      <c r="H325" s="557">
        <f t="shared" si="238"/>
        <v>1140.4494382022472</v>
      </c>
      <c r="I325" s="557">
        <f t="shared" si="238"/>
        <v>1140.4494382022472</v>
      </c>
      <c r="J325" s="557">
        <f t="shared" si="238"/>
        <v>1140.4494382022472</v>
      </c>
      <c r="K325" s="557">
        <f t="shared" si="238"/>
        <v>1140.4494382022472</v>
      </c>
      <c r="L325" s="944">
        <f t="shared" si="238"/>
        <v>1140.4494382022472</v>
      </c>
      <c r="M325" s="557">
        <f t="shared" si="238"/>
        <v>1140.4494382022472</v>
      </c>
      <c r="N325" s="557">
        <f t="shared" si="238"/>
        <v>1140.4494382022472</v>
      </c>
      <c r="O325" s="557">
        <f t="shared" si="238"/>
        <v>1140.4494382022472</v>
      </c>
      <c r="P325" s="557">
        <f t="shared" si="238"/>
        <v>1140.4494382022472</v>
      </c>
      <c r="Q325" s="557">
        <f t="shared" si="238"/>
        <v>1140.4494382022472</v>
      </c>
      <c r="R325" s="557">
        <f t="shared" si="238"/>
        <v>1425.5617977528091</v>
      </c>
      <c r="S325" s="557">
        <f t="shared" si="238"/>
        <v>1425.5617977528091</v>
      </c>
      <c r="T325" s="557">
        <f t="shared" si="238"/>
        <v>1140.4494382022472</v>
      </c>
      <c r="U325" s="557">
        <f t="shared" si="238"/>
        <v>1425.5617977528091</v>
      </c>
      <c r="V325" s="557">
        <f t="shared" si="238"/>
        <v>1425.5617977528091</v>
      </c>
      <c r="W325" s="557">
        <f t="shared" si="238"/>
        <v>1140.4494382022472</v>
      </c>
      <c r="X325" s="557">
        <f t="shared" si="238"/>
        <v>855.33707865168549</v>
      </c>
      <c r="Y325" s="557">
        <f t="shared" ref="Y325" si="239">Y180*1000/$C325</f>
        <v>0</v>
      </c>
      <c r="Z325" s="617"/>
    </row>
    <row r="326" spans="2:26" s="302" customFormat="1" ht="15" collapsed="1" x14ac:dyDescent="0.25">
      <c r="B326" s="859" t="s">
        <v>358</v>
      </c>
      <c r="C326" s="479"/>
      <c r="D326" s="862" t="s">
        <v>522</v>
      </c>
      <c r="E326" s="869">
        <f>SUM(E327:E331)</f>
        <v>12692.894611349546</v>
      </c>
      <c r="F326" s="869">
        <f t="shared" ref="F326" si="240">SUM(F327:F331)</f>
        <v>12840.486409155936</v>
      </c>
      <c r="G326" s="869">
        <f t="shared" ref="G326" si="241">SUM(G327:G331)</f>
        <v>12840.486409155936</v>
      </c>
      <c r="H326" s="869">
        <f t="shared" ref="H326" si="242">SUM(H327:H331)</f>
        <v>12840.486409155936</v>
      </c>
      <c r="I326" s="869">
        <f t="shared" ref="I326" si="243">SUM(I327:I331)</f>
        <v>12840.486409155936</v>
      </c>
      <c r="J326" s="869">
        <f t="shared" ref="J326" si="244">SUM(J327:J331)</f>
        <v>12840.486409155936</v>
      </c>
      <c r="K326" s="869">
        <f t="shared" ref="K326" si="245">SUM(K327:K331)</f>
        <v>12840.486409155936</v>
      </c>
      <c r="L326" s="951">
        <f t="shared" ref="L326" si="246">SUM(L327:L331)</f>
        <v>12840.486409155936</v>
      </c>
      <c r="M326" s="869">
        <f t="shared" ref="M326" si="247">SUM(M327:M331)</f>
        <v>12840.486409155936</v>
      </c>
      <c r="N326" s="869">
        <f t="shared" ref="N326" si="248">SUM(N327:N331)</f>
        <v>12840.486409155936</v>
      </c>
      <c r="O326" s="869">
        <f t="shared" ref="O326" si="249">SUM(O327:O331)</f>
        <v>12840.486409155936</v>
      </c>
      <c r="P326" s="869">
        <f t="shared" ref="P326" si="250">SUM(P327:P331)</f>
        <v>12840.486409155936</v>
      </c>
      <c r="Q326" s="869">
        <f t="shared" ref="Q326" si="251">SUM(Q327:Q331)</f>
        <v>12840.486409155936</v>
      </c>
      <c r="R326" s="869">
        <f t="shared" ref="R326" si="252">SUM(R327:R331)</f>
        <v>12840.486409155936</v>
      </c>
      <c r="S326" s="869">
        <f t="shared" ref="S326" si="253">SUM(S327:S331)</f>
        <v>12840.486409155936</v>
      </c>
      <c r="T326" s="869">
        <f t="shared" ref="T326" si="254">SUM(T327:T331)</f>
        <v>12840.486409155936</v>
      </c>
      <c r="U326" s="869">
        <f t="shared" ref="U326" si="255">SUM(U327:U331)</f>
        <v>12840.486409155936</v>
      </c>
      <c r="V326" s="869">
        <f t="shared" ref="V326" si="256">SUM(V327:V331)</f>
        <v>12840.486409155936</v>
      </c>
      <c r="W326" s="869">
        <f t="shared" ref="W326" si="257">SUM(W327:W331)</f>
        <v>12840.486409155936</v>
      </c>
      <c r="X326" s="869">
        <f t="shared" ref="X326:Y326" si="258">SUM(X327:X331)</f>
        <v>11364.568431092035</v>
      </c>
      <c r="Y326" s="869">
        <f t="shared" si="258"/>
        <v>5962.7086313781592</v>
      </c>
      <c r="Z326" s="870"/>
    </row>
    <row r="327" spans="2:26" s="302" customFormat="1" ht="15" hidden="1" outlineLevel="1" x14ac:dyDescent="0.25">
      <c r="B327" s="576" t="s">
        <v>3</v>
      </c>
      <c r="C327" s="582">
        <v>1</v>
      </c>
      <c r="D327" s="862" t="s">
        <v>522</v>
      </c>
      <c r="E327" s="557">
        <f t="shared" ref="E327:X327" si="259">E182*1000/$C327</f>
        <v>0</v>
      </c>
      <c r="F327" s="557">
        <f t="shared" si="259"/>
        <v>0</v>
      </c>
      <c r="G327" s="557">
        <f t="shared" si="259"/>
        <v>0</v>
      </c>
      <c r="H327" s="557">
        <f t="shared" si="259"/>
        <v>0</v>
      </c>
      <c r="I327" s="557">
        <f t="shared" si="259"/>
        <v>0</v>
      </c>
      <c r="J327" s="557">
        <f t="shared" si="259"/>
        <v>0</v>
      </c>
      <c r="K327" s="557">
        <f t="shared" si="259"/>
        <v>0</v>
      </c>
      <c r="L327" s="944">
        <f t="shared" si="259"/>
        <v>0</v>
      </c>
      <c r="M327" s="557">
        <f t="shared" si="259"/>
        <v>0</v>
      </c>
      <c r="N327" s="557">
        <f t="shared" si="259"/>
        <v>0</v>
      </c>
      <c r="O327" s="557">
        <f t="shared" si="259"/>
        <v>0</v>
      </c>
      <c r="P327" s="557">
        <f t="shared" si="259"/>
        <v>0</v>
      </c>
      <c r="Q327" s="557">
        <f t="shared" si="259"/>
        <v>0</v>
      </c>
      <c r="R327" s="557">
        <f t="shared" si="259"/>
        <v>0</v>
      </c>
      <c r="S327" s="557">
        <f t="shared" si="259"/>
        <v>0</v>
      </c>
      <c r="T327" s="557">
        <f t="shared" si="259"/>
        <v>0</v>
      </c>
      <c r="U327" s="557">
        <f t="shared" si="259"/>
        <v>0</v>
      </c>
      <c r="V327" s="557">
        <f t="shared" si="259"/>
        <v>0</v>
      </c>
      <c r="W327" s="557">
        <f t="shared" si="259"/>
        <v>0</v>
      </c>
      <c r="X327" s="557">
        <f t="shared" si="259"/>
        <v>0</v>
      </c>
      <c r="Y327" s="557">
        <f t="shared" ref="Y327" si="260">Y182*1000/$C327</f>
        <v>0</v>
      </c>
      <c r="Z327" s="617"/>
    </row>
    <row r="328" spans="2:26" s="302" customFormat="1" ht="15" hidden="1" outlineLevel="1" x14ac:dyDescent="0.25">
      <c r="B328" s="576" t="s">
        <v>9</v>
      </c>
      <c r="C328" s="861">
        <f>'Экскаваторы II'!U67</f>
        <v>1423.9095315024233</v>
      </c>
      <c r="D328" s="862" t="s">
        <v>522</v>
      </c>
      <c r="E328" s="557">
        <f t="shared" ref="E328:X328" si="261">E183*1000/$C328</f>
        <v>0</v>
      </c>
      <c r="F328" s="557">
        <f t="shared" si="261"/>
        <v>0</v>
      </c>
      <c r="G328" s="557">
        <f t="shared" si="261"/>
        <v>0</v>
      </c>
      <c r="H328" s="557">
        <f t="shared" si="261"/>
        <v>0</v>
      </c>
      <c r="I328" s="557">
        <f t="shared" si="261"/>
        <v>0</v>
      </c>
      <c r="J328" s="557">
        <f t="shared" si="261"/>
        <v>0</v>
      </c>
      <c r="K328" s="557">
        <f t="shared" si="261"/>
        <v>0</v>
      </c>
      <c r="L328" s="944">
        <f t="shared" si="261"/>
        <v>0</v>
      </c>
      <c r="M328" s="557">
        <f t="shared" si="261"/>
        <v>0</v>
      </c>
      <c r="N328" s="557">
        <f t="shared" si="261"/>
        <v>0</v>
      </c>
      <c r="O328" s="557">
        <f t="shared" si="261"/>
        <v>0</v>
      </c>
      <c r="P328" s="557">
        <f t="shared" si="261"/>
        <v>0</v>
      </c>
      <c r="Q328" s="557">
        <f t="shared" si="261"/>
        <v>0</v>
      </c>
      <c r="R328" s="557">
        <f t="shared" si="261"/>
        <v>0</v>
      </c>
      <c r="S328" s="557">
        <f t="shared" si="261"/>
        <v>0</v>
      </c>
      <c r="T328" s="557">
        <f t="shared" si="261"/>
        <v>0</v>
      </c>
      <c r="U328" s="557">
        <f t="shared" si="261"/>
        <v>0</v>
      </c>
      <c r="V328" s="557">
        <f t="shared" si="261"/>
        <v>0</v>
      </c>
      <c r="W328" s="557">
        <f t="shared" si="261"/>
        <v>0</v>
      </c>
      <c r="X328" s="557">
        <f t="shared" si="261"/>
        <v>0</v>
      </c>
      <c r="Y328" s="557">
        <f t="shared" ref="Y328" si="262">Y183*1000/$C328</f>
        <v>0</v>
      </c>
      <c r="Z328" s="617"/>
    </row>
    <row r="329" spans="2:26" s="302" customFormat="1" ht="15" hidden="1" outlineLevel="1" x14ac:dyDescent="0.25">
      <c r="B329" s="576" t="s">
        <v>325</v>
      </c>
      <c r="C329" s="861">
        <f>'Экскаваторы II'!U69</f>
        <v>1355.0888529886915</v>
      </c>
      <c r="D329" s="862" t="s">
        <v>522</v>
      </c>
      <c r="E329" s="557">
        <f t="shared" ref="E329:X329" si="263">E184*1000/$C329</f>
        <v>12692.894611349546</v>
      </c>
      <c r="F329" s="557">
        <f t="shared" si="263"/>
        <v>12840.486409155936</v>
      </c>
      <c r="G329" s="557">
        <f t="shared" si="263"/>
        <v>12840.486409155936</v>
      </c>
      <c r="H329" s="557">
        <f t="shared" si="263"/>
        <v>12840.486409155936</v>
      </c>
      <c r="I329" s="557">
        <f t="shared" si="263"/>
        <v>12840.486409155936</v>
      </c>
      <c r="J329" s="557">
        <f t="shared" si="263"/>
        <v>12840.486409155936</v>
      </c>
      <c r="K329" s="557">
        <f t="shared" si="263"/>
        <v>12840.486409155936</v>
      </c>
      <c r="L329" s="944">
        <f t="shared" si="263"/>
        <v>12840.486409155936</v>
      </c>
      <c r="M329" s="557">
        <f t="shared" si="263"/>
        <v>12840.486409155936</v>
      </c>
      <c r="N329" s="557">
        <f t="shared" si="263"/>
        <v>12840.486409155936</v>
      </c>
      <c r="O329" s="557">
        <f t="shared" si="263"/>
        <v>12840.486409155936</v>
      </c>
      <c r="P329" s="557">
        <f t="shared" si="263"/>
        <v>12840.486409155936</v>
      </c>
      <c r="Q329" s="557">
        <f t="shared" si="263"/>
        <v>12840.486409155936</v>
      </c>
      <c r="R329" s="557">
        <f t="shared" si="263"/>
        <v>12840.486409155936</v>
      </c>
      <c r="S329" s="557">
        <f t="shared" si="263"/>
        <v>12840.486409155936</v>
      </c>
      <c r="T329" s="557">
        <f t="shared" si="263"/>
        <v>12840.486409155936</v>
      </c>
      <c r="U329" s="557">
        <f t="shared" si="263"/>
        <v>12840.486409155936</v>
      </c>
      <c r="V329" s="557">
        <f t="shared" si="263"/>
        <v>12840.486409155936</v>
      </c>
      <c r="W329" s="557">
        <f t="shared" si="263"/>
        <v>12840.486409155936</v>
      </c>
      <c r="X329" s="557">
        <f t="shared" si="263"/>
        <v>11364.568431092035</v>
      </c>
      <c r="Y329" s="557">
        <f t="shared" ref="Y329" si="264">Y184*1000/$C329</f>
        <v>5962.7086313781592</v>
      </c>
      <c r="Z329" s="617"/>
    </row>
    <row r="330" spans="2:26" s="302" customFormat="1" ht="15" hidden="1" outlineLevel="1" x14ac:dyDescent="0.25">
      <c r="B330" s="576" t="s">
        <v>6</v>
      </c>
      <c r="C330" s="861">
        <f>C329</f>
        <v>1355.0888529886915</v>
      </c>
      <c r="D330" s="862" t="s">
        <v>522</v>
      </c>
      <c r="E330" s="557">
        <f t="shared" ref="E330:X330" si="265">E185*1000/$C330</f>
        <v>0</v>
      </c>
      <c r="F330" s="557">
        <f t="shared" si="265"/>
        <v>0</v>
      </c>
      <c r="G330" s="557">
        <f t="shared" si="265"/>
        <v>0</v>
      </c>
      <c r="H330" s="557">
        <f t="shared" si="265"/>
        <v>0</v>
      </c>
      <c r="I330" s="557">
        <f t="shared" si="265"/>
        <v>0</v>
      </c>
      <c r="J330" s="557">
        <f t="shared" si="265"/>
        <v>0</v>
      </c>
      <c r="K330" s="557">
        <f t="shared" si="265"/>
        <v>0</v>
      </c>
      <c r="L330" s="944">
        <f t="shared" si="265"/>
        <v>0</v>
      </c>
      <c r="M330" s="557">
        <f t="shared" si="265"/>
        <v>0</v>
      </c>
      <c r="N330" s="557">
        <f t="shared" si="265"/>
        <v>0</v>
      </c>
      <c r="O330" s="557">
        <f t="shared" si="265"/>
        <v>0</v>
      </c>
      <c r="P330" s="557">
        <f t="shared" si="265"/>
        <v>0</v>
      </c>
      <c r="Q330" s="557">
        <f t="shared" si="265"/>
        <v>0</v>
      </c>
      <c r="R330" s="557">
        <f t="shared" si="265"/>
        <v>0</v>
      </c>
      <c r="S330" s="557">
        <f t="shared" si="265"/>
        <v>0</v>
      </c>
      <c r="T330" s="557">
        <f t="shared" si="265"/>
        <v>0</v>
      </c>
      <c r="U330" s="557">
        <f t="shared" si="265"/>
        <v>0</v>
      </c>
      <c r="V330" s="557">
        <f t="shared" si="265"/>
        <v>0</v>
      </c>
      <c r="W330" s="557">
        <f t="shared" si="265"/>
        <v>0</v>
      </c>
      <c r="X330" s="557">
        <f t="shared" si="265"/>
        <v>0</v>
      </c>
      <c r="Y330" s="557">
        <f t="shared" ref="Y330" si="266">Y185*1000/$C330</f>
        <v>0</v>
      </c>
      <c r="Z330" s="617"/>
    </row>
    <row r="331" spans="2:26" s="302" customFormat="1" ht="15" hidden="1" outlineLevel="1" x14ac:dyDescent="0.25">
      <c r="B331" s="576" t="s">
        <v>462</v>
      </c>
      <c r="C331" s="861">
        <f>'Экскаваторы II'!U68</f>
        <v>1558.6429725363489</v>
      </c>
      <c r="D331" s="862" t="s">
        <v>522</v>
      </c>
      <c r="E331" s="557">
        <f t="shared" ref="E331:X331" si="267">E186*1000/$C331</f>
        <v>0</v>
      </c>
      <c r="F331" s="557">
        <f t="shared" si="267"/>
        <v>0</v>
      </c>
      <c r="G331" s="557">
        <f t="shared" si="267"/>
        <v>0</v>
      </c>
      <c r="H331" s="557">
        <f t="shared" si="267"/>
        <v>0</v>
      </c>
      <c r="I331" s="557">
        <f t="shared" si="267"/>
        <v>0</v>
      </c>
      <c r="J331" s="557">
        <f t="shared" si="267"/>
        <v>0</v>
      </c>
      <c r="K331" s="557">
        <f t="shared" si="267"/>
        <v>0</v>
      </c>
      <c r="L331" s="944">
        <f t="shared" si="267"/>
        <v>0</v>
      </c>
      <c r="M331" s="557">
        <f t="shared" si="267"/>
        <v>0</v>
      </c>
      <c r="N331" s="557">
        <f t="shared" si="267"/>
        <v>0</v>
      </c>
      <c r="O331" s="557">
        <f t="shared" si="267"/>
        <v>0</v>
      </c>
      <c r="P331" s="557">
        <f t="shared" si="267"/>
        <v>0</v>
      </c>
      <c r="Q331" s="557">
        <f t="shared" si="267"/>
        <v>0</v>
      </c>
      <c r="R331" s="557">
        <f t="shared" si="267"/>
        <v>0</v>
      </c>
      <c r="S331" s="557">
        <f t="shared" si="267"/>
        <v>0</v>
      </c>
      <c r="T331" s="557">
        <f t="shared" si="267"/>
        <v>0</v>
      </c>
      <c r="U331" s="557">
        <f t="shared" si="267"/>
        <v>0</v>
      </c>
      <c r="V331" s="557">
        <f t="shared" si="267"/>
        <v>0</v>
      </c>
      <c r="W331" s="557">
        <f t="shared" si="267"/>
        <v>0</v>
      </c>
      <c r="X331" s="557">
        <f t="shared" si="267"/>
        <v>0</v>
      </c>
      <c r="Y331" s="557">
        <f t="shared" ref="Y331" si="268">Y186*1000/$C331</f>
        <v>0</v>
      </c>
      <c r="Z331" s="617"/>
    </row>
    <row r="332" spans="2:26" s="302" customFormat="1" ht="15" collapsed="1" x14ac:dyDescent="0.25">
      <c r="B332" s="859" t="s">
        <v>471</v>
      </c>
      <c r="C332" s="479"/>
      <c r="D332" s="862" t="s">
        <v>522</v>
      </c>
      <c r="E332" s="869">
        <f>SUM(E333:E337)</f>
        <v>0</v>
      </c>
      <c r="F332" s="869">
        <f t="shared" ref="F332" si="269">SUM(F333:F337)</f>
        <v>0</v>
      </c>
      <c r="G332" s="869">
        <f t="shared" ref="G332" si="270">SUM(G333:G337)</f>
        <v>0</v>
      </c>
      <c r="H332" s="869">
        <f t="shared" ref="H332" si="271">SUM(H333:H337)</f>
        <v>0</v>
      </c>
      <c r="I332" s="869">
        <f t="shared" ref="I332" si="272">SUM(I333:I337)</f>
        <v>0</v>
      </c>
      <c r="J332" s="869">
        <f t="shared" ref="J332" si="273">SUM(J333:J337)</f>
        <v>0</v>
      </c>
      <c r="K332" s="869">
        <f t="shared" ref="K332" si="274">SUM(K333:K337)</f>
        <v>2582.856461611826</v>
      </c>
      <c r="L332" s="951">
        <f t="shared" ref="L332" si="275">SUM(L333:L337)</f>
        <v>4722.9375298044815</v>
      </c>
      <c r="M332" s="869">
        <f t="shared" ref="M332" si="276">SUM(M333:M337)</f>
        <v>4870.5293276108723</v>
      </c>
      <c r="N332" s="869">
        <f t="shared" ref="N332" si="277">SUM(N333:N337)</f>
        <v>4796.7334287076774</v>
      </c>
      <c r="O332" s="869">
        <f t="shared" ref="O332" si="278">SUM(O333:O337)</f>
        <v>4796.7334287076774</v>
      </c>
      <c r="P332" s="869">
        <f t="shared" ref="P332" si="279">SUM(P333:P337)</f>
        <v>4501.5498330948976</v>
      </c>
      <c r="Q332" s="869">
        <f t="shared" ref="Q332" si="280">SUM(Q333:Q337)</f>
        <v>4235.8845970433949</v>
      </c>
      <c r="R332" s="869">
        <f t="shared" ref="R332" si="281">SUM(R333:R337)</f>
        <v>5534.6924177396277</v>
      </c>
      <c r="S332" s="869">
        <f t="shared" ref="S332" si="282">SUM(S333:S337)</f>
        <v>5534.6924177396277</v>
      </c>
      <c r="T332" s="869">
        <f t="shared" ref="T332" si="283">SUM(T333:T337)</f>
        <v>5756.0801144492125</v>
      </c>
      <c r="U332" s="869">
        <f t="shared" ref="U332" si="284">SUM(U333:U337)</f>
        <v>5756.0801144492125</v>
      </c>
      <c r="V332" s="869">
        <f t="shared" ref="V332" si="285">SUM(V333:V337)</f>
        <v>5387.1006199332378</v>
      </c>
      <c r="W332" s="869">
        <f t="shared" ref="W332" si="286">SUM(W333:W337)</f>
        <v>5387.1006199332378</v>
      </c>
      <c r="X332" s="869">
        <f t="shared" ref="X332:Y332" si="287">SUM(X333:X337)</f>
        <v>5387.1006199332378</v>
      </c>
      <c r="Y332" s="869">
        <f t="shared" si="287"/>
        <v>0</v>
      </c>
      <c r="Z332" s="870"/>
    </row>
    <row r="333" spans="2:26" s="302" customFormat="1" ht="15" hidden="1" outlineLevel="1" x14ac:dyDescent="0.25">
      <c r="B333" s="576" t="s">
        <v>3</v>
      </c>
      <c r="C333" s="582">
        <v>1</v>
      </c>
      <c r="D333" s="862" t="s">
        <v>522</v>
      </c>
      <c r="E333" s="557">
        <f t="shared" ref="E333:X333" si="288">E188*1000/$C333</f>
        <v>0</v>
      </c>
      <c r="F333" s="557">
        <f t="shared" si="288"/>
        <v>0</v>
      </c>
      <c r="G333" s="557">
        <f t="shared" si="288"/>
        <v>0</v>
      </c>
      <c r="H333" s="557">
        <f t="shared" si="288"/>
        <v>0</v>
      </c>
      <c r="I333" s="557">
        <f t="shared" si="288"/>
        <v>0</v>
      </c>
      <c r="J333" s="557">
        <f t="shared" si="288"/>
        <v>0</v>
      </c>
      <c r="K333" s="557">
        <f t="shared" si="288"/>
        <v>0</v>
      </c>
      <c r="L333" s="944">
        <f t="shared" si="288"/>
        <v>0</v>
      </c>
      <c r="M333" s="557">
        <f t="shared" si="288"/>
        <v>0</v>
      </c>
      <c r="N333" s="557">
        <f t="shared" si="288"/>
        <v>0</v>
      </c>
      <c r="O333" s="557">
        <f t="shared" si="288"/>
        <v>0</v>
      </c>
      <c r="P333" s="557">
        <f t="shared" si="288"/>
        <v>0</v>
      </c>
      <c r="Q333" s="557">
        <f t="shared" si="288"/>
        <v>0</v>
      </c>
      <c r="R333" s="557">
        <f t="shared" si="288"/>
        <v>0</v>
      </c>
      <c r="S333" s="557">
        <f t="shared" si="288"/>
        <v>0</v>
      </c>
      <c r="T333" s="557">
        <f t="shared" si="288"/>
        <v>0</v>
      </c>
      <c r="U333" s="557">
        <f t="shared" si="288"/>
        <v>0</v>
      </c>
      <c r="V333" s="557">
        <f t="shared" si="288"/>
        <v>0</v>
      </c>
      <c r="W333" s="557">
        <f t="shared" si="288"/>
        <v>0</v>
      </c>
      <c r="X333" s="557">
        <f t="shared" si="288"/>
        <v>0</v>
      </c>
      <c r="Y333" s="557">
        <f t="shared" ref="Y333" si="289">Y188*1000/$C333</f>
        <v>0</v>
      </c>
      <c r="Z333" s="617"/>
    </row>
    <row r="334" spans="2:26" s="302" customFormat="1" ht="15" hidden="1" outlineLevel="1" x14ac:dyDescent="0.25">
      <c r="B334" s="576" t="s">
        <v>9</v>
      </c>
      <c r="C334" s="861">
        <f>'Экскаваторы II'!Y67</f>
        <v>1591.5993537964459</v>
      </c>
      <c r="D334" s="862" t="s">
        <v>522</v>
      </c>
      <c r="E334" s="557">
        <f t="shared" ref="E334:X334" si="290">E189*1000/$C334</f>
        <v>0</v>
      </c>
      <c r="F334" s="557">
        <f t="shared" si="290"/>
        <v>0</v>
      </c>
      <c r="G334" s="557">
        <f t="shared" si="290"/>
        <v>0</v>
      </c>
      <c r="H334" s="557">
        <f t="shared" si="290"/>
        <v>0</v>
      </c>
      <c r="I334" s="557">
        <f t="shared" si="290"/>
        <v>0</v>
      </c>
      <c r="J334" s="557">
        <f t="shared" si="290"/>
        <v>0</v>
      </c>
      <c r="K334" s="557">
        <f t="shared" si="290"/>
        <v>0</v>
      </c>
      <c r="L334" s="944">
        <f t="shared" si="290"/>
        <v>0</v>
      </c>
      <c r="M334" s="557">
        <f t="shared" si="290"/>
        <v>0</v>
      </c>
      <c r="N334" s="557">
        <f t="shared" si="290"/>
        <v>0</v>
      </c>
      <c r="O334" s="557">
        <f t="shared" si="290"/>
        <v>0</v>
      </c>
      <c r="P334" s="557">
        <f t="shared" si="290"/>
        <v>0</v>
      </c>
      <c r="Q334" s="557">
        <f t="shared" si="290"/>
        <v>0</v>
      </c>
      <c r="R334" s="557">
        <f t="shared" si="290"/>
        <v>0</v>
      </c>
      <c r="S334" s="557">
        <f t="shared" si="290"/>
        <v>0</v>
      </c>
      <c r="T334" s="557">
        <f t="shared" si="290"/>
        <v>0</v>
      </c>
      <c r="U334" s="557">
        <f t="shared" si="290"/>
        <v>0</v>
      </c>
      <c r="V334" s="557">
        <f t="shared" si="290"/>
        <v>0</v>
      </c>
      <c r="W334" s="557">
        <f t="shared" si="290"/>
        <v>0</v>
      </c>
      <c r="X334" s="557">
        <f t="shared" si="290"/>
        <v>0</v>
      </c>
      <c r="Y334" s="557">
        <f t="shared" ref="Y334" si="291">Y189*1000/$C334</f>
        <v>0</v>
      </c>
      <c r="Z334" s="617"/>
    </row>
    <row r="335" spans="2:26" s="302" customFormat="1" ht="15" hidden="1" outlineLevel="1" x14ac:dyDescent="0.25">
      <c r="B335" s="576" t="s">
        <v>325</v>
      </c>
      <c r="C335" s="861">
        <f>'Экскаваторы II'!Y69</f>
        <v>1355.0888529886915</v>
      </c>
      <c r="D335" s="862" t="s">
        <v>522</v>
      </c>
      <c r="E335" s="557">
        <f t="shared" ref="E335:X335" si="292">E190*1000/$C335</f>
        <v>0</v>
      </c>
      <c r="F335" s="557">
        <f t="shared" si="292"/>
        <v>0</v>
      </c>
      <c r="G335" s="557">
        <f t="shared" si="292"/>
        <v>0</v>
      </c>
      <c r="H335" s="557">
        <f t="shared" si="292"/>
        <v>0</v>
      </c>
      <c r="I335" s="557">
        <f t="shared" si="292"/>
        <v>0</v>
      </c>
      <c r="J335" s="557">
        <f t="shared" si="292"/>
        <v>0</v>
      </c>
      <c r="K335" s="557">
        <f t="shared" si="292"/>
        <v>1106.9384835479254</v>
      </c>
      <c r="L335" s="944">
        <f t="shared" si="292"/>
        <v>3247.0195517405814</v>
      </c>
      <c r="M335" s="557">
        <f t="shared" si="292"/>
        <v>3394.6113495469717</v>
      </c>
      <c r="N335" s="557">
        <f t="shared" si="292"/>
        <v>3320.8154506437768</v>
      </c>
      <c r="O335" s="557">
        <f t="shared" si="292"/>
        <v>3320.8154506437768</v>
      </c>
      <c r="P335" s="557">
        <f t="shared" si="292"/>
        <v>3394.6113495469717</v>
      </c>
      <c r="Q335" s="557">
        <f t="shared" si="292"/>
        <v>3394.6113495469717</v>
      </c>
      <c r="R335" s="557">
        <f t="shared" si="292"/>
        <v>5534.6924177396277</v>
      </c>
      <c r="S335" s="557">
        <f t="shared" si="292"/>
        <v>5534.6924177396277</v>
      </c>
      <c r="T335" s="557">
        <f t="shared" si="292"/>
        <v>5756.0801144492125</v>
      </c>
      <c r="U335" s="557">
        <f t="shared" si="292"/>
        <v>5756.0801144492125</v>
      </c>
      <c r="V335" s="557">
        <f t="shared" si="292"/>
        <v>5387.1006199332378</v>
      </c>
      <c r="W335" s="557">
        <f t="shared" si="292"/>
        <v>5387.1006199332378</v>
      </c>
      <c r="X335" s="557">
        <f t="shared" si="292"/>
        <v>5387.1006199332378</v>
      </c>
      <c r="Y335" s="557">
        <f t="shared" ref="Y335" si="293">Y190*1000/$C335</f>
        <v>0</v>
      </c>
      <c r="Z335" s="617"/>
    </row>
    <row r="336" spans="2:26" s="302" customFormat="1" ht="15" hidden="1" outlineLevel="1" x14ac:dyDescent="0.25">
      <c r="B336" s="576" t="s">
        <v>6</v>
      </c>
      <c r="C336" s="861">
        <f>C335</f>
        <v>1355.0888529886915</v>
      </c>
      <c r="D336" s="862" t="s">
        <v>522</v>
      </c>
      <c r="E336" s="557">
        <f t="shared" ref="E336:X336" si="294">E191*1000/$C336</f>
        <v>0</v>
      </c>
      <c r="F336" s="557">
        <f t="shared" si="294"/>
        <v>0</v>
      </c>
      <c r="G336" s="557">
        <f t="shared" si="294"/>
        <v>0</v>
      </c>
      <c r="H336" s="557">
        <f t="shared" si="294"/>
        <v>0</v>
      </c>
      <c r="I336" s="557">
        <f t="shared" si="294"/>
        <v>0</v>
      </c>
      <c r="J336" s="557">
        <f t="shared" si="294"/>
        <v>0</v>
      </c>
      <c r="K336" s="557">
        <f t="shared" si="294"/>
        <v>1475.9179780639006</v>
      </c>
      <c r="L336" s="944">
        <f t="shared" si="294"/>
        <v>1475.9179780639006</v>
      </c>
      <c r="M336" s="557">
        <f t="shared" si="294"/>
        <v>1475.9179780639006</v>
      </c>
      <c r="N336" s="557">
        <f t="shared" si="294"/>
        <v>1475.9179780639006</v>
      </c>
      <c r="O336" s="557">
        <f t="shared" si="294"/>
        <v>1475.9179780639006</v>
      </c>
      <c r="P336" s="557">
        <f t="shared" si="294"/>
        <v>1106.9384835479254</v>
      </c>
      <c r="Q336" s="557">
        <f t="shared" si="294"/>
        <v>841.27324749642344</v>
      </c>
      <c r="R336" s="557">
        <f t="shared" si="294"/>
        <v>0</v>
      </c>
      <c r="S336" s="557">
        <f t="shared" si="294"/>
        <v>0</v>
      </c>
      <c r="T336" s="557">
        <f t="shared" si="294"/>
        <v>0</v>
      </c>
      <c r="U336" s="557">
        <f t="shared" si="294"/>
        <v>0</v>
      </c>
      <c r="V336" s="557">
        <f t="shared" si="294"/>
        <v>0</v>
      </c>
      <c r="W336" s="557">
        <f t="shared" si="294"/>
        <v>0</v>
      </c>
      <c r="X336" s="557">
        <f t="shared" si="294"/>
        <v>0</v>
      </c>
      <c r="Y336" s="557">
        <f t="shared" ref="Y336" si="295">Y191*1000/$C336</f>
        <v>0</v>
      </c>
      <c r="Z336" s="617"/>
    </row>
    <row r="337" spans="2:26" s="302" customFormat="1" ht="15" hidden="1" outlineLevel="1" x14ac:dyDescent="0.25">
      <c r="B337" s="576" t="s">
        <v>462</v>
      </c>
      <c r="C337" s="861">
        <f>'Экскаваторы II'!Y68</f>
        <v>1506.3004846526655</v>
      </c>
      <c r="D337" s="862" t="s">
        <v>522</v>
      </c>
      <c r="E337" s="557">
        <f t="shared" ref="E337:X337" si="296">E192*1000/$C337</f>
        <v>0</v>
      </c>
      <c r="F337" s="557">
        <f t="shared" si="296"/>
        <v>0</v>
      </c>
      <c r="G337" s="557">
        <f t="shared" si="296"/>
        <v>0</v>
      </c>
      <c r="H337" s="557">
        <f t="shared" si="296"/>
        <v>0</v>
      </c>
      <c r="I337" s="557">
        <f t="shared" si="296"/>
        <v>0</v>
      </c>
      <c r="J337" s="557">
        <f t="shared" si="296"/>
        <v>0</v>
      </c>
      <c r="K337" s="557">
        <f t="shared" si="296"/>
        <v>0</v>
      </c>
      <c r="L337" s="944">
        <f t="shared" si="296"/>
        <v>0</v>
      </c>
      <c r="M337" s="557">
        <f t="shared" si="296"/>
        <v>0</v>
      </c>
      <c r="N337" s="557">
        <f t="shared" si="296"/>
        <v>0</v>
      </c>
      <c r="O337" s="557">
        <f t="shared" si="296"/>
        <v>0</v>
      </c>
      <c r="P337" s="557">
        <f t="shared" si="296"/>
        <v>0</v>
      </c>
      <c r="Q337" s="557">
        <f t="shared" si="296"/>
        <v>0</v>
      </c>
      <c r="R337" s="557">
        <f t="shared" si="296"/>
        <v>0</v>
      </c>
      <c r="S337" s="557">
        <f t="shared" si="296"/>
        <v>0</v>
      </c>
      <c r="T337" s="557">
        <f t="shared" si="296"/>
        <v>0</v>
      </c>
      <c r="U337" s="557">
        <f t="shared" si="296"/>
        <v>0</v>
      </c>
      <c r="V337" s="557">
        <f t="shared" si="296"/>
        <v>0</v>
      </c>
      <c r="W337" s="557">
        <f t="shared" si="296"/>
        <v>0</v>
      </c>
      <c r="X337" s="557">
        <f t="shared" si="296"/>
        <v>0</v>
      </c>
      <c r="Y337" s="557">
        <f t="shared" ref="Y337" si="297">Y192*1000/$C337</f>
        <v>0</v>
      </c>
      <c r="Z337" s="617"/>
    </row>
    <row r="338" spans="2:26" s="302" customFormat="1" ht="15" collapsed="1" x14ac:dyDescent="0.25">
      <c r="B338" s="859" t="s">
        <v>463</v>
      </c>
      <c r="C338" s="479"/>
      <c r="D338" s="862" t="s">
        <v>522</v>
      </c>
      <c r="E338" s="869">
        <f>SUM(E339:E343)</f>
        <v>0</v>
      </c>
      <c r="F338" s="869">
        <f t="shared" ref="F338" si="298">SUM(F339:F343)</f>
        <v>3467.7871148459385</v>
      </c>
      <c r="G338" s="869">
        <f t="shared" ref="G338" si="299">SUM(G339:G343)</f>
        <v>3467.7871148459385</v>
      </c>
      <c r="H338" s="869">
        <f t="shared" ref="H338" si="300">SUM(H339:H343)</f>
        <v>3467.7871148459385</v>
      </c>
      <c r="I338" s="869">
        <f t="shared" ref="I338" si="301">SUM(I339:I343)</f>
        <v>4830.1320528211281</v>
      </c>
      <c r="J338" s="869">
        <f t="shared" ref="J338" si="302">SUM(J339:J343)</f>
        <v>5201.6806722689071</v>
      </c>
      <c r="K338" s="869">
        <f t="shared" ref="K338" si="303">SUM(K339:K343)</f>
        <v>5201.6806722689071</v>
      </c>
      <c r="L338" s="951">
        <f t="shared" ref="L338" si="304">SUM(L339:L343)</f>
        <v>5201.6806722689071</v>
      </c>
      <c r="M338" s="869">
        <f t="shared" ref="M338" si="305">SUM(M339:M343)</f>
        <v>4953.9815926370547</v>
      </c>
      <c r="N338" s="869">
        <f t="shared" ref="N338" si="306">SUM(N339:N343)</f>
        <v>4953.9815926370547</v>
      </c>
      <c r="O338" s="869">
        <f t="shared" ref="O338" si="307">SUM(O339:O343)</f>
        <v>4953.9815926370547</v>
      </c>
      <c r="P338" s="869">
        <f t="shared" ref="P338" si="308">SUM(P339:P343)</f>
        <v>4953.9815926370547</v>
      </c>
      <c r="Q338" s="869">
        <f t="shared" ref="Q338" si="309">SUM(Q339:Q343)</f>
        <v>4953.9815926370547</v>
      </c>
      <c r="R338" s="869">
        <f t="shared" ref="R338" si="310">SUM(R339:R343)</f>
        <v>4953.9815926370547</v>
      </c>
      <c r="S338" s="869">
        <f t="shared" ref="S338" si="311">SUM(S339:S343)</f>
        <v>5697.0788315326135</v>
      </c>
      <c r="T338" s="869">
        <f t="shared" ref="T338" si="312">SUM(T339:T343)</f>
        <v>5944.7779111644659</v>
      </c>
      <c r="U338" s="869">
        <f t="shared" ref="U338" si="313">SUM(U339:U343)</f>
        <v>5944.7779111644659</v>
      </c>
      <c r="V338" s="869">
        <f t="shared" ref="V338" si="314">SUM(V339:V343)</f>
        <v>5697.0788315326135</v>
      </c>
      <c r="W338" s="869">
        <f t="shared" ref="W338" si="315">SUM(W339:W343)</f>
        <v>5697.0788315326135</v>
      </c>
      <c r="X338" s="869">
        <f t="shared" ref="X338:Y338" si="316">SUM(X339:X343)</f>
        <v>5077.8311324529814</v>
      </c>
      <c r="Y338" s="869">
        <f t="shared" si="316"/>
        <v>0</v>
      </c>
      <c r="Z338" s="870"/>
    </row>
    <row r="339" spans="2:26" s="302" customFormat="1" ht="15" hidden="1" outlineLevel="1" x14ac:dyDescent="0.25">
      <c r="B339" s="576" t="s">
        <v>3</v>
      </c>
      <c r="C339" s="582">
        <v>1</v>
      </c>
      <c r="D339" s="862" t="s">
        <v>522</v>
      </c>
      <c r="E339" s="557">
        <f t="shared" ref="E339:X339" si="317">E194*1000/$C339</f>
        <v>0</v>
      </c>
      <c r="F339" s="557">
        <f t="shared" si="317"/>
        <v>0</v>
      </c>
      <c r="G339" s="557">
        <f t="shared" si="317"/>
        <v>0</v>
      </c>
      <c r="H339" s="557">
        <f t="shared" si="317"/>
        <v>0</v>
      </c>
      <c r="I339" s="557">
        <f t="shared" si="317"/>
        <v>0</v>
      </c>
      <c r="J339" s="557">
        <f t="shared" si="317"/>
        <v>0</v>
      </c>
      <c r="K339" s="557">
        <f t="shared" si="317"/>
        <v>0</v>
      </c>
      <c r="L339" s="944">
        <f t="shared" si="317"/>
        <v>0</v>
      </c>
      <c r="M339" s="557">
        <f t="shared" si="317"/>
        <v>0</v>
      </c>
      <c r="N339" s="557">
        <f t="shared" si="317"/>
        <v>0</v>
      </c>
      <c r="O339" s="557">
        <f t="shared" si="317"/>
        <v>0</v>
      </c>
      <c r="P339" s="557">
        <f t="shared" si="317"/>
        <v>0</v>
      </c>
      <c r="Q339" s="557">
        <f t="shared" si="317"/>
        <v>0</v>
      </c>
      <c r="R339" s="557">
        <f t="shared" si="317"/>
        <v>0</v>
      </c>
      <c r="S339" s="557">
        <f t="shared" si="317"/>
        <v>0</v>
      </c>
      <c r="T339" s="557">
        <f t="shared" si="317"/>
        <v>0</v>
      </c>
      <c r="U339" s="557">
        <f t="shared" si="317"/>
        <v>0</v>
      </c>
      <c r="V339" s="557">
        <f t="shared" si="317"/>
        <v>0</v>
      </c>
      <c r="W339" s="557">
        <f t="shared" si="317"/>
        <v>0</v>
      </c>
      <c r="X339" s="557">
        <f t="shared" si="317"/>
        <v>0</v>
      </c>
      <c r="Y339" s="557">
        <f t="shared" ref="Y339" si="318">Y194*1000/$C339</f>
        <v>0</v>
      </c>
      <c r="Z339" s="617"/>
    </row>
    <row r="340" spans="2:26" s="302" customFormat="1" ht="15" hidden="1" outlineLevel="1" x14ac:dyDescent="0.25">
      <c r="B340" s="576" t="s">
        <v>9</v>
      </c>
      <c r="C340" s="861">
        <f>'Экскаваторы II'!AA67</f>
        <v>1027.4636510500809</v>
      </c>
      <c r="D340" s="862" t="s">
        <v>522</v>
      </c>
      <c r="E340" s="557">
        <f t="shared" ref="E340:X340" si="319">E195*1000/$C340</f>
        <v>0</v>
      </c>
      <c r="F340" s="557">
        <f t="shared" si="319"/>
        <v>0</v>
      </c>
      <c r="G340" s="557">
        <f t="shared" si="319"/>
        <v>0</v>
      </c>
      <c r="H340" s="557">
        <f t="shared" si="319"/>
        <v>0</v>
      </c>
      <c r="I340" s="557">
        <f t="shared" si="319"/>
        <v>0</v>
      </c>
      <c r="J340" s="557">
        <f t="shared" si="319"/>
        <v>0</v>
      </c>
      <c r="K340" s="557">
        <f t="shared" si="319"/>
        <v>0</v>
      </c>
      <c r="L340" s="944">
        <f t="shared" si="319"/>
        <v>0</v>
      </c>
      <c r="M340" s="557">
        <f t="shared" si="319"/>
        <v>0</v>
      </c>
      <c r="N340" s="557">
        <f t="shared" si="319"/>
        <v>0</v>
      </c>
      <c r="O340" s="557">
        <f t="shared" si="319"/>
        <v>0</v>
      </c>
      <c r="P340" s="557">
        <f t="shared" si="319"/>
        <v>0</v>
      </c>
      <c r="Q340" s="557">
        <f t="shared" si="319"/>
        <v>0</v>
      </c>
      <c r="R340" s="557">
        <f t="shared" si="319"/>
        <v>0</v>
      </c>
      <c r="S340" s="557">
        <f t="shared" si="319"/>
        <v>0</v>
      </c>
      <c r="T340" s="557">
        <f t="shared" si="319"/>
        <v>0</v>
      </c>
      <c r="U340" s="557">
        <f t="shared" si="319"/>
        <v>0</v>
      </c>
      <c r="V340" s="557">
        <f t="shared" si="319"/>
        <v>0</v>
      </c>
      <c r="W340" s="557">
        <f t="shared" si="319"/>
        <v>0</v>
      </c>
      <c r="X340" s="557">
        <f t="shared" si="319"/>
        <v>0</v>
      </c>
      <c r="Y340" s="557">
        <f t="shared" ref="Y340" si="320">Y195*1000/$C340</f>
        <v>0</v>
      </c>
      <c r="Z340" s="617"/>
    </row>
    <row r="341" spans="2:26" s="302" customFormat="1" ht="15" hidden="1" outlineLevel="1" x14ac:dyDescent="0.25">
      <c r="B341" s="576" t="s">
        <v>325</v>
      </c>
      <c r="C341" s="861">
        <f>'Экскаваторы II'!AA69</f>
        <v>807.43134087237479</v>
      </c>
      <c r="D341" s="862" t="s">
        <v>522</v>
      </c>
      <c r="E341" s="557">
        <f t="shared" ref="E341:X341" si="321">E196*1000/$C341</f>
        <v>0</v>
      </c>
      <c r="F341" s="557">
        <f t="shared" si="321"/>
        <v>2848.5394157663068</v>
      </c>
      <c r="G341" s="557">
        <f t="shared" si="321"/>
        <v>2848.5394157663068</v>
      </c>
      <c r="H341" s="557">
        <f t="shared" si="321"/>
        <v>2848.5394157663068</v>
      </c>
      <c r="I341" s="557">
        <f t="shared" si="321"/>
        <v>4830.1320528211281</v>
      </c>
      <c r="J341" s="557">
        <f t="shared" si="321"/>
        <v>4953.9815926370547</v>
      </c>
      <c r="K341" s="557">
        <f t="shared" si="321"/>
        <v>4953.9815926370547</v>
      </c>
      <c r="L341" s="944">
        <f t="shared" si="321"/>
        <v>4953.9815926370547</v>
      </c>
      <c r="M341" s="557">
        <f t="shared" si="321"/>
        <v>4953.9815926370547</v>
      </c>
      <c r="N341" s="557">
        <f t="shared" si="321"/>
        <v>4953.9815926370547</v>
      </c>
      <c r="O341" s="557">
        <f t="shared" si="321"/>
        <v>4953.9815926370547</v>
      </c>
      <c r="P341" s="557">
        <f t="shared" si="321"/>
        <v>4953.9815926370547</v>
      </c>
      <c r="Q341" s="557">
        <f t="shared" si="321"/>
        <v>4953.9815926370547</v>
      </c>
      <c r="R341" s="557">
        <f t="shared" si="321"/>
        <v>4953.9815926370547</v>
      </c>
      <c r="S341" s="557">
        <f t="shared" si="321"/>
        <v>5697.0788315326135</v>
      </c>
      <c r="T341" s="557">
        <f t="shared" si="321"/>
        <v>5944.7779111644659</v>
      </c>
      <c r="U341" s="557">
        <f t="shared" si="321"/>
        <v>5944.7779111644659</v>
      </c>
      <c r="V341" s="557">
        <f t="shared" si="321"/>
        <v>5697.0788315326135</v>
      </c>
      <c r="W341" s="557">
        <f t="shared" si="321"/>
        <v>5697.0788315326135</v>
      </c>
      <c r="X341" s="557">
        <f t="shared" si="321"/>
        <v>5077.8311324529814</v>
      </c>
      <c r="Y341" s="557">
        <f t="shared" ref="Y341" si="322">Y196*1000/$C341</f>
        <v>0</v>
      </c>
      <c r="Z341" s="617"/>
    </row>
    <row r="342" spans="2:26" s="302" customFormat="1" ht="15" hidden="1" outlineLevel="1" x14ac:dyDescent="0.25">
      <c r="B342" s="576" t="s">
        <v>6</v>
      </c>
      <c r="C342" s="861">
        <f>C341</f>
        <v>807.43134087237479</v>
      </c>
      <c r="D342" s="862" t="s">
        <v>522</v>
      </c>
      <c r="E342" s="557">
        <f t="shared" ref="E342:X342" si="323">E197*1000/$C342</f>
        <v>0</v>
      </c>
      <c r="F342" s="557">
        <f t="shared" si="323"/>
        <v>619.24769907963184</v>
      </c>
      <c r="G342" s="557">
        <f t="shared" si="323"/>
        <v>619.24769907963184</v>
      </c>
      <c r="H342" s="557">
        <f t="shared" si="323"/>
        <v>619.24769907963184</v>
      </c>
      <c r="I342" s="557">
        <f t="shared" si="323"/>
        <v>0</v>
      </c>
      <c r="J342" s="557">
        <f t="shared" si="323"/>
        <v>247.69907963185275</v>
      </c>
      <c r="K342" s="557">
        <f t="shared" si="323"/>
        <v>247.69907963185275</v>
      </c>
      <c r="L342" s="944">
        <f t="shared" si="323"/>
        <v>247.69907963185275</v>
      </c>
      <c r="M342" s="557">
        <f t="shared" si="323"/>
        <v>0</v>
      </c>
      <c r="N342" s="557">
        <f t="shared" si="323"/>
        <v>0</v>
      </c>
      <c r="O342" s="557">
        <f t="shared" si="323"/>
        <v>0</v>
      </c>
      <c r="P342" s="557">
        <f t="shared" si="323"/>
        <v>0</v>
      </c>
      <c r="Q342" s="557">
        <f t="shared" si="323"/>
        <v>0</v>
      </c>
      <c r="R342" s="557">
        <f t="shared" si="323"/>
        <v>0</v>
      </c>
      <c r="S342" s="557">
        <f t="shared" si="323"/>
        <v>0</v>
      </c>
      <c r="T342" s="557">
        <f t="shared" si="323"/>
        <v>0</v>
      </c>
      <c r="U342" s="557">
        <f t="shared" si="323"/>
        <v>0</v>
      </c>
      <c r="V342" s="557">
        <f t="shared" si="323"/>
        <v>0</v>
      </c>
      <c r="W342" s="557">
        <f t="shared" si="323"/>
        <v>0</v>
      </c>
      <c r="X342" s="557">
        <f t="shared" si="323"/>
        <v>0</v>
      </c>
      <c r="Y342" s="557">
        <f t="shared" ref="Y342" si="324">Y197*1000/$C342</f>
        <v>0</v>
      </c>
      <c r="Z342" s="617"/>
    </row>
    <row r="343" spans="2:26" s="302" customFormat="1" ht="15" hidden="1" outlineLevel="1" x14ac:dyDescent="0.25">
      <c r="B343" s="576" t="s">
        <v>462</v>
      </c>
      <c r="C343" s="861">
        <f>'Экскаваторы II'!AA68</f>
        <v>976.09046849757681</v>
      </c>
      <c r="D343" s="862" t="s">
        <v>522</v>
      </c>
      <c r="E343" s="557">
        <f t="shared" ref="E343:X343" si="325">E198*1000/$C343</f>
        <v>0</v>
      </c>
      <c r="F343" s="557">
        <f t="shared" si="325"/>
        <v>0</v>
      </c>
      <c r="G343" s="557">
        <f t="shared" si="325"/>
        <v>0</v>
      </c>
      <c r="H343" s="557">
        <f t="shared" si="325"/>
        <v>0</v>
      </c>
      <c r="I343" s="557">
        <f t="shared" si="325"/>
        <v>0</v>
      </c>
      <c r="J343" s="557">
        <f t="shared" si="325"/>
        <v>0</v>
      </c>
      <c r="K343" s="557">
        <f t="shared" si="325"/>
        <v>0</v>
      </c>
      <c r="L343" s="944">
        <f t="shared" si="325"/>
        <v>0</v>
      </c>
      <c r="M343" s="557">
        <f t="shared" si="325"/>
        <v>0</v>
      </c>
      <c r="N343" s="557">
        <f t="shared" si="325"/>
        <v>0</v>
      </c>
      <c r="O343" s="557">
        <f t="shared" si="325"/>
        <v>0</v>
      </c>
      <c r="P343" s="557">
        <f t="shared" si="325"/>
        <v>0</v>
      </c>
      <c r="Q343" s="557">
        <f t="shared" si="325"/>
        <v>0</v>
      </c>
      <c r="R343" s="557">
        <f t="shared" si="325"/>
        <v>0</v>
      </c>
      <c r="S343" s="557">
        <f t="shared" si="325"/>
        <v>0</v>
      </c>
      <c r="T343" s="557">
        <f t="shared" si="325"/>
        <v>0</v>
      </c>
      <c r="U343" s="557">
        <f t="shared" si="325"/>
        <v>0</v>
      </c>
      <c r="V343" s="557">
        <f t="shared" si="325"/>
        <v>0</v>
      </c>
      <c r="W343" s="557">
        <f t="shared" si="325"/>
        <v>0</v>
      </c>
      <c r="X343" s="557">
        <f t="shared" si="325"/>
        <v>0</v>
      </c>
      <c r="Y343" s="557">
        <f t="shared" ref="Y343" si="326">Y198*1000/$C343</f>
        <v>0</v>
      </c>
      <c r="Z343" s="617"/>
    </row>
    <row r="344" spans="2:26" s="302" customFormat="1" ht="15" collapsed="1" x14ac:dyDescent="0.25">
      <c r="B344" s="860" t="s">
        <v>16</v>
      </c>
      <c r="C344" s="479"/>
      <c r="D344" s="862" t="s">
        <v>522</v>
      </c>
      <c r="E344" s="869">
        <f>SUM(E345:E349)</f>
        <v>11471.239470517448</v>
      </c>
      <c r="F344" s="869">
        <f t="shared" ref="F344" si="327">SUM(F345:F349)</f>
        <v>7448.8567990373049</v>
      </c>
      <c r="G344" s="869">
        <f t="shared" ref="G344" si="328">SUM(G345:G349)</f>
        <v>7448.8567990373049</v>
      </c>
      <c r="H344" s="869">
        <f t="shared" ref="H344" si="329">SUM(H345:H349)</f>
        <v>7448.8567990373049</v>
      </c>
      <c r="I344" s="869">
        <f t="shared" ref="I344" si="330">SUM(I345:I349)</f>
        <v>7448.8567990373049</v>
      </c>
      <c r="J344" s="869">
        <f t="shared" ref="J344" si="331">SUM(J345:J349)</f>
        <v>7448.8567990373049</v>
      </c>
      <c r="K344" s="869">
        <f t="shared" ref="K344" si="332">SUM(K345:K349)</f>
        <v>7448.8567990373049</v>
      </c>
      <c r="L344" s="951">
        <f t="shared" ref="L344" si="333">SUM(L345:L349)</f>
        <v>7448.8567990373049</v>
      </c>
      <c r="M344" s="869">
        <f t="shared" ref="M344" si="334">SUM(M345:M349)</f>
        <v>7448.8567990373049</v>
      </c>
      <c r="N344" s="869">
        <f t="shared" ref="N344" si="335">SUM(N345:N349)</f>
        <v>7448.8567990373049</v>
      </c>
      <c r="O344" s="869">
        <f t="shared" ref="O344" si="336">SUM(O345:O349)</f>
        <v>7448.8567990373049</v>
      </c>
      <c r="P344" s="869">
        <f t="shared" ref="P344" si="337">SUM(P345:P349)</f>
        <v>7904.1908808077251</v>
      </c>
      <c r="Q344" s="869">
        <f t="shared" ref="Q344" si="338">SUM(Q345:Q349)</f>
        <v>7904.1908808077251</v>
      </c>
      <c r="R344" s="869">
        <f t="shared" ref="R344" si="339">SUM(R345:R349)</f>
        <v>7904.1908808077251</v>
      </c>
      <c r="S344" s="869">
        <f t="shared" ref="S344" si="340">SUM(S345:S349)</f>
        <v>10883.733600422647</v>
      </c>
      <c r="T344" s="869">
        <f t="shared" ref="T344" si="341">SUM(T345:T349)</f>
        <v>11814.840700302309</v>
      </c>
      <c r="U344" s="869">
        <f t="shared" ref="U344" si="342">SUM(U345:U349)</f>
        <v>11918.170878459687</v>
      </c>
      <c r="V344" s="869">
        <f t="shared" ref="V344" si="343">SUM(V345:V349)</f>
        <v>10800.842358604092</v>
      </c>
      <c r="W344" s="869">
        <f t="shared" ref="W344" si="344">SUM(W345:W349)</f>
        <v>10800.842358604092</v>
      </c>
      <c r="X344" s="869">
        <f t="shared" ref="X344:Y344" si="345">SUM(X345:X349)</f>
        <v>0</v>
      </c>
      <c r="Y344" s="869">
        <f t="shared" si="345"/>
        <v>0</v>
      </c>
      <c r="Z344" s="870"/>
    </row>
    <row r="345" spans="2:26" s="302" customFormat="1" ht="15" hidden="1" outlineLevel="1" x14ac:dyDescent="0.25">
      <c r="B345" s="576" t="s">
        <v>3</v>
      </c>
      <c r="C345" s="582">
        <v>1</v>
      </c>
      <c r="D345" s="862" t="s">
        <v>522</v>
      </c>
      <c r="E345" s="557">
        <f t="shared" ref="E345:X345" si="346">E200*1000/$C345</f>
        <v>0</v>
      </c>
      <c r="F345" s="557">
        <f t="shared" si="346"/>
        <v>0</v>
      </c>
      <c r="G345" s="557">
        <f t="shared" si="346"/>
        <v>0</v>
      </c>
      <c r="H345" s="557">
        <f t="shared" si="346"/>
        <v>0</v>
      </c>
      <c r="I345" s="557">
        <f t="shared" si="346"/>
        <v>0</v>
      </c>
      <c r="J345" s="557">
        <f t="shared" si="346"/>
        <v>0</v>
      </c>
      <c r="K345" s="557">
        <f t="shared" si="346"/>
        <v>0</v>
      </c>
      <c r="L345" s="944">
        <f t="shared" si="346"/>
        <v>0</v>
      </c>
      <c r="M345" s="557">
        <f t="shared" si="346"/>
        <v>0</v>
      </c>
      <c r="N345" s="557">
        <f t="shared" si="346"/>
        <v>0</v>
      </c>
      <c r="O345" s="557">
        <f t="shared" si="346"/>
        <v>0</v>
      </c>
      <c r="P345" s="557">
        <f t="shared" si="346"/>
        <v>0</v>
      </c>
      <c r="Q345" s="557">
        <f t="shared" si="346"/>
        <v>0</v>
      </c>
      <c r="R345" s="557">
        <f t="shared" si="346"/>
        <v>0</v>
      </c>
      <c r="S345" s="557">
        <f t="shared" si="346"/>
        <v>0</v>
      </c>
      <c r="T345" s="557">
        <f t="shared" si="346"/>
        <v>0</v>
      </c>
      <c r="U345" s="557">
        <f t="shared" si="346"/>
        <v>0</v>
      </c>
      <c r="V345" s="557">
        <f t="shared" si="346"/>
        <v>0</v>
      </c>
      <c r="W345" s="557">
        <f t="shared" si="346"/>
        <v>0</v>
      </c>
      <c r="X345" s="557">
        <f t="shared" si="346"/>
        <v>0</v>
      </c>
      <c r="Y345" s="557">
        <f t="shared" ref="Y345" si="347">Y200*1000/$C345</f>
        <v>0</v>
      </c>
      <c r="Z345" s="617"/>
    </row>
    <row r="346" spans="2:26" s="302" customFormat="1" ht="15" hidden="1" outlineLevel="1" x14ac:dyDescent="0.25">
      <c r="B346" s="576" t="s">
        <v>9</v>
      </c>
      <c r="C346" s="861">
        <f>'Экскаваторы II'!AC67</f>
        <v>317.93214862681748</v>
      </c>
      <c r="D346" s="862" t="s">
        <v>522</v>
      </c>
      <c r="E346" s="557">
        <f t="shared" ref="E346:X346" si="348">E201*1000/$C346</f>
        <v>0</v>
      </c>
      <c r="F346" s="557">
        <f t="shared" si="348"/>
        <v>0</v>
      </c>
      <c r="G346" s="557">
        <f t="shared" si="348"/>
        <v>0</v>
      </c>
      <c r="H346" s="557">
        <f t="shared" si="348"/>
        <v>0</v>
      </c>
      <c r="I346" s="557">
        <f t="shared" si="348"/>
        <v>0</v>
      </c>
      <c r="J346" s="557">
        <f t="shared" si="348"/>
        <v>0</v>
      </c>
      <c r="K346" s="557">
        <f t="shared" si="348"/>
        <v>0</v>
      </c>
      <c r="L346" s="944">
        <f t="shared" si="348"/>
        <v>0</v>
      </c>
      <c r="M346" s="557">
        <f t="shared" si="348"/>
        <v>0</v>
      </c>
      <c r="N346" s="557">
        <f t="shared" si="348"/>
        <v>0</v>
      </c>
      <c r="O346" s="557">
        <f t="shared" si="348"/>
        <v>0</v>
      </c>
      <c r="P346" s="557">
        <f t="shared" si="348"/>
        <v>1572.6626016260161</v>
      </c>
      <c r="Q346" s="557">
        <f t="shared" si="348"/>
        <v>1572.6626016260161</v>
      </c>
      <c r="R346" s="557">
        <f t="shared" si="348"/>
        <v>1572.6626016260161</v>
      </c>
      <c r="S346" s="557">
        <f t="shared" si="348"/>
        <v>1572.6626016260161</v>
      </c>
      <c r="T346" s="557">
        <f t="shared" si="348"/>
        <v>1572.6626016260161</v>
      </c>
      <c r="U346" s="557">
        <f t="shared" si="348"/>
        <v>0</v>
      </c>
      <c r="V346" s="557">
        <f t="shared" si="348"/>
        <v>0</v>
      </c>
      <c r="W346" s="557">
        <f t="shared" si="348"/>
        <v>0</v>
      </c>
      <c r="X346" s="557">
        <f t="shared" si="348"/>
        <v>0</v>
      </c>
      <c r="Y346" s="557">
        <f t="shared" ref="Y346" si="349">Y201*1000/$C346</f>
        <v>0</v>
      </c>
      <c r="Z346" s="617"/>
    </row>
    <row r="347" spans="2:26" s="302" customFormat="1" ht="15" hidden="1" outlineLevel="1" x14ac:dyDescent="0.25">
      <c r="B347" s="576" t="s">
        <v>325</v>
      </c>
      <c r="C347" s="861">
        <f>'Экскаваторы II'!AC69</f>
        <v>536.99515347334409</v>
      </c>
      <c r="D347" s="862" t="s">
        <v>522</v>
      </c>
      <c r="E347" s="557">
        <f t="shared" ref="E347:X347" si="350">E202*1000/$C347</f>
        <v>11471.239470517448</v>
      </c>
      <c r="F347" s="557">
        <f t="shared" si="350"/>
        <v>7448.8567990373049</v>
      </c>
      <c r="G347" s="557">
        <f t="shared" si="350"/>
        <v>7448.8567990373049</v>
      </c>
      <c r="H347" s="557">
        <f t="shared" si="350"/>
        <v>7448.8567990373049</v>
      </c>
      <c r="I347" s="557">
        <f t="shared" si="350"/>
        <v>7448.8567990373049</v>
      </c>
      <c r="J347" s="557">
        <f t="shared" si="350"/>
        <v>7448.8567990373049</v>
      </c>
      <c r="K347" s="557">
        <f t="shared" si="350"/>
        <v>7448.8567990373049</v>
      </c>
      <c r="L347" s="944">
        <f t="shared" si="350"/>
        <v>7448.8567990373049</v>
      </c>
      <c r="M347" s="557">
        <f t="shared" si="350"/>
        <v>7448.8567990373049</v>
      </c>
      <c r="N347" s="557">
        <f t="shared" si="350"/>
        <v>7448.8567990373049</v>
      </c>
      <c r="O347" s="557">
        <f t="shared" si="350"/>
        <v>7448.8567990373049</v>
      </c>
      <c r="P347" s="557">
        <f t="shared" si="350"/>
        <v>6331.528279181709</v>
      </c>
      <c r="Q347" s="557">
        <f t="shared" si="350"/>
        <v>6331.528279181709</v>
      </c>
      <c r="R347" s="557">
        <f t="shared" si="350"/>
        <v>6331.528279181709</v>
      </c>
      <c r="S347" s="557">
        <f t="shared" si="350"/>
        <v>9311.0709987966311</v>
      </c>
      <c r="T347" s="557">
        <f t="shared" si="350"/>
        <v>10242.178098676293</v>
      </c>
      <c r="U347" s="557">
        <f t="shared" si="350"/>
        <v>11918.170878459687</v>
      </c>
      <c r="V347" s="557">
        <f t="shared" si="350"/>
        <v>10800.842358604092</v>
      </c>
      <c r="W347" s="557">
        <f t="shared" si="350"/>
        <v>10800.842358604092</v>
      </c>
      <c r="X347" s="557">
        <f t="shared" si="350"/>
        <v>0</v>
      </c>
      <c r="Y347" s="557">
        <f t="shared" ref="Y347" si="351">Y202*1000/$C347</f>
        <v>0</v>
      </c>
      <c r="Z347" s="617"/>
    </row>
    <row r="348" spans="2:26" s="302" customFormat="1" ht="15" hidden="1" outlineLevel="1" x14ac:dyDescent="0.25">
      <c r="B348" s="576" t="s">
        <v>6</v>
      </c>
      <c r="C348" s="861">
        <f>C347</f>
        <v>536.99515347334409</v>
      </c>
      <c r="D348" s="862" t="s">
        <v>522</v>
      </c>
      <c r="E348" s="557">
        <f t="shared" ref="E348:X348" si="352">E203*1000/$C348</f>
        <v>0</v>
      </c>
      <c r="F348" s="557">
        <f t="shared" si="352"/>
        <v>0</v>
      </c>
      <c r="G348" s="557">
        <f t="shared" si="352"/>
        <v>0</v>
      </c>
      <c r="H348" s="557">
        <f t="shared" si="352"/>
        <v>0</v>
      </c>
      <c r="I348" s="557">
        <f t="shared" si="352"/>
        <v>0</v>
      </c>
      <c r="J348" s="557">
        <f t="shared" si="352"/>
        <v>0</v>
      </c>
      <c r="K348" s="557">
        <f t="shared" si="352"/>
        <v>0</v>
      </c>
      <c r="L348" s="944">
        <f t="shared" si="352"/>
        <v>0</v>
      </c>
      <c r="M348" s="557">
        <f t="shared" si="352"/>
        <v>0</v>
      </c>
      <c r="N348" s="557">
        <f t="shared" si="352"/>
        <v>0</v>
      </c>
      <c r="O348" s="557">
        <f t="shared" si="352"/>
        <v>0</v>
      </c>
      <c r="P348" s="557">
        <f t="shared" si="352"/>
        <v>0</v>
      </c>
      <c r="Q348" s="557">
        <f t="shared" si="352"/>
        <v>0</v>
      </c>
      <c r="R348" s="557">
        <f t="shared" si="352"/>
        <v>0</v>
      </c>
      <c r="S348" s="557">
        <f t="shared" si="352"/>
        <v>0</v>
      </c>
      <c r="T348" s="557">
        <f t="shared" si="352"/>
        <v>0</v>
      </c>
      <c r="U348" s="557">
        <f t="shared" si="352"/>
        <v>0</v>
      </c>
      <c r="V348" s="557">
        <f t="shared" si="352"/>
        <v>0</v>
      </c>
      <c r="W348" s="557">
        <f t="shared" si="352"/>
        <v>0</v>
      </c>
      <c r="X348" s="557">
        <f t="shared" si="352"/>
        <v>0</v>
      </c>
      <c r="Y348" s="557">
        <f t="shared" ref="Y348" si="353">Y203*1000/$C348</f>
        <v>0</v>
      </c>
      <c r="Z348" s="617"/>
    </row>
    <row r="349" spans="2:26" s="302" customFormat="1" ht="15" hidden="1" outlineLevel="1" x14ac:dyDescent="0.25">
      <c r="B349" s="576" t="s">
        <v>462</v>
      </c>
      <c r="C349" s="861">
        <f>'Экскаваторы II'!AC68</f>
        <v>699.83844911147014</v>
      </c>
      <c r="D349" s="862" t="s">
        <v>522</v>
      </c>
      <c r="E349" s="557">
        <f t="shared" ref="E349:X349" si="354">E204*1000/$C349</f>
        <v>0</v>
      </c>
      <c r="F349" s="557">
        <f t="shared" si="354"/>
        <v>0</v>
      </c>
      <c r="G349" s="557">
        <f t="shared" si="354"/>
        <v>0</v>
      </c>
      <c r="H349" s="557">
        <f t="shared" si="354"/>
        <v>0</v>
      </c>
      <c r="I349" s="557">
        <f t="shared" si="354"/>
        <v>0</v>
      </c>
      <c r="J349" s="557">
        <f t="shared" si="354"/>
        <v>0</v>
      </c>
      <c r="K349" s="557">
        <f t="shared" si="354"/>
        <v>0</v>
      </c>
      <c r="L349" s="944">
        <f t="shared" si="354"/>
        <v>0</v>
      </c>
      <c r="M349" s="557">
        <f t="shared" si="354"/>
        <v>0</v>
      </c>
      <c r="N349" s="557">
        <f t="shared" si="354"/>
        <v>0</v>
      </c>
      <c r="O349" s="557">
        <f t="shared" si="354"/>
        <v>0</v>
      </c>
      <c r="P349" s="557">
        <f t="shared" si="354"/>
        <v>0</v>
      </c>
      <c r="Q349" s="557">
        <f t="shared" si="354"/>
        <v>0</v>
      </c>
      <c r="R349" s="557">
        <f t="shared" si="354"/>
        <v>0</v>
      </c>
      <c r="S349" s="557">
        <f t="shared" si="354"/>
        <v>0</v>
      </c>
      <c r="T349" s="557">
        <f t="shared" si="354"/>
        <v>0</v>
      </c>
      <c r="U349" s="557">
        <f t="shared" si="354"/>
        <v>0</v>
      </c>
      <c r="V349" s="557">
        <f t="shared" si="354"/>
        <v>0</v>
      </c>
      <c r="W349" s="557">
        <f t="shared" si="354"/>
        <v>0</v>
      </c>
      <c r="X349" s="557">
        <f t="shared" si="354"/>
        <v>0</v>
      </c>
      <c r="Y349" s="557">
        <f t="shared" ref="Y349" si="355">Y204*1000/$C349</f>
        <v>0</v>
      </c>
      <c r="Z349" s="617"/>
    </row>
    <row r="350" spans="2:26" s="302" customFormat="1" ht="15" collapsed="1" x14ac:dyDescent="0.25">
      <c r="B350" s="860" t="s">
        <v>245</v>
      </c>
      <c r="C350" s="479"/>
      <c r="D350" s="862" t="s">
        <v>522</v>
      </c>
      <c r="E350" s="869">
        <f>SUM(E351:E355)</f>
        <v>10393.656716417911</v>
      </c>
      <c r="F350" s="869">
        <f t="shared" ref="F350" si="356">SUM(F351:F355)</f>
        <v>10393.656716417911</v>
      </c>
      <c r="G350" s="869">
        <f t="shared" ref="G350" si="357">SUM(G351:G355)</f>
        <v>10393.656716417911</v>
      </c>
      <c r="H350" s="869">
        <f t="shared" ref="H350" si="358">SUM(H351:H355)</f>
        <v>10393.656716417911</v>
      </c>
      <c r="I350" s="869">
        <f t="shared" ref="I350" si="359">SUM(I351:I355)</f>
        <v>11548.507462686568</v>
      </c>
      <c r="J350" s="869">
        <f t="shared" ref="J350" si="360">SUM(J351:J355)</f>
        <v>11548.507462686568</v>
      </c>
      <c r="K350" s="869">
        <f t="shared" ref="K350" si="361">SUM(K351:K355)</f>
        <v>10971.082089552239</v>
      </c>
      <c r="L350" s="951">
        <f t="shared" ref="L350" si="362">SUM(L351:L355)</f>
        <v>10393.656716417911</v>
      </c>
      <c r="M350" s="869">
        <f t="shared" ref="M350" si="363">SUM(M351:M355)</f>
        <v>10778.606965174129</v>
      </c>
      <c r="N350" s="869">
        <f t="shared" ref="N350" si="364">SUM(N351:N355)</f>
        <v>10008.706467661692</v>
      </c>
      <c r="O350" s="869">
        <f t="shared" ref="O350" si="365">SUM(O351:O355)</f>
        <v>10008.706467661692</v>
      </c>
      <c r="P350" s="869">
        <f t="shared" ref="P350" si="366">SUM(P351:P355)</f>
        <v>10008.706467661692</v>
      </c>
      <c r="Q350" s="869">
        <f t="shared" ref="Q350" si="367">SUM(Q351:Q355)</f>
        <v>12125.932835820895</v>
      </c>
      <c r="R350" s="869">
        <f t="shared" ref="R350" si="368">SUM(R351:R355)</f>
        <v>12510.883084577115</v>
      </c>
      <c r="S350" s="869">
        <f t="shared" ref="S350" si="369">SUM(S351:S355)</f>
        <v>11933.457711442787</v>
      </c>
      <c r="T350" s="869">
        <f t="shared" ref="T350" si="370">SUM(T351:T355)</f>
        <v>12318.407960199005</v>
      </c>
      <c r="U350" s="869">
        <f t="shared" ref="U350" si="371">SUM(U351:U355)</f>
        <v>11933.457711442787</v>
      </c>
      <c r="V350" s="869">
        <f t="shared" ref="V350" si="372">SUM(V351:V355)</f>
        <v>8853.8557213930344</v>
      </c>
      <c r="W350" s="869">
        <f t="shared" ref="W350" si="373">SUM(W351:W355)</f>
        <v>962.37562189054734</v>
      </c>
      <c r="X350" s="869">
        <f t="shared" ref="X350:Y350" si="374">SUM(X351:X355)</f>
        <v>0</v>
      </c>
      <c r="Y350" s="869">
        <f t="shared" si="374"/>
        <v>0</v>
      </c>
      <c r="Z350" s="870"/>
    </row>
    <row r="351" spans="2:26" s="302" customFormat="1" ht="15" hidden="1" outlineLevel="1" x14ac:dyDescent="0.25">
      <c r="B351" s="576" t="s">
        <v>3</v>
      </c>
      <c r="C351" s="582">
        <v>1</v>
      </c>
      <c r="D351" s="862" t="s">
        <v>522</v>
      </c>
      <c r="E351" s="557">
        <f t="shared" ref="E351:X351" si="375">E206*1000/$C351</f>
        <v>0</v>
      </c>
      <c r="F351" s="557">
        <f t="shared" si="375"/>
        <v>0</v>
      </c>
      <c r="G351" s="557">
        <f t="shared" si="375"/>
        <v>0</v>
      </c>
      <c r="H351" s="557">
        <f t="shared" si="375"/>
        <v>0</v>
      </c>
      <c r="I351" s="557">
        <f t="shared" si="375"/>
        <v>0</v>
      </c>
      <c r="J351" s="557">
        <f t="shared" si="375"/>
        <v>0</v>
      </c>
      <c r="K351" s="557">
        <f t="shared" si="375"/>
        <v>0</v>
      </c>
      <c r="L351" s="944">
        <f t="shared" si="375"/>
        <v>0</v>
      </c>
      <c r="M351" s="557">
        <f t="shared" si="375"/>
        <v>0</v>
      </c>
      <c r="N351" s="557">
        <f t="shared" si="375"/>
        <v>0</v>
      </c>
      <c r="O351" s="557">
        <f t="shared" si="375"/>
        <v>0</v>
      </c>
      <c r="P351" s="557">
        <f t="shared" si="375"/>
        <v>0</v>
      </c>
      <c r="Q351" s="557">
        <f t="shared" si="375"/>
        <v>0</v>
      </c>
      <c r="R351" s="557">
        <f t="shared" si="375"/>
        <v>0</v>
      </c>
      <c r="S351" s="557">
        <f t="shared" si="375"/>
        <v>0</v>
      </c>
      <c r="T351" s="557">
        <f t="shared" si="375"/>
        <v>0</v>
      </c>
      <c r="U351" s="557">
        <f t="shared" si="375"/>
        <v>0</v>
      </c>
      <c r="V351" s="557">
        <f t="shared" si="375"/>
        <v>0</v>
      </c>
      <c r="W351" s="557">
        <f t="shared" si="375"/>
        <v>0</v>
      </c>
      <c r="X351" s="557">
        <f t="shared" si="375"/>
        <v>0</v>
      </c>
      <c r="Y351" s="557">
        <f t="shared" ref="Y351" si="376">Y206*1000/$C351</f>
        <v>0</v>
      </c>
      <c r="Z351" s="617"/>
    </row>
    <row r="352" spans="2:26" s="302" customFormat="1" ht="15" hidden="1" outlineLevel="1" x14ac:dyDescent="0.25">
      <c r="B352" s="576" t="s">
        <v>9</v>
      </c>
      <c r="C352" s="861">
        <f>'Экскаваторы II'!AE67</f>
        <v>732.79483037156706</v>
      </c>
      <c r="D352" s="862" t="s">
        <v>522</v>
      </c>
      <c r="E352" s="557">
        <f t="shared" ref="E352:X352" si="377">E207*1000/$C352</f>
        <v>0</v>
      </c>
      <c r="F352" s="557">
        <f t="shared" si="377"/>
        <v>0</v>
      </c>
      <c r="G352" s="557">
        <f t="shared" si="377"/>
        <v>0</v>
      </c>
      <c r="H352" s="557">
        <f t="shared" si="377"/>
        <v>0</v>
      </c>
      <c r="I352" s="557">
        <f t="shared" si="377"/>
        <v>0</v>
      </c>
      <c r="J352" s="557">
        <f t="shared" si="377"/>
        <v>0</v>
      </c>
      <c r="K352" s="557">
        <f t="shared" si="377"/>
        <v>0</v>
      </c>
      <c r="L352" s="944">
        <f t="shared" si="377"/>
        <v>0</v>
      </c>
      <c r="M352" s="557">
        <f t="shared" si="377"/>
        <v>0</v>
      </c>
      <c r="N352" s="557">
        <f t="shared" si="377"/>
        <v>0</v>
      </c>
      <c r="O352" s="557">
        <f t="shared" si="377"/>
        <v>0</v>
      </c>
      <c r="P352" s="557">
        <f t="shared" si="377"/>
        <v>0</v>
      </c>
      <c r="Q352" s="557">
        <f t="shared" si="377"/>
        <v>0</v>
      </c>
      <c r="R352" s="557">
        <f t="shared" si="377"/>
        <v>0</v>
      </c>
      <c r="S352" s="557">
        <f t="shared" si="377"/>
        <v>0</v>
      </c>
      <c r="T352" s="557">
        <f t="shared" si="377"/>
        <v>0</v>
      </c>
      <c r="U352" s="557">
        <f t="shared" si="377"/>
        <v>0</v>
      </c>
      <c r="V352" s="557">
        <f t="shared" si="377"/>
        <v>0</v>
      </c>
      <c r="W352" s="557">
        <f t="shared" si="377"/>
        <v>0</v>
      </c>
      <c r="X352" s="557">
        <f t="shared" si="377"/>
        <v>0</v>
      </c>
      <c r="Y352" s="557">
        <f t="shared" ref="Y352" si="378">Y207*1000/$C352</f>
        <v>0</v>
      </c>
      <c r="Z352" s="617"/>
    </row>
    <row r="353" spans="2:26" s="302" customFormat="1" ht="15" hidden="1" outlineLevel="1" x14ac:dyDescent="0.25">
      <c r="B353" s="576" t="s">
        <v>325</v>
      </c>
      <c r="C353" s="861">
        <f>'Экскаваторы II'!AE69</f>
        <v>519.5476575121163</v>
      </c>
      <c r="D353" s="862" t="s">
        <v>522</v>
      </c>
      <c r="E353" s="557">
        <f t="shared" ref="E353:X353" si="379">E208*1000/$C353</f>
        <v>10393.656716417911</v>
      </c>
      <c r="F353" s="557">
        <f t="shared" si="379"/>
        <v>10393.656716417911</v>
      </c>
      <c r="G353" s="557">
        <f t="shared" si="379"/>
        <v>10393.656716417911</v>
      </c>
      <c r="H353" s="557">
        <f t="shared" si="379"/>
        <v>10393.656716417911</v>
      </c>
      <c r="I353" s="557">
        <f t="shared" si="379"/>
        <v>11548.507462686568</v>
      </c>
      <c r="J353" s="557">
        <f t="shared" si="379"/>
        <v>11548.507462686568</v>
      </c>
      <c r="K353" s="557">
        <f t="shared" si="379"/>
        <v>10971.082089552239</v>
      </c>
      <c r="L353" s="944">
        <f t="shared" si="379"/>
        <v>10393.656716417911</v>
      </c>
      <c r="M353" s="557">
        <f t="shared" si="379"/>
        <v>10393.656716417911</v>
      </c>
      <c r="N353" s="557">
        <f t="shared" si="379"/>
        <v>7699.0049751243787</v>
      </c>
      <c r="O353" s="557">
        <f t="shared" si="379"/>
        <v>7699.0049751243787</v>
      </c>
      <c r="P353" s="557">
        <f t="shared" si="379"/>
        <v>7699.0049751243787</v>
      </c>
      <c r="Q353" s="557">
        <f t="shared" si="379"/>
        <v>9816.2313432835817</v>
      </c>
      <c r="R353" s="557">
        <f t="shared" si="379"/>
        <v>10201.181592039802</v>
      </c>
      <c r="S353" s="557">
        <f t="shared" si="379"/>
        <v>9623.7562189054734</v>
      </c>
      <c r="T353" s="557">
        <f t="shared" si="379"/>
        <v>10393.656716417911</v>
      </c>
      <c r="U353" s="557">
        <f t="shared" si="379"/>
        <v>11933.457711442787</v>
      </c>
      <c r="V353" s="557">
        <f t="shared" si="379"/>
        <v>8853.8557213930344</v>
      </c>
      <c r="W353" s="557">
        <f t="shared" si="379"/>
        <v>962.37562189054734</v>
      </c>
      <c r="X353" s="557">
        <f t="shared" si="379"/>
        <v>0</v>
      </c>
      <c r="Y353" s="557">
        <f t="shared" ref="Y353" si="380">Y208*1000/$C353</f>
        <v>0</v>
      </c>
      <c r="Z353" s="617"/>
    </row>
    <row r="354" spans="2:26" s="302" customFormat="1" ht="15" hidden="1" outlineLevel="1" x14ac:dyDescent="0.25">
      <c r="B354" s="576" t="s">
        <v>6</v>
      </c>
      <c r="C354" s="861">
        <f>C353</f>
        <v>519.5476575121163</v>
      </c>
      <c r="D354" s="862" t="s">
        <v>522</v>
      </c>
      <c r="E354" s="557">
        <f t="shared" ref="E354:X354" si="381">E209*1000/$C354</f>
        <v>0</v>
      </c>
      <c r="F354" s="557">
        <f t="shared" si="381"/>
        <v>0</v>
      </c>
      <c r="G354" s="557">
        <f t="shared" si="381"/>
        <v>0</v>
      </c>
      <c r="H354" s="557">
        <f t="shared" si="381"/>
        <v>0</v>
      </c>
      <c r="I354" s="557">
        <f t="shared" si="381"/>
        <v>0</v>
      </c>
      <c r="J354" s="557">
        <f t="shared" si="381"/>
        <v>0</v>
      </c>
      <c r="K354" s="557">
        <f t="shared" si="381"/>
        <v>0</v>
      </c>
      <c r="L354" s="944">
        <f t="shared" si="381"/>
        <v>0</v>
      </c>
      <c r="M354" s="557">
        <f t="shared" si="381"/>
        <v>384.95024875621891</v>
      </c>
      <c r="N354" s="557">
        <f t="shared" si="381"/>
        <v>2309.7014925373137</v>
      </c>
      <c r="O354" s="557">
        <f t="shared" si="381"/>
        <v>2309.7014925373137</v>
      </c>
      <c r="P354" s="557">
        <f t="shared" si="381"/>
        <v>2309.7014925373137</v>
      </c>
      <c r="Q354" s="557">
        <f t="shared" si="381"/>
        <v>2309.7014925373137</v>
      </c>
      <c r="R354" s="557">
        <f t="shared" si="381"/>
        <v>2309.7014925373137</v>
      </c>
      <c r="S354" s="557">
        <f t="shared" si="381"/>
        <v>2309.7014925373137</v>
      </c>
      <c r="T354" s="557">
        <f t="shared" si="381"/>
        <v>1924.7512437810947</v>
      </c>
      <c r="U354" s="557">
        <f t="shared" si="381"/>
        <v>0</v>
      </c>
      <c r="V354" s="557">
        <f t="shared" si="381"/>
        <v>0</v>
      </c>
      <c r="W354" s="557">
        <f t="shared" si="381"/>
        <v>0</v>
      </c>
      <c r="X354" s="557">
        <f t="shared" si="381"/>
        <v>0</v>
      </c>
      <c r="Y354" s="557">
        <f t="shared" ref="Y354" si="382">Y209*1000/$C354</f>
        <v>0</v>
      </c>
      <c r="Z354" s="617"/>
    </row>
    <row r="355" spans="2:26" s="302" customFormat="1" ht="15" hidden="1" outlineLevel="1" x14ac:dyDescent="0.25">
      <c r="B355" s="576" t="s">
        <v>462</v>
      </c>
      <c r="C355" s="861">
        <f>'Экскаваторы II'!AE68</f>
        <v>718.2552504038772</v>
      </c>
      <c r="D355" s="862" t="s">
        <v>522</v>
      </c>
      <c r="E355" s="557">
        <f t="shared" ref="E355:X355" si="383">E210*1000/$C355</f>
        <v>0</v>
      </c>
      <c r="F355" s="557">
        <f t="shared" si="383"/>
        <v>0</v>
      </c>
      <c r="G355" s="557">
        <f t="shared" si="383"/>
        <v>0</v>
      </c>
      <c r="H355" s="557">
        <f t="shared" si="383"/>
        <v>0</v>
      </c>
      <c r="I355" s="557">
        <f t="shared" si="383"/>
        <v>0</v>
      </c>
      <c r="J355" s="557">
        <f t="shared" si="383"/>
        <v>0</v>
      </c>
      <c r="K355" s="557">
        <f t="shared" si="383"/>
        <v>0</v>
      </c>
      <c r="L355" s="944">
        <f t="shared" si="383"/>
        <v>0</v>
      </c>
      <c r="M355" s="557">
        <f t="shared" si="383"/>
        <v>0</v>
      </c>
      <c r="N355" s="557">
        <f t="shared" si="383"/>
        <v>0</v>
      </c>
      <c r="O355" s="557">
        <f t="shared" si="383"/>
        <v>0</v>
      </c>
      <c r="P355" s="557">
        <f t="shared" si="383"/>
        <v>0</v>
      </c>
      <c r="Q355" s="557">
        <f t="shared" si="383"/>
        <v>0</v>
      </c>
      <c r="R355" s="557">
        <f t="shared" si="383"/>
        <v>0</v>
      </c>
      <c r="S355" s="557">
        <f t="shared" si="383"/>
        <v>0</v>
      </c>
      <c r="T355" s="557">
        <f t="shared" si="383"/>
        <v>0</v>
      </c>
      <c r="U355" s="557">
        <f t="shared" si="383"/>
        <v>0</v>
      </c>
      <c r="V355" s="557">
        <f t="shared" si="383"/>
        <v>0</v>
      </c>
      <c r="W355" s="557">
        <f t="shared" si="383"/>
        <v>0</v>
      </c>
      <c r="X355" s="557">
        <f t="shared" si="383"/>
        <v>0</v>
      </c>
      <c r="Y355" s="557">
        <f t="shared" ref="Y355" si="384">Y210*1000/$C355</f>
        <v>0</v>
      </c>
      <c r="Z355" s="617"/>
    </row>
    <row r="356" spans="2:26" s="302" customFormat="1" ht="15" collapsed="1" x14ac:dyDescent="0.25">
      <c r="B356" s="860" t="s">
        <v>15</v>
      </c>
      <c r="C356" s="479"/>
      <c r="D356" s="862" t="s">
        <v>522</v>
      </c>
      <c r="E356" s="869">
        <f>SUM(E357:E361)</f>
        <v>3525.0569476082005</v>
      </c>
      <c r="F356" s="869">
        <f t="shared" ref="F356" si="385">SUM(F357:F361)</f>
        <v>4465.0721336370543</v>
      </c>
      <c r="G356" s="869">
        <f t="shared" ref="G356" si="386">SUM(G357:G361)</f>
        <v>3995.0645406226272</v>
      </c>
      <c r="H356" s="869">
        <f t="shared" ref="H356" si="387">SUM(H357:H361)</f>
        <v>4700.0759301442677</v>
      </c>
      <c r="I356" s="869">
        <f t="shared" ref="I356" si="388">SUM(I357:I361)</f>
        <v>5170.0835231586943</v>
      </c>
      <c r="J356" s="869">
        <f t="shared" ref="J356" si="389">SUM(J357:J361)</f>
        <v>5170.0835231586943</v>
      </c>
      <c r="K356" s="869">
        <f t="shared" ref="K356" si="390">SUM(K357:K361)</f>
        <v>4700.0759301442677</v>
      </c>
      <c r="L356" s="951">
        <f t="shared" ref="L356" si="391">SUM(L357:L361)</f>
        <v>4935.079726651481</v>
      </c>
      <c r="M356" s="869">
        <f t="shared" ref="M356" si="392">SUM(M357:M361)</f>
        <v>5170.0835231586943</v>
      </c>
      <c r="N356" s="869">
        <f t="shared" ref="N356" si="393">SUM(N357:N361)</f>
        <v>5405.0873196659077</v>
      </c>
      <c r="O356" s="869">
        <f t="shared" ref="O356" si="394">SUM(O357:O361)</f>
        <v>5405.0873196659077</v>
      </c>
      <c r="P356" s="869">
        <f t="shared" ref="P356" si="395">SUM(P357:P361)</f>
        <v>5405.0873196659077</v>
      </c>
      <c r="Q356" s="869">
        <f t="shared" ref="Q356" si="396">SUM(Q357:Q361)</f>
        <v>5405.0873196659077</v>
      </c>
      <c r="R356" s="869">
        <f t="shared" ref="R356" si="397">SUM(R357:R361)</f>
        <v>5405.0873196659077</v>
      </c>
      <c r="S356" s="869">
        <f t="shared" ref="S356" si="398">SUM(S357:S361)</f>
        <v>4700.0759301442677</v>
      </c>
      <c r="T356" s="869">
        <f t="shared" ref="T356" si="399">SUM(T357:T361)</f>
        <v>5875.0949126803343</v>
      </c>
      <c r="U356" s="869">
        <f t="shared" ref="U356" si="400">SUM(U357:U361)</f>
        <v>5875.0949126803343</v>
      </c>
      <c r="V356" s="869">
        <f t="shared" ref="V356" si="401">SUM(V357:V361)</f>
        <v>5170.0835231586943</v>
      </c>
      <c r="W356" s="869">
        <f t="shared" ref="W356" si="402">SUM(W357:W361)</f>
        <v>0</v>
      </c>
      <c r="X356" s="869">
        <f t="shared" ref="X356:Y356" si="403">SUM(X357:X361)</f>
        <v>0</v>
      </c>
      <c r="Y356" s="869">
        <f t="shared" si="403"/>
        <v>0</v>
      </c>
      <c r="Z356" s="870"/>
    </row>
    <row r="357" spans="2:26" s="302" customFormat="1" ht="15" hidden="1" outlineLevel="1" x14ac:dyDescent="0.25">
      <c r="B357" s="576" t="s">
        <v>3</v>
      </c>
      <c r="C357" s="623">
        <v>1</v>
      </c>
      <c r="D357" s="862" t="s">
        <v>522</v>
      </c>
      <c r="E357" s="557">
        <f t="shared" ref="E357:X357" si="404">E212*1000/$C357</f>
        <v>0</v>
      </c>
      <c r="F357" s="557">
        <f t="shared" si="404"/>
        <v>0</v>
      </c>
      <c r="G357" s="557">
        <f t="shared" si="404"/>
        <v>0</v>
      </c>
      <c r="H357" s="557">
        <f t="shared" si="404"/>
        <v>0</v>
      </c>
      <c r="I357" s="557">
        <f t="shared" si="404"/>
        <v>0</v>
      </c>
      <c r="J357" s="557">
        <f t="shared" si="404"/>
        <v>0</v>
      </c>
      <c r="K357" s="557">
        <f t="shared" si="404"/>
        <v>0</v>
      </c>
      <c r="L357" s="944">
        <f t="shared" si="404"/>
        <v>0</v>
      </c>
      <c r="M357" s="557">
        <f t="shared" si="404"/>
        <v>0</v>
      </c>
      <c r="N357" s="557">
        <f t="shared" si="404"/>
        <v>0</v>
      </c>
      <c r="O357" s="557">
        <f t="shared" si="404"/>
        <v>0</v>
      </c>
      <c r="P357" s="557">
        <f t="shared" si="404"/>
        <v>0</v>
      </c>
      <c r="Q357" s="557">
        <f t="shared" si="404"/>
        <v>0</v>
      </c>
      <c r="R357" s="557">
        <f t="shared" si="404"/>
        <v>0</v>
      </c>
      <c r="S357" s="557">
        <f t="shared" si="404"/>
        <v>0</v>
      </c>
      <c r="T357" s="557">
        <f t="shared" si="404"/>
        <v>0</v>
      </c>
      <c r="U357" s="557">
        <f t="shared" si="404"/>
        <v>0</v>
      </c>
      <c r="V357" s="557">
        <f t="shared" si="404"/>
        <v>0</v>
      </c>
      <c r="W357" s="557">
        <f t="shared" si="404"/>
        <v>0</v>
      </c>
      <c r="X357" s="557">
        <f t="shared" si="404"/>
        <v>0</v>
      </c>
      <c r="Y357" s="557">
        <f t="shared" ref="Y357" si="405">Y212*1000/$C357</f>
        <v>0</v>
      </c>
      <c r="Z357" s="617"/>
    </row>
    <row r="358" spans="2:26" s="302" customFormat="1" ht="15" hidden="1" outlineLevel="1" x14ac:dyDescent="0.25">
      <c r="B358" s="576" t="s">
        <v>9</v>
      </c>
      <c r="C358" s="863">
        <f>'Экскаваторы II'!AH67</f>
        <v>564.13570274636515</v>
      </c>
      <c r="D358" s="862" t="s">
        <v>522</v>
      </c>
      <c r="E358" s="557">
        <f t="shared" ref="E358:X358" si="406">E213*1000/$C358</f>
        <v>0</v>
      </c>
      <c r="F358" s="557">
        <f t="shared" si="406"/>
        <v>0</v>
      </c>
      <c r="G358" s="557">
        <f t="shared" si="406"/>
        <v>0</v>
      </c>
      <c r="H358" s="557">
        <f t="shared" si="406"/>
        <v>0</v>
      </c>
      <c r="I358" s="557">
        <f t="shared" si="406"/>
        <v>0</v>
      </c>
      <c r="J358" s="557">
        <f t="shared" si="406"/>
        <v>0</v>
      </c>
      <c r="K358" s="557">
        <f t="shared" si="406"/>
        <v>0</v>
      </c>
      <c r="L358" s="944">
        <f t="shared" si="406"/>
        <v>0</v>
      </c>
      <c r="M358" s="557">
        <f t="shared" si="406"/>
        <v>0</v>
      </c>
      <c r="N358" s="557">
        <f t="shared" si="406"/>
        <v>0</v>
      </c>
      <c r="O358" s="557">
        <f t="shared" si="406"/>
        <v>0</v>
      </c>
      <c r="P358" s="557">
        <f t="shared" si="406"/>
        <v>0</v>
      </c>
      <c r="Q358" s="557">
        <f t="shared" si="406"/>
        <v>0</v>
      </c>
      <c r="R358" s="557">
        <f t="shared" si="406"/>
        <v>0</v>
      </c>
      <c r="S358" s="557">
        <f t="shared" si="406"/>
        <v>0</v>
      </c>
      <c r="T358" s="557">
        <f t="shared" si="406"/>
        <v>0</v>
      </c>
      <c r="U358" s="557">
        <f t="shared" si="406"/>
        <v>0</v>
      </c>
      <c r="V358" s="557">
        <f t="shared" si="406"/>
        <v>0</v>
      </c>
      <c r="W358" s="557">
        <f t="shared" si="406"/>
        <v>0</v>
      </c>
      <c r="X358" s="557">
        <f t="shared" si="406"/>
        <v>0</v>
      </c>
      <c r="Y358" s="557">
        <f t="shared" ref="Y358" si="407">Y213*1000/$C358</f>
        <v>0</v>
      </c>
      <c r="Z358" s="871"/>
    </row>
    <row r="359" spans="2:26" s="302" customFormat="1" ht="15" hidden="1" outlineLevel="1" x14ac:dyDescent="0.25">
      <c r="B359" s="576" t="s">
        <v>325</v>
      </c>
      <c r="C359" s="863">
        <f>'Экскаваторы II'!AH69</f>
        <v>425.52504038772213</v>
      </c>
      <c r="D359" s="862" t="s">
        <v>522</v>
      </c>
      <c r="E359" s="557">
        <f t="shared" ref="E359:X359" si="408">E214*1000/$C359</f>
        <v>0</v>
      </c>
      <c r="F359" s="557">
        <f t="shared" si="408"/>
        <v>940.01518602885346</v>
      </c>
      <c r="G359" s="557">
        <f t="shared" si="408"/>
        <v>470.00759301442673</v>
      </c>
      <c r="H359" s="557">
        <f t="shared" si="408"/>
        <v>1175.0189825360669</v>
      </c>
      <c r="I359" s="557">
        <f t="shared" si="408"/>
        <v>2820.0455580865605</v>
      </c>
      <c r="J359" s="557">
        <f t="shared" si="408"/>
        <v>2820.0455580865605</v>
      </c>
      <c r="K359" s="557">
        <f t="shared" si="408"/>
        <v>2350.0379650721338</v>
      </c>
      <c r="L359" s="944">
        <f t="shared" si="408"/>
        <v>2585.0417615793472</v>
      </c>
      <c r="M359" s="557">
        <f t="shared" si="408"/>
        <v>2820.0455580865605</v>
      </c>
      <c r="N359" s="557">
        <f t="shared" si="408"/>
        <v>5405.0873196659077</v>
      </c>
      <c r="O359" s="557">
        <f t="shared" si="408"/>
        <v>5405.0873196659077</v>
      </c>
      <c r="P359" s="557">
        <f t="shared" si="408"/>
        <v>5405.0873196659077</v>
      </c>
      <c r="Q359" s="557">
        <f t="shared" si="408"/>
        <v>5405.0873196659077</v>
      </c>
      <c r="R359" s="557">
        <f t="shared" si="408"/>
        <v>5405.0873196659077</v>
      </c>
      <c r="S359" s="557">
        <f t="shared" si="408"/>
        <v>4700.0759301442677</v>
      </c>
      <c r="T359" s="557">
        <f t="shared" si="408"/>
        <v>5875.0949126803343</v>
      </c>
      <c r="U359" s="557">
        <f t="shared" si="408"/>
        <v>5875.0949126803343</v>
      </c>
      <c r="V359" s="557">
        <f t="shared" si="408"/>
        <v>5170.0835231586943</v>
      </c>
      <c r="W359" s="557">
        <f t="shared" si="408"/>
        <v>0</v>
      </c>
      <c r="X359" s="557">
        <f t="shared" si="408"/>
        <v>0</v>
      </c>
      <c r="Y359" s="557">
        <f t="shared" ref="Y359" si="409">Y214*1000/$C359</f>
        <v>0</v>
      </c>
      <c r="Z359" s="871"/>
    </row>
    <row r="360" spans="2:26" s="302" customFormat="1" ht="15" hidden="1" outlineLevel="1" x14ac:dyDescent="0.25">
      <c r="B360" s="576" t="s">
        <v>6</v>
      </c>
      <c r="C360" s="863">
        <f>C359</f>
        <v>425.52504038772213</v>
      </c>
      <c r="D360" s="862" t="s">
        <v>522</v>
      </c>
      <c r="E360" s="557">
        <f t="shared" ref="E360:X360" si="410">E215*1000/$C360</f>
        <v>3525.0569476082005</v>
      </c>
      <c r="F360" s="557">
        <f t="shared" si="410"/>
        <v>3525.0569476082005</v>
      </c>
      <c r="G360" s="557">
        <f t="shared" si="410"/>
        <v>3525.0569476082005</v>
      </c>
      <c r="H360" s="557">
        <f t="shared" si="410"/>
        <v>3525.0569476082005</v>
      </c>
      <c r="I360" s="557">
        <f t="shared" si="410"/>
        <v>2350.0379650721338</v>
      </c>
      <c r="J360" s="557">
        <f t="shared" si="410"/>
        <v>2350.0379650721338</v>
      </c>
      <c r="K360" s="557">
        <f t="shared" si="410"/>
        <v>2350.0379650721338</v>
      </c>
      <c r="L360" s="944">
        <f t="shared" si="410"/>
        <v>2350.0379650721338</v>
      </c>
      <c r="M360" s="557">
        <f t="shared" si="410"/>
        <v>2350.0379650721338</v>
      </c>
      <c r="N360" s="557">
        <f t="shared" si="410"/>
        <v>0</v>
      </c>
      <c r="O360" s="557">
        <f t="shared" si="410"/>
        <v>0</v>
      </c>
      <c r="P360" s="557">
        <f t="shared" si="410"/>
        <v>0</v>
      </c>
      <c r="Q360" s="557">
        <f t="shared" si="410"/>
        <v>0</v>
      </c>
      <c r="R360" s="557">
        <f t="shared" si="410"/>
        <v>0</v>
      </c>
      <c r="S360" s="557">
        <f t="shared" si="410"/>
        <v>0</v>
      </c>
      <c r="T360" s="557">
        <f t="shared" si="410"/>
        <v>0</v>
      </c>
      <c r="U360" s="557">
        <f t="shared" si="410"/>
        <v>0</v>
      </c>
      <c r="V360" s="557">
        <f t="shared" si="410"/>
        <v>0</v>
      </c>
      <c r="W360" s="557">
        <f t="shared" si="410"/>
        <v>0</v>
      </c>
      <c r="X360" s="557">
        <f t="shared" si="410"/>
        <v>0</v>
      </c>
      <c r="Y360" s="557">
        <f t="shared" ref="Y360" si="411">Y215*1000/$C360</f>
        <v>0</v>
      </c>
      <c r="Z360" s="871"/>
    </row>
    <row r="361" spans="2:26" s="302" customFormat="1" ht="15" hidden="1" outlineLevel="1" x14ac:dyDescent="0.25">
      <c r="B361" s="576" t="s">
        <v>462</v>
      </c>
      <c r="C361" s="863">
        <f>'Экскаваторы II'!AH68</f>
        <v>541.84168012924067</v>
      </c>
      <c r="D361" s="862" t="s">
        <v>522</v>
      </c>
      <c r="E361" s="557">
        <f t="shared" ref="E361:X361" si="412">E216*1000/$C361</f>
        <v>0</v>
      </c>
      <c r="F361" s="557">
        <f t="shared" si="412"/>
        <v>0</v>
      </c>
      <c r="G361" s="557">
        <f t="shared" si="412"/>
        <v>0</v>
      </c>
      <c r="H361" s="557">
        <f t="shared" si="412"/>
        <v>0</v>
      </c>
      <c r="I361" s="557">
        <f t="shared" si="412"/>
        <v>0</v>
      </c>
      <c r="J361" s="557">
        <f t="shared" si="412"/>
        <v>0</v>
      </c>
      <c r="K361" s="557">
        <f t="shared" si="412"/>
        <v>0</v>
      </c>
      <c r="L361" s="944">
        <f t="shared" si="412"/>
        <v>0</v>
      </c>
      <c r="M361" s="557">
        <f t="shared" si="412"/>
        <v>0</v>
      </c>
      <c r="N361" s="557">
        <f t="shared" si="412"/>
        <v>0</v>
      </c>
      <c r="O361" s="557">
        <f t="shared" si="412"/>
        <v>0</v>
      </c>
      <c r="P361" s="557">
        <f t="shared" si="412"/>
        <v>0</v>
      </c>
      <c r="Q361" s="557">
        <f t="shared" si="412"/>
        <v>0</v>
      </c>
      <c r="R361" s="557">
        <f t="shared" si="412"/>
        <v>0</v>
      </c>
      <c r="S361" s="557">
        <f t="shared" si="412"/>
        <v>0</v>
      </c>
      <c r="T361" s="557">
        <f t="shared" si="412"/>
        <v>0</v>
      </c>
      <c r="U361" s="557">
        <f t="shared" si="412"/>
        <v>0</v>
      </c>
      <c r="V361" s="557">
        <f t="shared" si="412"/>
        <v>0</v>
      </c>
      <c r="W361" s="557">
        <f t="shared" si="412"/>
        <v>0</v>
      </c>
      <c r="X361" s="557">
        <f t="shared" si="412"/>
        <v>0</v>
      </c>
      <c r="Y361" s="557">
        <f t="shared" ref="Y361" si="413">Y216*1000/$C361</f>
        <v>0</v>
      </c>
      <c r="Z361" s="871"/>
    </row>
    <row r="362" spans="2:26" s="302" customFormat="1" ht="15" collapsed="1" x14ac:dyDescent="0.25">
      <c r="B362" s="860" t="s">
        <v>366</v>
      </c>
      <c r="C362" s="480"/>
      <c r="D362" s="862" t="s">
        <v>522</v>
      </c>
      <c r="E362" s="869">
        <f>SUM(E363:E367)</f>
        <v>6152.1406727828744</v>
      </c>
      <c r="F362" s="869">
        <f t="shared" ref="F362" si="414">SUM(F363:F367)</f>
        <v>6152.1406727828744</v>
      </c>
      <c r="G362" s="869">
        <f t="shared" ref="G362" si="415">SUM(G363:G367)</f>
        <v>6152.1406727828744</v>
      </c>
      <c r="H362" s="869">
        <f t="shared" ref="H362" si="416">SUM(H363:H367)</f>
        <v>6152.1406727828744</v>
      </c>
      <c r="I362" s="869">
        <f t="shared" ref="I362" si="417">SUM(I363:I367)</f>
        <v>6152.1406727828744</v>
      </c>
      <c r="J362" s="869">
        <f t="shared" ref="J362" si="418">SUM(J363:J367)</f>
        <v>6152.1406727828744</v>
      </c>
      <c r="K362" s="869">
        <f t="shared" ref="K362" si="419">SUM(K363:K367)</f>
        <v>6152.1406727828744</v>
      </c>
      <c r="L362" s="951">
        <f t="shared" ref="L362" si="420">SUM(L363:L367)</f>
        <v>6152.1406727828744</v>
      </c>
      <c r="M362" s="869">
        <f t="shared" ref="M362" si="421">SUM(M363:M367)</f>
        <v>6152.1406727828744</v>
      </c>
      <c r="N362" s="869">
        <f t="shared" ref="N362" si="422">SUM(N363:N367)</f>
        <v>6152.1406727828744</v>
      </c>
      <c r="O362" s="869">
        <f t="shared" ref="O362" si="423">SUM(O363:O367)</f>
        <v>6152.1406727828744</v>
      </c>
      <c r="P362" s="869">
        <f t="shared" ref="P362" si="424">SUM(P363:P367)</f>
        <v>6152.1406727828744</v>
      </c>
      <c r="Q362" s="869">
        <f t="shared" ref="Q362" si="425">SUM(Q363:Q367)</f>
        <v>5678.899082568807</v>
      </c>
      <c r="R362" s="869">
        <f t="shared" ref="R362" si="426">SUM(R363:R367)</f>
        <v>0</v>
      </c>
      <c r="S362" s="869">
        <f t="shared" ref="S362" si="427">SUM(S363:S367)</f>
        <v>0</v>
      </c>
      <c r="T362" s="869">
        <f t="shared" ref="T362" si="428">SUM(T363:T367)</f>
        <v>0</v>
      </c>
      <c r="U362" s="869">
        <f t="shared" ref="U362" si="429">SUM(U363:U367)</f>
        <v>0</v>
      </c>
      <c r="V362" s="869">
        <f t="shared" ref="V362" si="430">SUM(V363:V367)</f>
        <v>0</v>
      </c>
      <c r="W362" s="869">
        <f t="shared" ref="W362" si="431">SUM(W363:W367)</f>
        <v>0</v>
      </c>
      <c r="X362" s="869">
        <f t="shared" ref="X362:Y362" si="432">SUM(X363:X367)</f>
        <v>0</v>
      </c>
      <c r="Y362" s="869">
        <f t="shared" si="432"/>
        <v>0</v>
      </c>
      <c r="Z362" s="870"/>
    </row>
    <row r="363" spans="2:26" s="302" customFormat="1" ht="15" hidden="1" outlineLevel="1" x14ac:dyDescent="0.25">
      <c r="B363" s="576" t="s">
        <v>3</v>
      </c>
      <c r="C363" s="582">
        <v>1</v>
      </c>
      <c r="D363" s="862" t="s">
        <v>522</v>
      </c>
      <c r="E363" s="557">
        <f t="shared" ref="E363:X363" si="433">E218*1000/$C363</f>
        <v>0</v>
      </c>
      <c r="F363" s="557">
        <f t="shared" si="433"/>
        <v>0</v>
      </c>
      <c r="G363" s="557">
        <f t="shared" si="433"/>
        <v>0</v>
      </c>
      <c r="H363" s="557">
        <f t="shared" si="433"/>
        <v>0</v>
      </c>
      <c r="I363" s="557">
        <f t="shared" si="433"/>
        <v>0</v>
      </c>
      <c r="J363" s="557">
        <f t="shared" si="433"/>
        <v>0</v>
      </c>
      <c r="K363" s="557">
        <f t="shared" si="433"/>
        <v>0</v>
      </c>
      <c r="L363" s="944">
        <f t="shared" si="433"/>
        <v>0</v>
      </c>
      <c r="M363" s="557">
        <f t="shared" si="433"/>
        <v>0</v>
      </c>
      <c r="N363" s="557">
        <f t="shared" si="433"/>
        <v>0</v>
      </c>
      <c r="O363" s="557">
        <f t="shared" si="433"/>
        <v>0</v>
      </c>
      <c r="P363" s="557">
        <f t="shared" si="433"/>
        <v>0</v>
      </c>
      <c r="Q363" s="557">
        <f t="shared" si="433"/>
        <v>0</v>
      </c>
      <c r="R363" s="557">
        <f t="shared" si="433"/>
        <v>0</v>
      </c>
      <c r="S363" s="557">
        <f t="shared" si="433"/>
        <v>0</v>
      </c>
      <c r="T363" s="557">
        <f t="shared" si="433"/>
        <v>0</v>
      </c>
      <c r="U363" s="557">
        <f t="shared" si="433"/>
        <v>0</v>
      </c>
      <c r="V363" s="557">
        <f t="shared" si="433"/>
        <v>0</v>
      </c>
      <c r="W363" s="557">
        <f t="shared" si="433"/>
        <v>0</v>
      </c>
      <c r="X363" s="557">
        <f t="shared" si="433"/>
        <v>0</v>
      </c>
      <c r="Y363" s="557">
        <f t="shared" ref="Y363" si="434">Y218*1000/$C363</f>
        <v>0</v>
      </c>
      <c r="Z363" s="617"/>
    </row>
    <row r="364" spans="2:26" s="302" customFormat="1" ht="15" hidden="1" outlineLevel="1" x14ac:dyDescent="0.25">
      <c r="B364" s="576" t="s">
        <v>9</v>
      </c>
      <c r="C364" s="861">
        <f>'Экскаваторы II'!AI67</f>
        <v>243.29563812600969</v>
      </c>
      <c r="D364" s="862" t="s">
        <v>522</v>
      </c>
      <c r="E364" s="557">
        <f t="shared" ref="E364:X364" si="435">E219*1000/$C364</f>
        <v>0</v>
      </c>
      <c r="F364" s="557">
        <f t="shared" si="435"/>
        <v>0</v>
      </c>
      <c r="G364" s="557">
        <f t="shared" si="435"/>
        <v>0</v>
      </c>
      <c r="H364" s="557">
        <f t="shared" si="435"/>
        <v>0</v>
      </c>
      <c r="I364" s="557">
        <f t="shared" si="435"/>
        <v>0</v>
      </c>
      <c r="J364" s="557">
        <f t="shared" si="435"/>
        <v>0</v>
      </c>
      <c r="K364" s="557">
        <f t="shared" si="435"/>
        <v>0</v>
      </c>
      <c r="L364" s="944">
        <f t="shared" si="435"/>
        <v>0</v>
      </c>
      <c r="M364" s="557">
        <f t="shared" si="435"/>
        <v>0</v>
      </c>
      <c r="N364" s="557">
        <f t="shared" si="435"/>
        <v>0</v>
      </c>
      <c r="O364" s="557">
        <f t="shared" si="435"/>
        <v>0</v>
      </c>
      <c r="P364" s="557">
        <f t="shared" si="435"/>
        <v>0</v>
      </c>
      <c r="Q364" s="557">
        <f t="shared" si="435"/>
        <v>0</v>
      </c>
      <c r="R364" s="557">
        <f t="shared" si="435"/>
        <v>0</v>
      </c>
      <c r="S364" s="557">
        <f t="shared" si="435"/>
        <v>0</v>
      </c>
      <c r="T364" s="557">
        <f t="shared" si="435"/>
        <v>0</v>
      </c>
      <c r="U364" s="557">
        <f t="shared" si="435"/>
        <v>0</v>
      </c>
      <c r="V364" s="557">
        <f t="shared" si="435"/>
        <v>0</v>
      </c>
      <c r="W364" s="557">
        <f t="shared" si="435"/>
        <v>0</v>
      </c>
      <c r="X364" s="557">
        <f t="shared" si="435"/>
        <v>0</v>
      </c>
      <c r="Y364" s="557">
        <f t="shared" ref="Y364" si="436">Y219*1000/$C364</f>
        <v>0</v>
      </c>
      <c r="Z364" s="617"/>
    </row>
    <row r="365" spans="2:26" s="302" customFormat="1" ht="15" hidden="1" outlineLevel="1" x14ac:dyDescent="0.25">
      <c r="B365" s="576" t="s">
        <v>325</v>
      </c>
      <c r="C365" s="861">
        <f>'Экскаваторы II'!AI69</f>
        <v>211.3085621970921</v>
      </c>
      <c r="D365" s="862" t="s">
        <v>522</v>
      </c>
      <c r="E365" s="557">
        <f t="shared" ref="E365:X365" si="437">E220*1000/$C365</f>
        <v>6152.1406727828744</v>
      </c>
      <c r="F365" s="557">
        <f t="shared" si="437"/>
        <v>6152.1406727828744</v>
      </c>
      <c r="G365" s="557">
        <f t="shared" si="437"/>
        <v>6152.1406727828744</v>
      </c>
      <c r="H365" s="557">
        <f t="shared" si="437"/>
        <v>6152.1406727828744</v>
      </c>
      <c r="I365" s="557">
        <f t="shared" si="437"/>
        <v>6152.1406727828744</v>
      </c>
      <c r="J365" s="557">
        <f t="shared" si="437"/>
        <v>6152.1406727828744</v>
      </c>
      <c r="K365" s="557">
        <f t="shared" si="437"/>
        <v>6152.1406727828744</v>
      </c>
      <c r="L365" s="944">
        <f t="shared" si="437"/>
        <v>6152.1406727828744</v>
      </c>
      <c r="M365" s="557">
        <f t="shared" si="437"/>
        <v>6152.1406727828744</v>
      </c>
      <c r="N365" s="557">
        <f t="shared" si="437"/>
        <v>6152.1406727828744</v>
      </c>
      <c r="O365" s="557">
        <f t="shared" si="437"/>
        <v>6152.1406727828744</v>
      </c>
      <c r="P365" s="557">
        <f t="shared" si="437"/>
        <v>6152.1406727828744</v>
      </c>
      <c r="Q365" s="557">
        <f t="shared" si="437"/>
        <v>5678.899082568807</v>
      </c>
      <c r="R365" s="557">
        <f t="shared" si="437"/>
        <v>0</v>
      </c>
      <c r="S365" s="557">
        <f t="shared" si="437"/>
        <v>0</v>
      </c>
      <c r="T365" s="557">
        <f t="shared" si="437"/>
        <v>0</v>
      </c>
      <c r="U365" s="557">
        <f t="shared" si="437"/>
        <v>0</v>
      </c>
      <c r="V365" s="557">
        <f t="shared" si="437"/>
        <v>0</v>
      </c>
      <c r="W365" s="557">
        <f t="shared" si="437"/>
        <v>0</v>
      </c>
      <c r="X365" s="557">
        <f t="shared" si="437"/>
        <v>0</v>
      </c>
      <c r="Y365" s="557">
        <f t="shared" ref="Y365" si="438">Y220*1000/$C365</f>
        <v>0</v>
      </c>
      <c r="Z365" s="617"/>
    </row>
    <row r="366" spans="2:26" s="302" customFormat="1" ht="15" hidden="1" outlineLevel="1" x14ac:dyDescent="0.25">
      <c r="B366" s="576" t="s">
        <v>6</v>
      </c>
      <c r="C366" s="861">
        <f>C365</f>
        <v>211.3085621970921</v>
      </c>
      <c r="D366" s="862" t="s">
        <v>522</v>
      </c>
      <c r="E366" s="557">
        <f t="shared" ref="E366:X366" si="439">E221*1000/$C366</f>
        <v>0</v>
      </c>
      <c r="F366" s="557">
        <f t="shared" si="439"/>
        <v>0</v>
      </c>
      <c r="G366" s="557">
        <f t="shared" si="439"/>
        <v>0</v>
      </c>
      <c r="H366" s="557">
        <f t="shared" si="439"/>
        <v>0</v>
      </c>
      <c r="I366" s="557">
        <f t="shared" si="439"/>
        <v>0</v>
      </c>
      <c r="J366" s="557">
        <f t="shared" si="439"/>
        <v>0</v>
      </c>
      <c r="K366" s="557">
        <f t="shared" si="439"/>
        <v>0</v>
      </c>
      <c r="L366" s="944">
        <f t="shared" si="439"/>
        <v>0</v>
      </c>
      <c r="M366" s="557">
        <f t="shared" si="439"/>
        <v>0</v>
      </c>
      <c r="N366" s="557">
        <f t="shared" si="439"/>
        <v>0</v>
      </c>
      <c r="O366" s="557">
        <f t="shared" si="439"/>
        <v>0</v>
      </c>
      <c r="P366" s="557">
        <f t="shared" si="439"/>
        <v>0</v>
      </c>
      <c r="Q366" s="557">
        <f t="shared" si="439"/>
        <v>0</v>
      </c>
      <c r="R366" s="557">
        <f t="shared" si="439"/>
        <v>0</v>
      </c>
      <c r="S366" s="557">
        <f t="shared" si="439"/>
        <v>0</v>
      </c>
      <c r="T366" s="557">
        <f t="shared" si="439"/>
        <v>0</v>
      </c>
      <c r="U366" s="557">
        <f t="shared" si="439"/>
        <v>0</v>
      </c>
      <c r="V366" s="557">
        <f t="shared" si="439"/>
        <v>0</v>
      </c>
      <c r="W366" s="557">
        <f t="shared" si="439"/>
        <v>0</v>
      </c>
      <c r="X366" s="557">
        <f t="shared" si="439"/>
        <v>0</v>
      </c>
      <c r="Y366" s="557">
        <f t="shared" ref="Y366" si="440">Y221*1000/$C366</f>
        <v>0</v>
      </c>
      <c r="Z366" s="617"/>
    </row>
    <row r="367" spans="2:26" s="302" customFormat="1" ht="15" hidden="1" outlineLevel="1" x14ac:dyDescent="0.25">
      <c r="B367" s="576" t="s">
        <v>462</v>
      </c>
      <c r="C367" s="861">
        <f>'Экскаваторы II'!AI68</f>
        <v>239.41841680129241</v>
      </c>
      <c r="D367" s="862" t="s">
        <v>522</v>
      </c>
      <c r="E367" s="557">
        <f t="shared" ref="E367:X367" si="441">E222*1000/$C367</f>
        <v>0</v>
      </c>
      <c r="F367" s="557">
        <f t="shared" si="441"/>
        <v>0</v>
      </c>
      <c r="G367" s="557">
        <f t="shared" si="441"/>
        <v>0</v>
      </c>
      <c r="H367" s="557">
        <f t="shared" si="441"/>
        <v>0</v>
      </c>
      <c r="I367" s="557">
        <f t="shared" si="441"/>
        <v>0</v>
      </c>
      <c r="J367" s="557">
        <f t="shared" si="441"/>
        <v>0</v>
      </c>
      <c r="K367" s="557">
        <f t="shared" si="441"/>
        <v>0</v>
      </c>
      <c r="L367" s="944">
        <f t="shared" si="441"/>
        <v>0</v>
      </c>
      <c r="M367" s="557">
        <f t="shared" si="441"/>
        <v>0</v>
      </c>
      <c r="N367" s="557">
        <f t="shared" si="441"/>
        <v>0</v>
      </c>
      <c r="O367" s="557">
        <f t="shared" si="441"/>
        <v>0</v>
      </c>
      <c r="P367" s="557">
        <f t="shared" si="441"/>
        <v>0</v>
      </c>
      <c r="Q367" s="557">
        <f t="shared" si="441"/>
        <v>0</v>
      </c>
      <c r="R367" s="557">
        <f t="shared" si="441"/>
        <v>0</v>
      </c>
      <c r="S367" s="557">
        <f t="shared" si="441"/>
        <v>0</v>
      </c>
      <c r="T367" s="557">
        <f t="shared" si="441"/>
        <v>0</v>
      </c>
      <c r="U367" s="557">
        <f t="shared" si="441"/>
        <v>0</v>
      </c>
      <c r="V367" s="557">
        <f t="shared" si="441"/>
        <v>0</v>
      </c>
      <c r="W367" s="557">
        <f t="shared" si="441"/>
        <v>0</v>
      </c>
      <c r="X367" s="557">
        <f t="shared" si="441"/>
        <v>0</v>
      </c>
      <c r="Y367" s="557">
        <f t="shared" ref="Y367" si="442">Y222*1000/$C367</f>
        <v>0</v>
      </c>
      <c r="Z367" s="617"/>
    </row>
    <row r="368" spans="2:26" s="302" customFormat="1" ht="15" collapsed="1" x14ac:dyDescent="0.25">
      <c r="B368" s="860" t="s">
        <v>365</v>
      </c>
      <c r="C368" s="480"/>
      <c r="D368" s="862" t="s">
        <v>522</v>
      </c>
      <c r="E368" s="869">
        <f>SUM(E369:E373)</f>
        <v>14484.233310549098</v>
      </c>
      <c r="F368" s="869">
        <f t="shared" ref="F368" si="443">SUM(F369:F373)</f>
        <v>17079.2663476874</v>
      </c>
      <c r="G368" s="869">
        <f t="shared" ref="G368" si="444">SUM(G369:G373)</f>
        <v>17079.2663476874</v>
      </c>
      <c r="H368" s="869">
        <f t="shared" ref="H368" si="445">SUM(H369:H373)</f>
        <v>17248.50763271816</v>
      </c>
      <c r="I368" s="869">
        <f t="shared" ref="I368" si="446">SUM(I369:I373)</f>
        <v>16077.922077922078</v>
      </c>
      <c r="J368" s="869">
        <f t="shared" ref="J368" si="447">SUM(J369:J373)</f>
        <v>17417.748917748919</v>
      </c>
      <c r="K368" s="869">
        <f t="shared" ref="K368" si="448">SUM(K369:K373)</f>
        <v>17417.748917748919</v>
      </c>
      <c r="L368" s="951">
        <f t="shared" ref="L368" si="449">SUM(L369:L373)</f>
        <v>17417.748917748919</v>
      </c>
      <c r="M368" s="869">
        <f t="shared" ref="M368" si="450">SUM(M369:M373)</f>
        <v>17417.748917748919</v>
      </c>
      <c r="N368" s="869">
        <f t="shared" ref="N368" si="451">SUM(N369:N373)</f>
        <v>17417.748917748919</v>
      </c>
      <c r="O368" s="869">
        <f t="shared" ref="O368" si="452">SUM(O369:O373)</f>
        <v>17417.748917748919</v>
      </c>
      <c r="P368" s="869">
        <f t="shared" ref="P368" si="453">SUM(P369:P373)</f>
        <v>17417.748917748919</v>
      </c>
      <c r="Q368" s="869">
        <f t="shared" ref="Q368" si="454">SUM(Q369:Q373)</f>
        <v>12951.65945165945</v>
      </c>
      <c r="R368" s="869">
        <f t="shared" ref="R368" si="455">SUM(R369:R373)</f>
        <v>4466.0894660894655</v>
      </c>
      <c r="S368" s="869">
        <f t="shared" ref="S368" si="456">SUM(S369:S373)</f>
        <v>0</v>
      </c>
      <c r="T368" s="869">
        <f t="shared" ref="T368" si="457">SUM(T369:T373)</f>
        <v>0</v>
      </c>
      <c r="U368" s="869">
        <f t="shared" ref="U368" si="458">SUM(U369:U373)</f>
        <v>0</v>
      </c>
      <c r="V368" s="869">
        <f t="shared" ref="V368" si="459">SUM(V369:V373)</f>
        <v>0</v>
      </c>
      <c r="W368" s="869">
        <f t="shared" ref="W368" si="460">SUM(W369:W373)</f>
        <v>0</v>
      </c>
      <c r="X368" s="869">
        <f t="shared" ref="X368:Y368" si="461">SUM(X369:X373)</f>
        <v>0</v>
      </c>
      <c r="Y368" s="869">
        <f t="shared" si="461"/>
        <v>0</v>
      </c>
      <c r="Z368" s="870"/>
    </row>
    <row r="369" spans="2:26" s="302" customFormat="1" ht="15" hidden="1" outlineLevel="1" x14ac:dyDescent="0.25">
      <c r="B369" s="576" t="s">
        <v>3</v>
      </c>
      <c r="C369" s="582">
        <v>1</v>
      </c>
      <c r="D369" s="862" t="s">
        <v>522</v>
      </c>
      <c r="E369" s="557">
        <f t="shared" ref="E369:X369" si="462">E224*1000/$C369</f>
        <v>0</v>
      </c>
      <c r="F369" s="557">
        <f t="shared" si="462"/>
        <v>0</v>
      </c>
      <c r="G369" s="557">
        <f t="shared" si="462"/>
        <v>0</v>
      </c>
      <c r="H369" s="557">
        <f t="shared" si="462"/>
        <v>0</v>
      </c>
      <c r="I369" s="557">
        <f t="shared" si="462"/>
        <v>0</v>
      </c>
      <c r="J369" s="557">
        <f t="shared" si="462"/>
        <v>0</v>
      </c>
      <c r="K369" s="557">
        <f t="shared" si="462"/>
        <v>0</v>
      </c>
      <c r="L369" s="944">
        <f t="shared" si="462"/>
        <v>0</v>
      </c>
      <c r="M369" s="557">
        <f t="shared" si="462"/>
        <v>0</v>
      </c>
      <c r="N369" s="557">
        <f t="shared" si="462"/>
        <v>0</v>
      </c>
      <c r="O369" s="557">
        <f t="shared" si="462"/>
        <v>0</v>
      </c>
      <c r="P369" s="557">
        <f t="shared" si="462"/>
        <v>0</v>
      </c>
      <c r="Q369" s="557">
        <f t="shared" si="462"/>
        <v>0</v>
      </c>
      <c r="R369" s="557">
        <f t="shared" si="462"/>
        <v>0</v>
      </c>
      <c r="S369" s="557">
        <f t="shared" si="462"/>
        <v>0</v>
      </c>
      <c r="T369" s="557">
        <f t="shared" si="462"/>
        <v>0</v>
      </c>
      <c r="U369" s="557">
        <f t="shared" si="462"/>
        <v>0</v>
      </c>
      <c r="V369" s="557">
        <f t="shared" si="462"/>
        <v>0</v>
      </c>
      <c r="W369" s="557">
        <f t="shared" si="462"/>
        <v>0</v>
      </c>
      <c r="X369" s="557">
        <f t="shared" si="462"/>
        <v>0</v>
      </c>
      <c r="Y369" s="557">
        <f t="shared" ref="Y369" si="463">Y224*1000/$C369</f>
        <v>0</v>
      </c>
      <c r="Z369" s="617"/>
    </row>
    <row r="370" spans="2:26" s="302" customFormat="1" ht="15" hidden="1" outlineLevel="1" x14ac:dyDescent="0.25">
      <c r="B370" s="576" t="s">
        <v>9</v>
      </c>
      <c r="C370" s="861">
        <f>'Экскаваторы II'!AJ67</f>
        <v>276.25201938610661</v>
      </c>
      <c r="D370" s="862" t="s">
        <v>522</v>
      </c>
      <c r="E370" s="557">
        <f t="shared" ref="E370:X370" si="464">E225*1000/$C370</f>
        <v>1085.9649122807018</v>
      </c>
      <c r="F370" s="557">
        <f t="shared" si="464"/>
        <v>1447.953216374269</v>
      </c>
      <c r="G370" s="557">
        <f t="shared" si="464"/>
        <v>1447.953216374269</v>
      </c>
      <c r="H370" s="557">
        <f t="shared" si="464"/>
        <v>723.9766081871345</v>
      </c>
      <c r="I370" s="557">
        <f t="shared" si="464"/>
        <v>0</v>
      </c>
      <c r="J370" s="557">
        <f t="shared" si="464"/>
        <v>0</v>
      </c>
      <c r="K370" s="557">
        <f t="shared" si="464"/>
        <v>0</v>
      </c>
      <c r="L370" s="944">
        <f t="shared" si="464"/>
        <v>0</v>
      </c>
      <c r="M370" s="557">
        <f t="shared" si="464"/>
        <v>0</v>
      </c>
      <c r="N370" s="557">
        <f t="shared" si="464"/>
        <v>0</v>
      </c>
      <c r="O370" s="557">
        <f t="shared" si="464"/>
        <v>0</v>
      </c>
      <c r="P370" s="557">
        <f t="shared" si="464"/>
        <v>0</v>
      </c>
      <c r="Q370" s="557">
        <f t="shared" si="464"/>
        <v>0</v>
      </c>
      <c r="R370" s="557">
        <f t="shared" si="464"/>
        <v>0</v>
      </c>
      <c r="S370" s="557">
        <f t="shared" si="464"/>
        <v>0</v>
      </c>
      <c r="T370" s="557">
        <f t="shared" si="464"/>
        <v>0</v>
      </c>
      <c r="U370" s="557">
        <f t="shared" si="464"/>
        <v>0</v>
      </c>
      <c r="V370" s="557">
        <f t="shared" si="464"/>
        <v>0</v>
      </c>
      <c r="W370" s="557">
        <f t="shared" si="464"/>
        <v>0</v>
      </c>
      <c r="X370" s="557">
        <f t="shared" si="464"/>
        <v>0</v>
      </c>
      <c r="Y370" s="557">
        <f t="shared" ref="Y370" si="465">Y225*1000/$C370</f>
        <v>0</v>
      </c>
      <c r="Z370" s="617"/>
    </row>
    <row r="371" spans="2:26" s="302" customFormat="1" ht="15" hidden="1" outlineLevel="1" x14ac:dyDescent="0.25">
      <c r="B371" s="576" t="s">
        <v>325</v>
      </c>
      <c r="C371" s="861">
        <f>'Экскаваторы II'!AJ69</f>
        <v>223.90953150242328</v>
      </c>
      <c r="D371" s="862" t="s">
        <v>522</v>
      </c>
      <c r="E371" s="557">
        <f t="shared" ref="E371:X371" si="466">E226*1000/$C371</f>
        <v>8932.1789321789311</v>
      </c>
      <c r="F371" s="557">
        <f t="shared" si="466"/>
        <v>9825.3968253968251</v>
      </c>
      <c r="G371" s="557">
        <f t="shared" si="466"/>
        <v>9825.3968253968251</v>
      </c>
      <c r="H371" s="557">
        <f t="shared" si="466"/>
        <v>10718.614718614717</v>
      </c>
      <c r="I371" s="557">
        <f t="shared" si="466"/>
        <v>5805.9163059163056</v>
      </c>
      <c r="J371" s="557">
        <f t="shared" si="466"/>
        <v>5805.9163059163056</v>
      </c>
      <c r="K371" s="557">
        <f t="shared" si="466"/>
        <v>5805.9163059163056</v>
      </c>
      <c r="L371" s="944">
        <f t="shared" si="466"/>
        <v>5805.9163059163056</v>
      </c>
      <c r="M371" s="557">
        <f t="shared" si="466"/>
        <v>5805.9163059163056</v>
      </c>
      <c r="N371" s="557">
        <f t="shared" si="466"/>
        <v>5805.9163059163056</v>
      </c>
      <c r="O371" s="557">
        <f t="shared" si="466"/>
        <v>5805.9163059163056</v>
      </c>
      <c r="P371" s="557">
        <f t="shared" si="466"/>
        <v>5805.9163059163056</v>
      </c>
      <c r="Q371" s="557">
        <f t="shared" si="466"/>
        <v>3572.8715728715724</v>
      </c>
      <c r="R371" s="557">
        <f t="shared" si="466"/>
        <v>4466.0894660894655</v>
      </c>
      <c r="S371" s="557">
        <f t="shared" si="466"/>
        <v>0</v>
      </c>
      <c r="T371" s="557">
        <f t="shared" si="466"/>
        <v>0</v>
      </c>
      <c r="U371" s="557">
        <f t="shared" si="466"/>
        <v>0</v>
      </c>
      <c r="V371" s="557">
        <f t="shared" si="466"/>
        <v>0</v>
      </c>
      <c r="W371" s="557">
        <f t="shared" si="466"/>
        <v>0</v>
      </c>
      <c r="X371" s="557">
        <f t="shared" si="466"/>
        <v>0</v>
      </c>
      <c r="Y371" s="557">
        <f t="shared" ref="Y371" si="467">Y226*1000/$C371</f>
        <v>0</v>
      </c>
      <c r="Z371" s="617"/>
    </row>
    <row r="372" spans="2:26" s="302" customFormat="1" ht="15" hidden="1" outlineLevel="1" x14ac:dyDescent="0.25">
      <c r="B372" s="576" t="s">
        <v>6</v>
      </c>
      <c r="C372" s="861">
        <f>C371</f>
        <v>223.90953150242328</v>
      </c>
      <c r="D372" s="862" t="s">
        <v>522</v>
      </c>
      <c r="E372" s="557">
        <f t="shared" ref="E372:X372" si="468">E227*1000/$C372</f>
        <v>4466.0894660894655</v>
      </c>
      <c r="F372" s="557">
        <f t="shared" si="468"/>
        <v>5805.9163059163056</v>
      </c>
      <c r="G372" s="557">
        <f t="shared" si="468"/>
        <v>5805.9163059163056</v>
      </c>
      <c r="H372" s="557">
        <f t="shared" si="468"/>
        <v>5805.9163059163056</v>
      </c>
      <c r="I372" s="557">
        <f t="shared" si="468"/>
        <v>10272.005772005772</v>
      </c>
      <c r="J372" s="557">
        <f t="shared" si="468"/>
        <v>11611.832611832611</v>
      </c>
      <c r="K372" s="557">
        <f t="shared" si="468"/>
        <v>11611.832611832611</v>
      </c>
      <c r="L372" s="944">
        <f t="shared" si="468"/>
        <v>11611.832611832611</v>
      </c>
      <c r="M372" s="557">
        <f t="shared" si="468"/>
        <v>11611.832611832611</v>
      </c>
      <c r="N372" s="557">
        <f t="shared" si="468"/>
        <v>11611.832611832611</v>
      </c>
      <c r="O372" s="557">
        <f t="shared" si="468"/>
        <v>11611.832611832611</v>
      </c>
      <c r="P372" s="557">
        <f t="shared" si="468"/>
        <v>11611.832611832611</v>
      </c>
      <c r="Q372" s="557">
        <f t="shared" si="468"/>
        <v>9378.7878787878781</v>
      </c>
      <c r="R372" s="557">
        <f t="shared" si="468"/>
        <v>0</v>
      </c>
      <c r="S372" s="557">
        <f t="shared" si="468"/>
        <v>0</v>
      </c>
      <c r="T372" s="557">
        <f t="shared" si="468"/>
        <v>0</v>
      </c>
      <c r="U372" s="557">
        <f t="shared" si="468"/>
        <v>0</v>
      </c>
      <c r="V372" s="557">
        <f t="shared" si="468"/>
        <v>0</v>
      </c>
      <c r="W372" s="557">
        <f t="shared" si="468"/>
        <v>0</v>
      </c>
      <c r="X372" s="557">
        <f t="shared" si="468"/>
        <v>0</v>
      </c>
      <c r="Y372" s="557">
        <f t="shared" ref="Y372" si="469">Y227*1000/$C372</f>
        <v>0</v>
      </c>
      <c r="Z372" s="617"/>
    </row>
    <row r="373" spans="2:26" s="302" customFormat="1" ht="15" hidden="1" outlineLevel="1" x14ac:dyDescent="0.25">
      <c r="B373" s="576" t="s">
        <v>462</v>
      </c>
      <c r="C373" s="861">
        <f>'Экскаваторы II'!AJ68</f>
        <v>257.8352180936995</v>
      </c>
      <c r="D373" s="862" t="s">
        <v>522</v>
      </c>
      <c r="E373" s="557">
        <f t="shared" ref="E373:X373" si="470">E228*1000/$C373</f>
        <v>0</v>
      </c>
      <c r="F373" s="557">
        <f t="shared" si="470"/>
        <v>0</v>
      </c>
      <c r="G373" s="557">
        <f t="shared" si="470"/>
        <v>0</v>
      </c>
      <c r="H373" s="557">
        <f t="shared" si="470"/>
        <v>0</v>
      </c>
      <c r="I373" s="557">
        <f t="shared" si="470"/>
        <v>0</v>
      </c>
      <c r="J373" s="557">
        <f t="shared" si="470"/>
        <v>0</v>
      </c>
      <c r="K373" s="557">
        <f t="shared" si="470"/>
        <v>0</v>
      </c>
      <c r="L373" s="944">
        <f t="shared" si="470"/>
        <v>0</v>
      </c>
      <c r="M373" s="557">
        <f t="shared" si="470"/>
        <v>0</v>
      </c>
      <c r="N373" s="557">
        <f t="shared" si="470"/>
        <v>0</v>
      </c>
      <c r="O373" s="557">
        <f t="shared" si="470"/>
        <v>0</v>
      </c>
      <c r="P373" s="557">
        <f t="shared" si="470"/>
        <v>0</v>
      </c>
      <c r="Q373" s="557">
        <f t="shared" si="470"/>
        <v>0</v>
      </c>
      <c r="R373" s="557">
        <f t="shared" si="470"/>
        <v>0</v>
      </c>
      <c r="S373" s="557">
        <f t="shared" si="470"/>
        <v>0</v>
      </c>
      <c r="T373" s="557">
        <f t="shared" si="470"/>
        <v>0</v>
      </c>
      <c r="U373" s="557">
        <f t="shared" si="470"/>
        <v>0</v>
      </c>
      <c r="V373" s="557">
        <f t="shared" si="470"/>
        <v>0</v>
      </c>
      <c r="W373" s="557">
        <f t="shared" si="470"/>
        <v>0</v>
      </c>
      <c r="X373" s="557">
        <f t="shared" si="470"/>
        <v>0</v>
      </c>
      <c r="Y373" s="557">
        <f t="shared" ref="Y373" si="471">Y228*1000/$C373</f>
        <v>0</v>
      </c>
      <c r="Z373" s="617"/>
    </row>
    <row r="374" spans="2:26" s="302" customFormat="1" ht="15" collapsed="1" x14ac:dyDescent="0.25">
      <c r="B374" s="860" t="s">
        <v>392</v>
      </c>
      <c r="C374" s="480"/>
      <c r="D374" s="862" t="s">
        <v>522</v>
      </c>
      <c r="E374" s="869">
        <f>SUM(E375:E379)</f>
        <v>3828.3770992129889</v>
      </c>
      <c r="F374" s="869">
        <f t="shared" ref="F374" si="472">SUM(F375:F379)</f>
        <v>8795.5081235771158</v>
      </c>
      <c r="G374" s="869">
        <f t="shared" ref="G374" si="473">SUM(G375:G379)</f>
        <v>10198.460009935419</v>
      </c>
      <c r="H374" s="869">
        <f t="shared" ref="H374" si="474">SUM(H375:H379)</f>
        <v>10980.025666501077</v>
      </c>
      <c r="I374" s="869">
        <f t="shared" ref="I374" si="475">SUM(I375:I379)</f>
        <v>10570.189600927306</v>
      </c>
      <c r="J374" s="869">
        <f t="shared" ref="J374" si="476">SUM(J375:J379)</f>
        <v>10160.353535353535</v>
      </c>
      <c r="K374" s="869">
        <f t="shared" ref="K374" si="477">SUM(K375:K379)</f>
        <v>6252.5252525252527</v>
      </c>
      <c r="L374" s="951">
        <f t="shared" ref="L374" si="478">SUM(L375:L379)</f>
        <v>1563.1313131313132</v>
      </c>
      <c r="M374" s="869">
        <f t="shared" ref="M374" si="479">SUM(M375:M379)</f>
        <v>0</v>
      </c>
      <c r="N374" s="869">
        <f t="shared" ref="N374" si="480">SUM(N375:N379)</f>
        <v>0</v>
      </c>
      <c r="O374" s="869">
        <f t="shared" ref="O374" si="481">SUM(O375:O379)</f>
        <v>0</v>
      </c>
      <c r="P374" s="869">
        <f t="shared" ref="P374" si="482">SUM(P375:P379)</f>
        <v>0</v>
      </c>
      <c r="Q374" s="869">
        <f t="shared" ref="Q374" si="483">SUM(Q375:Q379)</f>
        <v>0</v>
      </c>
      <c r="R374" s="869">
        <f t="shared" ref="R374" si="484">SUM(R375:R379)</f>
        <v>0</v>
      </c>
      <c r="S374" s="869">
        <f t="shared" ref="S374" si="485">SUM(S375:S379)</f>
        <v>0</v>
      </c>
      <c r="T374" s="869">
        <f t="shared" ref="T374" si="486">SUM(T375:T379)</f>
        <v>0</v>
      </c>
      <c r="U374" s="869">
        <f t="shared" ref="U374" si="487">SUM(U375:U379)</f>
        <v>0</v>
      </c>
      <c r="V374" s="869">
        <f t="shared" ref="V374" si="488">SUM(V375:V379)</f>
        <v>0</v>
      </c>
      <c r="W374" s="869">
        <f t="shared" ref="W374" si="489">SUM(W375:W379)</f>
        <v>0</v>
      </c>
      <c r="X374" s="869">
        <f t="shared" ref="X374:Y374" si="490">SUM(X375:X379)</f>
        <v>0</v>
      </c>
      <c r="Y374" s="869">
        <f t="shared" si="490"/>
        <v>0</v>
      </c>
      <c r="Z374" s="870"/>
    </row>
    <row r="375" spans="2:26" s="302" customFormat="1" ht="15" hidden="1" outlineLevel="1" x14ac:dyDescent="0.25">
      <c r="B375" s="576" t="s">
        <v>3</v>
      </c>
      <c r="C375" s="582">
        <f>'Экскаваторы II'!AL66</f>
        <v>488</v>
      </c>
      <c r="D375" s="862" t="s">
        <v>522</v>
      </c>
      <c r="E375" s="557">
        <f t="shared" ref="E375:X375" si="491">E230*1000/$C375</f>
        <v>0</v>
      </c>
      <c r="F375" s="557">
        <f t="shared" si="491"/>
        <v>409.8360655737705</v>
      </c>
      <c r="G375" s="557">
        <f t="shared" si="491"/>
        <v>819.67213114754099</v>
      </c>
      <c r="H375" s="557">
        <f t="shared" si="491"/>
        <v>819.67213114754099</v>
      </c>
      <c r="I375" s="557">
        <f t="shared" si="491"/>
        <v>409.8360655737705</v>
      </c>
      <c r="J375" s="557">
        <f t="shared" si="491"/>
        <v>0</v>
      </c>
      <c r="K375" s="557">
        <f t="shared" si="491"/>
        <v>0</v>
      </c>
      <c r="L375" s="944">
        <f t="shared" si="491"/>
        <v>0</v>
      </c>
      <c r="M375" s="557">
        <f t="shared" si="491"/>
        <v>0</v>
      </c>
      <c r="N375" s="557">
        <f t="shared" si="491"/>
        <v>0</v>
      </c>
      <c r="O375" s="557">
        <f t="shared" si="491"/>
        <v>0</v>
      </c>
      <c r="P375" s="557">
        <f t="shared" si="491"/>
        <v>0</v>
      </c>
      <c r="Q375" s="557">
        <f t="shared" si="491"/>
        <v>0</v>
      </c>
      <c r="R375" s="557">
        <f t="shared" si="491"/>
        <v>0</v>
      </c>
      <c r="S375" s="557">
        <f t="shared" si="491"/>
        <v>0</v>
      </c>
      <c r="T375" s="557">
        <f t="shared" si="491"/>
        <v>0</v>
      </c>
      <c r="U375" s="557">
        <f t="shared" si="491"/>
        <v>0</v>
      </c>
      <c r="V375" s="557">
        <f t="shared" si="491"/>
        <v>0</v>
      </c>
      <c r="W375" s="557">
        <f t="shared" si="491"/>
        <v>0</v>
      </c>
      <c r="X375" s="557">
        <f t="shared" si="491"/>
        <v>0</v>
      </c>
      <c r="Y375" s="557">
        <f t="shared" ref="Y375" si="492">Y230*1000/$C375</f>
        <v>0</v>
      </c>
      <c r="Z375" s="617"/>
    </row>
    <row r="376" spans="2:26" s="302" customFormat="1" ht="15" hidden="1" outlineLevel="1" x14ac:dyDescent="0.25">
      <c r="B376" s="576" t="s">
        <v>9</v>
      </c>
      <c r="C376" s="861">
        <f>'Экскаваторы II'!AL67</f>
        <v>294.66882067851373</v>
      </c>
      <c r="D376" s="862" t="s">
        <v>522</v>
      </c>
      <c r="E376" s="557">
        <f t="shared" ref="E376:X376" si="493">E231*1000/$C376</f>
        <v>0</v>
      </c>
      <c r="F376" s="557">
        <f t="shared" si="493"/>
        <v>0</v>
      </c>
      <c r="G376" s="557">
        <f t="shared" si="493"/>
        <v>0</v>
      </c>
      <c r="H376" s="557">
        <f t="shared" si="493"/>
        <v>0</v>
      </c>
      <c r="I376" s="557">
        <f t="shared" si="493"/>
        <v>0</v>
      </c>
      <c r="J376" s="557">
        <f t="shared" si="493"/>
        <v>0</v>
      </c>
      <c r="K376" s="557">
        <f t="shared" si="493"/>
        <v>0</v>
      </c>
      <c r="L376" s="944">
        <f t="shared" si="493"/>
        <v>0</v>
      </c>
      <c r="M376" s="557">
        <f t="shared" si="493"/>
        <v>0</v>
      </c>
      <c r="N376" s="557">
        <f t="shared" si="493"/>
        <v>0</v>
      </c>
      <c r="O376" s="557">
        <f t="shared" si="493"/>
        <v>0</v>
      </c>
      <c r="P376" s="557">
        <f t="shared" si="493"/>
        <v>0</v>
      </c>
      <c r="Q376" s="557">
        <f t="shared" si="493"/>
        <v>0</v>
      </c>
      <c r="R376" s="557">
        <f t="shared" si="493"/>
        <v>0</v>
      </c>
      <c r="S376" s="557">
        <f t="shared" si="493"/>
        <v>0</v>
      </c>
      <c r="T376" s="557">
        <f t="shared" si="493"/>
        <v>0</v>
      </c>
      <c r="U376" s="557">
        <f t="shared" si="493"/>
        <v>0</v>
      </c>
      <c r="V376" s="557">
        <f t="shared" si="493"/>
        <v>0</v>
      </c>
      <c r="W376" s="557">
        <f t="shared" si="493"/>
        <v>0</v>
      </c>
      <c r="X376" s="557">
        <f t="shared" si="493"/>
        <v>0</v>
      </c>
      <c r="Y376" s="557">
        <f t="shared" ref="Y376" si="494">Y231*1000/$C376</f>
        <v>0</v>
      </c>
      <c r="Z376" s="617"/>
    </row>
    <row r="377" spans="2:26" s="302" customFormat="1" ht="15" hidden="1" outlineLevel="1" x14ac:dyDescent="0.25">
      <c r="B377" s="576" t="s">
        <v>325</v>
      </c>
      <c r="C377" s="861">
        <f>'Экскаваторы II'!AL69</f>
        <v>255.89660743134087</v>
      </c>
      <c r="D377" s="862" t="s">
        <v>522</v>
      </c>
      <c r="E377" s="557">
        <f t="shared" ref="E377:X377" si="495">E232*1000/$C377</f>
        <v>195.39141414141415</v>
      </c>
      <c r="F377" s="557">
        <f t="shared" si="495"/>
        <v>4689.393939393939</v>
      </c>
      <c r="G377" s="557">
        <f t="shared" si="495"/>
        <v>9378.7878787878781</v>
      </c>
      <c r="H377" s="557">
        <f t="shared" si="495"/>
        <v>10160.353535353535</v>
      </c>
      <c r="I377" s="557">
        <f t="shared" si="495"/>
        <v>10160.353535353535</v>
      </c>
      <c r="J377" s="557">
        <f t="shared" si="495"/>
        <v>10160.353535353535</v>
      </c>
      <c r="K377" s="557">
        <f t="shared" si="495"/>
        <v>6252.5252525252527</v>
      </c>
      <c r="L377" s="944">
        <f t="shared" si="495"/>
        <v>1563.1313131313132</v>
      </c>
      <c r="M377" s="557">
        <f t="shared" si="495"/>
        <v>0</v>
      </c>
      <c r="N377" s="557">
        <f t="shared" si="495"/>
        <v>0</v>
      </c>
      <c r="O377" s="557">
        <f t="shared" si="495"/>
        <v>0</v>
      </c>
      <c r="P377" s="557">
        <f t="shared" si="495"/>
        <v>0</v>
      </c>
      <c r="Q377" s="557">
        <f t="shared" si="495"/>
        <v>0</v>
      </c>
      <c r="R377" s="557">
        <f t="shared" si="495"/>
        <v>0</v>
      </c>
      <c r="S377" s="557">
        <f t="shared" si="495"/>
        <v>0</v>
      </c>
      <c r="T377" s="557">
        <f t="shared" si="495"/>
        <v>0</v>
      </c>
      <c r="U377" s="557">
        <f t="shared" si="495"/>
        <v>0</v>
      </c>
      <c r="V377" s="557">
        <f t="shared" si="495"/>
        <v>0</v>
      </c>
      <c r="W377" s="557">
        <f t="shared" si="495"/>
        <v>0</v>
      </c>
      <c r="X377" s="557">
        <f t="shared" si="495"/>
        <v>0</v>
      </c>
      <c r="Y377" s="557">
        <f t="shared" ref="Y377" si="496">Y232*1000/$C377</f>
        <v>0</v>
      </c>
      <c r="Z377" s="617"/>
    </row>
    <row r="378" spans="2:26" s="302" customFormat="1" ht="15" hidden="1" outlineLevel="1" x14ac:dyDescent="0.25">
      <c r="B378" s="576" t="s">
        <v>6</v>
      </c>
      <c r="C378" s="861">
        <f>C377</f>
        <v>255.89660743134087</v>
      </c>
      <c r="D378" s="862" t="s">
        <v>522</v>
      </c>
      <c r="E378" s="557">
        <f t="shared" ref="E378:X378" si="497">E233*1000/$C378</f>
        <v>0</v>
      </c>
      <c r="F378" s="557">
        <f t="shared" si="497"/>
        <v>0</v>
      </c>
      <c r="G378" s="557">
        <f t="shared" si="497"/>
        <v>0</v>
      </c>
      <c r="H378" s="557">
        <f t="shared" si="497"/>
        <v>0</v>
      </c>
      <c r="I378" s="557">
        <f t="shared" si="497"/>
        <v>0</v>
      </c>
      <c r="J378" s="557">
        <f t="shared" si="497"/>
        <v>0</v>
      </c>
      <c r="K378" s="557">
        <f t="shared" si="497"/>
        <v>0</v>
      </c>
      <c r="L378" s="944">
        <f t="shared" si="497"/>
        <v>0</v>
      </c>
      <c r="M378" s="557">
        <f t="shared" si="497"/>
        <v>0</v>
      </c>
      <c r="N378" s="557">
        <f t="shared" si="497"/>
        <v>0</v>
      </c>
      <c r="O378" s="557">
        <f t="shared" si="497"/>
        <v>0</v>
      </c>
      <c r="P378" s="557">
        <f t="shared" si="497"/>
        <v>0</v>
      </c>
      <c r="Q378" s="557">
        <f t="shared" si="497"/>
        <v>0</v>
      </c>
      <c r="R378" s="557">
        <f t="shared" si="497"/>
        <v>0</v>
      </c>
      <c r="S378" s="557">
        <f t="shared" si="497"/>
        <v>0</v>
      </c>
      <c r="T378" s="557">
        <f t="shared" si="497"/>
        <v>0</v>
      </c>
      <c r="U378" s="557">
        <f t="shared" si="497"/>
        <v>0</v>
      </c>
      <c r="V378" s="557">
        <f t="shared" si="497"/>
        <v>0</v>
      </c>
      <c r="W378" s="557">
        <f t="shared" si="497"/>
        <v>0</v>
      </c>
      <c r="X378" s="557">
        <f t="shared" si="497"/>
        <v>0</v>
      </c>
      <c r="Y378" s="557">
        <f t="shared" ref="Y378" si="498">Y233*1000/$C378</f>
        <v>0</v>
      </c>
      <c r="Z378" s="617"/>
    </row>
    <row r="379" spans="2:26" s="302" customFormat="1" ht="15" hidden="1" outlineLevel="1" x14ac:dyDescent="0.25">
      <c r="B379" s="576" t="s">
        <v>462</v>
      </c>
      <c r="C379" s="864">
        <f>'Экскаваторы II'!AL68</f>
        <v>315.99353796445882</v>
      </c>
      <c r="D379" s="862" t="s">
        <v>522</v>
      </c>
      <c r="E379" s="557">
        <f t="shared" ref="E379:X379" si="499">E234*1000/$C379</f>
        <v>3632.9856850715746</v>
      </c>
      <c r="F379" s="557">
        <f t="shared" si="499"/>
        <v>3696.2781186094066</v>
      </c>
      <c r="G379" s="557">
        <f t="shared" si="499"/>
        <v>0</v>
      </c>
      <c r="H379" s="557">
        <f t="shared" si="499"/>
        <v>0</v>
      </c>
      <c r="I379" s="557">
        <f t="shared" si="499"/>
        <v>0</v>
      </c>
      <c r="J379" s="557">
        <f t="shared" si="499"/>
        <v>0</v>
      </c>
      <c r="K379" s="557">
        <f t="shared" si="499"/>
        <v>0</v>
      </c>
      <c r="L379" s="944">
        <f t="shared" si="499"/>
        <v>0</v>
      </c>
      <c r="M379" s="557">
        <f t="shared" si="499"/>
        <v>0</v>
      </c>
      <c r="N379" s="557">
        <f t="shared" si="499"/>
        <v>0</v>
      </c>
      <c r="O379" s="557">
        <f t="shared" si="499"/>
        <v>0</v>
      </c>
      <c r="P379" s="557">
        <f t="shared" si="499"/>
        <v>0</v>
      </c>
      <c r="Q379" s="557">
        <f t="shared" si="499"/>
        <v>0</v>
      </c>
      <c r="R379" s="557">
        <f t="shared" si="499"/>
        <v>0</v>
      </c>
      <c r="S379" s="557">
        <f t="shared" si="499"/>
        <v>0</v>
      </c>
      <c r="T379" s="557">
        <f t="shared" si="499"/>
        <v>0</v>
      </c>
      <c r="U379" s="557">
        <f t="shared" si="499"/>
        <v>0</v>
      </c>
      <c r="V379" s="557">
        <f t="shared" si="499"/>
        <v>0</v>
      </c>
      <c r="W379" s="557">
        <f t="shared" si="499"/>
        <v>0</v>
      </c>
      <c r="X379" s="557">
        <f t="shared" si="499"/>
        <v>0</v>
      </c>
      <c r="Y379" s="557">
        <f t="shared" ref="Y379" si="500">Y234*1000/$C379</f>
        <v>0</v>
      </c>
      <c r="Z379" s="872"/>
    </row>
    <row r="380" spans="2:26" s="302" customFormat="1" ht="15.75" collapsed="1" x14ac:dyDescent="0.25">
      <c r="B380" s="972" t="s">
        <v>357</v>
      </c>
      <c r="C380" s="973"/>
      <c r="D380" s="973"/>
      <c r="E380" s="973"/>
      <c r="F380" s="973"/>
      <c r="G380" s="973"/>
      <c r="H380" s="973"/>
      <c r="I380" s="973"/>
      <c r="J380" s="973"/>
      <c r="K380" s="973"/>
      <c r="L380" s="973"/>
      <c r="M380" s="973"/>
      <c r="N380" s="973"/>
      <c r="O380" s="973"/>
      <c r="P380" s="973"/>
      <c r="Q380" s="973"/>
      <c r="R380" s="973"/>
      <c r="S380" s="973"/>
      <c r="T380" s="973"/>
      <c r="U380" s="973"/>
      <c r="V380" s="973"/>
      <c r="W380" s="973"/>
      <c r="X380" s="973"/>
      <c r="Y380" s="973"/>
      <c r="Z380" s="974"/>
    </row>
    <row r="381" spans="2:26" s="302" customFormat="1" ht="15" x14ac:dyDescent="0.25">
      <c r="B381" s="860" t="s">
        <v>256</v>
      </c>
      <c r="C381" s="480"/>
      <c r="D381" s="862" t="s">
        <v>522</v>
      </c>
      <c r="E381" s="869">
        <f>SUM(E382:E386)</f>
        <v>10431.628030908607</v>
      </c>
      <c r="F381" s="869">
        <f t="shared" ref="F381" si="501">SUM(F382:F386)</f>
        <v>11765.627498001601</v>
      </c>
      <c r="G381" s="869">
        <f t="shared" ref="G381" si="502">SUM(G382:G386)</f>
        <v>11765.627498001601</v>
      </c>
      <c r="H381" s="869">
        <f t="shared" ref="H381" si="503">SUM(H382:H386)</f>
        <v>11853.184119371172</v>
      </c>
      <c r="I381" s="869">
        <f t="shared" ref="I381" si="504">SUM(I382:I386)</f>
        <v>11251.851851851854</v>
      </c>
      <c r="J381" s="869">
        <f t="shared" ref="J381" si="505">SUM(J382:J386)</f>
        <v>11940.740740740743</v>
      </c>
      <c r="K381" s="869">
        <f t="shared" ref="K381" si="506">SUM(K382:K386)</f>
        <v>11940.740740740743</v>
      </c>
      <c r="L381" s="951">
        <f t="shared" ref="L381" si="507">SUM(L382:L386)</f>
        <v>11940.740740740743</v>
      </c>
      <c r="M381" s="869">
        <f t="shared" ref="M381" si="508">SUM(M382:M386)</f>
        <v>11940.740740740743</v>
      </c>
      <c r="N381" s="869">
        <f t="shared" ref="N381" si="509">SUM(N382:N386)</f>
        <v>11940.740740740743</v>
      </c>
      <c r="O381" s="869">
        <f t="shared" ref="O381" si="510">SUM(O382:O386)</f>
        <v>11940.740740740743</v>
      </c>
      <c r="P381" s="869">
        <f t="shared" ref="P381" si="511">SUM(P382:P386)</f>
        <v>11940.740740740743</v>
      </c>
      <c r="Q381" s="869">
        <f t="shared" ref="Q381" si="512">SUM(Q382:Q386)</f>
        <v>9414.8148148148157</v>
      </c>
      <c r="R381" s="869">
        <f t="shared" ref="R381" si="513">SUM(R382:R386)</f>
        <v>2296.2962962962965</v>
      </c>
      <c r="S381" s="869">
        <f t="shared" ref="S381" si="514">SUM(S382:S386)</f>
        <v>0</v>
      </c>
      <c r="T381" s="869">
        <f t="shared" ref="T381" si="515">SUM(T382:T386)</f>
        <v>0</v>
      </c>
      <c r="U381" s="869">
        <f t="shared" ref="U381" si="516">SUM(U382:U386)</f>
        <v>0</v>
      </c>
      <c r="V381" s="869">
        <f t="shared" ref="V381" si="517">SUM(V382:V386)</f>
        <v>0</v>
      </c>
      <c r="W381" s="869">
        <f t="shared" ref="W381" si="518">SUM(W382:W386)</f>
        <v>0</v>
      </c>
      <c r="X381" s="869">
        <f t="shared" ref="X381:Y381" si="519">SUM(X382:X386)</f>
        <v>0</v>
      </c>
      <c r="Y381" s="869">
        <f t="shared" si="519"/>
        <v>0</v>
      </c>
      <c r="Z381" s="870"/>
    </row>
    <row r="382" spans="2:26" s="302" customFormat="1" ht="15" hidden="1" outlineLevel="1" x14ac:dyDescent="0.25">
      <c r="B382" s="576" t="s">
        <v>3</v>
      </c>
      <c r="C382" s="582">
        <v>1</v>
      </c>
      <c r="D382" s="862" t="s">
        <v>522</v>
      </c>
      <c r="E382" s="557">
        <f>E237*1000/$C382</f>
        <v>0</v>
      </c>
      <c r="F382" s="557">
        <f t="shared" ref="F382:X382" si="520">F237*1000/$C382</f>
        <v>0</v>
      </c>
      <c r="G382" s="557">
        <f t="shared" si="520"/>
        <v>0</v>
      </c>
      <c r="H382" s="557">
        <f t="shared" si="520"/>
        <v>0</v>
      </c>
      <c r="I382" s="557">
        <f t="shared" si="520"/>
        <v>0</v>
      </c>
      <c r="J382" s="557">
        <f t="shared" si="520"/>
        <v>0</v>
      </c>
      <c r="K382" s="557">
        <f t="shared" si="520"/>
        <v>0</v>
      </c>
      <c r="L382" s="944">
        <f t="shared" si="520"/>
        <v>0</v>
      </c>
      <c r="M382" s="557">
        <f t="shared" si="520"/>
        <v>0</v>
      </c>
      <c r="N382" s="557">
        <f t="shared" si="520"/>
        <v>0</v>
      </c>
      <c r="O382" s="557">
        <f t="shared" si="520"/>
        <v>0</v>
      </c>
      <c r="P382" s="557">
        <f t="shared" si="520"/>
        <v>0</v>
      </c>
      <c r="Q382" s="557">
        <f t="shared" si="520"/>
        <v>0</v>
      </c>
      <c r="R382" s="557">
        <f t="shared" si="520"/>
        <v>0</v>
      </c>
      <c r="S382" s="557">
        <f t="shared" si="520"/>
        <v>0</v>
      </c>
      <c r="T382" s="557">
        <f t="shared" si="520"/>
        <v>0</v>
      </c>
      <c r="U382" s="557">
        <f t="shared" si="520"/>
        <v>0</v>
      </c>
      <c r="V382" s="557">
        <f t="shared" si="520"/>
        <v>0</v>
      </c>
      <c r="W382" s="557">
        <f t="shared" si="520"/>
        <v>0</v>
      </c>
      <c r="X382" s="557">
        <f t="shared" si="520"/>
        <v>0</v>
      </c>
      <c r="Y382" s="557">
        <f t="shared" ref="Y382" si="521">Y237*1000/$C382</f>
        <v>0</v>
      </c>
      <c r="Z382" s="617"/>
    </row>
    <row r="383" spans="2:26" s="302" customFormat="1" ht="15" hidden="1" outlineLevel="1" x14ac:dyDescent="0.25">
      <c r="B383" s="576" t="s">
        <v>9</v>
      </c>
      <c r="C383" s="861">
        <f>'Экскаваторы II'!AO67</f>
        <v>269.0322580645161</v>
      </c>
      <c r="D383" s="862" t="s">
        <v>522</v>
      </c>
      <c r="E383" s="557">
        <f>E238*1000/$C383</f>
        <v>557.55395683453241</v>
      </c>
      <c r="F383" s="557">
        <f t="shared" ref="F383:X383" si="522">F238*1000/$C383</f>
        <v>743.40527577937655</v>
      </c>
      <c r="G383" s="557">
        <f t="shared" si="522"/>
        <v>743.40527577937655</v>
      </c>
      <c r="H383" s="557">
        <f t="shared" si="522"/>
        <v>371.70263788968828</v>
      </c>
      <c r="I383" s="557">
        <f t="shared" si="522"/>
        <v>0</v>
      </c>
      <c r="J383" s="557">
        <f t="shared" si="522"/>
        <v>0</v>
      </c>
      <c r="K383" s="557">
        <f t="shared" si="522"/>
        <v>0</v>
      </c>
      <c r="L383" s="944">
        <f t="shared" si="522"/>
        <v>0</v>
      </c>
      <c r="M383" s="557">
        <f t="shared" si="522"/>
        <v>0</v>
      </c>
      <c r="N383" s="557">
        <f t="shared" si="522"/>
        <v>0</v>
      </c>
      <c r="O383" s="557">
        <f t="shared" si="522"/>
        <v>0</v>
      </c>
      <c r="P383" s="557">
        <f t="shared" si="522"/>
        <v>0</v>
      </c>
      <c r="Q383" s="557">
        <f t="shared" si="522"/>
        <v>0</v>
      </c>
      <c r="R383" s="557">
        <f t="shared" si="522"/>
        <v>0</v>
      </c>
      <c r="S383" s="557">
        <f t="shared" si="522"/>
        <v>0</v>
      </c>
      <c r="T383" s="557">
        <f t="shared" si="522"/>
        <v>0</v>
      </c>
      <c r="U383" s="557">
        <f t="shared" si="522"/>
        <v>0</v>
      </c>
      <c r="V383" s="557">
        <f t="shared" si="522"/>
        <v>0</v>
      </c>
      <c r="W383" s="557">
        <f t="shared" si="522"/>
        <v>0</v>
      </c>
      <c r="X383" s="557">
        <f t="shared" si="522"/>
        <v>0</v>
      </c>
      <c r="Y383" s="557">
        <f t="shared" ref="Y383" si="523">Y238*1000/$C383</f>
        <v>0</v>
      </c>
      <c r="Z383" s="617"/>
    </row>
    <row r="384" spans="2:26" s="302" customFormat="1" ht="15" hidden="1" outlineLevel="1" x14ac:dyDescent="0.25">
      <c r="B384" s="576" t="s">
        <v>325</v>
      </c>
      <c r="C384" s="861">
        <f>'Экскаваторы II'!AO69</f>
        <v>217.74193548387095</v>
      </c>
      <c r="D384" s="862" t="s">
        <v>522</v>
      </c>
      <c r="E384" s="557">
        <f>E239*1000/$C384</f>
        <v>7577.7777777777783</v>
      </c>
      <c r="F384" s="557">
        <f t="shared" ref="F384:X384" si="524">F239*1000/$C384</f>
        <v>8037.0370370370374</v>
      </c>
      <c r="G384" s="557">
        <f t="shared" si="524"/>
        <v>8037.0370370370374</v>
      </c>
      <c r="H384" s="557">
        <f t="shared" si="524"/>
        <v>8496.2962962962974</v>
      </c>
      <c r="I384" s="557">
        <f t="shared" si="524"/>
        <v>5970.3703703703713</v>
      </c>
      <c r="J384" s="557">
        <f t="shared" si="524"/>
        <v>5970.3703703703713</v>
      </c>
      <c r="K384" s="557">
        <f t="shared" si="524"/>
        <v>5970.3703703703713</v>
      </c>
      <c r="L384" s="944">
        <f t="shared" si="524"/>
        <v>5970.3703703703713</v>
      </c>
      <c r="M384" s="557">
        <f t="shared" si="524"/>
        <v>5970.3703703703713</v>
      </c>
      <c r="N384" s="557">
        <f t="shared" si="524"/>
        <v>5970.3703703703713</v>
      </c>
      <c r="O384" s="557">
        <f t="shared" si="524"/>
        <v>5970.3703703703713</v>
      </c>
      <c r="P384" s="557">
        <f t="shared" si="524"/>
        <v>5970.3703703703713</v>
      </c>
      <c r="Q384" s="557">
        <f t="shared" si="524"/>
        <v>4592.5925925925931</v>
      </c>
      <c r="R384" s="557">
        <f t="shared" si="524"/>
        <v>2296.2962962962965</v>
      </c>
      <c r="S384" s="557">
        <f t="shared" si="524"/>
        <v>0</v>
      </c>
      <c r="T384" s="557">
        <f t="shared" si="524"/>
        <v>0</v>
      </c>
      <c r="U384" s="557">
        <f t="shared" si="524"/>
        <v>0</v>
      </c>
      <c r="V384" s="557">
        <f t="shared" si="524"/>
        <v>0</v>
      </c>
      <c r="W384" s="557">
        <f t="shared" si="524"/>
        <v>0</v>
      </c>
      <c r="X384" s="557">
        <f t="shared" si="524"/>
        <v>0</v>
      </c>
      <c r="Y384" s="557">
        <f t="shared" ref="Y384" si="525">Y239*1000/$C384</f>
        <v>0</v>
      </c>
      <c r="Z384" s="617"/>
    </row>
    <row r="385" spans="2:26" s="302" customFormat="1" ht="15" hidden="1" outlineLevel="1" x14ac:dyDescent="0.25">
      <c r="B385" s="576" t="s">
        <v>6</v>
      </c>
      <c r="C385" s="861">
        <f>C384</f>
        <v>217.74193548387095</v>
      </c>
      <c r="D385" s="862" t="s">
        <v>522</v>
      </c>
      <c r="E385" s="557">
        <f>E240*1000/$C385</f>
        <v>2296.2962962962965</v>
      </c>
      <c r="F385" s="557">
        <f t="shared" ref="F385:X385" si="526">F240*1000/$C385</f>
        <v>2985.1851851851857</v>
      </c>
      <c r="G385" s="557">
        <f t="shared" si="526"/>
        <v>2985.1851851851857</v>
      </c>
      <c r="H385" s="557">
        <f t="shared" si="526"/>
        <v>2985.1851851851857</v>
      </c>
      <c r="I385" s="557">
        <f t="shared" si="526"/>
        <v>5281.4814814814818</v>
      </c>
      <c r="J385" s="557">
        <f t="shared" si="526"/>
        <v>5970.3703703703713</v>
      </c>
      <c r="K385" s="557">
        <f t="shared" si="526"/>
        <v>5970.3703703703713</v>
      </c>
      <c r="L385" s="944">
        <f t="shared" si="526"/>
        <v>5970.3703703703713</v>
      </c>
      <c r="M385" s="557">
        <f t="shared" si="526"/>
        <v>5970.3703703703713</v>
      </c>
      <c r="N385" s="557">
        <f t="shared" si="526"/>
        <v>5970.3703703703713</v>
      </c>
      <c r="O385" s="557">
        <f t="shared" si="526"/>
        <v>5970.3703703703713</v>
      </c>
      <c r="P385" s="557">
        <f t="shared" si="526"/>
        <v>5970.3703703703713</v>
      </c>
      <c r="Q385" s="557">
        <f t="shared" si="526"/>
        <v>4822.2222222222226</v>
      </c>
      <c r="R385" s="557">
        <f t="shared" si="526"/>
        <v>0</v>
      </c>
      <c r="S385" s="557">
        <f t="shared" si="526"/>
        <v>0</v>
      </c>
      <c r="T385" s="557">
        <f t="shared" si="526"/>
        <v>0</v>
      </c>
      <c r="U385" s="557">
        <f t="shared" si="526"/>
        <v>0</v>
      </c>
      <c r="V385" s="557">
        <f t="shared" si="526"/>
        <v>0</v>
      </c>
      <c r="W385" s="557">
        <f t="shared" si="526"/>
        <v>0</v>
      </c>
      <c r="X385" s="557">
        <f t="shared" si="526"/>
        <v>0</v>
      </c>
      <c r="Y385" s="557">
        <f t="shared" ref="Y385" si="527">Y240*1000/$C385</f>
        <v>0</v>
      </c>
      <c r="Z385" s="617"/>
    </row>
    <row r="386" spans="2:26" s="302" customFormat="1" ht="15" hidden="1" outlineLevel="1" x14ac:dyDescent="0.25">
      <c r="B386" s="576" t="s">
        <v>462</v>
      </c>
      <c r="C386" s="861">
        <f>'Экскаваторы II'!AO69</f>
        <v>217.74193548387095</v>
      </c>
      <c r="D386" s="862" t="s">
        <v>522</v>
      </c>
      <c r="E386" s="557">
        <f>E241*1000/$C386</f>
        <v>0</v>
      </c>
      <c r="F386" s="557">
        <f t="shared" ref="F386:X386" si="528">F241*1000/$C386</f>
        <v>0</v>
      </c>
      <c r="G386" s="557">
        <f t="shared" si="528"/>
        <v>0</v>
      </c>
      <c r="H386" s="557">
        <f t="shared" si="528"/>
        <v>0</v>
      </c>
      <c r="I386" s="557">
        <f t="shared" si="528"/>
        <v>0</v>
      </c>
      <c r="J386" s="557">
        <f t="shared" si="528"/>
        <v>0</v>
      </c>
      <c r="K386" s="557">
        <f t="shared" si="528"/>
        <v>0</v>
      </c>
      <c r="L386" s="944">
        <f t="shared" si="528"/>
        <v>0</v>
      </c>
      <c r="M386" s="557">
        <f t="shared" si="528"/>
        <v>0</v>
      </c>
      <c r="N386" s="557">
        <f t="shared" si="528"/>
        <v>0</v>
      </c>
      <c r="O386" s="557">
        <f t="shared" si="528"/>
        <v>0</v>
      </c>
      <c r="P386" s="557">
        <f t="shared" si="528"/>
        <v>0</v>
      </c>
      <c r="Q386" s="557">
        <f t="shared" si="528"/>
        <v>0</v>
      </c>
      <c r="R386" s="557">
        <f t="shared" si="528"/>
        <v>0</v>
      </c>
      <c r="S386" s="557">
        <f t="shared" si="528"/>
        <v>0</v>
      </c>
      <c r="T386" s="557">
        <f t="shared" si="528"/>
        <v>0</v>
      </c>
      <c r="U386" s="557">
        <f t="shared" si="528"/>
        <v>0</v>
      </c>
      <c r="V386" s="557">
        <f t="shared" si="528"/>
        <v>0</v>
      </c>
      <c r="W386" s="557">
        <f t="shared" si="528"/>
        <v>0</v>
      </c>
      <c r="X386" s="557">
        <f t="shared" si="528"/>
        <v>0</v>
      </c>
      <c r="Y386" s="557">
        <f t="shared" ref="Y386" si="529">Y241*1000/$C386</f>
        <v>0</v>
      </c>
      <c r="Z386" s="617"/>
    </row>
    <row r="387" spans="2:26" s="302" customFormat="1" ht="15" collapsed="1" x14ac:dyDescent="0.25">
      <c r="B387" s="860" t="s">
        <v>15</v>
      </c>
      <c r="C387" s="479"/>
      <c r="D387" s="862" t="s">
        <v>522</v>
      </c>
      <c r="E387" s="869">
        <f>SUM(E388:E392)</f>
        <v>8130.7870370370383</v>
      </c>
      <c r="F387" s="869">
        <f t="shared" ref="F387" si="530">SUM(F388:F392)</f>
        <v>9166.6666666666679</v>
      </c>
      <c r="G387" s="869">
        <f t="shared" ref="G387" si="531">SUM(G388:G392)</f>
        <v>9166.6666666666679</v>
      </c>
      <c r="H387" s="869">
        <f t="shared" ref="H387" si="532">SUM(H388:H392)</f>
        <v>9247.6851851851861</v>
      </c>
      <c r="I387" s="869">
        <f t="shared" ref="I387" si="533">SUM(I388:I392)</f>
        <v>8790.5092592592591</v>
      </c>
      <c r="J387" s="869">
        <f t="shared" ref="J387" si="534">SUM(J388:J392)</f>
        <v>9328.7037037037044</v>
      </c>
      <c r="K387" s="869">
        <f t="shared" ref="K387" si="535">SUM(K388:K392)</f>
        <v>9328.7037037037044</v>
      </c>
      <c r="L387" s="951">
        <f t="shared" ref="L387" si="536">SUM(L388:L392)</f>
        <v>9328.7037037037044</v>
      </c>
      <c r="M387" s="869">
        <f t="shared" ref="M387" si="537">SUM(M388:M392)</f>
        <v>9328.7037037037044</v>
      </c>
      <c r="N387" s="869">
        <f t="shared" ref="N387" si="538">SUM(N388:N392)</f>
        <v>9328.7037037037044</v>
      </c>
      <c r="O387" s="869">
        <f t="shared" ref="O387" si="539">SUM(O388:O392)</f>
        <v>9328.7037037037044</v>
      </c>
      <c r="P387" s="869">
        <f t="shared" ref="P387" si="540">SUM(P388:P392)</f>
        <v>9328.7037037037044</v>
      </c>
      <c r="Q387" s="869">
        <f t="shared" ref="Q387" si="541">SUM(Q388:Q392)</f>
        <v>7355.3240740740748</v>
      </c>
      <c r="R387" s="869">
        <f t="shared" ref="R387" si="542">SUM(R388:R392)</f>
        <v>1793.9814814814815</v>
      </c>
      <c r="S387" s="869">
        <f t="shared" ref="S387" si="543">SUM(S388:S392)</f>
        <v>0</v>
      </c>
      <c r="T387" s="869">
        <f t="shared" ref="T387" si="544">SUM(T388:T392)</f>
        <v>0</v>
      </c>
      <c r="U387" s="869">
        <f t="shared" ref="U387" si="545">SUM(U388:U392)</f>
        <v>0</v>
      </c>
      <c r="V387" s="869">
        <f t="shared" ref="V387" si="546">SUM(V388:V392)</f>
        <v>0</v>
      </c>
      <c r="W387" s="869">
        <f t="shared" ref="W387" si="547">SUM(W388:W392)</f>
        <v>0</v>
      </c>
      <c r="X387" s="869">
        <f t="shared" ref="X387:Y387" si="548">SUM(X388:X392)</f>
        <v>0</v>
      </c>
      <c r="Y387" s="869">
        <f t="shared" si="548"/>
        <v>0</v>
      </c>
      <c r="Z387" s="870"/>
    </row>
    <row r="388" spans="2:26" s="302" customFormat="1" ht="15" hidden="1" outlineLevel="1" x14ac:dyDescent="0.25">
      <c r="B388" s="576" t="s">
        <v>3</v>
      </c>
      <c r="C388" s="623">
        <v>1</v>
      </c>
      <c r="D388" s="862" t="s">
        <v>522</v>
      </c>
      <c r="E388" s="557">
        <f>E243*1000/$C388</f>
        <v>0</v>
      </c>
      <c r="F388" s="557">
        <f t="shared" ref="F388:X388" si="549">F243*1000/$C388</f>
        <v>0</v>
      </c>
      <c r="G388" s="557">
        <f t="shared" si="549"/>
        <v>0</v>
      </c>
      <c r="H388" s="557">
        <f t="shared" si="549"/>
        <v>0</v>
      </c>
      <c r="I388" s="557">
        <f t="shared" si="549"/>
        <v>0</v>
      </c>
      <c r="J388" s="557">
        <f t="shared" si="549"/>
        <v>0</v>
      </c>
      <c r="K388" s="557">
        <f t="shared" si="549"/>
        <v>0</v>
      </c>
      <c r="L388" s="944">
        <f t="shared" si="549"/>
        <v>0</v>
      </c>
      <c r="M388" s="557">
        <f t="shared" si="549"/>
        <v>0</v>
      </c>
      <c r="N388" s="557">
        <f t="shared" si="549"/>
        <v>0</v>
      </c>
      <c r="O388" s="557">
        <f t="shared" si="549"/>
        <v>0</v>
      </c>
      <c r="P388" s="557">
        <f t="shared" si="549"/>
        <v>0</v>
      </c>
      <c r="Q388" s="557">
        <f t="shared" si="549"/>
        <v>0</v>
      </c>
      <c r="R388" s="557">
        <f t="shared" si="549"/>
        <v>0</v>
      </c>
      <c r="S388" s="557">
        <f t="shared" si="549"/>
        <v>0</v>
      </c>
      <c r="T388" s="557">
        <f t="shared" si="549"/>
        <v>0</v>
      </c>
      <c r="U388" s="557">
        <f t="shared" si="549"/>
        <v>0</v>
      </c>
      <c r="V388" s="557">
        <f t="shared" si="549"/>
        <v>0</v>
      </c>
      <c r="W388" s="557">
        <f t="shared" si="549"/>
        <v>0</v>
      </c>
      <c r="X388" s="557">
        <f t="shared" si="549"/>
        <v>0</v>
      </c>
      <c r="Y388" s="557">
        <f t="shared" ref="Y388" si="550">Y243*1000/$C388</f>
        <v>0</v>
      </c>
      <c r="Z388" s="617"/>
    </row>
    <row r="389" spans="2:26" s="302" customFormat="1" ht="15" hidden="1" outlineLevel="1" x14ac:dyDescent="0.25">
      <c r="B389" s="576" t="s">
        <v>9</v>
      </c>
      <c r="C389" s="863">
        <f>'Экскаваторы II'!AP67</f>
        <v>360</v>
      </c>
      <c r="D389" s="862" t="s">
        <v>522</v>
      </c>
      <c r="E389" s="557">
        <f>E244*1000/$C389</f>
        <v>416.66666666666669</v>
      </c>
      <c r="F389" s="557">
        <f t="shared" ref="F389:X389" si="551">F244*1000/$C389</f>
        <v>555.55555555555554</v>
      </c>
      <c r="G389" s="557">
        <f t="shared" si="551"/>
        <v>555.55555555555554</v>
      </c>
      <c r="H389" s="557">
        <f t="shared" si="551"/>
        <v>277.77777777777777</v>
      </c>
      <c r="I389" s="557">
        <f t="shared" si="551"/>
        <v>0</v>
      </c>
      <c r="J389" s="557">
        <f t="shared" si="551"/>
        <v>0</v>
      </c>
      <c r="K389" s="557">
        <f t="shared" si="551"/>
        <v>0</v>
      </c>
      <c r="L389" s="944">
        <f t="shared" si="551"/>
        <v>0</v>
      </c>
      <c r="M389" s="557">
        <f t="shared" si="551"/>
        <v>0</v>
      </c>
      <c r="N389" s="557">
        <f t="shared" si="551"/>
        <v>0</v>
      </c>
      <c r="O389" s="557">
        <f t="shared" si="551"/>
        <v>0</v>
      </c>
      <c r="P389" s="557">
        <f t="shared" si="551"/>
        <v>0</v>
      </c>
      <c r="Q389" s="557">
        <f t="shared" si="551"/>
        <v>0</v>
      </c>
      <c r="R389" s="557">
        <f t="shared" si="551"/>
        <v>0</v>
      </c>
      <c r="S389" s="557">
        <f t="shared" si="551"/>
        <v>0</v>
      </c>
      <c r="T389" s="557">
        <f t="shared" si="551"/>
        <v>0</v>
      </c>
      <c r="U389" s="557">
        <f t="shared" si="551"/>
        <v>0</v>
      </c>
      <c r="V389" s="557">
        <f t="shared" si="551"/>
        <v>0</v>
      </c>
      <c r="W389" s="557">
        <f t="shared" si="551"/>
        <v>0</v>
      </c>
      <c r="X389" s="557">
        <f t="shared" si="551"/>
        <v>0</v>
      </c>
      <c r="Y389" s="557">
        <f t="shared" ref="Y389" si="552">Y244*1000/$C389</f>
        <v>0</v>
      </c>
      <c r="Z389" s="617"/>
    </row>
    <row r="390" spans="2:26" s="302" customFormat="1" ht="15" hidden="1" outlineLevel="1" x14ac:dyDescent="0.25">
      <c r="B390" s="576" t="s">
        <v>325</v>
      </c>
      <c r="C390" s="863">
        <f>'Экскаваторы II'!AP69</f>
        <v>278.70967741935482</v>
      </c>
      <c r="D390" s="862" t="s">
        <v>522</v>
      </c>
      <c r="E390" s="557">
        <f>E245*1000/$C390</f>
        <v>5920.1388888888896</v>
      </c>
      <c r="F390" s="557">
        <f t="shared" ref="F390:X390" si="553">F245*1000/$C390</f>
        <v>6278.9351851851852</v>
      </c>
      <c r="G390" s="557">
        <f t="shared" si="553"/>
        <v>6278.9351851851852</v>
      </c>
      <c r="H390" s="557">
        <f t="shared" si="553"/>
        <v>6637.7314814814818</v>
      </c>
      <c r="I390" s="557">
        <f t="shared" si="553"/>
        <v>4664.3518518518522</v>
      </c>
      <c r="J390" s="557">
        <f t="shared" si="553"/>
        <v>4664.3518518518522</v>
      </c>
      <c r="K390" s="557">
        <f t="shared" si="553"/>
        <v>4664.3518518518522</v>
      </c>
      <c r="L390" s="944">
        <f t="shared" si="553"/>
        <v>4664.3518518518522</v>
      </c>
      <c r="M390" s="557">
        <f t="shared" si="553"/>
        <v>4664.3518518518522</v>
      </c>
      <c r="N390" s="557">
        <f t="shared" si="553"/>
        <v>4664.3518518518522</v>
      </c>
      <c r="O390" s="557">
        <f t="shared" si="553"/>
        <v>4664.3518518518522</v>
      </c>
      <c r="P390" s="557">
        <f t="shared" si="553"/>
        <v>4664.3518518518522</v>
      </c>
      <c r="Q390" s="557">
        <f t="shared" si="553"/>
        <v>3587.962962962963</v>
      </c>
      <c r="R390" s="557">
        <f t="shared" si="553"/>
        <v>1793.9814814814815</v>
      </c>
      <c r="S390" s="557">
        <f t="shared" si="553"/>
        <v>0</v>
      </c>
      <c r="T390" s="557">
        <f t="shared" si="553"/>
        <v>0</v>
      </c>
      <c r="U390" s="557">
        <f t="shared" si="553"/>
        <v>0</v>
      </c>
      <c r="V390" s="557">
        <f t="shared" si="553"/>
        <v>0</v>
      </c>
      <c r="W390" s="557">
        <f t="shared" si="553"/>
        <v>0</v>
      </c>
      <c r="X390" s="557">
        <f t="shared" si="553"/>
        <v>0</v>
      </c>
      <c r="Y390" s="557">
        <f t="shared" ref="Y390" si="554">Y245*1000/$C390</f>
        <v>0</v>
      </c>
      <c r="Z390" s="617"/>
    </row>
    <row r="391" spans="2:26" s="302" customFormat="1" ht="15" hidden="1" outlineLevel="1" x14ac:dyDescent="0.25">
      <c r="B391" s="576" t="s">
        <v>6</v>
      </c>
      <c r="C391" s="557">
        <f>C390</f>
        <v>278.70967741935482</v>
      </c>
      <c r="D391" s="862" t="s">
        <v>522</v>
      </c>
      <c r="E391" s="557">
        <f>E246*1000/$C391</f>
        <v>1793.9814814814815</v>
      </c>
      <c r="F391" s="557">
        <f t="shared" ref="F391:X391" si="555">F246*1000/$C391</f>
        <v>2332.1759259259261</v>
      </c>
      <c r="G391" s="557">
        <f t="shared" si="555"/>
        <v>2332.1759259259261</v>
      </c>
      <c r="H391" s="557">
        <f t="shared" si="555"/>
        <v>2332.1759259259261</v>
      </c>
      <c r="I391" s="557">
        <f t="shared" si="555"/>
        <v>4126.1574074074078</v>
      </c>
      <c r="J391" s="557">
        <f t="shared" si="555"/>
        <v>4664.3518518518522</v>
      </c>
      <c r="K391" s="557">
        <f t="shared" si="555"/>
        <v>4664.3518518518522</v>
      </c>
      <c r="L391" s="944">
        <f t="shared" si="555"/>
        <v>4664.3518518518522</v>
      </c>
      <c r="M391" s="557">
        <f t="shared" si="555"/>
        <v>4664.3518518518522</v>
      </c>
      <c r="N391" s="557">
        <f t="shared" si="555"/>
        <v>4664.3518518518522</v>
      </c>
      <c r="O391" s="557">
        <f t="shared" si="555"/>
        <v>4664.3518518518522</v>
      </c>
      <c r="P391" s="557">
        <f t="shared" si="555"/>
        <v>4664.3518518518522</v>
      </c>
      <c r="Q391" s="557">
        <f t="shared" si="555"/>
        <v>3767.3611111111113</v>
      </c>
      <c r="R391" s="557">
        <f t="shared" si="555"/>
        <v>0</v>
      </c>
      <c r="S391" s="557">
        <f t="shared" si="555"/>
        <v>0</v>
      </c>
      <c r="T391" s="557">
        <f t="shared" si="555"/>
        <v>0</v>
      </c>
      <c r="U391" s="557">
        <f t="shared" si="555"/>
        <v>0</v>
      </c>
      <c r="V391" s="557">
        <f t="shared" si="555"/>
        <v>0</v>
      </c>
      <c r="W391" s="557">
        <f t="shared" si="555"/>
        <v>0</v>
      </c>
      <c r="X391" s="557">
        <f t="shared" si="555"/>
        <v>0</v>
      </c>
      <c r="Y391" s="557">
        <f t="shared" ref="Y391" si="556">Y246*1000/$C391</f>
        <v>0</v>
      </c>
      <c r="Z391" s="617"/>
    </row>
    <row r="392" spans="2:26" s="302" customFormat="1" ht="15" hidden="1" outlineLevel="1" x14ac:dyDescent="0.25">
      <c r="B392" s="576" t="s">
        <v>462</v>
      </c>
      <c r="C392" s="557">
        <f>'Экскаваторы II'!AP68</f>
        <v>340.64516129032256</v>
      </c>
      <c r="D392" s="862" t="s">
        <v>522</v>
      </c>
      <c r="E392" s="557">
        <f>E247*1000/$C392</f>
        <v>0</v>
      </c>
      <c r="F392" s="557">
        <f t="shared" ref="F392:X392" si="557">F247*1000/$C392</f>
        <v>0</v>
      </c>
      <c r="G392" s="557">
        <f t="shared" si="557"/>
        <v>0</v>
      </c>
      <c r="H392" s="557">
        <f t="shared" si="557"/>
        <v>0</v>
      </c>
      <c r="I392" s="557">
        <f t="shared" si="557"/>
        <v>0</v>
      </c>
      <c r="J392" s="557">
        <f t="shared" si="557"/>
        <v>0</v>
      </c>
      <c r="K392" s="557">
        <f t="shared" si="557"/>
        <v>0</v>
      </c>
      <c r="L392" s="944">
        <f t="shared" si="557"/>
        <v>0</v>
      </c>
      <c r="M392" s="557">
        <f t="shared" si="557"/>
        <v>0</v>
      </c>
      <c r="N392" s="557">
        <f t="shared" si="557"/>
        <v>0</v>
      </c>
      <c r="O392" s="557">
        <f t="shared" si="557"/>
        <v>0</v>
      </c>
      <c r="P392" s="557">
        <f t="shared" si="557"/>
        <v>0</v>
      </c>
      <c r="Q392" s="557">
        <f t="shared" si="557"/>
        <v>0</v>
      </c>
      <c r="R392" s="557">
        <f t="shared" si="557"/>
        <v>0</v>
      </c>
      <c r="S392" s="557">
        <f t="shared" si="557"/>
        <v>0</v>
      </c>
      <c r="T392" s="557">
        <f t="shared" si="557"/>
        <v>0</v>
      </c>
      <c r="U392" s="557">
        <f t="shared" si="557"/>
        <v>0</v>
      </c>
      <c r="V392" s="557">
        <f t="shared" si="557"/>
        <v>0</v>
      </c>
      <c r="W392" s="557">
        <f t="shared" si="557"/>
        <v>0</v>
      </c>
      <c r="X392" s="557">
        <f t="shared" si="557"/>
        <v>0</v>
      </c>
      <c r="Y392" s="557">
        <f t="shared" ref="Y392" si="558">Y247*1000/$C392</f>
        <v>0</v>
      </c>
      <c r="Z392" s="617"/>
    </row>
    <row r="393" spans="2:26" s="302" customFormat="1" ht="16.5" collapsed="1" thickBot="1" x14ac:dyDescent="0.3">
      <c r="B393" s="884" t="s">
        <v>343</v>
      </c>
      <c r="C393" s="885"/>
      <c r="D393" s="886"/>
      <c r="E393" s="885"/>
      <c r="F393" s="885"/>
      <c r="G393" s="885"/>
      <c r="H393" s="885"/>
      <c r="I393" s="885"/>
      <c r="J393" s="885"/>
      <c r="K393" s="885"/>
      <c r="L393" s="961"/>
      <c r="M393" s="885"/>
      <c r="N393" s="885"/>
      <c r="O393" s="885"/>
      <c r="P393" s="885"/>
      <c r="Q393" s="885"/>
      <c r="R393" s="885"/>
      <c r="S393" s="885"/>
      <c r="T393" s="885"/>
      <c r="U393" s="885"/>
      <c r="V393" s="885"/>
      <c r="W393" s="885"/>
      <c r="X393" s="885"/>
      <c r="Y393" s="885"/>
      <c r="Z393" s="887"/>
    </row>
    <row r="394" spans="2:26" s="302" customFormat="1" x14ac:dyDescent="0.2">
      <c r="B394" s="865" t="str">
        <f>B249</f>
        <v>Pit Viper PV 271</v>
      </c>
      <c r="C394" s="867">
        <f>Бурстанки!D13</f>
        <v>80.8</v>
      </c>
      <c r="D394" s="892" t="s">
        <v>522</v>
      </c>
      <c r="E394" s="873">
        <f>E250*1000/$C394</f>
        <v>3589.1089108910892</v>
      </c>
      <c r="F394" s="873">
        <f t="shared" ref="F394:Y394" si="559">F250*1000/$C394</f>
        <v>3836.6336633663368</v>
      </c>
      <c r="G394" s="873">
        <f t="shared" si="559"/>
        <v>3898.5148514851485</v>
      </c>
      <c r="H394" s="873">
        <f t="shared" si="559"/>
        <v>3898.5148514851485</v>
      </c>
      <c r="I394" s="873">
        <f t="shared" si="559"/>
        <v>3898.5148514851485</v>
      </c>
      <c r="J394" s="873">
        <f t="shared" si="559"/>
        <v>3898.5148514851485</v>
      </c>
      <c r="K394" s="873">
        <f t="shared" si="559"/>
        <v>3898.5148514851485</v>
      </c>
      <c r="L394" s="962">
        <f t="shared" si="559"/>
        <v>3898.5148514851485</v>
      </c>
      <c r="M394" s="873">
        <f t="shared" si="559"/>
        <v>3898.5148514851485</v>
      </c>
      <c r="N394" s="873">
        <f t="shared" si="559"/>
        <v>3898.5148514851485</v>
      </c>
      <c r="O394" s="873">
        <f t="shared" si="559"/>
        <v>3898.5148514851485</v>
      </c>
      <c r="P394" s="873">
        <f t="shared" si="559"/>
        <v>3898.5148514851485</v>
      </c>
      <c r="Q394" s="873">
        <f t="shared" si="559"/>
        <v>3898.5148514851485</v>
      </c>
      <c r="R394" s="873">
        <f t="shared" si="559"/>
        <v>3898.5148514851485</v>
      </c>
      <c r="S394" s="873">
        <f t="shared" si="559"/>
        <v>3898.5148514851485</v>
      </c>
      <c r="T394" s="873">
        <f t="shared" si="559"/>
        <v>3898.5148514851485</v>
      </c>
      <c r="U394" s="873">
        <f t="shared" si="559"/>
        <v>3898.5148514851485</v>
      </c>
      <c r="V394" s="873">
        <f t="shared" si="559"/>
        <v>3898.5148514851485</v>
      </c>
      <c r="W394" s="873">
        <f t="shared" si="559"/>
        <v>3898.5148514851485</v>
      </c>
      <c r="X394" s="873">
        <f t="shared" si="559"/>
        <v>2475.2475247524753</v>
      </c>
      <c r="Y394" s="873">
        <f t="shared" si="559"/>
        <v>2475.2475247524753</v>
      </c>
      <c r="Z394" s="387"/>
    </row>
    <row r="395" spans="2:26" s="302" customFormat="1" x14ac:dyDescent="0.2">
      <c r="B395" s="848" t="str">
        <f>B253</f>
        <v>Atlas Copco DML</v>
      </c>
      <c r="C395" s="868">
        <f>Бурстанки!E13</f>
        <v>57</v>
      </c>
      <c r="D395" s="862" t="s">
        <v>522</v>
      </c>
      <c r="E395" s="610">
        <f>E254*1000/$C395</f>
        <v>6561.4035087719294</v>
      </c>
      <c r="F395" s="610">
        <f t="shared" ref="F395:Y395" si="560">F254*1000/$C395</f>
        <v>7245.6140350877195</v>
      </c>
      <c r="G395" s="610">
        <f t="shared" si="560"/>
        <v>7719.2982456140353</v>
      </c>
      <c r="H395" s="610">
        <f t="shared" si="560"/>
        <v>8210.5263157894733</v>
      </c>
      <c r="I395" s="610">
        <f t="shared" si="560"/>
        <v>9210.5263157894733</v>
      </c>
      <c r="J395" s="610">
        <f t="shared" si="560"/>
        <v>9263.1578947368416</v>
      </c>
      <c r="K395" s="610">
        <f t="shared" si="560"/>
        <v>9263.1578947368416</v>
      </c>
      <c r="L395" s="944">
        <f t="shared" si="560"/>
        <v>10087.719298245614</v>
      </c>
      <c r="M395" s="610">
        <f t="shared" si="560"/>
        <v>10035.087719298246</v>
      </c>
      <c r="N395" s="610">
        <f t="shared" si="560"/>
        <v>9807.0175438596489</v>
      </c>
      <c r="O395" s="610">
        <f t="shared" si="560"/>
        <v>9807.0175438596489</v>
      </c>
      <c r="P395" s="610">
        <f t="shared" si="560"/>
        <v>9526.3157894736851</v>
      </c>
      <c r="Q395" s="610">
        <f t="shared" si="560"/>
        <v>9807.0175438596489</v>
      </c>
      <c r="R395" s="610">
        <f t="shared" si="560"/>
        <v>10964.912280701754</v>
      </c>
      <c r="S395" s="610">
        <f t="shared" si="560"/>
        <v>11298.245614035088</v>
      </c>
      <c r="T395" s="610">
        <f t="shared" si="560"/>
        <v>13280.701754385966</v>
      </c>
      <c r="U395" s="610">
        <f t="shared" si="560"/>
        <v>14105.263157894737</v>
      </c>
      <c r="V395" s="610">
        <f t="shared" si="560"/>
        <v>11526.315789473685</v>
      </c>
      <c r="W395" s="610">
        <f t="shared" si="560"/>
        <v>8052.6315789473683</v>
      </c>
      <c r="X395" s="610">
        <f t="shared" si="560"/>
        <v>7035.0877192982452</v>
      </c>
      <c r="Y395" s="610">
        <f t="shared" si="560"/>
        <v>2052.6315789473683</v>
      </c>
      <c r="Z395" s="388"/>
    </row>
    <row r="396" spans="2:26" s="302" customFormat="1" x14ac:dyDescent="0.2">
      <c r="B396" s="866" t="str">
        <f>B257</f>
        <v>Atlas Copco DM-45</v>
      </c>
      <c r="C396" s="548">
        <f>Бурстанки!F13</f>
        <v>51.5</v>
      </c>
      <c r="D396" s="862" t="s">
        <v>522</v>
      </c>
      <c r="E396" s="610">
        <f>E258*1000/$C396</f>
        <v>3883.4951456310678</v>
      </c>
      <c r="F396" s="610">
        <f t="shared" ref="F396:Y396" si="561">F258*1000/$C396</f>
        <v>3883.4951456310678</v>
      </c>
      <c r="G396" s="610">
        <f t="shared" si="561"/>
        <v>3883.4951456310678</v>
      </c>
      <c r="H396" s="610">
        <f t="shared" si="561"/>
        <v>3883.4951456310678</v>
      </c>
      <c r="I396" s="610">
        <f t="shared" si="561"/>
        <v>3883.4951456310678</v>
      </c>
      <c r="J396" s="610">
        <f t="shared" si="561"/>
        <v>3883.4951456310678</v>
      </c>
      <c r="K396" s="610">
        <f t="shared" si="561"/>
        <v>3883.4951456310678</v>
      </c>
      <c r="L396" s="944">
        <f t="shared" si="561"/>
        <v>3883.4951456310678</v>
      </c>
      <c r="M396" s="610">
        <f t="shared" si="561"/>
        <v>3883.4951456310678</v>
      </c>
      <c r="N396" s="610">
        <f t="shared" si="561"/>
        <v>3883.4951456310678</v>
      </c>
      <c r="O396" s="610">
        <f t="shared" si="561"/>
        <v>3883.4951456310678</v>
      </c>
      <c r="P396" s="610">
        <f t="shared" si="561"/>
        <v>3883.4951456310678</v>
      </c>
      <c r="Q396" s="610">
        <f t="shared" si="561"/>
        <v>3883.4951456310678</v>
      </c>
      <c r="R396" s="610">
        <f t="shared" si="561"/>
        <v>3883.4951456310678</v>
      </c>
      <c r="S396" s="610">
        <f t="shared" si="561"/>
        <v>3883.4951456310678</v>
      </c>
      <c r="T396" s="610">
        <f t="shared" si="561"/>
        <v>3883.4951456310678</v>
      </c>
      <c r="U396" s="610">
        <f t="shared" si="561"/>
        <v>3883.4951456310678</v>
      </c>
      <c r="V396" s="610">
        <f t="shared" si="561"/>
        <v>3883.4951456310678</v>
      </c>
      <c r="W396" s="610">
        <f t="shared" si="561"/>
        <v>3883.4951456310678</v>
      </c>
      <c r="X396" s="610">
        <f t="shared" si="561"/>
        <v>3106.7961165048546</v>
      </c>
      <c r="Y396" s="610">
        <f t="shared" si="561"/>
        <v>0</v>
      </c>
      <c r="Z396" s="893"/>
    </row>
    <row r="397" spans="2:26" s="302" customFormat="1" ht="13.5" thickBot="1" x14ac:dyDescent="0.25">
      <c r="B397" s="851" t="str">
        <f>B261</f>
        <v>Sandvik D50KS</v>
      </c>
      <c r="C397" s="894">
        <f>Бурстанки!G13</f>
        <v>57</v>
      </c>
      <c r="D397" s="895" t="s">
        <v>522</v>
      </c>
      <c r="E397" s="896">
        <f>E262*1000/$C397</f>
        <v>3157.8947368421054</v>
      </c>
      <c r="F397" s="896">
        <f t="shared" ref="F397:Y397" si="562">F262*1000/$C397</f>
        <v>3859.6491228070176</v>
      </c>
      <c r="G397" s="896">
        <f t="shared" si="562"/>
        <v>3859.6491228070176</v>
      </c>
      <c r="H397" s="896">
        <f t="shared" si="562"/>
        <v>3859.6491228070176</v>
      </c>
      <c r="I397" s="896">
        <f t="shared" si="562"/>
        <v>3859.6491228070176</v>
      </c>
      <c r="J397" s="896">
        <f t="shared" si="562"/>
        <v>3859.6491228070176</v>
      </c>
      <c r="K397" s="896">
        <f t="shared" si="562"/>
        <v>3859.6491228070176</v>
      </c>
      <c r="L397" s="963">
        <f t="shared" si="562"/>
        <v>3859.6491228070176</v>
      </c>
      <c r="M397" s="896">
        <f t="shared" si="562"/>
        <v>3859.6491228070176</v>
      </c>
      <c r="N397" s="896">
        <f t="shared" si="562"/>
        <v>3859.6491228070176</v>
      </c>
      <c r="O397" s="896">
        <f t="shared" si="562"/>
        <v>3859.6491228070176</v>
      </c>
      <c r="P397" s="896">
        <f t="shared" si="562"/>
        <v>3859.6491228070176</v>
      </c>
      <c r="Q397" s="896">
        <f t="shared" si="562"/>
        <v>3859.6491228070176</v>
      </c>
      <c r="R397" s="896">
        <f t="shared" si="562"/>
        <v>3859.6491228070176</v>
      </c>
      <c r="S397" s="896">
        <f t="shared" si="562"/>
        <v>3859.6491228070176</v>
      </c>
      <c r="T397" s="896">
        <f t="shared" si="562"/>
        <v>3859.6491228070176</v>
      </c>
      <c r="U397" s="896">
        <f t="shared" si="562"/>
        <v>3859.6491228070176</v>
      </c>
      <c r="V397" s="896">
        <f t="shared" si="562"/>
        <v>3859.6491228070176</v>
      </c>
      <c r="W397" s="896">
        <f t="shared" si="562"/>
        <v>3859.6491228070176</v>
      </c>
      <c r="X397" s="896">
        <f t="shared" si="562"/>
        <v>2631.5789473684213</v>
      </c>
      <c r="Y397" s="896">
        <f t="shared" si="562"/>
        <v>0</v>
      </c>
      <c r="Z397" s="897"/>
    </row>
    <row r="398" spans="2:26" s="302" customFormat="1" ht="16.5" thickBot="1" x14ac:dyDescent="0.3">
      <c r="B398" s="888" t="s">
        <v>356</v>
      </c>
      <c r="C398" s="889"/>
      <c r="D398" s="890" t="s">
        <v>522</v>
      </c>
      <c r="E398" s="889"/>
      <c r="F398" s="889"/>
      <c r="G398" s="889"/>
      <c r="H398" s="889"/>
      <c r="I398" s="889"/>
      <c r="J398" s="889"/>
      <c r="K398" s="889"/>
      <c r="L398" s="964"/>
      <c r="M398" s="889"/>
      <c r="N398" s="889"/>
      <c r="O398" s="889"/>
      <c r="P398" s="889"/>
      <c r="Q398" s="889"/>
      <c r="R398" s="889"/>
      <c r="S398" s="889"/>
      <c r="T398" s="889"/>
      <c r="U398" s="889"/>
      <c r="V398" s="889"/>
      <c r="W398" s="889"/>
      <c r="X398" s="889"/>
      <c r="Y398" s="889"/>
      <c r="Z398" s="891"/>
    </row>
    <row r="399" spans="2:26" s="307" customFormat="1" ht="15.75" x14ac:dyDescent="0.25">
      <c r="B399" s="683" t="s">
        <v>511</v>
      </c>
      <c r="C399" s="481"/>
      <c r="D399" s="862" t="s">
        <v>522</v>
      </c>
      <c r="E399" s="912">
        <f t="shared" ref="E399:W399" si="563">6989*E267</f>
        <v>13978</v>
      </c>
      <c r="F399" s="912">
        <f t="shared" si="563"/>
        <v>13978</v>
      </c>
      <c r="G399" s="912">
        <f t="shared" si="563"/>
        <v>13978</v>
      </c>
      <c r="H399" s="912">
        <f t="shared" si="563"/>
        <v>13978</v>
      </c>
      <c r="I399" s="912">
        <f t="shared" si="563"/>
        <v>13978</v>
      </c>
      <c r="J399" s="912">
        <f t="shared" si="563"/>
        <v>13978</v>
      </c>
      <c r="K399" s="912">
        <f t="shared" si="563"/>
        <v>13978</v>
      </c>
      <c r="L399" s="965">
        <f t="shared" si="563"/>
        <v>13978</v>
      </c>
      <c r="M399" s="912">
        <f t="shared" si="563"/>
        <v>13978</v>
      </c>
      <c r="N399" s="912">
        <f t="shared" si="563"/>
        <v>13978</v>
      </c>
      <c r="O399" s="912">
        <f t="shared" si="563"/>
        <v>13978</v>
      </c>
      <c r="P399" s="912">
        <f t="shared" si="563"/>
        <v>13978</v>
      </c>
      <c r="Q399" s="912">
        <f t="shared" si="563"/>
        <v>13978</v>
      </c>
      <c r="R399" s="912">
        <f t="shared" si="563"/>
        <v>13978</v>
      </c>
      <c r="S399" s="912">
        <f t="shared" si="563"/>
        <v>13978</v>
      </c>
      <c r="T399" s="912">
        <f t="shared" si="563"/>
        <v>13978</v>
      </c>
      <c r="U399" s="912">
        <f t="shared" si="563"/>
        <v>13978</v>
      </c>
      <c r="V399" s="912">
        <f t="shared" si="563"/>
        <v>13978</v>
      </c>
      <c r="W399" s="912">
        <f t="shared" si="563"/>
        <v>13978</v>
      </c>
      <c r="X399" s="912">
        <f t="shared" ref="X399:Y399" si="564">6989*X267</f>
        <v>13978</v>
      </c>
      <c r="Y399" s="912">
        <f t="shared" si="564"/>
        <v>6989</v>
      </c>
      <c r="Z399" s="412"/>
    </row>
    <row r="400" spans="2:26" s="307" customFormat="1" ht="15.75" x14ac:dyDescent="0.25">
      <c r="B400" s="683" t="s">
        <v>512</v>
      </c>
      <c r="C400" s="477"/>
      <c r="D400" s="862" t="s">
        <v>522</v>
      </c>
      <c r="E400" s="912">
        <f t="shared" ref="E400:W400" si="565">6989*E268</f>
        <v>13978</v>
      </c>
      <c r="F400" s="912">
        <f t="shared" si="565"/>
        <v>13978</v>
      </c>
      <c r="G400" s="912">
        <f t="shared" si="565"/>
        <v>13978</v>
      </c>
      <c r="H400" s="912">
        <f t="shared" si="565"/>
        <v>13978</v>
      </c>
      <c r="I400" s="912">
        <f t="shared" si="565"/>
        <v>13978</v>
      </c>
      <c r="J400" s="912">
        <f t="shared" si="565"/>
        <v>13978</v>
      </c>
      <c r="K400" s="912">
        <f t="shared" si="565"/>
        <v>13978</v>
      </c>
      <c r="L400" s="965">
        <f t="shared" si="565"/>
        <v>13978</v>
      </c>
      <c r="M400" s="912">
        <f t="shared" si="565"/>
        <v>13978</v>
      </c>
      <c r="N400" s="912">
        <f t="shared" si="565"/>
        <v>13978</v>
      </c>
      <c r="O400" s="912">
        <f t="shared" si="565"/>
        <v>13978</v>
      </c>
      <c r="P400" s="912">
        <f t="shared" si="565"/>
        <v>13978</v>
      </c>
      <c r="Q400" s="912">
        <f t="shared" si="565"/>
        <v>13978</v>
      </c>
      <c r="R400" s="912">
        <f t="shared" si="565"/>
        <v>13978</v>
      </c>
      <c r="S400" s="912">
        <f t="shared" si="565"/>
        <v>13978</v>
      </c>
      <c r="T400" s="912">
        <f t="shared" si="565"/>
        <v>13978</v>
      </c>
      <c r="U400" s="912">
        <f t="shared" si="565"/>
        <v>13978</v>
      </c>
      <c r="V400" s="912">
        <f t="shared" si="565"/>
        <v>13978</v>
      </c>
      <c r="W400" s="912">
        <f t="shared" si="565"/>
        <v>6989</v>
      </c>
      <c r="X400" s="912">
        <f t="shared" ref="X400:Y400" si="566">6989*X268</f>
        <v>6989</v>
      </c>
      <c r="Y400" s="912">
        <f t="shared" si="566"/>
        <v>6989</v>
      </c>
      <c r="Z400" s="407"/>
    </row>
    <row r="401" spans="2:26" s="307" customFormat="1" ht="15.75" x14ac:dyDescent="0.25">
      <c r="B401" s="683" t="s">
        <v>513</v>
      </c>
      <c r="C401" s="290"/>
      <c r="D401" s="862" t="s">
        <v>522</v>
      </c>
      <c r="E401" s="912">
        <f t="shared" ref="E401:W401" si="567">6989*E269</f>
        <v>13978</v>
      </c>
      <c r="F401" s="912">
        <f t="shared" si="567"/>
        <v>13978</v>
      </c>
      <c r="G401" s="912">
        <f t="shared" si="567"/>
        <v>13978</v>
      </c>
      <c r="H401" s="912">
        <f t="shared" si="567"/>
        <v>13978</v>
      </c>
      <c r="I401" s="912">
        <f t="shared" si="567"/>
        <v>13978</v>
      </c>
      <c r="J401" s="912">
        <f t="shared" si="567"/>
        <v>13978</v>
      </c>
      <c r="K401" s="912">
        <f t="shared" si="567"/>
        <v>13978</v>
      </c>
      <c r="L401" s="965">
        <f t="shared" si="567"/>
        <v>13978</v>
      </c>
      <c r="M401" s="912">
        <f t="shared" si="567"/>
        <v>13978</v>
      </c>
      <c r="N401" s="912">
        <f t="shared" si="567"/>
        <v>13978</v>
      </c>
      <c r="O401" s="912">
        <f t="shared" si="567"/>
        <v>13978</v>
      </c>
      <c r="P401" s="912">
        <f t="shared" si="567"/>
        <v>13978</v>
      </c>
      <c r="Q401" s="912">
        <f t="shared" si="567"/>
        <v>13978</v>
      </c>
      <c r="R401" s="912">
        <f t="shared" si="567"/>
        <v>13978</v>
      </c>
      <c r="S401" s="912">
        <f t="shared" si="567"/>
        <v>13978</v>
      </c>
      <c r="T401" s="912">
        <f t="shared" si="567"/>
        <v>13978</v>
      </c>
      <c r="U401" s="912">
        <f t="shared" si="567"/>
        <v>13978</v>
      </c>
      <c r="V401" s="912">
        <f t="shared" si="567"/>
        <v>13978</v>
      </c>
      <c r="W401" s="912">
        <f t="shared" si="567"/>
        <v>6989</v>
      </c>
      <c r="X401" s="912">
        <f t="shared" ref="X401:Y401" si="568">6989*X269</f>
        <v>6989</v>
      </c>
      <c r="Y401" s="912">
        <f t="shared" si="568"/>
        <v>0</v>
      </c>
      <c r="Z401" s="407"/>
    </row>
    <row r="402" spans="2:26" s="307" customFormat="1" ht="15.75" x14ac:dyDescent="0.25">
      <c r="B402" s="683" t="s">
        <v>378</v>
      </c>
      <c r="C402" s="478"/>
      <c r="D402" s="862" t="s">
        <v>522</v>
      </c>
      <c r="E402" s="912">
        <f t="shared" ref="E402:W402" si="569">6989*E270</f>
        <v>13978</v>
      </c>
      <c r="F402" s="912">
        <f t="shared" si="569"/>
        <v>13978</v>
      </c>
      <c r="G402" s="912">
        <f t="shared" si="569"/>
        <v>13978</v>
      </c>
      <c r="H402" s="912">
        <f t="shared" si="569"/>
        <v>13978</v>
      </c>
      <c r="I402" s="912">
        <f t="shared" si="569"/>
        <v>13978</v>
      </c>
      <c r="J402" s="912">
        <f t="shared" si="569"/>
        <v>13978</v>
      </c>
      <c r="K402" s="912">
        <f t="shared" si="569"/>
        <v>13978</v>
      </c>
      <c r="L402" s="965">
        <f t="shared" si="569"/>
        <v>13978</v>
      </c>
      <c r="M402" s="912">
        <f t="shared" si="569"/>
        <v>13978</v>
      </c>
      <c r="N402" s="912">
        <f t="shared" si="569"/>
        <v>13978</v>
      </c>
      <c r="O402" s="912">
        <f t="shared" si="569"/>
        <v>13978</v>
      </c>
      <c r="P402" s="912">
        <f t="shared" si="569"/>
        <v>13978</v>
      </c>
      <c r="Q402" s="912">
        <f t="shared" si="569"/>
        <v>13978</v>
      </c>
      <c r="R402" s="912">
        <f t="shared" si="569"/>
        <v>13978</v>
      </c>
      <c r="S402" s="912">
        <f t="shared" si="569"/>
        <v>13978</v>
      </c>
      <c r="T402" s="912">
        <f t="shared" si="569"/>
        <v>13978</v>
      </c>
      <c r="U402" s="912">
        <f t="shared" si="569"/>
        <v>13978</v>
      </c>
      <c r="V402" s="912">
        <f t="shared" si="569"/>
        <v>6989</v>
      </c>
      <c r="W402" s="912">
        <f t="shared" si="569"/>
        <v>6989</v>
      </c>
      <c r="X402" s="912">
        <f t="shared" ref="X402:Y402" si="570">6989*X270</f>
        <v>6989</v>
      </c>
      <c r="Y402" s="912">
        <f t="shared" si="570"/>
        <v>0</v>
      </c>
      <c r="Z402" s="407"/>
    </row>
    <row r="403" spans="2:26" s="307" customFormat="1" ht="15.75" x14ac:dyDescent="0.25">
      <c r="B403" s="683" t="s">
        <v>192</v>
      </c>
      <c r="C403" s="702">
        <f>Бульдозера!E24/(Бульдозера!E7*Бульдозера!E21)</f>
        <v>900.90090090090075</v>
      </c>
      <c r="D403" s="862" t="s">
        <v>522</v>
      </c>
      <c r="E403" s="702">
        <f>$C274*E274*1000/$C403+6989*E271</f>
        <v>25824.2</v>
      </c>
      <c r="F403" s="702">
        <f t="shared" ref="F403:Y403" si="571">$C274*F274*1000/$C403+6989*F271</f>
        <v>25824.2</v>
      </c>
      <c r="G403" s="702">
        <f t="shared" si="571"/>
        <v>39091.600000000006</v>
      </c>
      <c r="H403" s="702">
        <f t="shared" si="571"/>
        <v>39091.600000000006</v>
      </c>
      <c r="I403" s="702">
        <f t="shared" si="571"/>
        <v>39091.600000000006</v>
      </c>
      <c r="J403" s="702">
        <f t="shared" si="571"/>
        <v>39091.600000000006</v>
      </c>
      <c r="K403" s="702">
        <f t="shared" si="571"/>
        <v>39091.600000000006</v>
      </c>
      <c r="L403" s="958">
        <f t="shared" si="571"/>
        <v>45370</v>
      </c>
      <c r="M403" s="702">
        <f t="shared" si="571"/>
        <v>45370</v>
      </c>
      <c r="N403" s="702">
        <f t="shared" si="571"/>
        <v>45370</v>
      </c>
      <c r="O403" s="702">
        <f t="shared" si="571"/>
        <v>45370</v>
      </c>
      <c r="P403" s="702">
        <f t="shared" si="571"/>
        <v>39091.600000000006</v>
      </c>
      <c r="Q403" s="702">
        <f t="shared" si="571"/>
        <v>39091.600000000006</v>
      </c>
      <c r="R403" s="702">
        <f t="shared" si="571"/>
        <v>39091.600000000006</v>
      </c>
      <c r="S403" s="702">
        <f t="shared" si="571"/>
        <v>39091.600000000006</v>
      </c>
      <c r="T403" s="702">
        <f t="shared" si="571"/>
        <v>45370</v>
      </c>
      <c r="U403" s="702">
        <f t="shared" si="571"/>
        <v>45370</v>
      </c>
      <c r="V403" s="702">
        <f t="shared" si="571"/>
        <v>32102.600000000002</v>
      </c>
      <c r="W403" s="702">
        <f t="shared" si="571"/>
        <v>25824.2</v>
      </c>
      <c r="X403" s="702">
        <f t="shared" si="571"/>
        <v>12556.800000000001</v>
      </c>
      <c r="Y403" s="702">
        <f t="shared" si="571"/>
        <v>6278.4000000000005</v>
      </c>
      <c r="Z403" s="409"/>
    </row>
    <row r="404" spans="2:26" s="307" customFormat="1" ht="15.75" x14ac:dyDescent="0.25">
      <c r="B404" s="684" t="s">
        <v>377</v>
      </c>
      <c r="C404" s="686">
        <f>Бульдозера!D24/(Бульдозера!D7*Бульдозера!D21)</f>
        <v>639.4052044609665</v>
      </c>
      <c r="D404" s="862" t="s">
        <v>522</v>
      </c>
      <c r="E404" s="702">
        <f>$C275*E275*1000/$C404+6989*E272</f>
        <v>25824.2</v>
      </c>
      <c r="F404" s="702">
        <f t="shared" ref="F404:Y404" si="572">$C275*F275*1000/$C404+6989*F272</f>
        <v>25824.2</v>
      </c>
      <c r="G404" s="702">
        <f t="shared" si="572"/>
        <v>25824.2</v>
      </c>
      <c r="H404" s="702">
        <f t="shared" si="572"/>
        <v>25824.2</v>
      </c>
      <c r="I404" s="702">
        <f t="shared" si="572"/>
        <v>32813.199999999997</v>
      </c>
      <c r="J404" s="702">
        <f t="shared" si="572"/>
        <v>32813.199999999997</v>
      </c>
      <c r="K404" s="702">
        <f t="shared" si="572"/>
        <v>32813.199999999997</v>
      </c>
      <c r="L404" s="958">
        <f t="shared" si="572"/>
        <v>32813.199999999997</v>
      </c>
      <c r="M404" s="702">
        <f t="shared" si="572"/>
        <v>32813.199999999997</v>
      </c>
      <c r="N404" s="702">
        <f t="shared" si="572"/>
        <v>32813.199999999997</v>
      </c>
      <c r="O404" s="702">
        <f t="shared" si="572"/>
        <v>32813.199999999997</v>
      </c>
      <c r="P404" s="702">
        <f t="shared" si="572"/>
        <v>32813.199999999997</v>
      </c>
      <c r="Q404" s="702">
        <f t="shared" si="572"/>
        <v>32813.199999999997</v>
      </c>
      <c r="R404" s="702">
        <f t="shared" si="572"/>
        <v>25824.2</v>
      </c>
      <c r="S404" s="702">
        <f t="shared" si="572"/>
        <v>25824.2</v>
      </c>
      <c r="T404" s="702">
        <f t="shared" si="572"/>
        <v>25824.2</v>
      </c>
      <c r="U404" s="702">
        <f t="shared" si="572"/>
        <v>25824.2</v>
      </c>
      <c r="V404" s="702">
        <f t="shared" si="572"/>
        <v>25824.2</v>
      </c>
      <c r="W404" s="702">
        <f t="shared" si="572"/>
        <v>25824.2</v>
      </c>
      <c r="X404" s="702">
        <f t="shared" si="572"/>
        <v>19545.800000000003</v>
      </c>
      <c r="Y404" s="702">
        <f t="shared" si="572"/>
        <v>6278.4000000000005</v>
      </c>
      <c r="Z404" s="407"/>
    </row>
    <row r="405" spans="2:26" s="307" customFormat="1" ht="16.5" thickBot="1" x14ac:dyDescent="0.3">
      <c r="B405" s="684" t="s">
        <v>351</v>
      </c>
      <c r="C405" s="913">
        <f>Бульдозера!F24/(Бульдозера!F7*Бульдозера!F21)</f>
        <v>961.9937694704048</v>
      </c>
      <c r="D405" s="862" t="s">
        <v>522</v>
      </c>
      <c r="E405" s="702">
        <f t="shared" ref="E405:T405" si="573">$C276*E276*1000/$C405</f>
        <v>12556.800000000003</v>
      </c>
      <c r="F405" s="702">
        <f t="shared" si="573"/>
        <v>12556.800000000003</v>
      </c>
      <c r="G405" s="702">
        <f t="shared" si="573"/>
        <v>12556.800000000003</v>
      </c>
      <c r="H405" s="702">
        <f t="shared" si="573"/>
        <v>12556.800000000003</v>
      </c>
      <c r="I405" s="702">
        <f t="shared" si="573"/>
        <v>12556.800000000003</v>
      </c>
      <c r="J405" s="702">
        <f t="shared" si="573"/>
        <v>12556.800000000003</v>
      </c>
      <c r="K405" s="702">
        <f t="shared" si="573"/>
        <v>12556.800000000003</v>
      </c>
      <c r="L405" s="958">
        <f t="shared" si="573"/>
        <v>12556.800000000003</v>
      </c>
      <c r="M405" s="702">
        <f t="shared" si="573"/>
        <v>12556.800000000003</v>
      </c>
      <c r="N405" s="702">
        <f t="shared" si="573"/>
        <v>12556.800000000003</v>
      </c>
      <c r="O405" s="702">
        <f t="shared" si="573"/>
        <v>12556.800000000003</v>
      </c>
      <c r="P405" s="702">
        <f t="shared" si="573"/>
        <v>12556.800000000003</v>
      </c>
      <c r="Q405" s="702">
        <f t="shared" si="573"/>
        <v>12556.800000000003</v>
      </c>
      <c r="R405" s="702">
        <f t="shared" si="573"/>
        <v>12556.800000000003</v>
      </c>
      <c r="S405" s="702">
        <f t="shared" si="573"/>
        <v>12556.800000000003</v>
      </c>
      <c r="T405" s="702">
        <f t="shared" si="573"/>
        <v>12556.800000000003</v>
      </c>
      <c r="U405" s="702">
        <f t="shared" ref="U405:Y405" si="574">$C276*U276*1000/$C405</f>
        <v>12556.800000000003</v>
      </c>
      <c r="V405" s="702">
        <f t="shared" si="574"/>
        <v>12556.800000000003</v>
      </c>
      <c r="W405" s="702">
        <f t="shared" si="574"/>
        <v>12556.800000000003</v>
      </c>
      <c r="X405" s="702">
        <f t="shared" si="574"/>
        <v>12556.800000000003</v>
      </c>
      <c r="Y405" s="702">
        <f t="shared" si="574"/>
        <v>6278.4000000000015</v>
      </c>
      <c r="Z405" s="447"/>
    </row>
    <row r="406" spans="2:26" ht="16.5" thickBot="1" x14ac:dyDescent="0.3">
      <c r="B406" s="984" t="s">
        <v>353</v>
      </c>
      <c r="C406" s="985"/>
      <c r="D406" s="985"/>
      <c r="E406" s="985"/>
      <c r="F406" s="985"/>
      <c r="G406" s="985"/>
      <c r="H406" s="985"/>
      <c r="I406" s="985"/>
      <c r="J406" s="985"/>
      <c r="K406" s="985"/>
      <c r="L406" s="985"/>
      <c r="M406" s="985"/>
      <c r="N406" s="985"/>
      <c r="O406" s="985"/>
      <c r="P406" s="985"/>
      <c r="Q406" s="985"/>
      <c r="R406" s="985"/>
      <c r="S406" s="985"/>
      <c r="T406" s="985"/>
      <c r="U406" s="985"/>
      <c r="V406" s="985"/>
      <c r="W406" s="985"/>
      <c r="X406" s="985"/>
      <c r="Y406" s="985"/>
      <c r="Z406" s="986"/>
    </row>
    <row r="407" spans="2:26" ht="16.5" thickBot="1" x14ac:dyDescent="0.3">
      <c r="B407" s="975" t="s">
        <v>166</v>
      </c>
      <c r="C407" s="976"/>
      <c r="D407" s="976"/>
      <c r="E407" s="976"/>
      <c r="F407" s="976"/>
      <c r="G407" s="976"/>
      <c r="H407" s="976"/>
      <c r="I407" s="976"/>
      <c r="J407" s="976"/>
      <c r="K407" s="976"/>
      <c r="L407" s="976"/>
      <c r="M407" s="976"/>
      <c r="N407" s="976"/>
      <c r="O407" s="976"/>
      <c r="P407" s="976"/>
      <c r="Q407" s="976"/>
      <c r="R407" s="976"/>
      <c r="S407" s="976"/>
      <c r="T407" s="976"/>
      <c r="U407" s="976"/>
      <c r="V407" s="976"/>
      <c r="W407" s="976"/>
      <c r="X407" s="976"/>
      <c r="Y407" s="976"/>
      <c r="Z407" s="977"/>
    </row>
    <row r="408" spans="2:26" x14ac:dyDescent="0.2">
      <c r="B408" s="845" t="s">
        <v>525</v>
      </c>
      <c r="C408" s="846"/>
      <c r="D408" s="927" t="s">
        <v>7</v>
      </c>
      <c r="E408" s="557" t="e">
        <f>Самосвалы!#REF!</f>
        <v>#REF!</v>
      </c>
      <c r="F408" s="557" t="e">
        <f>Самосвалы!#REF!</f>
        <v>#REF!</v>
      </c>
      <c r="G408" s="557" t="e">
        <f>Самосвалы!#REF!</f>
        <v>#REF!</v>
      </c>
      <c r="H408" s="557" t="e">
        <f>Самосвалы!#REF!</f>
        <v>#REF!</v>
      </c>
      <c r="I408" s="557" t="e">
        <f>Самосвалы!#REF!</f>
        <v>#REF!</v>
      </c>
      <c r="J408" s="557" t="e">
        <f>Самосвалы!#REF!</f>
        <v>#REF!</v>
      </c>
      <c r="K408" s="557" t="e">
        <f>Самосвалы!#REF!</f>
        <v>#REF!</v>
      </c>
      <c r="L408" s="944">
        <f>Самосвалы!D101</f>
        <v>34386.15</v>
      </c>
      <c r="M408" s="557" t="e">
        <f>Самосвалы!#REF!</f>
        <v>#REF!</v>
      </c>
      <c r="N408" s="557" t="e">
        <f>Самосвалы!#REF!</f>
        <v>#REF!</v>
      </c>
      <c r="O408" s="557" t="e">
        <f>Самосвалы!#REF!</f>
        <v>#REF!</v>
      </c>
      <c r="P408" s="557" t="e">
        <f>Самосвалы!#REF!</f>
        <v>#REF!</v>
      </c>
      <c r="Q408" s="557" t="e">
        <f>Самосвалы!#REF!</f>
        <v>#REF!</v>
      </c>
      <c r="R408" s="557" t="e">
        <f>Самосвалы!#REF!</f>
        <v>#REF!</v>
      </c>
      <c r="S408" s="557" t="e">
        <f>Самосвалы!#REF!</f>
        <v>#REF!</v>
      </c>
      <c r="T408" s="557" t="e">
        <f>Самосвалы!#REF!</f>
        <v>#REF!</v>
      </c>
      <c r="U408" s="557" t="e">
        <f>Самосвалы!#REF!</f>
        <v>#REF!</v>
      </c>
      <c r="V408" s="557" t="e">
        <f>Самосвалы!#REF!</f>
        <v>#REF!</v>
      </c>
      <c r="W408" s="557" t="e">
        <f>Самосвалы!#REF!</f>
        <v>#REF!</v>
      </c>
      <c r="X408" s="557" t="e">
        <f>Самосвалы!#REF!</f>
        <v>#REF!</v>
      </c>
      <c r="Y408" s="939">
        <v>4360</v>
      </c>
      <c r="Z408" s="389"/>
    </row>
    <row r="409" spans="2:26" x14ac:dyDescent="0.2">
      <c r="B409" s="848" t="s">
        <v>526</v>
      </c>
      <c r="C409" s="855"/>
      <c r="D409" s="304" t="s">
        <v>7</v>
      </c>
      <c r="E409" s="557" t="e">
        <f>E410+E411</f>
        <v>#REF!</v>
      </c>
      <c r="F409" s="557" t="e">
        <f t="shared" ref="F409:Y409" si="575">F410+F411</f>
        <v>#REF!</v>
      </c>
      <c r="G409" s="557" t="e">
        <f t="shared" si="575"/>
        <v>#REF!</v>
      </c>
      <c r="H409" s="557" t="e">
        <f t="shared" si="575"/>
        <v>#REF!</v>
      </c>
      <c r="I409" s="557" t="e">
        <f t="shared" si="575"/>
        <v>#REF!</v>
      </c>
      <c r="J409" s="557" t="e">
        <f t="shared" si="575"/>
        <v>#REF!</v>
      </c>
      <c r="K409" s="557" t="e">
        <f t="shared" si="575"/>
        <v>#REF!</v>
      </c>
      <c r="L409" s="944">
        <f t="shared" si="575"/>
        <v>3569.4749999999999</v>
      </c>
      <c r="M409" s="557" t="e">
        <f t="shared" si="575"/>
        <v>#REF!</v>
      </c>
      <c r="N409" s="557" t="e">
        <f t="shared" si="575"/>
        <v>#REF!</v>
      </c>
      <c r="O409" s="557" t="e">
        <f t="shared" si="575"/>
        <v>#REF!</v>
      </c>
      <c r="P409" s="557" t="e">
        <f t="shared" si="575"/>
        <v>#REF!</v>
      </c>
      <c r="Q409" s="557" t="e">
        <f t="shared" si="575"/>
        <v>#REF!</v>
      </c>
      <c r="R409" s="557" t="e">
        <f t="shared" si="575"/>
        <v>#REF!</v>
      </c>
      <c r="S409" s="557" t="e">
        <f t="shared" si="575"/>
        <v>#REF!</v>
      </c>
      <c r="T409" s="557" t="e">
        <f t="shared" si="575"/>
        <v>#REF!</v>
      </c>
      <c r="U409" s="557" t="e">
        <f t="shared" si="575"/>
        <v>#REF!</v>
      </c>
      <c r="V409" s="557" t="e">
        <f t="shared" si="575"/>
        <v>#REF!</v>
      </c>
      <c r="W409" s="557" t="e">
        <f t="shared" si="575"/>
        <v>#REF!</v>
      </c>
      <c r="X409" s="557" t="e">
        <f t="shared" si="575"/>
        <v>#REF!</v>
      </c>
      <c r="Y409" s="557">
        <f t="shared" si="575"/>
        <v>1372</v>
      </c>
      <c r="Z409" s="393"/>
    </row>
    <row r="410" spans="2:26" hidden="1" outlineLevel="1" x14ac:dyDescent="0.2">
      <c r="B410" s="919" t="s">
        <v>385</v>
      </c>
      <c r="C410" s="550"/>
      <c r="D410" s="304" t="s">
        <v>7</v>
      </c>
      <c r="E410" s="557" t="e">
        <f>Самосвалы!#REF!</f>
        <v>#REF!</v>
      </c>
      <c r="F410" s="557" t="e">
        <f>Самосвалы!#REF!</f>
        <v>#REF!</v>
      </c>
      <c r="G410" s="557" t="e">
        <f>Самосвалы!#REF!</f>
        <v>#REF!</v>
      </c>
      <c r="H410" s="557" t="e">
        <f>Самосвалы!#REF!</f>
        <v>#REF!</v>
      </c>
      <c r="I410" s="557" t="e">
        <f>Самосвалы!#REF!</f>
        <v>#REF!</v>
      </c>
      <c r="J410" s="557" t="e">
        <f>Самосвалы!#REF!</f>
        <v>#REF!</v>
      </c>
      <c r="K410" s="557" t="e">
        <f>Самосвалы!#REF!</f>
        <v>#REF!</v>
      </c>
      <c r="L410" s="944">
        <f>Самосвалы!D102</f>
        <v>2100</v>
      </c>
      <c r="M410" s="557" t="e">
        <f>Самосвалы!#REF!</f>
        <v>#REF!</v>
      </c>
      <c r="N410" s="557" t="e">
        <f>Самосвалы!#REF!</f>
        <v>#REF!</v>
      </c>
      <c r="O410" s="557" t="e">
        <f>Самосвалы!#REF!</f>
        <v>#REF!</v>
      </c>
      <c r="P410" s="557" t="e">
        <f>Самосвалы!#REF!</f>
        <v>#REF!</v>
      </c>
      <c r="Q410" s="557" t="e">
        <f>Самосвалы!#REF!</f>
        <v>#REF!</v>
      </c>
      <c r="R410" s="557" t="e">
        <f>Самосвалы!#REF!</f>
        <v>#REF!</v>
      </c>
      <c r="S410" s="557" t="e">
        <f>Самосвалы!#REF!</f>
        <v>#REF!</v>
      </c>
      <c r="T410" s="557" t="e">
        <f>Самосвалы!#REF!</f>
        <v>#REF!</v>
      </c>
      <c r="U410" s="557" t="e">
        <f>Самосвалы!#REF!</f>
        <v>#REF!</v>
      </c>
      <c r="V410" s="557" t="e">
        <f>Самосвалы!#REF!</f>
        <v>#REF!</v>
      </c>
      <c r="W410" s="557" t="e">
        <f>Самосвалы!#REF!</f>
        <v>#REF!</v>
      </c>
      <c r="X410" s="557" t="e">
        <f>Самосвалы!#REF!</f>
        <v>#REF!</v>
      </c>
      <c r="Y410" s="557">
        <v>996</v>
      </c>
      <c r="Z410" s="391"/>
    </row>
    <row r="411" spans="2:26" hidden="1" outlineLevel="1" x14ac:dyDescent="0.2">
      <c r="B411" s="926" t="s">
        <v>426</v>
      </c>
      <c r="C411" s="849"/>
      <c r="D411" s="850" t="s">
        <v>7</v>
      </c>
      <c r="E411" s="557" t="e">
        <f>Самосвалы!#REF!</f>
        <v>#REF!</v>
      </c>
      <c r="F411" s="557" t="e">
        <f>Самосвалы!#REF!</f>
        <v>#REF!</v>
      </c>
      <c r="G411" s="557" t="e">
        <f>Самосвалы!#REF!</f>
        <v>#REF!</v>
      </c>
      <c r="H411" s="557" t="e">
        <f>Самосвалы!#REF!</f>
        <v>#REF!</v>
      </c>
      <c r="I411" s="557" t="e">
        <f>Самосвалы!#REF!</f>
        <v>#REF!</v>
      </c>
      <c r="J411" s="557" t="e">
        <f>Самосвалы!#REF!</f>
        <v>#REF!</v>
      </c>
      <c r="K411" s="557" t="e">
        <f>Самосвалы!#REF!</f>
        <v>#REF!</v>
      </c>
      <c r="L411" s="944">
        <f>Самосвалы!D103</f>
        <v>1469.4749999999999</v>
      </c>
      <c r="M411" s="557" t="e">
        <f>Самосвалы!#REF!</f>
        <v>#REF!</v>
      </c>
      <c r="N411" s="557" t="e">
        <f>Самосвалы!#REF!</f>
        <v>#REF!</v>
      </c>
      <c r="O411" s="557" t="e">
        <f>Самосвалы!#REF!</f>
        <v>#REF!</v>
      </c>
      <c r="P411" s="557" t="e">
        <f>Самосвалы!#REF!</f>
        <v>#REF!</v>
      </c>
      <c r="Q411" s="557" t="e">
        <f>Самосвалы!#REF!</f>
        <v>#REF!</v>
      </c>
      <c r="R411" s="557" t="e">
        <f>Самосвалы!#REF!</f>
        <v>#REF!</v>
      </c>
      <c r="S411" s="557" t="e">
        <f>Самосвалы!#REF!</f>
        <v>#REF!</v>
      </c>
      <c r="T411" s="557" t="e">
        <f>Самосвалы!#REF!</f>
        <v>#REF!</v>
      </c>
      <c r="U411" s="557" t="e">
        <f>Самосвалы!#REF!</f>
        <v>#REF!</v>
      </c>
      <c r="V411" s="557" t="e">
        <f>Самосвалы!#REF!</f>
        <v>#REF!</v>
      </c>
      <c r="W411" s="557" t="e">
        <f>Самосвалы!#REF!</f>
        <v>#REF!</v>
      </c>
      <c r="X411" s="557" t="e">
        <f>Самосвалы!#REF!</f>
        <v>#REF!</v>
      </c>
      <c r="Y411" s="557">
        <v>376</v>
      </c>
      <c r="Z411" s="394"/>
    </row>
    <row r="412" spans="2:26" ht="13.5" collapsed="1" thickBot="1" x14ac:dyDescent="0.25">
      <c r="B412" s="851" t="s">
        <v>387</v>
      </c>
      <c r="C412" s="852"/>
      <c r="D412" s="853" t="s">
        <v>7</v>
      </c>
      <c r="E412" s="557" t="e">
        <f>Самосвалы!#REF!</f>
        <v>#REF!</v>
      </c>
      <c r="F412" s="557" t="e">
        <f>Самосвалы!#REF!</f>
        <v>#REF!</v>
      </c>
      <c r="G412" s="557" t="e">
        <f>Самосвалы!#REF!</f>
        <v>#REF!</v>
      </c>
      <c r="H412" s="557" t="e">
        <f>Самосвалы!#REF!</f>
        <v>#REF!</v>
      </c>
      <c r="I412" s="557" t="e">
        <f>Самосвалы!#REF!</f>
        <v>#REF!</v>
      </c>
      <c r="J412" s="557" t="e">
        <f>Самосвалы!#REF!</f>
        <v>#REF!</v>
      </c>
      <c r="K412" s="557" t="e">
        <f>Самосвалы!#REF!</f>
        <v>#REF!</v>
      </c>
      <c r="L412" s="944">
        <f>Самосвалы!D104</f>
        <v>3091.2350000000001</v>
      </c>
      <c r="M412" s="557" t="e">
        <f>Самосвалы!#REF!</f>
        <v>#REF!</v>
      </c>
      <c r="N412" s="557" t="e">
        <f>Самосвалы!#REF!</f>
        <v>#REF!</v>
      </c>
      <c r="O412" s="557" t="e">
        <f>Самосвалы!#REF!</f>
        <v>#REF!</v>
      </c>
      <c r="P412" s="557" t="e">
        <f>Самосвалы!#REF!</f>
        <v>#REF!</v>
      </c>
      <c r="Q412" s="557" t="e">
        <f>Самосвалы!#REF!</f>
        <v>#REF!</v>
      </c>
      <c r="R412" s="557" t="e">
        <f>Самосвалы!#REF!</f>
        <v>#REF!</v>
      </c>
      <c r="S412" s="557" t="e">
        <f>Самосвалы!#REF!</f>
        <v>#REF!</v>
      </c>
      <c r="T412" s="557" t="e">
        <f>Самосвалы!#REF!</f>
        <v>#REF!</v>
      </c>
      <c r="U412" s="557" t="e">
        <f>Самосвалы!#REF!</f>
        <v>#REF!</v>
      </c>
      <c r="V412" s="557" t="e">
        <f>Самосвалы!#REF!</f>
        <v>#REF!</v>
      </c>
      <c r="W412" s="557" t="e">
        <f>Самосвалы!#REF!</f>
        <v>#REF!</v>
      </c>
      <c r="X412" s="557" t="e">
        <f>Самосвалы!#REF!</f>
        <v>#REF!</v>
      </c>
      <c r="Y412" s="665">
        <v>800</v>
      </c>
      <c r="Z412" s="392"/>
    </row>
    <row r="413" spans="2:26" ht="16.5" thickBot="1" x14ac:dyDescent="0.3">
      <c r="B413" s="877" t="s">
        <v>340</v>
      </c>
      <c r="C413" s="482"/>
      <c r="D413" s="483"/>
      <c r="E413" s="448"/>
      <c r="F413" s="448"/>
      <c r="G413" s="448"/>
      <c r="H413" s="448"/>
      <c r="I413" s="448"/>
      <c r="J413" s="448"/>
      <c r="K413" s="448"/>
      <c r="L413" s="966"/>
      <c r="M413" s="448"/>
      <c r="N413" s="448"/>
      <c r="O413" s="448"/>
      <c r="P413" s="448"/>
      <c r="Q413" s="448"/>
      <c r="R413" s="448"/>
      <c r="S413" s="448"/>
      <c r="T413" s="448"/>
      <c r="U413" s="448"/>
      <c r="V413" s="448"/>
      <c r="W413" s="448"/>
      <c r="X413" s="448"/>
      <c r="Y413" s="448"/>
      <c r="Z413" s="449"/>
    </row>
    <row r="414" spans="2:26" ht="15.75" x14ac:dyDescent="0.25">
      <c r="B414" s="683" t="s">
        <v>364</v>
      </c>
      <c r="C414" s="875">
        <v>0.2167</v>
      </c>
      <c r="D414" s="873" t="s">
        <v>7</v>
      </c>
      <c r="E414" s="873">
        <f t="shared" ref="E414:Y414" si="576">E302*$C414</f>
        <v>1120.7994304126364</v>
      </c>
      <c r="F414" s="873">
        <f t="shared" si="576"/>
        <v>1120.7994304126364</v>
      </c>
      <c r="G414" s="873">
        <f t="shared" si="576"/>
        <v>1120.7994304126364</v>
      </c>
      <c r="H414" s="873">
        <f t="shared" si="576"/>
        <v>1195.3589219380601</v>
      </c>
      <c r="I414" s="873">
        <f t="shared" si="576"/>
        <v>1195.3589219380601</v>
      </c>
      <c r="J414" s="873">
        <f t="shared" si="576"/>
        <v>1195.3589219380601</v>
      </c>
      <c r="K414" s="873">
        <f t="shared" si="576"/>
        <v>1195.3589219380601</v>
      </c>
      <c r="L414" s="962">
        <f t="shared" si="576"/>
        <v>1195.3589219380601</v>
      </c>
      <c r="M414" s="873">
        <f t="shared" si="576"/>
        <v>1195.3589219380601</v>
      </c>
      <c r="N414" s="873">
        <f t="shared" si="576"/>
        <v>1195.3589219380601</v>
      </c>
      <c r="O414" s="873">
        <f t="shared" si="576"/>
        <v>1195.3589219380601</v>
      </c>
      <c r="P414" s="873">
        <f t="shared" si="576"/>
        <v>1195.3589219380601</v>
      </c>
      <c r="Q414" s="873">
        <f t="shared" si="576"/>
        <v>1195.3589219380601</v>
      </c>
      <c r="R414" s="873">
        <f t="shared" si="576"/>
        <v>1195.3589219380601</v>
      </c>
      <c r="S414" s="873">
        <f t="shared" si="576"/>
        <v>1195.3589219380601</v>
      </c>
      <c r="T414" s="873">
        <f t="shared" si="576"/>
        <v>1269.9184134634838</v>
      </c>
      <c r="U414" s="873">
        <f t="shared" si="576"/>
        <v>1269.9184134634838</v>
      </c>
      <c r="V414" s="873">
        <f t="shared" si="576"/>
        <v>1195.3589219380601</v>
      </c>
      <c r="W414" s="873">
        <f t="shared" si="576"/>
        <v>1195.3589219380601</v>
      </c>
      <c r="X414" s="873">
        <f t="shared" si="576"/>
        <v>1120.7994304126364</v>
      </c>
      <c r="Y414" s="873">
        <f t="shared" si="576"/>
        <v>729.62177319222337</v>
      </c>
      <c r="Z414" s="391"/>
    </row>
    <row r="415" spans="2:26" ht="16.5" thickBot="1" x14ac:dyDescent="0.3">
      <c r="B415" s="878" t="s">
        <v>348</v>
      </c>
      <c r="C415" s="876">
        <v>0.19819999999999999</v>
      </c>
      <c r="D415" s="874" t="s">
        <v>7</v>
      </c>
      <c r="E415" s="874">
        <f t="shared" ref="E415:Y415" si="577">E308*$C415</f>
        <v>954.14864403262334</v>
      </c>
      <c r="F415" s="874">
        <f t="shared" si="577"/>
        <v>936.2766873148596</v>
      </c>
      <c r="G415" s="874">
        <f t="shared" si="577"/>
        <v>936.2766873148596</v>
      </c>
      <c r="H415" s="874">
        <f t="shared" si="577"/>
        <v>977.24878507453354</v>
      </c>
      <c r="I415" s="874">
        <f t="shared" si="577"/>
        <v>977.24878507453354</v>
      </c>
      <c r="J415" s="874">
        <f t="shared" si="577"/>
        <v>977.24878507453354</v>
      </c>
      <c r="K415" s="874">
        <f t="shared" si="577"/>
        <v>977.24878507453354</v>
      </c>
      <c r="L415" s="967">
        <f t="shared" si="577"/>
        <v>977.24878507453354</v>
      </c>
      <c r="M415" s="874">
        <f t="shared" si="577"/>
        <v>977.24878507453354</v>
      </c>
      <c r="N415" s="874">
        <f t="shared" si="577"/>
        <v>977.24878507453354</v>
      </c>
      <c r="O415" s="874">
        <f t="shared" si="577"/>
        <v>977.24878507453354</v>
      </c>
      <c r="P415" s="874">
        <f t="shared" si="577"/>
        <v>977.24878507453354</v>
      </c>
      <c r="Q415" s="874">
        <f t="shared" si="577"/>
        <v>977.24878507453354</v>
      </c>
      <c r="R415" s="874">
        <f t="shared" si="577"/>
        <v>977.24878507453354</v>
      </c>
      <c r="S415" s="874">
        <f t="shared" si="577"/>
        <v>977.24878507453354</v>
      </c>
      <c r="T415" s="874">
        <f t="shared" si="577"/>
        <v>1141.13717611323</v>
      </c>
      <c r="U415" s="874">
        <f t="shared" si="577"/>
        <v>1182.1092738729044</v>
      </c>
      <c r="V415" s="874">
        <f t="shared" si="577"/>
        <v>977.24878507453354</v>
      </c>
      <c r="W415" s="874">
        <f t="shared" si="577"/>
        <v>977.24878507453354</v>
      </c>
      <c r="X415" s="874">
        <f t="shared" si="577"/>
        <v>936.2766873148596</v>
      </c>
      <c r="Y415" s="874">
        <f t="shared" si="577"/>
        <v>745.9403482706756</v>
      </c>
      <c r="Z415" s="393"/>
    </row>
    <row r="416" spans="2:26" s="302" customFormat="1" ht="16.5" thickBot="1" x14ac:dyDescent="0.3">
      <c r="B416" s="879" t="s">
        <v>343</v>
      </c>
      <c r="C416" s="880"/>
      <c r="D416" s="880"/>
      <c r="E416" s="880"/>
      <c r="F416" s="880"/>
      <c r="G416" s="880"/>
      <c r="H416" s="880"/>
      <c r="I416" s="880"/>
      <c r="J416" s="880"/>
      <c r="K416" s="880"/>
      <c r="L416" s="968"/>
      <c r="M416" s="880"/>
      <c r="N416" s="880"/>
      <c r="O416" s="880"/>
      <c r="P416" s="880"/>
      <c r="Q416" s="880"/>
      <c r="R416" s="880"/>
      <c r="S416" s="880"/>
      <c r="T416" s="880"/>
      <c r="U416" s="880"/>
      <c r="V416" s="880"/>
      <c r="W416" s="880"/>
      <c r="X416" s="880"/>
      <c r="Y416" s="410"/>
      <c r="Z416" s="411"/>
    </row>
    <row r="417" spans="2:26" s="302" customFormat="1" x14ac:dyDescent="0.2">
      <c r="B417" s="865" t="s">
        <v>258</v>
      </c>
      <c r="C417" s="867">
        <v>2.8</v>
      </c>
      <c r="D417" s="847" t="s">
        <v>7</v>
      </c>
      <c r="E417" s="610">
        <f t="shared" ref="E417:Y417" si="578">E250*$C417</f>
        <v>812</v>
      </c>
      <c r="F417" s="610">
        <f t="shared" si="578"/>
        <v>868</v>
      </c>
      <c r="G417" s="610">
        <f t="shared" si="578"/>
        <v>882</v>
      </c>
      <c r="H417" s="610">
        <f t="shared" si="578"/>
        <v>882</v>
      </c>
      <c r="I417" s="610">
        <f t="shared" si="578"/>
        <v>882</v>
      </c>
      <c r="J417" s="610">
        <f t="shared" si="578"/>
        <v>882</v>
      </c>
      <c r="K417" s="610">
        <f t="shared" si="578"/>
        <v>882</v>
      </c>
      <c r="L417" s="944">
        <f t="shared" si="578"/>
        <v>882</v>
      </c>
      <c r="M417" s="610">
        <f t="shared" si="578"/>
        <v>882</v>
      </c>
      <c r="N417" s="610">
        <f t="shared" si="578"/>
        <v>882</v>
      </c>
      <c r="O417" s="610">
        <f t="shared" si="578"/>
        <v>882</v>
      </c>
      <c r="P417" s="610">
        <f t="shared" si="578"/>
        <v>882</v>
      </c>
      <c r="Q417" s="610">
        <f t="shared" si="578"/>
        <v>882</v>
      </c>
      <c r="R417" s="610">
        <f t="shared" si="578"/>
        <v>882</v>
      </c>
      <c r="S417" s="610">
        <f t="shared" si="578"/>
        <v>882</v>
      </c>
      <c r="T417" s="610">
        <f t="shared" si="578"/>
        <v>882</v>
      </c>
      <c r="U417" s="610">
        <f t="shared" si="578"/>
        <v>882</v>
      </c>
      <c r="V417" s="610">
        <f t="shared" si="578"/>
        <v>882</v>
      </c>
      <c r="W417" s="610">
        <f t="shared" si="578"/>
        <v>882</v>
      </c>
      <c r="X417" s="610">
        <f t="shared" si="578"/>
        <v>560</v>
      </c>
      <c r="Y417" s="610">
        <f t="shared" si="578"/>
        <v>560</v>
      </c>
      <c r="Z417" s="387"/>
    </row>
    <row r="418" spans="2:26" s="302" customFormat="1" x14ac:dyDescent="0.2">
      <c r="B418" s="848" t="s">
        <v>344</v>
      </c>
      <c r="C418" s="868">
        <v>1.86</v>
      </c>
      <c r="D418" s="304" t="s">
        <v>7</v>
      </c>
      <c r="E418" s="610">
        <f t="shared" ref="E418:Y418" si="579">E254*$C418</f>
        <v>695.64</v>
      </c>
      <c r="F418" s="610">
        <f t="shared" si="579"/>
        <v>768.18000000000006</v>
      </c>
      <c r="G418" s="610">
        <f t="shared" si="579"/>
        <v>818.40000000000009</v>
      </c>
      <c r="H418" s="610">
        <f t="shared" si="579"/>
        <v>870.48</v>
      </c>
      <c r="I418" s="610">
        <f t="shared" si="579"/>
        <v>976.5</v>
      </c>
      <c r="J418" s="610">
        <f t="shared" si="579"/>
        <v>982.08</v>
      </c>
      <c r="K418" s="610">
        <f t="shared" si="579"/>
        <v>982.08</v>
      </c>
      <c r="L418" s="944">
        <f t="shared" si="579"/>
        <v>1069.5</v>
      </c>
      <c r="M418" s="610">
        <f t="shared" si="579"/>
        <v>1063.92</v>
      </c>
      <c r="N418" s="610">
        <f t="shared" si="579"/>
        <v>1039.74</v>
      </c>
      <c r="O418" s="610">
        <f t="shared" si="579"/>
        <v>1039.74</v>
      </c>
      <c r="P418" s="610">
        <f t="shared" si="579"/>
        <v>1009.98</v>
      </c>
      <c r="Q418" s="610">
        <f t="shared" si="579"/>
        <v>1039.74</v>
      </c>
      <c r="R418" s="610">
        <f t="shared" si="579"/>
        <v>1162.5</v>
      </c>
      <c r="S418" s="610">
        <f t="shared" si="579"/>
        <v>1197.8400000000001</v>
      </c>
      <c r="T418" s="610">
        <f t="shared" si="579"/>
        <v>1408.02</v>
      </c>
      <c r="U418" s="610">
        <f t="shared" si="579"/>
        <v>1495.44</v>
      </c>
      <c r="V418" s="610">
        <f t="shared" si="579"/>
        <v>1222.02</v>
      </c>
      <c r="W418" s="610">
        <f t="shared" si="579"/>
        <v>853.74</v>
      </c>
      <c r="X418" s="610">
        <f t="shared" si="579"/>
        <v>745.86</v>
      </c>
      <c r="Y418" s="610">
        <f t="shared" si="579"/>
        <v>217.62</v>
      </c>
      <c r="Z418" s="388"/>
    </row>
    <row r="419" spans="2:26" s="302" customFormat="1" x14ac:dyDescent="0.2">
      <c r="B419" s="866" t="s">
        <v>349</v>
      </c>
      <c r="C419" s="548">
        <v>1.9</v>
      </c>
      <c r="D419" s="548" t="s">
        <v>7</v>
      </c>
      <c r="E419" s="610">
        <f t="shared" ref="E419:Y419" si="580">E258*$C419</f>
        <v>380</v>
      </c>
      <c r="F419" s="610">
        <f t="shared" si="580"/>
        <v>380</v>
      </c>
      <c r="G419" s="610">
        <f t="shared" si="580"/>
        <v>380</v>
      </c>
      <c r="H419" s="610">
        <f t="shared" si="580"/>
        <v>380</v>
      </c>
      <c r="I419" s="610">
        <f t="shared" si="580"/>
        <v>380</v>
      </c>
      <c r="J419" s="610">
        <f t="shared" si="580"/>
        <v>380</v>
      </c>
      <c r="K419" s="610">
        <f t="shared" si="580"/>
        <v>380</v>
      </c>
      <c r="L419" s="944">
        <f t="shared" si="580"/>
        <v>380</v>
      </c>
      <c r="M419" s="610">
        <f t="shared" si="580"/>
        <v>380</v>
      </c>
      <c r="N419" s="610">
        <f t="shared" si="580"/>
        <v>380</v>
      </c>
      <c r="O419" s="610">
        <f t="shared" si="580"/>
        <v>380</v>
      </c>
      <c r="P419" s="610">
        <f t="shared" si="580"/>
        <v>380</v>
      </c>
      <c r="Q419" s="610">
        <f t="shared" si="580"/>
        <v>380</v>
      </c>
      <c r="R419" s="610">
        <f t="shared" si="580"/>
        <v>380</v>
      </c>
      <c r="S419" s="610">
        <f t="shared" si="580"/>
        <v>380</v>
      </c>
      <c r="T419" s="610">
        <f t="shared" si="580"/>
        <v>380</v>
      </c>
      <c r="U419" s="610">
        <f t="shared" si="580"/>
        <v>380</v>
      </c>
      <c r="V419" s="610">
        <f t="shared" si="580"/>
        <v>380</v>
      </c>
      <c r="W419" s="610">
        <f t="shared" si="580"/>
        <v>380</v>
      </c>
      <c r="X419" s="610">
        <f t="shared" si="580"/>
        <v>304</v>
      </c>
      <c r="Y419" s="610">
        <f t="shared" si="580"/>
        <v>0</v>
      </c>
      <c r="Z419" s="390"/>
    </row>
    <row r="420" spans="2:26" s="302" customFormat="1" ht="13.5" thickBot="1" x14ac:dyDescent="0.25">
      <c r="B420" s="881" t="s">
        <v>345</v>
      </c>
      <c r="C420" s="882">
        <v>2.0099999999999998</v>
      </c>
      <c r="D420" s="850" t="s">
        <v>7</v>
      </c>
      <c r="E420" s="883">
        <f t="shared" ref="E420:Y420" si="581">E262*$C420</f>
        <v>361.79999999999995</v>
      </c>
      <c r="F420" s="883">
        <f t="shared" si="581"/>
        <v>442.19999999999993</v>
      </c>
      <c r="G420" s="883">
        <f t="shared" si="581"/>
        <v>442.19999999999993</v>
      </c>
      <c r="H420" s="883">
        <f t="shared" si="581"/>
        <v>442.19999999999993</v>
      </c>
      <c r="I420" s="883">
        <f t="shared" si="581"/>
        <v>442.19999999999993</v>
      </c>
      <c r="J420" s="883">
        <f t="shared" si="581"/>
        <v>442.19999999999993</v>
      </c>
      <c r="K420" s="883">
        <f t="shared" si="581"/>
        <v>442.19999999999993</v>
      </c>
      <c r="L420" s="952">
        <f t="shared" si="581"/>
        <v>442.19999999999993</v>
      </c>
      <c r="M420" s="883">
        <f t="shared" si="581"/>
        <v>442.19999999999993</v>
      </c>
      <c r="N420" s="883">
        <f t="shared" si="581"/>
        <v>442.19999999999993</v>
      </c>
      <c r="O420" s="883">
        <f t="shared" si="581"/>
        <v>442.19999999999993</v>
      </c>
      <c r="P420" s="883">
        <f t="shared" si="581"/>
        <v>442.19999999999993</v>
      </c>
      <c r="Q420" s="883">
        <f t="shared" si="581"/>
        <v>442.19999999999993</v>
      </c>
      <c r="R420" s="883">
        <f t="shared" si="581"/>
        <v>442.19999999999993</v>
      </c>
      <c r="S420" s="883">
        <f t="shared" si="581"/>
        <v>442.19999999999993</v>
      </c>
      <c r="T420" s="883">
        <f t="shared" si="581"/>
        <v>442.19999999999993</v>
      </c>
      <c r="U420" s="883">
        <f t="shared" si="581"/>
        <v>442.19999999999993</v>
      </c>
      <c r="V420" s="883">
        <f t="shared" si="581"/>
        <v>442.19999999999993</v>
      </c>
      <c r="W420" s="883">
        <f t="shared" si="581"/>
        <v>442.19999999999993</v>
      </c>
      <c r="X420" s="883">
        <f t="shared" si="581"/>
        <v>301.49999999999994</v>
      </c>
      <c r="Y420" s="883">
        <f t="shared" si="581"/>
        <v>0</v>
      </c>
      <c r="Z420" s="484"/>
    </row>
    <row r="421" spans="2:26" ht="16.5" thickBot="1" x14ac:dyDescent="0.3">
      <c r="B421" s="877" t="s">
        <v>356</v>
      </c>
      <c r="C421" s="898"/>
      <c r="D421" s="898"/>
      <c r="E421" s="898"/>
      <c r="F421" s="898"/>
      <c r="G421" s="898"/>
      <c r="H421" s="898"/>
      <c r="I421" s="898"/>
      <c r="J421" s="898"/>
      <c r="K421" s="898"/>
      <c r="L421" s="968"/>
      <c r="M421" s="898"/>
      <c r="N421" s="898"/>
      <c r="O421" s="898"/>
      <c r="P421" s="898"/>
      <c r="Q421" s="898"/>
      <c r="R421" s="898"/>
      <c r="S421" s="898"/>
      <c r="T421" s="898"/>
      <c r="U421" s="898"/>
      <c r="V421" s="898"/>
      <c r="W421" s="898"/>
      <c r="X421" s="898"/>
      <c r="Y421" s="898"/>
      <c r="Z421" s="899"/>
    </row>
    <row r="422" spans="2:26" s="307" customFormat="1" ht="15.75" x14ac:dyDescent="0.25">
      <c r="B422" s="900" t="s">
        <v>511</v>
      </c>
      <c r="C422" s="901">
        <v>2.5000000000000001E-2</v>
      </c>
      <c r="D422" s="902" t="s">
        <v>7</v>
      </c>
      <c r="E422" s="903">
        <f t="shared" ref="E422:Y422" si="582">$C422*E399</f>
        <v>349.45000000000005</v>
      </c>
      <c r="F422" s="903">
        <f t="shared" si="582"/>
        <v>349.45000000000005</v>
      </c>
      <c r="G422" s="903">
        <f t="shared" si="582"/>
        <v>349.45000000000005</v>
      </c>
      <c r="H422" s="903">
        <f t="shared" si="582"/>
        <v>349.45000000000005</v>
      </c>
      <c r="I422" s="903">
        <f t="shared" si="582"/>
        <v>349.45000000000005</v>
      </c>
      <c r="J422" s="903">
        <f t="shared" si="582"/>
        <v>349.45000000000005</v>
      </c>
      <c r="K422" s="903">
        <f t="shared" si="582"/>
        <v>349.45000000000005</v>
      </c>
      <c r="L422" s="969">
        <f t="shared" si="582"/>
        <v>349.45000000000005</v>
      </c>
      <c r="M422" s="903">
        <f t="shared" si="582"/>
        <v>349.45000000000005</v>
      </c>
      <c r="N422" s="903">
        <f t="shared" si="582"/>
        <v>349.45000000000005</v>
      </c>
      <c r="O422" s="903">
        <f t="shared" si="582"/>
        <v>349.45000000000005</v>
      </c>
      <c r="P422" s="903">
        <f t="shared" si="582"/>
        <v>349.45000000000005</v>
      </c>
      <c r="Q422" s="903">
        <f t="shared" si="582"/>
        <v>349.45000000000005</v>
      </c>
      <c r="R422" s="903">
        <f t="shared" si="582"/>
        <v>349.45000000000005</v>
      </c>
      <c r="S422" s="903">
        <f t="shared" si="582"/>
        <v>349.45000000000005</v>
      </c>
      <c r="T422" s="903">
        <f t="shared" si="582"/>
        <v>349.45000000000005</v>
      </c>
      <c r="U422" s="903">
        <f t="shared" si="582"/>
        <v>349.45000000000005</v>
      </c>
      <c r="V422" s="903">
        <f t="shared" si="582"/>
        <v>349.45000000000005</v>
      </c>
      <c r="W422" s="903">
        <f t="shared" si="582"/>
        <v>349.45000000000005</v>
      </c>
      <c r="X422" s="903">
        <f t="shared" si="582"/>
        <v>349.45000000000005</v>
      </c>
      <c r="Y422" s="903">
        <f t="shared" si="582"/>
        <v>174.72500000000002</v>
      </c>
      <c r="Z422" s="904"/>
    </row>
    <row r="423" spans="2:26" s="307" customFormat="1" ht="15.75" x14ac:dyDescent="0.25">
      <c r="B423" s="683" t="s">
        <v>512</v>
      </c>
      <c r="C423" s="905">
        <v>2.8000000000000001E-2</v>
      </c>
      <c r="D423" s="906" t="s">
        <v>7</v>
      </c>
      <c r="E423" s="686">
        <f t="shared" ref="E423:Y423" si="583">$C423*E400</f>
        <v>391.38400000000001</v>
      </c>
      <c r="F423" s="686">
        <f t="shared" si="583"/>
        <v>391.38400000000001</v>
      </c>
      <c r="G423" s="686">
        <f t="shared" si="583"/>
        <v>391.38400000000001</v>
      </c>
      <c r="H423" s="686">
        <f t="shared" si="583"/>
        <v>391.38400000000001</v>
      </c>
      <c r="I423" s="686">
        <f t="shared" si="583"/>
        <v>391.38400000000001</v>
      </c>
      <c r="J423" s="686">
        <f t="shared" si="583"/>
        <v>391.38400000000001</v>
      </c>
      <c r="K423" s="686">
        <f t="shared" si="583"/>
        <v>391.38400000000001</v>
      </c>
      <c r="L423" s="957">
        <f t="shared" si="583"/>
        <v>391.38400000000001</v>
      </c>
      <c r="M423" s="686">
        <f t="shared" si="583"/>
        <v>391.38400000000001</v>
      </c>
      <c r="N423" s="686">
        <f t="shared" si="583"/>
        <v>391.38400000000001</v>
      </c>
      <c r="O423" s="686">
        <f t="shared" si="583"/>
        <v>391.38400000000001</v>
      </c>
      <c r="P423" s="686">
        <f t="shared" si="583"/>
        <v>391.38400000000001</v>
      </c>
      <c r="Q423" s="686">
        <f t="shared" si="583"/>
        <v>391.38400000000001</v>
      </c>
      <c r="R423" s="686">
        <f t="shared" si="583"/>
        <v>391.38400000000001</v>
      </c>
      <c r="S423" s="686">
        <f t="shared" si="583"/>
        <v>391.38400000000001</v>
      </c>
      <c r="T423" s="686">
        <f t="shared" si="583"/>
        <v>391.38400000000001</v>
      </c>
      <c r="U423" s="686">
        <f t="shared" si="583"/>
        <v>391.38400000000001</v>
      </c>
      <c r="V423" s="686">
        <f t="shared" si="583"/>
        <v>391.38400000000001</v>
      </c>
      <c r="W423" s="686">
        <f t="shared" si="583"/>
        <v>195.69200000000001</v>
      </c>
      <c r="X423" s="686">
        <f t="shared" si="583"/>
        <v>195.69200000000001</v>
      </c>
      <c r="Y423" s="686">
        <f t="shared" si="583"/>
        <v>195.69200000000001</v>
      </c>
      <c r="Z423" s="701"/>
    </row>
    <row r="424" spans="2:26" s="307" customFormat="1" ht="15.75" x14ac:dyDescent="0.25">
      <c r="B424" s="683" t="s">
        <v>513</v>
      </c>
      <c r="C424" s="905">
        <v>3.4000000000000002E-2</v>
      </c>
      <c r="D424" s="906" t="s">
        <v>7</v>
      </c>
      <c r="E424" s="686">
        <f t="shared" ref="E424:Y424" si="584">$C424*E401</f>
        <v>475.25200000000001</v>
      </c>
      <c r="F424" s="686">
        <f t="shared" si="584"/>
        <v>475.25200000000001</v>
      </c>
      <c r="G424" s="686">
        <f t="shared" si="584"/>
        <v>475.25200000000001</v>
      </c>
      <c r="H424" s="686">
        <f t="shared" si="584"/>
        <v>475.25200000000001</v>
      </c>
      <c r="I424" s="686">
        <f t="shared" si="584"/>
        <v>475.25200000000001</v>
      </c>
      <c r="J424" s="686">
        <f t="shared" si="584"/>
        <v>475.25200000000001</v>
      </c>
      <c r="K424" s="686">
        <f t="shared" si="584"/>
        <v>475.25200000000001</v>
      </c>
      <c r="L424" s="957">
        <f t="shared" si="584"/>
        <v>475.25200000000001</v>
      </c>
      <c r="M424" s="686">
        <f t="shared" si="584"/>
        <v>475.25200000000001</v>
      </c>
      <c r="N424" s="686">
        <f t="shared" si="584"/>
        <v>475.25200000000001</v>
      </c>
      <c r="O424" s="686">
        <f t="shared" si="584"/>
        <v>475.25200000000001</v>
      </c>
      <c r="P424" s="686">
        <f t="shared" si="584"/>
        <v>475.25200000000001</v>
      </c>
      <c r="Q424" s="686">
        <f t="shared" si="584"/>
        <v>475.25200000000001</v>
      </c>
      <c r="R424" s="686">
        <f t="shared" si="584"/>
        <v>475.25200000000001</v>
      </c>
      <c r="S424" s="686">
        <f t="shared" si="584"/>
        <v>475.25200000000001</v>
      </c>
      <c r="T424" s="686">
        <f t="shared" si="584"/>
        <v>475.25200000000001</v>
      </c>
      <c r="U424" s="686">
        <f t="shared" si="584"/>
        <v>475.25200000000001</v>
      </c>
      <c r="V424" s="686">
        <f t="shared" si="584"/>
        <v>475.25200000000001</v>
      </c>
      <c r="W424" s="686">
        <f t="shared" si="584"/>
        <v>237.626</v>
      </c>
      <c r="X424" s="686">
        <f t="shared" si="584"/>
        <v>237.626</v>
      </c>
      <c r="Y424" s="686">
        <f t="shared" si="584"/>
        <v>0</v>
      </c>
      <c r="Z424" s="701"/>
    </row>
    <row r="425" spans="2:26" s="307" customFormat="1" ht="15.75" x14ac:dyDescent="0.25">
      <c r="B425" s="683" t="s">
        <v>378</v>
      </c>
      <c r="C425" s="905">
        <v>5.3999999999999999E-2</v>
      </c>
      <c r="D425" s="906" t="s">
        <v>7</v>
      </c>
      <c r="E425" s="686">
        <f t="shared" ref="E425:Y425" si="585">$C425*E402</f>
        <v>754.81200000000001</v>
      </c>
      <c r="F425" s="686">
        <f t="shared" si="585"/>
        <v>754.81200000000001</v>
      </c>
      <c r="G425" s="686">
        <f t="shared" si="585"/>
        <v>754.81200000000001</v>
      </c>
      <c r="H425" s="686">
        <f t="shared" si="585"/>
        <v>754.81200000000001</v>
      </c>
      <c r="I425" s="686">
        <f t="shared" si="585"/>
        <v>754.81200000000001</v>
      </c>
      <c r="J425" s="686">
        <f t="shared" si="585"/>
        <v>754.81200000000001</v>
      </c>
      <c r="K425" s="686">
        <f t="shared" si="585"/>
        <v>754.81200000000001</v>
      </c>
      <c r="L425" s="957">
        <f t="shared" si="585"/>
        <v>754.81200000000001</v>
      </c>
      <c r="M425" s="686">
        <f t="shared" si="585"/>
        <v>754.81200000000001</v>
      </c>
      <c r="N425" s="686">
        <f t="shared" si="585"/>
        <v>754.81200000000001</v>
      </c>
      <c r="O425" s="686">
        <f t="shared" si="585"/>
        <v>754.81200000000001</v>
      </c>
      <c r="P425" s="686">
        <f t="shared" si="585"/>
        <v>754.81200000000001</v>
      </c>
      <c r="Q425" s="686">
        <f t="shared" si="585"/>
        <v>754.81200000000001</v>
      </c>
      <c r="R425" s="686">
        <f t="shared" si="585"/>
        <v>754.81200000000001</v>
      </c>
      <c r="S425" s="686">
        <f t="shared" si="585"/>
        <v>754.81200000000001</v>
      </c>
      <c r="T425" s="686">
        <f t="shared" si="585"/>
        <v>754.81200000000001</v>
      </c>
      <c r="U425" s="686">
        <f t="shared" si="585"/>
        <v>754.81200000000001</v>
      </c>
      <c r="V425" s="686">
        <f t="shared" si="585"/>
        <v>377.40600000000001</v>
      </c>
      <c r="W425" s="686">
        <f t="shared" si="585"/>
        <v>377.40600000000001</v>
      </c>
      <c r="X425" s="686">
        <f t="shared" si="585"/>
        <v>377.40600000000001</v>
      </c>
      <c r="Y425" s="686">
        <f t="shared" si="585"/>
        <v>0</v>
      </c>
      <c r="Z425" s="701"/>
    </row>
    <row r="426" spans="2:26" s="307" customFormat="1" ht="15.75" x14ac:dyDescent="0.25">
      <c r="B426" s="683" t="s">
        <v>192</v>
      </c>
      <c r="C426" s="905">
        <v>6.4000000000000001E-2</v>
      </c>
      <c r="D426" s="906" t="s">
        <v>7</v>
      </c>
      <c r="E426" s="686">
        <f t="shared" ref="E426:Y426" si="586">$C426*E403</f>
        <v>1652.7488000000001</v>
      </c>
      <c r="F426" s="686">
        <f t="shared" si="586"/>
        <v>1652.7488000000001</v>
      </c>
      <c r="G426" s="686">
        <f t="shared" si="586"/>
        <v>2501.8624000000004</v>
      </c>
      <c r="H426" s="686">
        <f t="shared" si="586"/>
        <v>2501.8624000000004</v>
      </c>
      <c r="I426" s="686">
        <f t="shared" si="586"/>
        <v>2501.8624000000004</v>
      </c>
      <c r="J426" s="686">
        <f t="shared" si="586"/>
        <v>2501.8624000000004</v>
      </c>
      <c r="K426" s="686">
        <f t="shared" si="586"/>
        <v>2501.8624000000004</v>
      </c>
      <c r="L426" s="957">
        <f t="shared" si="586"/>
        <v>2903.68</v>
      </c>
      <c r="M426" s="686">
        <f t="shared" si="586"/>
        <v>2903.68</v>
      </c>
      <c r="N426" s="686">
        <f t="shared" si="586"/>
        <v>2903.68</v>
      </c>
      <c r="O426" s="686">
        <f t="shared" si="586"/>
        <v>2903.68</v>
      </c>
      <c r="P426" s="686">
        <f t="shared" si="586"/>
        <v>2501.8624000000004</v>
      </c>
      <c r="Q426" s="686">
        <f t="shared" si="586"/>
        <v>2501.8624000000004</v>
      </c>
      <c r="R426" s="686">
        <f t="shared" si="586"/>
        <v>2501.8624000000004</v>
      </c>
      <c r="S426" s="686">
        <f t="shared" si="586"/>
        <v>2501.8624000000004</v>
      </c>
      <c r="T426" s="686">
        <f t="shared" si="586"/>
        <v>2903.68</v>
      </c>
      <c r="U426" s="686">
        <f t="shared" si="586"/>
        <v>2903.68</v>
      </c>
      <c r="V426" s="686">
        <f t="shared" si="586"/>
        <v>2054.5664000000002</v>
      </c>
      <c r="W426" s="686">
        <f t="shared" si="586"/>
        <v>1652.7488000000001</v>
      </c>
      <c r="X426" s="686">
        <f t="shared" si="586"/>
        <v>803.63520000000005</v>
      </c>
      <c r="Y426" s="686">
        <f t="shared" si="586"/>
        <v>401.81760000000003</v>
      </c>
      <c r="Z426" s="703"/>
    </row>
    <row r="427" spans="2:26" s="307" customFormat="1" ht="15.75" x14ac:dyDescent="0.25">
      <c r="B427" s="684" t="s">
        <v>377</v>
      </c>
      <c r="C427" s="905">
        <v>5.6000000000000001E-2</v>
      </c>
      <c r="D427" s="906" t="s">
        <v>7</v>
      </c>
      <c r="E427" s="686">
        <f t="shared" ref="E427:Y427" si="587">$C427*E404</f>
        <v>1446.1552000000001</v>
      </c>
      <c r="F427" s="686">
        <f t="shared" si="587"/>
        <v>1446.1552000000001</v>
      </c>
      <c r="G427" s="686">
        <f t="shared" si="587"/>
        <v>1446.1552000000001</v>
      </c>
      <c r="H427" s="686">
        <f t="shared" si="587"/>
        <v>1446.1552000000001</v>
      </c>
      <c r="I427" s="686">
        <f t="shared" si="587"/>
        <v>1837.5391999999999</v>
      </c>
      <c r="J427" s="686">
        <f t="shared" si="587"/>
        <v>1837.5391999999999</v>
      </c>
      <c r="K427" s="686">
        <f t="shared" si="587"/>
        <v>1837.5391999999999</v>
      </c>
      <c r="L427" s="957">
        <f t="shared" si="587"/>
        <v>1837.5391999999999</v>
      </c>
      <c r="M427" s="686">
        <f t="shared" si="587"/>
        <v>1837.5391999999999</v>
      </c>
      <c r="N427" s="686">
        <f t="shared" si="587"/>
        <v>1837.5391999999999</v>
      </c>
      <c r="O427" s="686">
        <f t="shared" si="587"/>
        <v>1837.5391999999999</v>
      </c>
      <c r="P427" s="686">
        <f t="shared" si="587"/>
        <v>1837.5391999999999</v>
      </c>
      <c r="Q427" s="686">
        <f t="shared" si="587"/>
        <v>1837.5391999999999</v>
      </c>
      <c r="R427" s="686">
        <f t="shared" si="587"/>
        <v>1446.1552000000001</v>
      </c>
      <c r="S427" s="686">
        <f t="shared" si="587"/>
        <v>1446.1552000000001</v>
      </c>
      <c r="T427" s="686">
        <f t="shared" si="587"/>
        <v>1446.1552000000001</v>
      </c>
      <c r="U427" s="686">
        <f t="shared" si="587"/>
        <v>1446.1552000000001</v>
      </c>
      <c r="V427" s="686">
        <f t="shared" si="587"/>
        <v>1446.1552000000001</v>
      </c>
      <c r="W427" s="686">
        <f t="shared" si="587"/>
        <v>1446.1552000000001</v>
      </c>
      <c r="X427" s="686">
        <f t="shared" si="587"/>
        <v>1094.5648000000001</v>
      </c>
      <c r="Y427" s="686">
        <f t="shared" si="587"/>
        <v>351.59040000000005</v>
      </c>
      <c r="Z427" s="701"/>
    </row>
    <row r="428" spans="2:26" s="307" customFormat="1" ht="16.5" thickBot="1" x14ac:dyDescent="0.3">
      <c r="B428" s="907" t="s">
        <v>351</v>
      </c>
      <c r="C428" s="908">
        <v>6.4000000000000001E-2</v>
      </c>
      <c r="D428" s="909" t="s">
        <v>7</v>
      </c>
      <c r="E428" s="910">
        <f t="shared" ref="E428:Y428" si="588">$C428*E405</f>
        <v>803.63520000000017</v>
      </c>
      <c r="F428" s="910">
        <f t="shared" si="588"/>
        <v>803.63520000000017</v>
      </c>
      <c r="G428" s="910">
        <f t="shared" si="588"/>
        <v>803.63520000000017</v>
      </c>
      <c r="H428" s="910">
        <f t="shared" si="588"/>
        <v>803.63520000000017</v>
      </c>
      <c r="I428" s="910">
        <f t="shared" si="588"/>
        <v>803.63520000000017</v>
      </c>
      <c r="J428" s="910">
        <f t="shared" si="588"/>
        <v>803.63520000000017</v>
      </c>
      <c r="K428" s="910">
        <f t="shared" si="588"/>
        <v>803.63520000000017</v>
      </c>
      <c r="L428" s="970">
        <f t="shared" si="588"/>
        <v>803.63520000000017</v>
      </c>
      <c r="M428" s="910">
        <f t="shared" si="588"/>
        <v>803.63520000000017</v>
      </c>
      <c r="N428" s="910">
        <f t="shared" si="588"/>
        <v>803.63520000000017</v>
      </c>
      <c r="O428" s="910">
        <f t="shared" si="588"/>
        <v>803.63520000000017</v>
      </c>
      <c r="P428" s="910">
        <f t="shared" si="588"/>
        <v>803.63520000000017</v>
      </c>
      <c r="Q428" s="910">
        <f t="shared" si="588"/>
        <v>803.63520000000017</v>
      </c>
      <c r="R428" s="910">
        <f t="shared" si="588"/>
        <v>803.63520000000017</v>
      </c>
      <c r="S428" s="910">
        <f t="shared" si="588"/>
        <v>803.63520000000017</v>
      </c>
      <c r="T428" s="910">
        <f t="shared" si="588"/>
        <v>803.63520000000017</v>
      </c>
      <c r="U428" s="910">
        <f t="shared" si="588"/>
        <v>803.63520000000017</v>
      </c>
      <c r="V428" s="910">
        <f t="shared" si="588"/>
        <v>803.63520000000017</v>
      </c>
      <c r="W428" s="910">
        <f t="shared" si="588"/>
        <v>803.63520000000017</v>
      </c>
      <c r="X428" s="910">
        <f t="shared" si="588"/>
        <v>803.63520000000017</v>
      </c>
      <c r="Y428" s="910">
        <f t="shared" si="588"/>
        <v>401.81760000000008</v>
      </c>
      <c r="Z428" s="911"/>
    </row>
    <row r="429" spans="2:26" ht="13.5" thickBot="1" x14ac:dyDescent="0.25">
      <c r="B429" s="413"/>
      <c r="C429" s="413"/>
      <c r="D429" s="413"/>
      <c r="E429" s="413"/>
      <c r="F429" s="413"/>
      <c r="G429" s="413"/>
      <c r="H429" s="413"/>
      <c r="I429" s="413"/>
      <c r="J429" s="413"/>
      <c r="K429" s="413"/>
      <c r="L429" s="971"/>
      <c r="M429" s="413"/>
      <c r="N429" s="413"/>
      <c r="O429" s="413"/>
      <c r="P429" s="414"/>
      <c r="Q429" s="413"/>
      <c r="R429" s="413"/>
      <c r="S429" s="413"/>
      <c r="T429" s="413"/>
      <c r="U429" s="413"/>
      <c r="V429" s="413"/>
      <c r="W429" s="413"/>
      <c r="X429" s="413"/>
      <c r="Y429" s="413"/>
      <c r="Z429" s="413"/>
    </row>
    <row r="430" spans="2:26" ht="15.75" x14ac:dyDescent="0.25">
      <c r="B430" s="900" t="s">
        <v>511</v>
      </c>
      <c r="C430" s="413"/>
      <c r="D430" s="413"/>
      <c r="E430" s="413"/>
      <c r="F430" s="413"/>
      <c r="G430" s="413"/>
      <c r="H430" s="413"/>
      <c r="I430" s="413"/>
      <c r="J430" s="413"/>
      <c r="K430" s="413"/>
      <c r="L430" s="971">
        <f>L422*1000/L399</f>
        <v>25.000000000000004</v>
      </c>
      <c r="M430" s="413"/>
      <c r="N430" s="413"/>
      <c r="O430" s="413"/>
      <c r="P430" s="414"/>
      <c r="Q430" s="413"/>
      <c r="R430" s="413"/>
      <c r="S430" s="413"/>
      <c r="T430" s="413"/>
      <c r="U430" s="413"/>
      <c r="V430" s="413"/>
      <c r="W430" s="413"/>
      <c r="X430" s="413"/>
      <c r="Y430" s="413"/>
      <c r="Z430" s="413"/>
    </row>
    <row r="431" spans="2:26" ht="15.75" x14ac:dyDescent="0.25">
      <c r="B431" s="683" t="s">
        <v>512</v>
      </c>
      <c r="C431" s="413"/>
      <c r="D431" s="413"/>
      <c r="E431" s="413"/>
      <c r="F431" s="413"/>
      <c r="G431" s="413"/>
      <c r="H431" s="413"/>
      <c r="I431" s="413"/>
      <c r="J431" s="413"/>
      <c r="K431" s="413"/>
      <c r="L431" s="971">
        <f t="shared" ref="L431:L436" si="589">L423*1000/L400</f>
        <v>28</v>
      </c>
      <c r="M431" s="413"/>
      <c r="N431" s="413"/>
      <c r="O431" s="413"/>
      <c r="P431" s="414"/>
      <c r="Q431" s="413"/>
      <c r="R431" s="413"/>
      <c r="S431" s="413"/>
      <c r="T431" s="413"/>
      <c r="U431" s="413"/>
      <c r="V431" s="413"/>
      <c r="W431" s="413"/>
      <c r="X431" s="413"/>
      <c r="Y431" s="413"/>
      <c r="Z431" s="413"/>
    </row>
    <row r="432" spans="2:26" ht="15.75" x14ac:dyDescent="0.25">
      <c r="B432" s="683" t="s">
        <v>513</v>
      </c>
      <c r="C432" s="413"/>
      <c r="D432" s="413"/>
      <c r="E432" s="413"/>
      <c r="F432" s="413"/>
      <c r="G432" s="413"/>
      <c r="H432" s="413"/>
      <c r="I432" s="413"/>
      <c r="J432" s="413"/>
      <c r="K432" s="413"/>
      <c r="L432" s="971">
        <f t="shared" si="589"/>
        <v>34</v>
      </c>
      <c r="M432" s="413"/>
      <c r="N432" s="413"/>
      <c r="O432" s="413"/>
      <c r="P432" s="414"/>
      <c r="Q432" s="413"/>
      <c r="R432" s="413"/>
      <c r="S432" s="413"/>
      <c r="T432" s="413"/>
      <c r="U432" s="413"/>
      <c r="V432" s="413"/>
      <c r="W432" s="413"/>
      <c r="X432" s="413"/>
      <c r="Y432" s="413"/>
      <c r="Z432" s="413"/>
    </row>
    <row r="433" spans="2:26" ht="15.75" x14ac:dyDescent="0.25">
      <c r="B433" s="683" t="s">
        <v>378</v>
      </c>
      <c r="C433" s="413"/>
      <c r="D433" s="413"/>
      <c r="E433" s="413"/>
      <c r="F433" s="413"/>
      <c r="G433" s="413"/>
      <c r="H433" s="413"/>
      <c r="I433" s="413"/>
      <c r="J433" s="413"/>
      <c r="K433" s="413"/>
      <c r="L433" s="971">
        <f t="shared" si="589"/>
        <v>54</v>
      </c>
      <c r="M433" s="413"/>
      <c r="N433" s="413"/>
      <c r="O433" s="413"/>
      <c r="P433" s="414"/>
      <c r="Q433" s="413"/>
      <c r="R433" s="413"/>
      <c r="S433" s="413"/>
      <c r="T433" s="413"/>
      <c r="U433" s="413"/>
      <c r="V433" s="413"/>
      <c r="W433" s="413"/>
      <c r="X433" s="413"/>
      <c r="Y433" s="413"/>
      <c r="Z433" s="413"/>
    </row>
    <row r="434" spans="2:26" ht="15.75" x14ac:dyDescent="0.25">
      <c r="B434" s="683" t="s">
        <v>192</v>
      </c>
      <c r="C434" s="413"/>
      <c r="D434" s="413"/>
      <c r="E434" s="413"/>
      <c r="F434" s="413"/>
      <c r="G434" s="413"/>
      <c r="H434" s="413"/>
      <c r="I434" s="413"/>
      <c r="J434" s="413"/>
      <c r="K434" s="413"/>
      <c r="L434" s="971">
        <f t="shared" si="589"/>
        <v>64</v>
      </c>
      <c r="M434" s="413"/>
      <c r="N434" s="413"/>
      <c r="O434" s="413"/>
      <c r="P434" s="414"/>
      <c r="Q434" s="413"/>
      <c r="R434" s="413"/>
      <c r="S434" s="413"/>
      <c r="T434" s="413"/>
      <c r="U434" s="413"/>
      <c r="V434" s="413"/>
      <c r="W434" s="413"/>
      <c r="X434" s="413"/>
      <c r="Y434" s="413"/>
      <c r="Z434" s="413"/>
    </row>
    <row r="435" spans="2:26" ht="15.75" x14ac:dyDescent="0.25">
      <c r="B435" s="684" t="s">
        <v>377</v>
      </c>
      <c r="C435" s="413"/>
      <c r="D435" s="413"/>
      <c r="E435" s="413"/>
      <c r="F435" s="413"/>
      <c r="G435" s="413"/>
      <c r="H435" s="413"/>
      <c r="I435" s="413"/>
      <c r="J435" s="413"/>
      <c r="K435" s="413"/>
      <c r="L435" s="971">
        <f t="shared" si="589"/>
        <v>56</v>
      </c>
      <c r="M435" s="413"/>
      <c r="N435" s="413"/>
      <c r="O435" s="413"/>
      <c r="P435" s="414"/>
      <c r="Q435" s="413"/>
      <c r="R435" s="413"/>
      <c r="S435" s="413"/>
      <c r="T435" s="413"/>
      <c r="U435" s="413"/>
      <c r="V435" s="413"/>
      <c r="W435" s="413"/>
      <c r="X435" s="413"/>
      <c r="Y435" s="413"/>
      <c r="Z435" s="413"/>
    </row>
    <row r="436" spans="2:26" ht="16.5" thickBot="1" x14ac:dyDescent="0.3">
      <c r="B436" s="907" t="s">
        <v>351</v>
      </c>
      <c r="C436" s="413"/>
      <c r="D436" s="413"/>
      <c r="E436" s="413"/>
      <c r="F436" s="413"/>
      <c r="G436" s="413"/>
      <c r="H436" s="413"/>
      <c r="I436" s="413"/>
      <c r="J436" s="413"/>
      <c r="K436" s="413"/>
      <c r="L436" s="971">
        <f t="shared" si="589"/>
        <v>64</v>
      </c>
      <c r="M436" s="413"/>
      <c r="N436" s="413"/>
      <c r="O436" s="413"/>
      <c r="P436" s="414"/>
      <c r="Q436" s="413"/>
      <c r="R436" s="413"/>
      <c r="S436" s="413"/>
      <c r="T436" s="413"/>
      <c r="U436" s="413"/>
      <c r="V436" s="413"/>
      <c r="W436" s="413"/>
      <c r="X436" s="413"/>
      <c r="Y436" s="413"/>
      <c r="Z436" s="413"/>
    </row>
    <row r="437" spans="2:26" x14ac:dyDescent="0.2">
      <c r="B437" s="413"/>
      <c r="C437" s="413"/>
      <c r="D437" s="413"/>
      <c r="E437" s="413"/>
      <c r="F437" s="413"/>
      <c r="G437" s="413"/>
      <c r="H437" s="413"/>
      <c r="I437" s="413"/>
      <c r="J437" s="413"/>
      <c r="K437" s="413"/>
      <c r="L437" s="971"/>
      <c r="M437" s="413"/>
      <c r="N437" s="413"/>
      <c r="O437" s="413"/>
      <c r="P437" s="414"/>
      <c r="Q437" s="413"/>
      <c r="R437" s="413"/>
      <c r="S437" s="413"/>
      <c r="T437" s="413"/>
      <c r="U437" s="413"/>
      <c r="V437" s="413"/>
      <c r="W437" s="413"/>
      <c r="X437" s="413"/>
      <c r="Y437" s="413"/>
      <c r="Z437" s="413"/>
    </row>
    <row r="438" spans="2:26" x14ac:dyDescent="0.2">
      <c r="B438" s="413"/>
      <c r="C438" s="413"/>
      <c r="D438" s="413"/>
      <c r="E438" s="413"/>
      <c r="F438" s="413"/>
      <c r="G438" s="413"/>
      <c r="H438" s="413"/>
      <c r="I438" s="413"/>
      <c r="J438" s="413"/>
      <c r="K438" s="413"/>
      <c r="L438" s="971"/>
      <c r="M438" s="413"/>
      <c r="N438" s="413"/>
      <c r="O438" s="413"/>
      <c r="P438" s="414"/>
      <c r="Q438" s="413"/>
      <c r="R438" s="413"/>
      <c r="S438" s="413"/>
      <c r="T438" s="413"/>
      <c r="U438" s="413"/>
      <c r="V438" s="413"/>
      <c r="W438" s="413"/>
      <c r="X438" s="413"/>
      <c r="Y438" s="413"/>
      <c r="Z438" s="413"/>
    </row>
    <row r="439" spans="2:26" x14ac:dyDescent="0.2">
      <c r="B439" s="413"/>
      <c r="C439" s="413"/>
      <c r="D439" s="413"/>
      <c r="E439" s="413"/>
      <c r="F439" s="413"/>
      <c r="G439" s="413"/>
      <c r="H439" s="413"/>
      <c r="I439" s="413"/>
      <c r="J439" s="413"/>
      <c r="K439" s="413"/>
      <c r="L439" s="971"/>
      <c r="M439" s="413"/>
      <c r="N439" s="413"/>
      <c r="O439" s="413"/>
      <c r="P439" s="414"/>
      <c r="Q439" s="413"/>
      <c r="R439" s="413"/>
      <c r="S439" s="413"/>
      <c r="T439" s="413"/>
      <c r="U439" s="413"/>
      <c r="V439" s="413"/>
      <c r="W439" s="413"/>
      <c r="X439" s="413"/>
      <c r="Y439" s="413"/>
      <c r="Z439" s="413"/>
    </row>
    <row r="440" spans="2:26" x14ac:dyDescent="0.2">
      <c r="B440" s="413"/>
      <c r="C440" s="413"/>
      <c r="D440" s="413"/>
      <c r="E440" s="413"/>
      <c r="F440" s="413"/>
      <c r="G440" s="413"/>
      <c r="H440" s="413"/>
      <c r="I440" s="413"/>
      <c r="J440" s="413"/>
      <c r="K440" s="413"/>
      <c r="L440" s="971"/>
      <c r="M440" s="413"/>
      <c r="N440" s="413"/>
      <c r="O440" s="413"/>
      <c r="P440" s="414"/>
      <c r="Q440" s="413"/>
      <c r="R440" s="413"/>
      <c r="S440" s="413"/>
      <c r="T440" s="413"/>
      <c r="U440" s="413"/>
      <c r="V440" s="413"/>
      <c r="W440" s="413"/>
      <c r="X440" s="413"/>
      <c r="Y440" s="413"/>
      <c r="Z440" s="413"/>
    </row>
    <row r="441" spans="2:26" x14ac:dyDescent="0.2">
      <c r="B441" s="413"/>
      <c r="C441" s="413"/>
      <c r="D441" s="413"/>
      <c r="E441" s="413"/>
      <c r="F441" s="413"/>
      <c r="G441" s="413"/>
      <c r="H441" s="413"/>
      <c r="I441" s="413"/>
      <c r="J441" s="413"/>
      <c r="K441" s="413"/>
      <c r="L441" s="971"/>
      <c r="M441" s="413"/>
      <c r="N441" s="413"/>
      <c r="O441" s="413"/>
      <c r="P441" s="414"/>
      <c r="Q441" s="413"/>
      <c r="R441" s="413"/>
      <c r="S441" s="413"/>
      <c r="T441" s="413"/>
      <c r="U441" s="413"/>
      <c r="V441" s="413"/>
      <c r="W441" s="413"/>
      <c r="X441" s="413"/>
      <c r="Y441" s="413"/>
      <c r="Z441" s="413"/>
    </row>
    <row r="442" spans="2:26" x14ac:dyDescent="0.2">
      <c r="B442" s="413"/>
      <c r="C442" s="413"/>
      <c r="D442" s="413"/>
      <c r="E442" s="413"/>
      <c r="F442" s="413"/>
      <c r="G442" s="413"/>
      <c r="H442" s="413"/>
      <c r="I442" s="413"/>
      <c r="J442" s="413"/>
      <c r="K442" s="413"/>
      <c r="L442" s="971"/>
      <c r="M442" s="413"/>
      <c r="N442" s="413"/>
      <c r="O442" s="413"/>
      <c r="P442" s="414"/>
      <c r="Q442" s="413"/>
      <c r="R442" s="413"/>
      <c r="S442" s="413"/>
      <c r="T442" s="413"/>
      <c r="U442" s="413"/>
      <c r="V442" s="413"/>
      <c r="W442" s="413"/>
      <c r="X442" s="413"/>
      <c r="Y442" s="413"/>
      <c r="Z442" s="413"/>
    </row>
    <row r="443" spans="2:26" x14ac:dyDescent="0.2">
      <c r="B443" s="413"/>
      <c r="C443" s="413"/>
      <c r="D443" s="413"/>
      <c r="E443" s="413"/>
      <c r="F443" s="413"/>
      <c r="G443" s="413"/>
      <c r="H443" s="413"/>
      <c r="I443" s="413"/>
      <c r="J443" s="413"/>
      <c r="K443" s="413"/>
      <c r="L443" s="971"/>
      <c r="M443" s="413"/>
      <c r="N443" s="413"/>
      <c r="O443" s="413"/>
      <c r="P443" s="414"/>
      <c r="Q443" s="413"/>
      <c r="R443" s="413"/>
      <c r="S443" s="413"/>
      <c r="T443" s="413"/>
      <c r="U443" s="413"/>
      <c r="V443" s="413"/>
      <c r="W443" s="413"/>
      <c r="X443" s="413"/>
      <c r="Y443" s="413"/>
      <c r="Z443" s="413"/>
    </row>
    <row r="444" spans="2:26" x14ac:dyDescent="0.2">
      <c r="B444" s="413"/>
      <c r="C444" s="413"/>
      <c r="D444" s="413"/>
      <c r="E444" s="413"/>
      <c r="F444" s="413"/>
      <c r="G444" s="413"/>
      <c r="H444" s="413"/>
      <c r="I444" s="413"/>
      <c r="J444" s="413"/>
      <c r="K444" s="413"/>
      <c r="L444" s="971"/>
      <c r="M444" s="413"/>
      <c r="N444" s="413"/>
      <c r="O444" s="413"/>
      <c r="P444" s="414"/>
      <c r="Q444" s="413"/>
      <c r="R444" s="413"/>
      <c r="S444" s="413"/>
      <c r="T444" s="413"/>
      <c r="U444" s="413"/>
      <c r="V444" s="413"/>
      <c r="W444" s="413"/>
      <c r="X444" s="413"/>
      <c r="Y444" s="413"/>
      <c r="Z444" s="413"/>
    </row>
    <row r="445" spans="2:26" x14ac:dyDescent="0.2">
      <c r="B445" s="413"/>
      <c r="C445" s="413"/>
      <c r="D445" s="413"/>
      <c r="E445" s="413"/>
      <c r="F445" s="413"/>
      <c r="G445" s="413"/>
      <c r="H445" s="413"/>
      <c r="I445" s="413"/>
      <c r="J445" s="413"/>
      <c r="K445" s="413"/>
      <c r="L445" s="971"/>
      <c r="M445" s="413"/>
      <c r="N445" s="413"/>
      <c r="O445" s="413"/>
      <c r="P445" s="414"/>
      <c r="Q445" s="413"/>
      <c r="R445" s="413"/>
      <c r="S445" s="413"/>
      <c r="T445" s="413"/>
      <c r="U445" s="413"/>
      <c r="V445" s="413"/>
      <c r="W445" s="413"/>
      <c r="X445" s="413"/>
      <c r="Y445" s="413"/>
      <c r="Z445" s="413"/>
    </row>
    <row r="446" spans="2:26" x14ac:dyDescent="0.2">
      <c r="B446" s="413"/>
      <c r="C446" s="413"/>
      <c r="D446" s="413"/>
      <c r="E446" s="413"/>
      <c r="F446" s="413"/>
      <c r="G446" s="413"/>
      <c r="H446" s="413"/>
      <c r="I446" s="413"/>
      <c r="J446" s="413"/>
      <c r="K446" s="413"/>
      <c r="L446" s="971"/>
      <c r="M446" s="413"/>
      <c r="N446" s="413"/>
      <c r="O446" s="413"/>
      <c r="P446" s="414"/>
      <c r="Q446" s="413"/>
      <c r="R446" s="413"/>
      <c r="S446" s="413"/>
      <c r="T446" s="413"/>
      <c r="U446" s="413"/>
      <c r="V446" s="413"/>
      <c r="W446" s="413"/>
      <c r="X446" s="413"/>
      <c r="Y446" s="413"/>
      <c r="Z446" s="413"/>
    </row>
    <row r="447" spans="2:26" x14ac:dyDescent="0.2">
      <c r="B447" s="413"/>
      <c r="C447" s="413"/>
      <c r="D447" s="413"/>
      <c r="E447" s="413"/>
      <c r="F447" s="413"/>
      <c r="G447" s="413"/>
      <c r="H447" s="413"/>
      <c r="I447" s="413"/>
      <c r="J447" s="413"/>
      <c r="K447" s="413"/>
      <c r="L447" s="971"/>
      <c r="M447" s="413"/>
      <c r="N447" s="413"/>
      <c r="O447" s="413"/>
      <c r="P447" s="414"/>
      <c r="Q447" s="413"/>
      <c r="R447" s="413"/>
      <c r="S447" s="413"/>
      <c r="T447" s="413"/>
      <c r="U447" s="413"/>
      <c r="V447" s="413"/>
      <c r="W447" s="413"/>
      <c r="X447" s="413"/>
      <c r="Y447" s="413"/>
      <c r="Z447" s="413"/>
    </row>
    <row r="448" spans="2:26" x14ac:dyDescent="0.2">
      <c r="B448" s="413"/>
      <c r="C448" s="413"/>
      <c r="D448" s="413"/>
      <c r="E448" s="413"/>
      <c r="F448" s="413"/>
      <c r="G448" s="413"/>
      <c r="H448" s="413"/>
      <c r="I448" s="413"/>
      <c r="J448" s="413"/>
      <c r="K448" s="413"/>
      <c r="L448" s="971"/>
      <c r="M448" s="413"/>
      <c r="N448" s="413"/>
      <c r="O448" s="413"/>
      <c r="P448" s="414"/>
      <c r="Q448" s="413"/>
      <c r="R448" s="413"/>
      <c r="S448" s="413"/>
      <c r="T448" s="413"/>
      <c r="U448" s="413"/>
      <c r="V448" s="413"/>
      <c r="W448" s="413"/>
      <c r="X448" s="413"/>
      <c r="Y448" s="413"/>
      <c r="Z448" s="413"/>
    </row>
    <row r="449" spans="2:26" x14ac:dyDescent="0.2">
      <c r="B449" s="413"/>
      <c r="C449" s="413"/>
      <c r="D449" s="413"/>
      <c r="E449" s="413"/>
      <c r="F449" s="413"/>
      <c r="G449" s="413"/>
      <c r="H449" s="413"/>
      <c r="I449" s="413"/>
      <c r="J449" s="413"/>
      <c r="K449" s="413"/>
      <c r="L449" s="971"/>
      <c r="M449" s="413"/>
      <c r="N449" s="413"/>
      <c r="O449" s="413"/>
      <c r="P449" s="414"/>
      <c r="Q449" s="413"/>
      <c r="R449" s="413"/>
      <c r="S449" s="413"/>
      <c r="T449" s="413"/>
      <c r="U449" s="413"/>
      <c r="V449" s="413"/>
      <c r="W449" s="413"/>
      <c r="X449" s="413"/>
      <c r="Y449" s="413"/>
      <c r="Z449" s="413"/>
    </row>
    <row r="450" spans="2:26" x14ac:dyDescent="0.2">
      <c r="B450" s="413"/>
      <c r="C450" s="413"/>
      <c r="D450" s="413"/>
      <c r="E450" s="413"/>
      <c r="F450" s="413"/>
      <c r="G450" s="413"/>
      <c r="H450" s="413"/>
      <c r="I450" s="413"/>
      <c r="J450" s="413"/>
      <c r="K450" s="413"/>
      <c r="L450" s="971"/>
      <c r="M450" s="413"/>
      <c r="N450" s="413"/>
      <c r="O450" s="413"/>
      <c r="P450" s="414"/>
      <c r="Q450" s="413"/>
      <c r="R450" s="413"/>
      <c r="S450" s="413"/>
      <c r="T450" s="413"/>
      <c r="U450" s="413"/>
      <c r="V450" s="413"/>
      <c r="W450" s="413"/>
      <c r="X450" s="413"/>
      <c r="Y450" s="413"/>
      <c r="Z450" s="413"/>
    </row>
    <row r="451" spans="2:26" x14ac:dyDescent="0.2">
      <c r="B451" s="413"/>
      <c r="C451" s="413"/>
      <c r="D451" s="413"/>
      <c r="E451" s="413"/>
      <c r="F451" s="413"/>
      <c r="G451" s="413"/>
      <c r="H451" s="413"/>
      <c r="I451" s="413"/>
      <c r="J451" s="413"/>
      <c r="K451" s="413"/>
      <c r="L451" s="971"/>
      <c r="M451" s="413"/>
      <c r="N451" s="413"/>
      <c r="O451" s="413"/>
      <c r="P451" s="414"/>
      <c r="Q451" s="413"/>
      <c r="R451" s="413"/>
      <c r="S451" s="413"/>
      <c r="T451" s="413"/>
      <c r="U451" s="413"/>
      <c r="V451" s="413"/>
      <c r="W451" s="413"/>
      <c r="X451" s="413"/>
      <c r="Y451" s="413"/>
      <c r="Z451" s="413"/>
    </row>
    <row r="452" spans="2:26" x14ac:dyDescent="0.2">
      <c r="B452" s="413"/>
      <c r="C452" s="413"/>
      <c r="D452" s="413"/>
      <c r="E452" s="413"/>
      <c r="F452" s="413"/>
      <c r="G452" s="413"/>
      <c r="H452" s="413"/>
      <c r="I452" s="413"/>
      <c r="J452" s="413"/>
      <c r="K452" s="413"/>
      <c r="L452" s="971"/>
      <c r="M452" s="413"/>
      <c r="N452" s="413"/>
      <c r="O452" s="413"/>
      <c r="P452" s="414"/>
      <c r="Q452" s="413"/>
      <c r="R452" s="413"/>
      <c r="S452" s="413"/>
      <c r="T452" s="413"/>
      <c r="U452" s="413"/>
      <c r="V452" s="413"/>
      <c r="W452" s="413"/>
      <c r="X452" s="413"/>
      <c r="Y452" s="413"/>
      <c r="Z452" s="413"/>
    </row>
    <row r="453" spans="2:26" x14ac:dyDescent="0.2">
      <c r="B453" s="413"/>
      <c r="C453" s="413"/>
      <c r="D453" s="413"/>
      <c r="E453" s="413"/>
      <c r="F453" s="413"/>
      <c r="G453" s="413"/>
      <c r="H453" s="413"/>
      <c r="I453" s="413"/>
      <c r="J453" s="413"/>
      <c r="K453" s="413"/>
      <c r="L453" s="971"/>
      <c r="M453" s="413"/>
      <c r="N453" s="413"/>
      <c r="O453" s="413"/>
      <c r="P453" s="414"/>
      <c r="Q453" s="413"/>
      <c r="R453" s="413"/>
      <c r="S453" s="413"/>
      <c r="T453" s="413"/>
      <c r="U453" s="413"/>
      <c r="V453" s="413"/>
      <c r="W453" s="413"/>
      <c r="X453" s="413"/>
      <c r="Y453" s="413"/>
      <c r="Z453" s="413"/>
    </row>
    <row r="454" spans="2:26" x14ac:dyDescent="0.2">
      <c r="B454" s="413"/>
      <c r="C454" s="413"/>
      <c r="D454" s="413"/>
      <c r="E454" s="413"/>
      <c r="F454" s="413"/>
      <c r="G454" s="413"/>
      <c r="H454" s="413"/>
      <c r="I454" s="413"/>
      <c r="J454" s="413"/>
      <c r="K454" s="413"/>
      <c r="L454" s="971"/>
      <c r="M454" s="413"/>
      <c r="N454" s="413"/>
      <c r="O454" s="413"/>
      <c r="P454" s="414"/>
      <c r="Q454" s="413"/>
      <c r="R454" s="413"/>
      <c r="S454" s="413"/>
      <c r="T454" s="413"/>
      <c r="U454" s="413"/>
      <c r="V454" s="413"/>
      <c r="W454" s="413"/>
      <c r="X454" s="413"/>
      <c r="Y454" s="413"/>
      <c r="Z454" s="413"/>
    </row>
    <row r="455" spans="2:26" x14ac:dyDescent="0.2">
      <c r="B455" s="413"/>
      <c r="C455" s="413"/>
      <c r="D455" s="413"/>
      <c r="E455" s="413"/>
      <c r="F455" s="413"/>
      <c r="G455" s="413"/>
      <c r="H455" s="413"/>
      <c r="I455" s="413"/>
      <c r="J455" s="413"/>
      <c r="K455" s="413"/>
      <c r="L455" s="971"/>
      <c r="M455" s="413"/>
      <c r="N455" s="413"/>
      <c r="O455" s="413"/>
      <c r="P455" s="414"/>
      <c r="Q455" s="413"/>
      <c r="R455" s="413"/>
      <c r="S455" s="413"/>
      <c r="T455" s="413"/>
      <c r="U455" s="413"/>
      <c r="V455" s="413"/>
      <c r="W455" s="413"/>
      <c r="X455" s="413"/>
      <c r="Y455" s="413"/>
      <c r="Z455" s="413"/>
    </row>
    <row r="456" spans="2:26" x14ac:dyDescent="0.2">
      <c r="B456" s="413"/>
      <c r="C456" s="413"/>
      <c r="D456" s="413"/>
      <c r="E456" s="413"/>
      <c r="F456" s="413"/>
      <c r="G456" s="413"/>
      <c r="H456" s="413"/>
      <c r="I456" s="413"/>
      <c r="J456" s="413"/>
      <c r="K456" s="413"/>
      <c r="L456" s="971"/>
      <c r="M456" s="413"/>
      <c r="N456" s="413"/>
      <c r="O456" s="413"/>
      <c r="P456" s="414"/>
      <c r="Q456" s="413"/>
      <c r="R456" s="413"/>
      <c r="S456" s="413"/>
      <c r="T456" s="413"/>
      <c r="U456" s="413"/>
      <c r="V456" s="413"/>
      <c r="W456" s="413"/>
      <c r="X456" s="413"/>
      <c r="Y456" s="413"/>
      <c r="Z456" s="413"/>
    </row>
    <row r="457" spans="2:26" x14ac:dyDescent="0.2">
      <c r="B457" s="413"/>
      <c r="C457" s="413"/>
      <c r="D457" s="413"/>
      <c r="E457" s="413"/>
      <c r="F457" s="413"/>
      <c r="G457" s="413"/>
      <c r="H457" s="413"/>
      <c r="I457" s="413"/>
      <c r="J457" s="413"/>
      <c r="K457" s="413"/>
      <c r="L457" s="971"/>
      <c r="M457" s="413"/>
      <c r="N457" s="413"/>
      <c r="O457" s="413"/>
      <c r="P457" s="414"/>
      <c r="Q457" s="413"/>
      <c r="R457" s="413"/>
      <c r="S457" s="413"/>
      <c r="T457" s="413"/>
      <c r="U457" s="413"/>
      <c r="V457" s="413"/>
      <c r="W457" s="413"/>
      <c r="X457" s="413"/>
      <c r="Y457" s="413"/>
      <c r="Z457" s="413"/>
    </row>
    <row r="458" spans="2:26" x14ac:dyDescent="0.2">
      <c r="B458" s="413"/>
      <c r="C458" s="413"/>
      <c r="D458" s="413"/>
      <c r="E458" s="413"/>
      <c r="F458" s="413"/>
      <c r="G458" s="413"/>
      <c r="H458" s="413"/>
      <c r="I458" s="413"/>
      <c r="J458" s="413"/>
      <c r="K458" s="413"/>
      <c r="L458" s="971"/>
      <c r="M458" s="413"/>
      <c r="N458" s="413"/>
      <c r="O458" s="413"/>
      <c r="P458" s="414"/>
      <c r="Q458" s="413"/>
      <c r="R458" s="413"/>
      <c r="S458" s="413"/>
      <c r="T458" s="413"/>
      <c r="U458" s="413"/>
      <c r="V458" s="413"/>
      <c r="W458" s="413"/>
      <c r="X458" s="413"/>
      <c r="Y458" s="413"/>
      <c r="Z458" s="413"/>
    </row>
    <row r="459" spans="2:26" x14ac:dyDescent="0.2">
      <c r="B459" s="413"/>
      <c r="C459" s="413"/>
      <c r="D459" s="413"/>
      <c r="E459" s="413"/>
      <c r="F459" s="413"/>
      <c r="G459" s="413"/>
      <c r="H459" s="413"/>
      <c r="I459" s="413"/>
      <c r="J459" s="413"/>
      <c r="K459" s="413"/>
      <c r="L459" s="971"/>
      <c r="M459" s="413"/>
      <c r="N459" s="413"/>
      <c r="O459" s="413"/>
      <c r="P459" s="414"/>
      <c r="Q459" s="413"/>
      <c r="R459" s="413"/>
      <c r="S459" s="413"/>
      <c r="T459" s="413"/>
      <c r="U459" s="413"/>
      <c r="V459" s="413"/>
      <c r="W459" s="413"/>
      <c r="X459" s="413"/>
      <c r="Y459" s="413"/>
      <c r="Z459" s="413"/>
    </row>
    <row r="460" spans="2:26" x14ac:dyDescent="0.2">
      <c r="B460" s="413"/>
      <c r="C460" s="413"/>
      <c r="D460" s="413"/>
      <c r="E460" s="413"/>
      <c r="F460" s="413"/>
      <c r="G460" s="413"/>
      <c r="H460" s="413"/>
      <c r="I460" s="413"/>
      <c r="J460" s="413"/>
      <c r="K460" s="413"/>
      <c r="L460" s="971"/>
      <c r="M460" s="413"/>
      <c r="N460" s="413"/>
      <c r="O460" s="413"/>
      <c r="P460" s="414"/>
      <c r="Q460" s="413"/>
      <c r="R460" s="413"/>
      <c r="S460" s="413"/>
      <c r="T460" s="413"/>
      <c r="U460" s="413"/>
      <c r="V460" s="413"/>
      <c r="W460" s="413"/>
      <c r="X460" s="413"/>
      <c r="Y460" s="413"/>
      <c r="Z460" s="413"/>
    </row>
    <row r="461" spans="2:26" x14ac:dyDescent="0.2">
      <c r="B461" s="413"/>
      <c r="C461" s="413"/>
      <c r="D461" s="413"/>
      <c r="E461" s="413"/>
      <c r="F461" s="413"/>
      <c r="G461" s="413"/>
      <c r="H461" s="413"/>
      <c r="I461" s="413"/>
      <c r="J461" s="413"/>
      <c r="K461" s="413"/>
      <c r="L461" s="971"/>
      <c r="M461" s="413"/>
      <c r="N461" s="413"/>
      <c r="O461" s="413"/>
      <c r="P461" s="414"/>
      <c r="Q461" s="413"/>
      <c r="R461" s="413"/>
      <c r="S461" s="413"/>
      <c r="T461" s="413"/>
      <c r="U461" s="413"/>
      <c r="V461" s="413"/>
      <c r="W461" s="413"/>
      <c r="X461" s="413"/>
      <c r="Y461" s="413"/>
      <c r="Z461" s="413"/>
    </row>
    <row r="462" spans="2:26" x14ac:dyDescent="0.2">
      <c r="B462" s="413"/>
      <c r="C462" s="413"/>
      <c r="D462" s="413"/>
      <c r="E462" s="413"/>
      <c r="F462" s="413"/>
      <c r="G462" s="413"/>
      <c r="H462" s="413"/>
      <c r="I462" s="413"/>
      <c r="J462" s="413"/>
      <c r="K462" s="413"/>
      <c r="L462" s="971"/>
      <c r="M462" s="413"/>
      <c r="N462" s="413"/>
      <c r="O462" s="413"/>
      <c r="P462" s="414"/>
      <c r="Q462" s="413"/>
      <c r="R462" s="413"/>
      <c r="S462" s="413"/>
      <c r="T462" s="413"/>
      <c r="U462" s="413"/>
      <c r="V462" s="413"/>
      <c r="W462" s="413"/>
      <c r="X462" s="413"/>
      <c r="Y462" s="413"/>
      <c r="Z462" s="413"/>
    </row>
    <row r="463" spans="2:26" x14ac:dyDescent="0.2">
      <c r="B463" s="413"/>
      <c r="C463" s="413"/>
      <c r="D463" s="413"/>
      <c r="E463" s="413"/>
      <c r="F463" s="413"/>
      <c r="G463" s="413"/>
      <c r="H463" s="413"/>
      <c r="I463" s="413"/>
      <c r="J463" s="413"/>
      <c r="K463" s="413"/>
      <c r="L463" s="971"/>
      <c r="M463" s="413"/>
      <c r="N463" s="413"/>
      <c r="O463" s="413"/>
      <c r="P463" s="414"/>
      <c r="Q463" s="413"/>
      <c r="R463" s="413"/>
      <c r="S463" s="413"/>
      <c r="T463" s="413"/>
      <c r="U463" s="413"/>
      <c r="V463" s="413"/>
      <c r="W463" s="413"/>
      <c r="X463" s="413"/>
      <c r="Y463" s="413"/>
      <c r="Z463" s="413"/>
    </row>
    <row r="464" spans="2:26" x14ac:dyDescent="0.2">
      <c r="B464" s="413"/>
      <c r="C464" s="413"/>
      <c r="D464" s="413"/>
      <c r="E464" s="413"/>
      <c r="F464" s="413"/>
      <c r="G464" s="413"/>
      <c r="H464" s="413"/>
      <c r="I464" s="413"/>
      <c r="J464" s="413"/>
      <c r="K464" s="413"/>
      <c r="L464" s="971"/>
      <c r="M464" s="413"/>
      <c r="N464" s="413"/>
      <c r="O464" s="413"/>
      <c r="P464" s="414"/>
      <c r="Q464" s="413"/>
      <c r="R464" s="413"/>
      <c r="S464" s="413"/>
      <c r="T464" s="413"/>
      <c r="U464" s="413"/>
      <c r="V464" s="413"/>
      <c r="W464" s="413"/>
      <c r="X464" s="413"/>
      <c r="Y464" s="413"/>
      <c r="Z464" s="413"/>
    </row>
    <row r="465" spans="2:26" x14ac:dyDescent="0.2">
      <c r="B465" s="413"/>
      <c r="C465" s="413"/>
      <c r="D465" s="413"/>
      <c r="E465" s="413"/>
      <c r="F465" s="413"/>
      <c r="G465" s="413"/>
      <c r="H465" s="413"/>
      <c r="I465" s="413"/>
      <c r="J465" s="413"/>
      <c r="K465" s="413"/>
      <c r="L465" s="971"/>
      <c r="M465" s="413"/>
      <c r="N465" s="413"/>
      <c r="O465" s="413"/>
      <c r="P465" s="414"/>
      <c r="Q465" s="413"/>
      <c r="R465" s="413"/>
      <c r="S465" s="413"/>
      <c r="T465" s="413"/>
      <c r="U465" s="413"/>
      <c r="V465" s="413"/>
      <c r="W465" s="413"/>
      <c r="X465" s="413"/>
      <c r="Y465" s="413"/>
      <c r="Z465" s="413"/>
    </row>
    <row r="466" spans="2:26" x14ac:dyDescent="0.2">
      <c r="B466" s="413"/>
      <c r="C466" s="413"/>
      <c r="D466" s="413"/>
      <c r="E466" s="413"/>
      <c r="F466" s="413"/>
      <c r="G466" s="413"/>
      <c r="H466" s="413"/>
      <c r="I466" s="413"/>
      <c r="J466" s="413"/>
      <c r="K466" s="413"/>
      <c r="L466" s="971"/>
      <c r="M466" s="413"/>
      <c r="N466" s="413"/>
      <c r="O466" s="413"/>
      <c r="P466" s="414"/>
      <c r="Q466" s="413"/>
      <c r="R466" s="413"/>
      <c r="S466" s="413"/>
      <c r="T466" s="413"/>
      <c r="U466" s="413"/>
      <c r="V466" s="413"/>
      <c r="W466" s="413"/>
      <c r="X466" s="413"/>
      <c r="Y466" s="413"/>
      <c r="Z466" s="413"/>
    </row>
    <row r="467" spans="2:26" x14ac:dyDescent="0.2">
      <c r="B467" s="413"/>
      <c r="C467" s="413"/>
      <c r="D467" s="413"/>
      <c r="E467" s="413"/>
      <c r="F467" s="413"/>
      <c r="G467" s="413"/>
      <c r="H467" s="413"/>
      <c r="I467" s="413"/>
      <c r="J467" s="413"/>
      <c r="K467" s="413"/>
      <c r="L467" s="971"/>
      <c r="M467" s="413"/>
      <c r="N467" s="413"/>
      <c r="O467" s="413"/>
      <c r="P467" s="414"/>
      <c r="Q467" s="413"/>
      <c r="R467" s="413"/>
      <c r="S467" s="413"/>
      <c r="T467" s="413"/>
      <c r="U467" s="413"/>
      <c r="V467" s="413"/>
      <c r="W467" s="413"/>
      <c r="X467" s="413"/>
      <c r="Y467" s="413"/>
      <c r="Z467" s="413"/>
    </row>
    <row r="468" spans="2:26" x14ac:dyDescent="0.2">
      <c r="B468" s="413"/>
      <c r="C468" s="413"/>
      <c r="D468" s="413"/>
      <c r="E468" s="413"/>
      <c r="F468" s="413"/>
      <c r="G468" s="413"/>
      <c r="H468" s="413"/>
      <c r="I468" s="413"/>
      <c r="J468" s="413"/>
      <c r="K468" s="413"/>
      <c r="L468" s="971"/>
      <c r="M468" s="413"/>
      <c r="N468" s="413"/>
      <c r="O468" s="413"/>
      <c r="P468" s="414"/>
      <c r="Q468" s="413"/>
      <c r="R468" s="413"/>
      <c r="S468" s="413"/>
      <c r="T468" s="413"/>
      <c r="U468" s="413"/>
      <c r="V468" s="413"/>
      <c r="W468" s="413"/>
      <c r="X468" s="413"/>
      <c r="Y468" s="413"/>
      <c r="Z468" s="413"/>
    </row>
    <row r="469" spans="2:26" x14ac:dyDescent="0.2">
      <c r="B469" s="413"/>
      <c r="C469" s="413"/>
      <c r="D469" s="413"/>
      <c r="E469" s="413"/>
      <c r="F469" s="413"/>
      <c r="G469" s="413"/>
      <c r="H469" s="413"/>
      <c r="I469" s="413"/>
      <c r="J469" s="413"/>
      <c r="K469" s="413"/>
      <c r="L469" s="971"/>
      <c r="M469" s="413"/>
      <c r="N469" s="413"/>
      <c r="O469" s="413"/>
      <c r="P469" s="414"/>
      <c r="Q469" s="413"/>
      <c r="R469" s="413"/>
      <c r="S469" s="413"/>
      <c r="T469" s="413"/>
      <c r="U469" s="413"/>
      <c r="V469" s="413"/>
      <c r="W469" s="413"/>
      <c r="X469" s="413"/>
      <c r="Y469" s="413"/>
      <c r="Z469" s="413"/>
    </row>
    <row r="470" spans="2:26" x14ac:dyDescent="0.2">
      <c r="B470" s="413"/>
      <c r="C470" s="413"/>
      <c r="D470" s="413"/>
      <c r="E470" s="413"/>
      <c r="F470" s="413"/>
      <c r="G470" s="413"/>
      <c r="H470" s="413"/>
      <c r="I470" s="413"/>
      <c r="J470" s="413"/>
      <c r="K470" s="413"/>
      <c r="L470" s="971"/>
      <c r="M470" s="413"/>
      <c r="N470" s="413"/>
      <c r="O470" s="413"/>
      <c r="P470" s="414"/>
      <c r="Q470" s="413"/>
      <c r="R470" s="413"/>
      <c r="S470" s="413"/>
      <c r="T470" s="413"/>
      <c r="U470" s="413"/>
      <c r="V470" s="413"/>
      <c r="W470" s="413"/>
      <c r="X470" s="413"/>
      <c r="Y470" s="413"/>
      <c r="Z470" s="413"/>
    </row>
    <row r="471" spans="2:26" x14ac:dyDescent="0.2">
      <c r="B471" s="413"/>
      <c r="C471" s="413"/>
      <c r="D471" s="413"/>
      <c r="E471" s="413"/>
      <c r="F471" s="413"/>
      <c r="G471" s="413"/>
      <c r="H471" s="413"/>
      <c r="I471" s="413"/>
      <c r="J471" s="413"/>
      <c r="K471" s="413"/>
      <c r="L471" s="971"/>
      <c r="M471" s="413"/>
      <c r="N471" s="413"/>
      <c r="O471" s="413"/>
      <c r="P471" s="414"/>
      <c r="Q471" s="413"/>
      <c r="R471" s="413"/>
      <c r="S471" s="413"/>
      <c r="T471" s="413"/>
      <c r="U471" s="413"/>
      <c r="V471" s="413"/>
      <c r="W471" s="413"/>
      <c r="X471" s="413"/>
      <c r="Y471" s="413"/>
      <c r="Z471" s="413"/>
    </row>
    <row r="472" spans="2:26" x14ac:dyDescent="0.2">
      <c r="B472" s="413"/>
      <c r="C472" s="413"/>
      <c r="D472" s="413"/>
      <c r="E472" s="413"/>
      <c r="F472" s="413"/>
      <c r="G472" s="413"/>
      <c r="H472" s="413"/>
      <c r="I472" s="413"/>
      <c r="J472" s="413"/>
      <c r="K472" s="413"/>
      <c r="L472" s="971"/>
      <c r="M472" s="413"/>
      <c r="N472" s="413"/>
      <c r="O472" s="413"/>
      <c r="P472" s="414"/>
      <c r="Q472" s="413"/>
      <c r="R472" s="413"/>
      <c r="S472" s="413"/>
      <c r="T472" s="413"/>
      <c r="U472" s="413"/>
      <c r="V472" s="413"/>
      <c r="W472" s="413"/>
      <c r="X472" s="413"/>
      <c r="Y472" s="413"/>
      <c r="Z472" s="413"/>
    </row>
    <row r="473" spans="2:26" x14ac:dyDescent="0.2">
      <c r="B473" s="413"/>
      <c r="C473" s="413"/>
      <c r="D473" s="413"/>
      <c r="E473" s="413"/>
      <c r="F473" s="413"/>
      <c r="G473" s="413"/>
      <c r="H473" s="413"/>
      <c r="I473" s="413"/>
      <c r="J473" s="413"/>
      <c r="K473" s="413"/>
      <c r="L473" s="971"/>
      <c r="M473" s="413"/>
      <c r="N473" s="413"/>
      <c r="O473" s="413"/>
      <c r="P473" s="414"/>
      <c r="Q473" s="413"/>
      <c r="R473" s="413"/>
      <c r="S473" s="413"/>
      <c r="T473" s="413"/>
      <c r="U473" s="413"/>
      <c r="V473" s="413"/>
      <c r="W473" s="413"/>
      <c r="X473" s="413"/>
      <c r="Y473" s="413"/>
      <c r="Z473" s="413"/>
    </row>
    <row r="474" spans="2:26" x14ac:dyDescent="0.2">
      <c r="B474" s="413"/>
      <c r="C474" s="413"/>
      <c r="D474" s="413"/>
      <c r="E474" s="413"/>
      <c r="F474" s="413"/>
      <c r="G474" s="413"/>
      <c r="H474" s="413"/>
      <c r="I474" s="413"/>
      <c r="J474" s="413"/>
      <c r="K474" s="413"/>
      <c r="L474" s="971"/>
      <c r="M474" s="413"/>
      <c r="N474" s="413"/>
      <c r="O474" s="413"/>
      <c r="P474" s="414"/>
      <c r="Q474" s="413"/>
      <c r="R474" s="413"/>
      <c r="S474" s="413"/>
      <c r="T474" s="413"/>
      <c r="U474" s="413"/>
      <c r="V474" s="413"/>
      <c r="W474" s="413"/>
      <c r="X474" s="413"/>
      <c r="Y474" s="413"/>
      <c r="Z474" s="413"/>
    </row>
    <row r="475" spans="2:26" x14ac:dyDescent="0.2">
      <c r="B475" s="413"/>
      <c r="C475" s="413"/>
      <c r="D475" s="413"/>
      <c r="E475" s="413"/>
      <c r="F475" s="413"/>
      <c r="G475" s="413"/>
      <c r="H475" s="413"/>
      <c r="I475" s="413"/>
      <c r="J475" s="413"/>
      <c r="K475" s="413"/>
      <c r="L475" s="971"/>
      <c r="M475" s="413"/>
      <c r="N475" s="413"/>
      <c r="O475" s="413"/>
      <c r="P475" s="414"/>
      <c r="Q475" s="413"/>
      <c r="R475" s="413"/>
      <c r="S475" s="413"/>
      <c r="T475" s="413"/>
      <c r="U475" s="413"/>
      <c r="V475" s="413"/>
      <c r="W475" s="413"/>
      <c r="X475" s="413"/>
      <c r="Y475" s="413"/>
      <c r="Z475" s="413"/>
    </row>
    <row r="476" spans="2:26" x14ac:dyDescent="0.2">
      <c r="B476" s="413"/>
      <c r="C476" s="413"/>
      <c r="D476" s="413"/>
      <c r="E476" s="413"/>
      <c r="F476" s="413"/>
      <c r="G476" s="413"/>
      <c r="H476" s="413"/>
      <c r="I476" s="413"/>
      <c r="J476" s="413"/>
      <c r="K476" s="413"/>
      <c r="L476" s="971"/>
      <c r="M476" s="413"/>
      <c r="N476" s="413"/>
      <c r="O476" s="413"/>
      <c r="P476" s="414"/>
      <c r="Q476" s="413"/>
      <c r="R476" s="413"/>
      <c r="S476" s="413"/>
      <c r="T476" s="413"/>
      <c r="U476" s="413"/>
      <c r="V476" s="413"/>
      <c r="W476" s="413"/>
      <c r="X476" s="413"/>
      <c r="Y476" s="413"/>
      <c r="Z476" s="413"/>
    </row>
    <row r="477" spans="2:26" x14ac:dyDescent="0.2">
      <c r="B477" s="413"/>
      <c r="C477" s="413"/>
      <c r="D477" s="413"/>
      <c r="E477" s="413"/>
      <c r="F477" s="413"/>
      <c r="G477" s="413"/>
      <c r="H477" s="413"/>
      <c r="I477" s="413"/>
      <c r="J477" s="413"/>
      <c r="K477" s="413"/>
      <c r="L477" s="971"/>
      <c r="M477" s="413"/>
      <c r="N477" s="413"/>
      <c r="O477" s="413"/>
      <c r="P477" s="414"/>
      <c r="Q477" s="413"/>
      <c r="R477" s="413"/>
      <c r="S477" s="413"/>
      <c r="T477" s="413"/>
      <c r="U477" s="413"/>
      <c r="V477" s="413"/>
      <c r="W477" s="413"/>
      <c r="X477" s="413"/>
      <c r="Y477" s="413"/>
      <c r="Z477" s="413"/>
    </row>
    <row r="478" spans="2:26" x14ac:dyDescent="0.2">
      <c r="B478" s="413"/>
      <c r="C478" s="413"/>
      <c r="D478" s="413"/>
      <c r="E478" s="413"/>
      <c r="F478" s="413"/>
      <c r="G478" s="413"/>
      <c r="H478" s="413"/>
      <c r="I478" s="413"/>
      <c r="J478" s="413"/>
      <c r="K478" s="413"/>
      <c r="L478" s="971"/>
      <c r="M478" s="413"/>
      <c r="N478" s="413"/>
      <c r="O478" s="413"/>
      <c r="P478" s="414"/>
      <c r="Q478" s="413"/>
      <c r="R478" s="413"/>
      <c r="S478" s="413"/>
      <c r="T478" s="413"/>
      <c r="U478" s="413"/>
      <c r="V478" s="413"/>
      <c r="W478" s="413"/>
      <c r="X478" s="413"/>
      <c r="Y478" s="413"/>
      <c r="Z478" s="413"/>
    </row>
    <row r="479" spans="2:26" x14ac:dyDescent="0.2">
      <c r="B479" s="413"/>
      <c r="C479" s="413"/>
      <c r="D479" s="413"/>
      <c r="E479" s="413"/>
      <c r="F479" s="413"/>
      <c r="G479" s="413"/>
      <c r="H479" s="413"/>
      <c r="I479" s="413"/>
      <c r="J479" s="413"/>
      <c r="K479" s="413"/>
      <c r="L479" s="971"/>
      <c r="M479" s="413"/>
      <c r="N479" s="413"/>
      <c r="O479" s="413"/>
      <c r="P479" s="414"/>
      <c r="Q479" s="413"/>
      <c r="R479" s="413"/>
      <c r="S479" s="413"/>
      <c r="T479" s="413"/>
      <c r="U479" s="413"/>
      <c r="V479" s="413"/>
      <c r="W479" s="413"/>
      <c r="X479" s="413"/>
      <c r="Y479" s="413"/>
      <c r="Z479" s="413"/>
    </row>
    <row r="480" spans="2:26" x14ac:dyDescent="0.2">
      <c r="B480" s="413"/>
      <c r="C480" s="413"/>
      <c r="D480" s="413"/>
      <c r="E480" s="413"/>
      <c r="F480" s="413"/>
      <c r="G480" s="413"/>
      <c r="H480" s="413"/>
      <c r="I480" s="413"/>
      <c r="J480" s="413"/>
      <c r="K480" s="413"/>
      <c r="L480" s="971"/>
      <c r="M480" s="413"/>
      <c r="N480" s="413"/>
      <c r="O480" s="413"/>
      <c r="P480" s="414"/>
      <c r="Q480" s="413"/>
      <c r="R480" s="413"/>
      <c r="S480" s="413"/>
      <c r="T480" s="413"/>
      <c r="U480" s="413"/>
      <c r="V480" s="413"/>
      <c r="W480" s="413"/>
      <c r="X480" s="413"/>
      <c r="Y480" s="413"/>
      <c r="Z480" s="413"/>
    </row>
    <row r="481" spans="2:26" x14ac:dyDescent="0.2">
      <c r="B481" s="413"/>
      <c r="C481" s="413"/>
      <c r="D481" s="413"/>
      <c r="E481" s="413"/>
      <c r="F481" s="413"/>
      <c r="G481" s="413"/>
      <c r="H481" s="413"/>
      <c r="I481" s="413"/>
      <c r="J481" s="413"/>
      <c r="K481" s="413"/>
      <c r="L481" s="971"/>
      <c r="M481" s="413"/>
      <c r="N481" s="413"/>
      <c r="O481" s="413"/>
      <c r="P481" s="414"/>
      <c r="Q481" s="413"/>
      <c r="R481" s="413"/>
      <c r="S481" s="413"/>
      <c r="T481" s="413"/>
      <c r="U481" s="413"/>
      <c r="V481" s="413"/>
      <c r="W481" s="413"/>
      <c r="X481" s="413"/>
      <c r="Y481" s="413"/>
      <c r="Z481" s="413"/>
    </row>
    <row r="482" spans="2:26" x14ac:dyDescent="0.2">
      <c r="B482" s="413"/>
      <c r="C482" s="413"/>
      <c r="D482" s="413"/>
      <c r="E482" s="413"/>
      <c r="F482" s="413"/>
      <c r="G482" s="413"/>
      <c r="H482" s="413"/>
      <c r="I482" s="413"/>
      <c r="J482" s="413"/>
      <c r="K482" s="413"/>
      <c r="L482" s="971"/>
      <c r="M482" s="413"/>
      <c r="N482" s="413"/>
      <c r="O482" s="413"/>
      <c r="P482" s="414"/>
      <c r="Q482" s="413"/>
      <c r="R482" s="413"/>
      <c r="S482" s="413"/>
      <c r="T482" s="413"/>
      <c r="U482" s="413"/>
      <c r="V482" s="413"/>
      <c r="W482" s="413"/>
      <c r="X482" s="413"/>
      <c r="Y482" s="413"/>
      <c r="Z482" s="413"/>
    </row>
    <row r="483" spans="2:26" x14ac:dyDescent="0.2">
      <c r="B483" s="413"/>
      <c r="C483" s="413"/>
      <c r="D483" s="413"/>
      <c r="E483" s="413"/>
      <c r="F483" s="413"/>
      <c r="G483" s="413"/>
      <c r="H483" s="413"/>
      <c r="I483" s="413"/>
      <c r="J483" s="413"/>
      <c r="K483" s="413"/>
      <c r="L483" s="971"/>
      <c r="M483" s="413"/>
      <c r="N483" s="413"/>
      <c r="O483" s="413"/>
      <c r="P483" s="414"/>
      <c r="Q483" s="413"/>
      <c r="R483" s="413"/>
      <c r="S483" s="413"/>
      <c r="T483" s="413"/>
      <c r="U483" s="413"/>
      <c r="V483" s="413"/>
      <c r="W483" s="413"/>
      <c r="X483" s="413"/>
      <c r="Y483" s="413"/>
      <c r="Z483" s="413"/>
    </row>
    <row r="484" spans="2:26" x14ac:dyDescent="0.2">
      <c r="B484" s="413"/>
      <c r="C484" s="413"/>
      <c r="D484" s="413"/>
      <c r="E484" s="413"/>
      <c r="F484" s="413"/>
      <c r="G484" s="413"/>
      <c r="H484" s="413"/>
      <c r="I484" s="413"/>
      <c r="J484" s="413"/>
      <c r="K484" s="413"/>
      <c r="L484" s="971"/>
      <c r="M484" s="413"/>
      <c r="N484" s="413"/>
      <c r="O484" s="413"/>
      <c r="P484" s="414"/>
      <c r="Q484" s="413"/>
      <c r="R484" s="413"/>
      <c r="S484" s="413"/>
      <c r="T484" s="413"/>
      <c r="U484" s="413"/>
      <c r="V484" s="413"/>
      <c r="W484" s="413"/>
      <c r="X484" s="413"/>
      <c r="Y484" s="413"/>
      <c r="Z484" s="413"/>
    </row>
    <row r="485" spans="2:26" x14ac:dyDescent="0.2">
      <c r="B485" s="413"/>
      <c r="C485" s="413"/>
      <c r="D485" s="413"/>
      <c r="E485" s="413"/>
      <c r="F485" s="413"/>
      <c r="G485" s="413"/>
      <c r="H485" s="413"/>
      <c r="I485" s="413"/>
      <c r="J485" s="413"/>
      <c r="K485" s="413"/>
      <c r="L485" s="971"/>
      <c r="M485" s="413"/>
      <c r="N485" s="413"/>
      <c r="O485" s="413"/>
      <c r="P485" s="414"/>
      <c r="Q485" s="413"/>
      <c r="R485" s="413"/>
      <c r="S485" s="413"/>
      <c r="T485" s="413"/>
      <c r="U485" s="413"/>
      <c r="V485" s="413"/>
      <c r="W485" s="413"/>
      <c r="X485" s="413"/>
      <c r="Y485" s="413"/>
      <c r="Z485" s="413"/>
    </row>
    <row r="486" spans="2:26" x14ac:dyDescent="0.2">
      <c r="B486" s="413"/>
      <c r="C486" s="413"/>
      <c r="D486" s="413"/>
      <c r="E486" s="413"/>
      <c r="F486" s="413"/>
      <c r="G486" s="413"/>
      <c r="H486" s="413"/>
      <c r="I486" s="413"/>
      <c r="J486" s="413"/>
      <c r="K486" s="413"/>
      <c r="L486" s="971"/>
      <c r="M486" s="413"/>
      <c r="N486" s="413"/>
      <c r="O486" s="413"/>
      <c r="P486" s="414"/>
      <c r="Q486" s="413"/>
      <c r="R486" s="413"/>
      <c r="S486" s="413"/>
      <c r="T486" s="413"/>
      <c r="U486" s="413"/>
      <c r="V486" s="413"/>
      <c r="W486" s="413"/>
      <c r="X486" s="413"/>
      <c r="Y486" s="413"/>
      <c r="Z486" s="413"/>
    </row>
    <row r="487" spans="2:26" x14ac:dyDescent="0.2">
      <c r="B487" s="413"/>
      <c r="C487" s="413"/>
      <c r="D487" s="413"/>
      <c r="E487" s="413"/>
      <c r="F487" s="413"/>
      <c r="G487" s="413"/>
      <c r="H487" s="413"/>
      <c r="I487" s="413"/>
      <c r="J487" s="413"/>
      <c r="K487" s="413"/>
      <c r="L487" s="971"/>
      <c r="M487" s="413"/>
      <c r="N487" s="413"/>
      <c r="O487" s="413"/>
      <c r="P487" s="414"/>
      <c r="Q487" s="413"/>
      <c r="R487" s="413"/>
      <c r="S487" s="413"/>
      <c r="T487" s="413"/>
      <c r="U487" s="413"/>
      <c r="V487" s="413"/>
      <c r="W487" s="413"/>
      <c r="X487" s="413"/>
      <c r="Y487" s="413"/>
      <c r="Z487" s="413"/>
    </row>
    <row r="488" spans="2:26" x14ac:dyDescent="0.2">
      <c r="B488" s="413"/>
      <c r="C488" s="413"/>
      <c r="D488" s="413"/>
      <c r="E488" s="413"/>
      <c r="F488" s="413"/>
      <c r="G488" s="413"/>
      <c r="H488" s="413"/>
      <c r="I488" s="413"/>
      <c r="J488" s="413"/>
      <c r="K488" s="413"/>
      <c r="L488" s="971"/>
      <c r="M488" s="413"/>
      <c r="N488" s="413"/>
      <c r="O488" s="413"/>
      <c r="P488" s="414"/>
      <c r="Q488" s="413"/>
      <c r="R488" s="413"/>
      <c r="S488" s="413"/>
      <c r="T488" s="413"/>
      <c r="U488" s="413"/>
      <c r="V488" s="413"/>
      <c r="W488" s="413"/>
      <c r="X488" s="413"/>
      <c r="Y488" s="413"/>
      <c r="Z488" s="413"/>
    </row>
    <row r="489" spans="2:26" x14ac:dyDescent="0.2">
      <c r="B489" s="413"/>
      <c r="C489" s="413"/>
      <c r="D489" s="413"/>
      <c r="E489" s="413"/>
      <c r="F489" s="413"/>
      <c r="G489" s="413"/>
      <c r="H489" s="413"/>
      <c r="I489" s="413"/>
      <c r="J489" s="413"/>
      <c r="K489" s="413"/>
      <c r="L489" s="971"/>
      <c r="M489" s="413"/>
      <c r="N489" s="413"/>
      <c r="O489" s="413"/>
      <c r="P489" s="414"/>
      <c r="Q489" s="413"/>
      <c r="R489" s="413"/>
      <c r="S489" s="413"/>
      <c r="T489" s="413"/>
      <c r="U489" s="413"/>
      <c r="V489" s="413"/>
      <c r="W489" s="413"/>
      <c r="X489" s="413"/>
      <c r="Y489" s="413"/>
      <c r="Z489" s="413"/>
    </row>
    <row r="490" spans="2:26" x14ac:dyDescent="0.2">
      <c r="B490" s="413"/>
      <c r="C490" s="413"/>
      <c r="D490" s="413"/>
      <c r="E490" s="413"/>
      <c r="F490" s="413"/>
      <c r="G490" s="413"/>
      <c r="H490" s="413"/>
      <c r="I490" s="413"/>
      <c r="J490" s="413"/>
      <c r="K490" s="413"/>
      <c r="L490" s="971"/>
      <c r="M490" s="413"/>
      <c r="N490" s="413"/>
      <c r="O490" s="413"/>
      <c r="P490" s="414"/>
      <c r="Q490" s="413"/>
      <c r="R490" s="413"/>
      <c r="S490" s="413"/>
      <c r="T490" s="413"/>
      <c r="U490" s="413"/>
      <c r="V490" s="413"/>
      <c r="W490" s="413"/>
      <c r="X490" s="413"/>
      <c r="Y490" s="413"/>
      <c r="Z490" s="413"/>
    </row>
    <row r="491" spans="2:26" x14ac:dyDescent="0.2">
      <c r="B491" s="413"/>
      <c r="C491" s="413"/>
      <c r="D491" s="413"/>
      <c r="E491" s="413"/>
      <c r="F491" s="413"/>
      <c r="G491" s="413"/>
      <c r="H491" s="413"/>
      <c r="I491" s="413"/>
      <c r="J491" s="413"/>
      <c r="K491" s="413"/>
      <c r="L491" s="971"/>
      <c r="M491" s="413"/>
      <c r="N491" s="413"/>
      <c r="O491" s="413"/>
      <c r="P491" s="414"/>
      <c r="Q491" s="413"/>
      <c r="R491" s="413"/>
      <c r="S491" s="413"/>
      <c r="T491" s="413"/>
      <c r="U491" s="413"/>
      <c r="V491" s="413"/>
      <c r="W491" s="413"/>
      <c r="X491" s="413"/>
      <c r="Y491" s="413"/>
      <c r="Z491" s="413"/>
    </row>
    <row r="492" spans="2:26" x14ac:dyDescent="0.2">
      <c r="B492" s="413"/>
      <c r="C492" s="413"/>
      <c r="D492" s="413"/>
      <c r="E492" s="413"/>
      <c r="F492" s="413"/>
      <c r="G492" s="413"/>
      <c r="H492" s="413"/>
      <c r="I492" s="413"/>
      <c r="J492" s="413"/>
      <c r="K492" s="413"/>
      <c r="L492" s="971"/>
      <c r="M492" s="413"/>
      <c r="N492" s="413"/>
      <c r="O492" s="413"/>
      <c r="P492" s="414"/>
      <c r="Q492" s="413"/>
      <c r="R492" s="413"/>
      <c r="S492" s="413"/>
      <c r="T492" s="413"/>
      <c r="U492" s="413"/>
      <c r="V492" s="413"/>
      <c r="W492" s="413"/>
      <c r="X492" s="413"/>
      <c r="Y492" s="413"/>
      <c r="Z492" s="413"/>
    </row>
    <row r="493" spans="2:26" x14ac:dyDescent="0.2">
      <c r="B493" s="413"/>
      <c r="C493" s="413"/>
      <c r="D493" s="413"/>
      <c r="E493" s="413"/>
      <c r="F493" s="413"/>
      <c r="G493" s="413"/>
      <c r="H493" s="413"/>
      <c r="I493" s="413"/>
      <c r="J493" s="413"/>
      <c r="K493" s="413"/>
      <c r="L493" s="971"/>
      <c r="M493" s="413"/>
      <c r="N493" s="413"/>
      <c r="O493" s="413"/>
      <c r="P493" s="414"/>
      <c r="Q493" s="413"/>
      <c r="R493" s="413"/>
      <c r="S493" s="413"/>
      <c r="T493" s="413"/>
      <c r="U493" s="413"/>
      <c r="V493" s="413"/>
      <c r="W493" s="413"/>
      <c r="X493" s="413"/>
      <c r="Y493" s="413"/>
      <c r="Z493" s="413"/>
    </row>
    <row r="494" spans="2:26" x14ac:dyDescent="0.2">
      <c r="B494" s="413"/>
      <c r="C494" s="413"/>
      <c r="D494" s="413"/>
      <c r="E494" s="413"/>
      <c r="F494" s="413"/>
      <c r="G494" s="413"/>
      <c r="H494" s="413"/>
      <c r="I494" s="413"/>
      <c r="J494" s="413"/>
      <c r="K494" s="413"/>
      <c r="L494" s="971"/>
      <c r="M494" s="413"/>
      <c r="N494" s="413"/>
      <c r="O494" s="413"/>
      <c r="P494" s="414"/>
      <c r="Q494" s="413"/>
      <c r="R494" s="413"/>
      <c r="S494" s="413"/>
      <c r="T494" s="413"/>
      <c r="U494" s="413"/>
      <c r="V494" s="413"/>
      <c r="W494" s="413"/>
      <c r="X494" s="413"/>
      <c r="Y494" s="413"/>
      <c r="Z494" s="413"/>
    </row>
    <row r="495" spans="2:26" x14ac:dyDescent="0.2">
      <c r="B495" s="413"/>
      <c r="C495" s="413"/>
      <c r="D495" s="413"/>
      <c r="E495" s="413"/>
      <c r="F495" s="413"/>
      <c r="G495" s="413"/>
      <c r="H495" s="413"/>
      <c r="I495" s="413"/>
      <c r="J495" s="413"/>
      <c r="K495" s="413"/>
      <c r="L495" s="971"/>
      <c r="M495" s="413"/>
      <c r="N495" s="413"/>
      <c r="O495" s="413"/>
      <c r="P495" s="414"/>
      <c r="Q495" s="413"/>
      <c r="R495" s="413"/>
      <c r="S495" s="413"/>
      <c r="T495" s="413"/>
      <c r="U495" s="413"/>
      <c r="V495" s="413"/>
      <c r="W495" s="413"/>
      <c r="X495" s="413"/>
      <c r="Y495" s="413"/>
      <c r="Z495" s="413"/>
    </row>
    <row r="496" spans="2:26" x14ac:dyDescent="0.2">
      <c r="B496" s="413"/>
      <c r="C496" s="413"/>
      <c r="D496" s="413"/>
      <c r="E496" s="413"/>
      <c r="F496" s="413"/>
      <c r="G496" s="413"/>
      <c r="H496" s="413"/>
      <c r="I496" s="413"/>
      <c r="J496" s="413"/>
      <c r="K496" s="413"/>
      <c r="L496" s="971"/>
      <c r="M496" s="413"/>
      <c r="N496" s="413"/>
      <c r="O496" s="413"/>
      <c r="P496" s="414"/>
      <c r="Q496" s="413"/>
      <c r="R496" s="413"/>
      <c r="S496" s="413"/>
      <c r="T496" s="413"/>
      <c r="U496" s="413"/>
      <c r="V496" s="413"/>
      <c r="W496" s="413"/>
      <c r="X496" s="413"/>
      <c r="Y496" s="413"/>
      <c r="Z496" s="413"/>
    </row>
    <row r="497" spans="2:26" x14ac:dyDescent="0.2">
      <c r="B497" s="413"/>
      <c r="C497" s="413"/>
      <c r="D497" s="413"/>
      <c r="E497" s="413"/>
      <c r="F497" s="413"/>
      <c r="G497" s="413"/>
      <c r="H497" s="413"/>
      <c r="I497" s="413"/>
      <c r="J497" s="413"/>
      <c r="K497" s="413"/>
      <c r="L497" s="971"/>
      <c r="M497" s="413"/>
      <c r="N497" s="413"/>
      <c r="O497" s="413"/>
      <c r="P497" s="414"/>
      <c r="Q497" s="413"/>
      <c r="R497" s="413"/>
      <c r="S497" s="413"/>
      <c r="T497" s="413"/>
      <c r="U497" s="413"/>
      <c r="V497" s="413"/>
      <c r="W497" s="413"/>
      <c r="X497" s="413"/>
      <c r="Y497" s="413"/>
      <c r="Z497" s="413"/>
    </row>
    <row r="498" spans="2:26" x14ac:dyDescent="0.2">
      <c r="B498" s="413"/>
      <c r="C498" s="413"/>
      <c r="D498" s="413"/>
      <c r="E498" s="413"/>
      <c r="F498" s="413"/>
      <c r="G498" s="413"/>
      <c r="H498" s="413"/>
      <c r="I498" s="413"/>
      <c r="J498" s="413"/>
      <c r="K498" s="413"/>
      <c r="L498" s="971"/>
      <c r="M498" s="413"/>
      <c r="N498" s="413"/>
      <c r="O498" s="413"/>
      <c r="P498" s="414"/>
      <c r="Q498" s="413"/>
      <c r="R498" s="413"/>
      <c r="S498" s="413"/>
      <c r="T498" s="413"/>
      <c r="U498" s="413"/>
      <c r="V498" s="413"/>
      <c r="W498" s="413"/>
      <c r="X498" s="413"/>
      <c r="Y498" s="413"/>
      <c r="Z498" s="413"/>
    </row>
    <row r="499" spans="2:26" x14ac:dyDescent="0.2">
      <c r="B499" s="413"/>
      <c r="C499" s="413"/>
      <c r="D499" s="413"/>
      <c r="E499" s="413"/>
      <c r="F499" s="413"/>
      <c r="G499" s="413"/>
      <c r="H499" s="413"/>
      <c r="I499" s="413"/>
      <c r="J499" s="413"/>
      <c r="K499" s="413"/>
      <c r="L499" s="971"/>
      <c r="M499" s="413"/>
      <c r="N499" s="413"/>
      <c r="O499" s="413"/>
      <c r="P499" s="414"/>
      <c r="Q499" s="413"/>
      <c r="R499" s="413"/>
      <c r="S499" s="413"/>
      <c r="T499" s="413"/>
      <c r="U499" s="413"/>
      <c r="V499" s="413"/>
      <c r="W499" s="413"/>
      <c r="X499" s="413"/>
      <c r="Y499" s="413"/>
      <c r="Z499" s="413"/>
    </row>
    <row r="500" spans="2:26" x14ac:dyDescent="0.2">
      <c r="B500" s="413"/>
      <c r="C500" s="413"/>
      <c r="D500" s="413"/>
      <c r="E500" s="413"/>
      <c r="F500" s="413"/>
      <c r="G500" s="413"/>
      <c r="H500" s="413"/>
      <c r="I500" s="413"/>
      <c r="J500" s="413"/>
      <c r="K500" s="413"/>
      <c r="L500" s="971"/>
      <c r="M500" s="413"/>
      <c r="N500" s="413"/>
      <c r="O500" s="413"/>
      <c r="P500" s="414"/>
      <c r="Q500" s="413"/>
      <c r="R500" s="413"/>
      <c r="S500" s="413"/>
      <c r="T500" s="413"/>
      <c r="U500" s="413"/>
      <c r="V500" s="413"/>
      <c r="W500" s="413"/>
      <c r="X500" s="413"/>
      <c r="Y500" s="413"/>
      <c r="Z500" s="413"/>
    </row>
    <row r="501" spans="2:26" x14ac:dyDescent="0.2">
      <c r="B501" s="413"/>
      <c r="C501" s="413"/>
      <c r="D501" s="413"/>
      <c r="E501" s="413"/>
      <c r="F501" s="413"/>
      <c r="G501" s="413"/>
      <c r="H501" s="413"/>
      <c r="I501" s="413"/>
      <c r="J501" s="413"/>
      <c r="K501" s="413"/>
      <c r="L501" s="971"/>
      <c r="M501" s="413"/>
      <c r="N501" s="413"/>
      <c r="O501" s="413"/>
      <c r="P501" s="414"/>
      <c r="Q501" s="413"/>
      <c r="R501" s="413"/>
      <c r="S501" s="413"/>
      <c r="T501" s="413"/>
      <c r="U501" s="413"/>
      <c r="V501" s="413"/>
      <c r="W501" s="413"/>
      <c r="X501" s="413"/>
      <c r="Y501" s="413"/>
      <c r="Z501" s="413"/>
    </row>
    <row r="502" spans="2:26" x14ac:dyDescent="0.2">
      <c r="B502" s="413"/>
      <c r="C502" s="413"/>
      <c r="D502" s="413"/>
      <c r="E502" s="413"/>
      <c r="F502" s="413"/>
      <c r="G502" s="413"/>
      <c r="H502" s="413"/>
      <c r="I502" s="413"/>
      <c r="J502" s="413"/>
      <c r="K502" s="413"/>
      <c r="L502" s="971"/>
      <c r="M502" s="413"/>
      <c r="N502" s="413"/>
      <c r="O502" s="413"/>
      <c r="P502" s="414"/>
      <c r="Q502" s="413"/>
      <c r="R502" s="413"/>
      <c r="S502" s="413"/>
      <c r="T502" s="413"/>
      <c r="U502" s="413"/>
      <c r="V502" s="413"/>
      <c r="W502" s="413"/>
      <c r="X502" s="413"/>
      <c r="Y502" s="413"/>
      <c r="Z502" s="413"/>
    </row>
    <row r="503" spans="2:26" x14ac:dyDescent="0.2">
      <c r="B503" s="413"/>
      <c r="C503" s="413"/>
      <c r="D503" s="413"/>
      <c r="E503" s="413"/>
      <c r="F503" s="413"/>
      <c r="G503" s="413"/>
      <c r="H503" s="413"/>
      <c r="I503" s="413"/>
      <c r="J503" s="413"/>
      <c r="K503" s="413"/>
      <c r="L503" s="971"/>
      <c r="M503" s="413"/>
      <c r="N503" s="413"/>
      <c r="O503" s="413"/>
      <c r="P503" s="414"/>
      <c r="Q503" s="413"/>
      <c r="R503" s="413"/>
      <c r="S503" s="413"/>
      <c r="T503" s="413"/>
      <c r="U503" s="413"/>
      <c r="V503" s="413"/>
      <c r="W503" s="413"/>
      <c r="X503" s="413"/>
      <c r="Y503" s="413"/>
      <c r="Z503" s="413"/>
    </row>
    <row r="504" spans="2:26" x14ac:dyDescent="0.2">
      <c r="B504" s="413"/>
      <c r="C504" s="413"/>
      <c r="D504" s="413"/>
      <c r="E504" s="413"/>
      <c r="F504" s="413"/>
      <c r="G504" s="413"/>
      <c r="H504" s="413"/>
      <c r="I504" s="413"/>
      <c r="J504" s="413"/>
      <c r="K504" s="413"/>
      <c r="L504" s="971"/>
      <c r="M504" s="413"/>
      <c r="N504" s="413"/>
      <c r="O504" s="413"/>
      <c r="P504" s="414"/>
      <c r="Q504" s="413"/>
      <c r="R504" s="413"/>
      <c r="S504" s="413"/>
      <c r="T504" s="413"/>
      <c r="U504" s="413"/>
      <c r="V504" s="413"/>
      <c r="W504" s="413"/>
      <c r="X504" s="413"/>
      <c r="Y504" s="413"/>
      <c r="Z504" s="413"/>
    </row>
    <row r="505" spans="2:26" x14ac:dyDescent="0.2">
      <c r="B505" s="413"/>
      <c r="C505" s="413"/>
      <c r="D505" s="413"/>
      <c r="E505" s="413"/>
      <c r="F505" s="413"/>
      <c r="G505" s="413"/>
      <c r="H505" s="413"/>
      <c r="I505" s="413"/>
      <c r="J505" s="413"/>
      <c r="K505" s="413"/>
      <c r="L505" s="971"/>
      <c r="M505" s="413"/>
      <c r="N505" s="413"/>
      <c r="O505" s="413"/>
      <c r="P505" s="414"/>
      <c r="Q505" s="413"/>
      <c r="R505" s="413"/>
      <c r="S505" s="413"/>
      <c r="T505" s="413"/>
      <c r="U505" s="413"/>
      <c r="V505" s="413"/>
      <c r="W505" s="413"/>
      <c r="X505" s="413"/>
      <c r="Y505" s="413"/>
      <c r="Z505" s="413"/>
    </row>
    <row r="506" spans="2:26" x14ac:dyDescent="0.2">
      <c r="B506" s="413"/>
      <c r="C506" s="413"/>
      <c r="D506" s="413"/>
      <c r="E506" s="413"/>
      <c r="F506" s="413"/>
      <c r="G506" s="413"/>
      <c r="H506" s="413"/>
      <c r="I506" s="413"/>
      <c r="J506" s="413"/>
      <c r="K506" s="413"/>
      <c r="L506" s="971"/>
      <c r="M506" s="413"/>
      <c r="N506" s="413"/>
      <c r="O506" s="413"/>
      <c r="P506" s="414"/>
      <c r="Q506" s="413"/>
      <c r="R506" s="413"/>
      <c r="S506" s="413"/>
      <c r="T506" s="413"/>
      <c r="U506" s="413"/>
      <c r="V506" s="413"/>
      <c r="W506" s="413"/>
      <c r="X506" s="413"/>
      <c r="Y506" s="413"/>
      <c r="Z506" s="413"/>
    </row>
    <row r="507" spans="2:26" x14ac:dyDescent="0.2">
      <c r="B507" s="413"/>
      <c r="C507" s="413"/>
      <c r="D507" s="413"/>
      <c r="E507" s="413"/>
      <c r="F507" s="413"/>
      <c r="G507" s="413"/>
      <c r="H507" s="413"/>
      <c r="I507" s="413"/>
      <c r="J507" s="413"/>
      <c r="K507" s="413"/>
      <c r="L507" s="971"/>
      <c r="M507" s="413"/>
      <c r="N507" s="413"/>
      <c r="O507" s="413"/>
      <c r="P507" s="414"/>
      <c r="Q507" s="413"/>
      <c r="R507" s="413"/>
      <c r="S507" s="413"/>
      <c r="T507" s="413"/>
      <c r="U507" s="413"/>
      <c r="V507" s="413"/>
      <c r="W507" s="413"/>
      <c r="X507" s="413"/>
      <c r="Y507" s="413"/>
      <c r="Z507" s="413"/>
    </row>
    <row r="508" spans="2:26" x14ac:dyDescent="0.2">
      <c r="B508" s="413"/>
      <c r="C508" s="413"/>
      <c r="D508" s="413"/>
      <c r="E508" s="413"/>
      <c r="F508" s="413"/>
      <c r="G508" s="413"/>
      <c r="H508" s="413"/>
      <c r="I508" s="413"/>
      <c r="J508" s="413"/>
      <c r="K508" s="413"/>
      <c r="L508" s="971"/>
      <c r="M508" s="413"/>
      <c r="N508" s="413"/>
      <c r="O508" s="413"/>
      <c r="P508" s="414"/>
      <c r="Q508" s="413"/>
      <c r="R508" s="413"/>
      <c r="S508" s="413"/>
      <c r="T508" s="413"/>
      <c r="U508" s="413"/>
      <c r="V508" s="413"/>
      <c r="W508" s="413"/>
      <c r="X508" s="413"/>
      <c r="Y508" s="413"/>
      <c r="Z508" s="413"/>
    </row>
    <row r="509" spans="2:26" x14ac:dyDescent="0.2">
      <c r="B509" s="413"/>
      <c r="C509" s="413"/>
      <c r="D509" s="413"/>
      <c r="E509" s="413"/>
      <c r="F509" s="413"/>
      <c r="G509" s="413"/>
      <c r="H509" s="413"/>
      <c r="I509" s="413"/>
      <c r="J509" s="413"/>
      <c r="K509" s="413"/>
      <c r="L509" s="971"/>
      <c r="M509" s="413"/>
      <c r="N509" s="413"/>
      <c r="O509" s="413"/>
      <c r="P509" s="414"/>
      <c r="Q509" s="413"/>
      <c r="R509" s="413"/>
      <c r="S509" s="413"/>
      <c r="T509" s="413"/>
      <c r="U509" s="413"/>
      <c r="V509" s="413"/>
      <c r="W509" s="413"/>
      <c r="X509" s="413"/>
      <c r="Y509" s="413"/>
      <c r="Z509" s="413"/>
    </row>
    <row r="510" spans="2:26" x14ac:dyDescent="0.2">
      <c r="B510" s="413"/>
      <c r="C510" s="413"/>
      <c r="D510" s="413"/>
      <c r="E510" s="413"/>
      <c r="F510" s="413"/>
      <c r="G510" s="413"/>
      <c r="H510" s="413"/>
      <c r="I510" s="413"/>
      <c r="J510" s="413"/>
      <c r="K510" s="413"/>
      <c r="L510" s="971"/>
      <c r="M510" s="413"/>
      <c r="N510" s="413"/>
      <c r="O510" s="413"/>
      <c r="P510" s="414"/>
      <c r="Q510" s="413"/>
      <c r="R510" s="413"/>
      <c r="S510" s="413"/>
      <c r="T510" s="413"/>
      <c r="U510" s="413"/>
      <c r="V510" s="413"/>
      <c r="W510" s="413"/>
      <c r="X510" s="413"/>
      <c r="Y510" s="413"/>
      <c r="Z510" s="413"/>
    </row>
    <row r="511" spans="2:26" x14ac:dyDescent="0.2">
      <c r="B511" s="413"/>
      <c r="C511" s="413"/>
      <c r="D511" s="413"/>
      <c r="E511" s="413"/>
      <c r="F511" s="413"/>
      <c r="G511" s="413"/>
      <c r="H511" s="413"/>
      <c r="I511" s="413"/>
      <c r="J511" s="413"/>
      <c r="K511" s="413"/>
      <c r="L511" s="971"/>
      <c r="M511" s="413"/>
      <c r="N511" s="413"/>
      <c r="O511" s="413"/>
      <c r="P511" s="414"/>
      <c r="Q511" s="413"/>
      <c r="R511" s="413"/>
      <c r="S511" s="413"/>
      <c r="T511" s="413"/>
      <c r="U511" s="413"/>
      <c r="V511" s="413"/>
      <c r="W511" s="413"/>
      <c r="X511" s="413"/>
      <c r="Y511" s="413"/>
      <c r="Z511" s="413"/>
    </row>
    <row r="512" spans="2:26" x14ac:dyDescent="0.2">
      <c r="B512" s="413"/>
      <c r="C512" s="413"/>
      <c r="D512" s="413"/>
      <c r="E512" s="413"/>
      <c r="F512" s="413"/>
      <c r="G512" s="413"/>
      <c r="H512" s="413"/>
      <c r="I512" s="413"/>
      <c r="J512" s="413"/>
      <c r="K512" s="413"/>
      <c r="L512" s="971"/>
      <c r="M512" s="413"/>
      <c r="N512" s="413"/>
      <c r="O512" s="413"/>
      <c r="P512" s="414"/>
      <c r="Q512" s="413"/>
      <c r="R512" s="413"/>
      <c r="S512" s="413"/>
      <c r="T512" s="413"/>
      <c r="U512" s="413"/>
      <c r="V512" s="413"/>
      <c r="W512" s="413"/>
      <c r="X512" s="413"/>
      <c r="Y512" s="413"/>
      <c r="Z512" s="413"/>
    </row>
    <row r="513" spans="2:26" x14ac:dyDescent="0.2">
      <c r="B513" s="413"/>
      <c r="C513" s="413"/>
      <c r="D513" s="413"/>
      <c r="E513" s="413"/>
      <c r="F513" s="413"/>
      <c r="G513" s="413"/>
      <c r="H513" s="413"/>
      <c r="I513" s="413"/>
      <c r="J513" s="413"/>
      <c r="K513" s="413"/>
      <c r="L513" s="971"/>
      <c r="M513" s="413"/>
      <c r="N513" s="413"/>
      <c r="O513" s="413"/>
      <c r="P513" s="414"/>
      <c r="Q513" s="413"/>
      <c r="R513" s="413"/>
      <c r="S513" s="413"/>
      <c r="T513" s="413"/>
      <c r="U513" s="413"/>
      <c r="V513" s="413"/>
      <c r="W513" s="413"/>
      <c r="X513" s="413"/>
      <c r="Y513" s="413"/>
      <c r="Z513" s="413"/>
    </row>
    <row r="514" spans="2:26" x14ac:dyDescent="0.2">
      <c r="B514" s="413"/>
      <c r="C514" s="413"/>
      <c r="D514" s="413"/>
      <c r="E514" s="413"/>
      <c r="F514" s="413"/>
      <c r="G514" s="413"/>
      <c r="H514" s="413"/>
      <c r="I514" s="413"/>
      <c r="J514" s="413"/>
      <c r="K514" s="413"/>
      <c r="L514" s="971"/>
      <c r="M514" s="413"/>
      <c r="N514" s="413"/>
      <c r="O514" s="413"/>
      <c r="P514" s="414"/>
      <c r="Q514" s="413"/>
      <c r="R514" s="413"/>
      <c r="S514" s="413"/>
      <c r="T514" s="413"/>
      <c r="U514" s="413"/>
      <c r="V514" s="413"/>
      <c r="W514" s="413"/>
      <c r="X514" s="413"/>
      <c r="Y514" s="413"/>
      <c r="Z514" s="413"/>
    </row>
    <row r="515" spans="2:26" x14ac:dyDescent="0.2">
      <c r="B515" s="413"/>
      <c r="C515" s="413"/>
      <c r="D515" s="413"/>
      <c r="E515" s="413"/>
      <c r="F515" s="413"/>
      <c r="G515" s="413"/>
      <c r="H515" s="413"/>
      <c r="I515" s="413"/>
      <c r="J515" s="413"/>
      <c r="K515" s="413"/>
      <c r="L515" s="971"/>
      <c r="M515" s="413"/>
      <c r="N515" s="413"/>
      <c r="O515" s="413"/>
      <c r="P515" s="414"/>
      <c r="Q515" s="413"/>
      <c r="R515" s="413"/>
      <c r="S515" s="413"/>
      <c r="T515" s="413"/>
      <c r="U515" s="413"/>
      <c r="V515" s="413"/>
      <c r="W515" s="413"/>
      <c r="X515" s="413"/>
      <c r="Y515" s="413"/>
      <c r="Z515" s="413"/>
    </row>
    <row r="516" spans="2:26" x14ac:dyDescent="0.2">
      <c r="B516" s="413"/>
      <c r="C516" s="413"/>
      <c r="D516" s="413"/>
      <c r="E516" s="413"/>
      <c r="F516" s="413"/>
      <c r="G516" s="413"/>
      <c r="H516" s="413"/>
      <c r="I516" s="413"/>
      <c r="J516" s="413"/>
      <c r="K516" s="413"/>
      <c r="L516" s="971"/>
      <c r="M516" s="413"/>
      <c r="N516" s="413"/>
      <c r="O516" s="413"/>
      <c r="P516" s="414"/>
      <c r="Q516" s="413"/>
      <c r="R516" s="413"/>
      <c r="S516" s="413"/>
      <c r="T516" s="413"/>
      <c r="U516" s="413"/>
      <c r="V516" s="413"/>
      <c r="W516" s="413"/>
      <c r="X516" s="413"/>
      <c r="Y516" s="413"/>
      <c r="Z516" s="413"/>
    </row>
    <row r="517" spans="2:26" x14ac:dyDescent="0.2">
      <c r="B517" s="413"/>
      <c r="C517" s="413"/>
      <c r="D517" s="413"/>
      <c r="E517" s="413"/>
      <c r="F517" s="413"/>
      <c r="G517" s="413"/>
      <c r="H517" s="413"/>
      <c r="I517" s="413"/>
      <c r="J517" s="413"/>
      <c r="K517" s="413"/>
      <c r="L517" s="971"/>
      <c r="M517" s="413"/>
      <c r="N517" s="413"/>
      <c r="O517" s="413"/>
      <c r="P517" s="414"/>
      <c r="Q517" s="413"/>
      <c r="R517" s="413"/>
      <c r="S517" s="413"/>
      <c r="T517" s="413"/>
      <c r="U517" s="413"/>
      <c r="V517" s="413"/>
      <c r="W517" s="413"/>
      <c r="X517" s="413"/>
      <c r="Y517" s="413"/>
      <c r="Z517" s="413"/>
    </row>
    <row r="518" spans="2:26" x14ac:dyDescent="0.2">
      <c r="B518" s="413"/>
      <c r="C518" s="413"/>
      <c r="D518" s="413"/>
      <c r="E518" s="413"/>
      <c r="F518" s="413"/>
      <c r="G518" s="413"/>
      <c r="H518" s="413"/>
      <c r="I518" s="413"/>
      <c r="J518" s="413"/>
      <c r="K518" s="413"/>
      <c r="L518" s="971"/>
      <c r="M518" s="413"/>
      <c r="N518" s="413"/>
      <c r="O518" s="413"/>
      <c r="P518" s="414"/>
      <c r="Q518" s="413"/>
      <c r="R518" s="413"/>
      <c r="S518" s="413"/>
      <c r="T518" s="413"/>
      <c r="U518" s="413"/>
      <c r="V518" s="413"/>
      <c r="W518" s="413"/>
      <c r="X518" s="413"/>
      <c r="Y518" s="413"/>
      <c r="Z518" s="413"/>
    </row>
    <row r="519" spans="2:26" x14ac:dyDescent="0.2">
      <c r="B519" s="413"/>
      <c r="C519" s="413"/>
      <c r="D519" s="413"/>
      <c r="E519" s="413"/>
      <c r="F519" s="413"/>
      <c r="G519" s="413"/>
      <c r="H519" s="413"/>
      <c r="I519" s="413"/>
      <c r="J519" s="413"/>
      <c r="K519" s="413"/>
      <c r="L519" s="971"/>
      <c r="M519" s="413"/>
      <c r="N519" s="413"/>
      <c r="O519" s="413"/>
      <c r="P519" s="414"/>
      <c r="Q519" s="413"/>
      <c r="R519" s="413"/>
      <c r="S519" s="413"/>
      <c r="T519" s="413"/>
      <c r="U519" s="413"/>
      <c r="V519" s="413"/>
      <c r="W519" s="413"/>
      <c r="X519" s="413"/>
      <c r="Y519" s="413"/>
      <c r="Z519" s="413"/>
    </row>
    <row r="520" spans="2:26" x14ac:dyDescent="0.2">
      <c r="B520" s="413"/>
      <c r="C520" s="413"/>
      <c r="D520" s="413"/>
      <c r="E520" s="413"/>
      <c r="F520" s="413"/>
      <c r="G520" s="413"/>
      <c r="H520" s="413"/>
      <c r="I520" s="413"/>
      <c r="J520" s="413"/>
      <c r="K520" s="413"/>
      <c r="L520" s="971"/>
      <c r="M520" s="413"/>
      <c r="N520" s="413"/>
      <c r="O520" s="413"/>
      <c r="P520" s="414"/>
      <c r="Q520" s="413"/>
      <c r="R520" s="413"/>
      <c r="S520" s="413"/>
      <c r="T520" s="413"/>
      <c r="U520" s="413"/>
      <c r="V520" s="413"/>
      <c r="W520" s="413"/>
      <c r="X520" s="413"/>
      <c r="Y520" s="413"/>
      <c r="Z520" s="413"/>
    </row>
    <row r="521" spans="2:26" x14ac:dyDescent="0.2">
      <c r="B521" s="413"/>
      <c r="C521" s="413"/>
      <c r="D521" s="413"/>
      <c r="E521" s="413"/>
      <c r="F521" s="413"/>
      <c r="G521" s="413"/>
      <c r="H521" s="413"/>
      <c r="I521" s="413"/>
      <c r="J521" s="413"/>
      <c r="K521" s="413"/>
      <c r="L521" s="971"/>
      <c r="M521" s="413"/>
      <c r="N521" s="413"/>
      <c r="O521" s="413"/>
      <c r="P521" s="414"/>
      <c r="Q521" s="413"/>
      <c r="R521" s="413"/>
      <c r="S521" s="413"/>
      <c r="T521" s="413"/>
      <c r="U521" s="413"/>
      <c r="V521" s="413"/>
      <c r="W521" s="413"/>
      <c r="X521" s="413"/>
      <c r="Y521" s="413"/>
      <c r="Z521" s="413"/>
    </row>
    <row r="522" spans="2:26" x14ac:dyDescent="0.2">
      <c r="B522" s="413"/>
      <c r="C522" s="413"/>
      <c r="D522" s="413"/>
      <c r="E522" s="413"/>
      <c r="F522" s="413"/>
      <c r="G522" s="413"/>
      <c r="H522" s="413"/>
      <c r="I522" s="413"/>
      <c r="J522" s="413"/>
      <c r="K522" s="413"/>
      <c r="L522" s="971"/>
      <c r="M522" s="413"/>
      <c r="N522" s="413"/>
      <c r="O522" s="413"/>
      <c r="P522" s="414"/>
      <c r="Q522" s="413"/>
      <c r="R522" s="413"/>
      <c r="S522" s="413"/>
      <c r="T522" s="413"/>
      <c r="U522" s="413"/>
      <c r="V522" s="413"/>
      <c r="W522" s="413"/>
      <c r="X522" s="413"/>
      <c r="Y522" s="413"/>
      <c r="Z522" s="413"/>
    </row>
    <row r="523" spans="2:26" x14ac:dyDescent="0.2">
      <c r="B523" s="413"/>
      <c r="C523" s="413"/>
      <c r="D523" s="413"/>
      <c r="E523" s="413"/>
      <c r="F523" s="413"/>
      <c r="G523" s="413"/>
      <c r="H523" s="413"/>
      <c r="I523" s="413"/>
      <c r="J523" s="413"/>
      <c r="K523" s="413"/>
      <c r="L523" s="971"/>
      <c r="M523" s="413"/>
      <c r="N523" s="413"/>
      <c r="O523" s="413"/>
      <c r="P523" s="414"/>
      <c r="Q523" s="413"/>
      <c r="R523" s="413"/>
      <c r="S523" s="413"/>
      <c r="T523" s="413"/>
      <c r="U523" s="413"/>
      <c r="V523" s="413"/>
      <c r="W523" s="413"/>
      <c r="X523" s="413"/>
      <c r="Y523" s="413"/>
      <c r="Z523" s="413"/>
    </row>
    <row r="524" spans="2:26" x14ac:dyDescent="0.2">
      <c r="B524" s="413"/>
      <c r="C524" s="413"/>
      <c r="D524" s="413"/>
      <c r="E524" s="413"/>
      <c r="F524" s="413"/>
      <c r="G524" s="413"/>
      <c r="H524" s="413"/>
      <c r="I524" s="413"/>
      <c r="J524" s="413"/>
      <c r="K524" s="413"/>
      <c r="L524" s="971"/>
      <c r="M524" s="413"/>
      <c r="N524" s="413"/>
      <c r="O524" s="413"/>
      <c r="P524" s="414"/>
      <c r="Q524" s="413"/>
      <c r="R524" s="413"/>
      <c r="S524" s="413"/>
      <c r="T524" s="413"/>
      <c r="U524" s="413"/>
      <c r="V524" s="413"/>
      <c r="W524" s="413"/>
      <c r="X524" s="413"/>
      <c r="Y524" s="413"/>
      <c r="Z524" s="413"/>
    </row>
    <row r="525" spans="2:26" x14ac:dyDescent="0.2">
      <c r="B525" s="413"/>
      <c r="C525" s="413"/>
      <c r="D525" s="413"/>
      <c r="E525" s="413"/>
      <c r="F525" s="413"/>
      <c r="G525" s="413"/>
      <c r="H525" s="413"/>
      <c r="I525" s="413"/>
      <c r="J525" s="413"/>
      <c r="K525" s="413"/>
      <c r="L525" s="971"/>
      <c r="M525" s="413"/>
      <c r="N525" s="413"/>
      <c r="O525" s="413"/>
      <c r="P525" s="414"/>
      <c r="Q525" s="413"/>
      <c r="R525" s="413"/>
      <c r="S525" s="413"/>
      <c r="T525" s="413"/>
      <c r="U525" s="413"/>
      <c r="V525" s="413"/>
      <c r="W525" s="413"/>
      <c r="X525" s="413"/>
      <c r="Y525" s="413"/>
      <c r="Z525" s="413"/>
    </row>
    <row r="526" spans="2:26" x14ac:dyDescent="0.2">
      <c r="B526" s="413"/>
      <c r="C526" s="413"/>
      <c r="D526" s="413"/>
      <c r="E526" s="413"/>
      <c r="F526" s="413"/>
      <c r="G526" s="413"/>
      <c r="H526" s="413"/>
      <c r="I526" s="413"/>
      <c r="J526" s="413"/>
      <c r="K526" s="413"/>
      <c r="L526" s="971"/>
      <c r="M526" s="413"/>
      <c r="N526" s="413"/>
      <c r="O526" s="413"/>
      <c r="P526" s="414"/>
      <c r="Q526" s="413"/>
      <c r="R526" s="413"/>
      <c r="S526" s="413"/>
      <c r="T526" s="413"/>
      <c r="U526" s="413"/>
      <c r="V526" s="413"/>
      <c r="W526" s="413"/>
      <c r="X526" s="413"/>
      <c r="Y526" s="413"/>
      <c r="Z526" s="413"/>
    </row>
    <row r="527" spans="2:26" x14ac:dyDescent="0.2">
      <c r="B527" s="413"/>
      <c r="C527" s="413"/>
      <c r="D527" s="413"/>
      <c r="E527" s="413"/>
      <c r="F527" s="413"/>
      <c r="G527" s="413"/>
      <c r="H527" s="413"/>
      <c r="I527" s="413"/>
      <c r="J527" s="413"/>
      <c r="K527" s="413"/>
      <c r="L527" s="971"/>
      <c r="M527" s="413"/>
      <c r="N527" s="413"/>
      <c r="O527" s="413"/>
      <c r="P527" s="414"/>
      <c r="Q527" s="413"/>
      <c r="R527" s="413"/>
      <c r="S527" s="413"/>
      <c r="T527" s="413"/>
      <c r="U527" s="413"/>
      <c r="V527" s="413"/>
      <c r="W527" s="413"/>
      <c r="X527" s="413"/>
      <c r="Y527" s="413"/>
      <c r="Z527" s="413"/>
    </row>
    <row r="528" spans="2:26" x14ac:dyDescent="0.2">
      <c r="B528" s="413"/>
      <c r="C528" s="413"/>
      <c r="D528" s="413"/>
      <c r="E528" s="413"/>
      <c r="F528" s="413"/>
      <c r="G528" s="413"/>
      <c r="H528" s="413"/>
      <c r="I528" s="413"/>
      <c r="J528" s="413"/>
      <c r="K528" s="413"/>
      <c r="L528" s="971"/>
      <c r="M528" s="413"/>
      <c r="N528" s="413"/>
      <c r="O528" s="413"/>
      <c r="P528" s="414"/>
      <c r="Q528" s="413"/>
      <c r="R528" s="413"/>
      <c r="S528" s="413"/>
      <c r="T528" s="413"/>
      <c r="U528" s="413"/>
      <c r="V528" s="413"/>
      <c r="W528" s="413"/>
      <c r="X528" s="413"/>
      <c r="Y528" s="413"/>
      <c r="Z528" s="413"/>
    </row>
    <row r="529" spans="2:26" x14ac:dyDescent="0.2">
      <c r="B529" s="413"/>
      <c r="C529" s="413"/>
      <c r="D529" s="413"/>
      <c r="E529" s="413"/>
      <c r="F529" s="413"/>
      <c r="G529" s="413"/>
      <c r="H529" s="413"/>
      <c r="I529" s="413"/>
      <c r="J529" s="413"/>
      <c r="K529" s="413"/>
      <c r="L529" s="971"/>
      <c r="M529" s="413"/>
      <c r="N529" s="413"/>
      <c r="O529" s="413"/>
      <c r="P529" s="414"/>
      <c r="Q529" s="413"/>
      <c r="R529" s="413"/>
      <c r="S529" s="413"/>
      <c r="T529" s="413"/>
      <c r="U529" s="413"/>
      <c r="V529" s="413"/>
      <c r="W529" s="413"/>
      <c r="X529" s="413"/>
      <c r="Y529" s="413"/>
      <c r="Z529" s="413"/>
    </row>
    <row r="530" spans="2:26" x14ac:dyDescent="0.2">
      <c r="B530" s="413"/>
      <c r="C530" s="413"/>
      <c r="D530" s="413"/>
      <c r="E530" s="413"/>
      <c r="F530" s="413"/>
      <c r="G530" s="413"/>
      <c r="H530" s="413"/>
      <c r="I530" s="413"/>
      <c r="J530" s="413"/>
      <c r="K530" s="413"/>
      <c r="L530" s="971"/>
      <c r="M530" s="413"/>
      <c r="N530" s="413"/>
      <c r="O530" s="413"/>
      <c r="P530" s="414"/>
      <c r="Q530" s="413"/>
      <c r="R530" s="413"/>
      <c r="S530" s="413"/>
      <c r="T530" s="413"/>
      <c r="U530" s="413"/>
      <c r="V530" s="413"/>
      <c r="W530" s="413"/>
      <c r="X530" s="413"/>
      <c r="Y530" s="413"/>
      <c r="Z530" s="413"/>
    </row>
    <row r="531" spans="2:26" x14ac:dyDescent="0.2">
      <c r="B531" s="413"/>
      <c r="C531" s="413"/>
      <c r="D531" s="413"/>
      <c r="E531" s="413"/>
      <c r="F531" s="413"/>
      <c r="G531" s="413"/>
      <c r="H531" s="413"/>
      <c r="I531" s="413"/>
      <c r="J531" s="413"/>
      <c r="K531" s="413"/>
      <c r="L531" s="971"/>
      <c r="M531" s="413"/>
      <c r="N531" s="413"/>
      <c r="O531" s="413"/>
      <c r="P531" s="414"/>
      <c r="Q531" s="413"/>
      <c r="R531" s="413"/>
      <c r="S531" s="413"/>
      <c r="T531" s="413"/>
      <c r="U531" s="413"/>
      <c r="V531" s="413"/>
      <c r="W531" s="413"/>
      <c r="X531" s="413"/>
      <c r="Y531" s="413"/>
      <c r="Z531" s="413"/>
    </row>
    <row r="532" spans="2:26" x14ac:dyDescent="0.2">
      <c r="B532" s="413"/>
      <c r="C532" s="413"/>
      <c r="D532" s="413"/>
      <c r="E532" s="413"/>
      <c r="F532" s="413"/>
      <c r="G532" s="413"/>
      <c r="H532" s="413"/>
      <c r="I532" s="413"/>
      <c r="J532" s="413"/>
      <c r="K532" s="413"/>
      <c r="L532" s="971"/>
      <c r="M532" s="413"/>
      <c r="N532" s="413"/>
      <c r="O532" s="413"/>
      <c r="P532" s="414"/>
      <c r="Q532" s="413"/>
      <c r="R532" s="413"/>
      <c r="S532" s="413"/>
      <c r="T532" s="413"/>
      <c r="U532" s="413"/>
      <c r="V532" s="413"/>
      <c r="W532" s="413"/>
      <c r="X532" s="413"/>
      <c r="Y532" s="413"/>
      <c r="Z532" s="413"/>
    </row>
    <row r="533" spans="2:26" x14ac:dyDescent="0.2">
      <c r="B533" s="413"/>
      <c r="C533" s="413"/>
      <c r="D533" s="413"/>
      <c r="E533" s="413"/>
      <c r="F533" s="413"/>
      <c r="G533" s="413"/>
      <c r="H533" s="413"/>
      <c r="I533" s="413"/>
      <c r="J533" s="413"/>
      <c r="K533" s="413"/>
      <c r="L533" s="971"/>
      <c r="M533" s="413"/>
      <c r="N533" s="413"/>
      <c r="O533" s="413"/>
      <c r="P533" s="414"/>
      <c r="Q533" s="413"/>
      <c r="R533" s="413"/>
      <c r="S533" s="413"/>
      <c r="T533" s="413"/>
      <c r="U533" s="413"/>
      <c r="V533" s="413"/>
      <c r="W533" s="413"/>
      <c r="X533" s="413"/>
      <c r="Y533" s="413"/>
      <c r="Z533" s="413"/>
    </row>
    <row r="534" spans="2:26" x14ac:dyDescent="0.2">
      <c r="B534" s="413"/>
      <c r="C534" s="413"/>
      <c r="D534" s="413"/>
      <c r="E534" s="413"/>
      <c r="F534" s="413"/>
      <c r="G534" s="413"/>
      <c r="H534" s="413"/>
      <c r="I534" s="413"/>
      <c r="J534" s="413"/>
      <c r="K534" s="413"/>
      <c r="L534" s="971"/>
      <c r="M534" s="413"/>
      <c r="N534" s="413"/>
      <c r="O534" s="413"/>
      <c r="P534" s="414"/>
      <c r="Q534" s="413"/>
      <c r="R534" s="413"/>
      <c r="S534" s="413"/>
      <c r="T534" s="413"/>
      <c r="U534" s="413"/>
      <c r="V534" s="413"/>
      <c r="W534" s="413"/>
      <c r="X534" s="413"/>
      <c r="Y534" s="413"/>
      <c r="Z534" s="413"/>
    </row>
    <row r="535" spans="2:26" x14ac:dyDescent="0.2">
      <c r="B535" s="413"/>
      <c r="C535" s="413"/>
      <c r="D535" s="413"/>
      <c r="E535" s="413"/>
      <c r="F535" s="413"/>
      <c r="G535" s="413"/>
      <c r="H535" s="413"/>
      <c r="I535" s="413"/>
      <c r="J535" s="413"/>
      <c r="K535" s="413"/>
      <c r="L535" s="971"/>
      <c r="M535" s="413"/>
      <c r="N535" s="413"/>
      <c r="O535" s="413"/>
      <c r="P535" s="414"/>
      <c r="Q535" s="413"/>
      <c r="R535" s="413"/>
      <c r="S535" s="413"/>
      <c r="T535" s="413"/>
      <c r="U535" s="413"/>
      <c r="V535" s="413"/>
      <c r="W535" s="413"/>
      <c r="X535" s="413"/>
      <c r="Y535" s="413"/>
      <c r="Z535" s="413"/>
    </row>
    <row r="536" spans="2:26" x14ac:dyDescent="0.2">
      <c r="B536" s="413"/>
      <c r="C536" s="413"/>
      <c r="D536" s="413"/>
      <c r="E536" s="413"/>
      <c r="F536" s="413"/>
      <c r="G536" s="413"/>
      <c r="H536" s="413"/>
      <c r="I536" s="413"/>
      <c r="J536" s="413"/>
      <c r="K536" s="413"/>
      <c r="L536" s="971"/>
      <c r="M536" s="413"/>
      <c r="N536" s="413"/>
      <c r="O536" s="413"/>
      <c r="P536" s="414"/>
      <c r="Q536" s="413"/>
      <c r="R536" s="413"/>
      <c r="S536" s="413"/>
      <c r="T536" s="413"/>
      <c r="U536" s="413"/>
      <c r="V536" s="413"/>
      <c r="W536" s="413"/>
      <c r="X536" s="413"/>
      <c r="Y536" s="413"/>
      <c r="Z536" s="413"/>
    </row>
    <row r="537" spans="2:26" x14ac:dyDescent="0.2">
      <c r="B537" s="413"/>
      <c r="C537" s="413"/>
      <c r="D537" s="413"/>
      <c r="E537" s="413"/>
      <c r="F537" s="413"/>
      <c r="G537" s="413"/>
      <c r="H537" s="413"/>
      <c r="I537" s="413"/>
      <c r="J537" s="413"/>
      <c r="K537" s="413"/>
      <c r="L537" s="971"/>
      <c r="M537" s="413"/>
      <c r="N537" s="413"/>
      <c r="O537" s="413"/>
      <c r="P537" s="414"/>
      <c r="Q537" s="413"/>
      <c r="R537" s="413"/>
      <c r="S537" s="413"/>
      <c r="T537" s="413"/>
      <c r="U537" s="413"/>
      <c r="V537" s="413"/>
      <c r="W537" s="413"/>
      <c r="X537" s="413"/>
      <c r="Y537" s="413"/>
      <c r="Z537" s="413"/>
    </row>
    <row r="538" spans="2:26" x14ac:dyDescent="0.2">
      <c r="B538" s="413"/>
      <c r="C538" s="413"/>
      <c r="D538" s="413"/>
      <c r="E538" s="413"/>
      <c r="F538" s="413"/>
      <c r="G538" s="413"/>
      <c r="H538" s="413"/>
      <c r="I538" s="413"/>
      <c r="J538" s="413"/>
      <c r="K538" s="413"/>
      <c r="L538" s="971"/>
      <c r="M538" s="413"/>
      <c r="N538" s="413"/>
      <c r="O538" s="413"/>
      <c r="P538" s="414"/>
      <c r="Q538" s="413"/>
      <c r="R538" s="413"/>
      <c r="S538" s="413"/>
      <c r="T538" s="413"/>
      <c r="U538" s="413"/>
      <c r="V538" s="413"/>
      <c r="W538" s="413"/>
      <c r="X538" s="413"/>
      <c r="Y538" s="413"/>
      <c r="Z538" s="413"/>
    </row>
    <row r="539" spans="2:26" x14ac:dyDescent="0.2">
      <c r="B539" s="413"/>
      <c r="C539" s="413"/>
      <c r="D539" s="413"/>
      <c r="E539" s="413"/>
      <c r="F539" s="413"/>
      <c r="G539" s="413"/>
      <c r="H539" s="413"/>
      <c r="I539" s="413"/>
      <c r="J539" s="413"/>
      <c r="K539" s="413"/>
      <c r="L539" s="971"/>
      <c r="M539" s="413"/>
      <c r="N539" s="413"/>
      <c r="O539" s="413"/>
      <c r="P539" s="414"/>
      <c r="Q539" s="413"/>
      <c r="R539" s="413"/>
      <c r="S539" s="413"/>
      <c r="T539" s="413"/>
      <c r="U539" s="413"/>
      <c r="V539" s="413"/>
      <c r="W539" s="413"/>
      <c r="X539" s="413"/>
      <c r="Y539" s="413"/>
      <c r="Z539" s="413"/>
    </row>
    <row r="540" spans="2:26" x14ac:dyDescent="0.2">
      <c r="B540" s="413"/>
      <c r="C540" s="413"/>
      <c r="D540" s="413"/>
      <c r="E540" s="413"/>
      <c r="F540" s="413"/>
      <c r="G540" s="413"/>
      <c r="H540" s="413"/>
      <c r="I540" s="413"/>
      <c r="J540" s="413"/>
      <c r="K540" s="413"/>
      <c r="L540" s="971"/>
      <c r="M540" s="413"/>
      <c r="N540" s="413"/>
      <c r="O540" s="413"/>
      <c r="P540" s="414"/>
      <c r="Q540" s="413"/>
      <c r="R540" s="413"/>
      <c r="S540" s="413"/>
      <c r="T540" s="413"/>
      <c r="U540" s="413"/>
      <c r="V540" s="413"/>
      <c r="W540" s="413"/>
      <c r="X540" s="413"/>
      <c r="Y540" s="413"/>
      <c r="Z540" s="413"/>
    </row>
    <row r="541" spans="2:26" x14ac:dyDescent="0.2">
      <c r="B541" s="413"/>
      <c r="C541" s="413"/>
      <c r="D541" s="413"/>
      <c r="E541" s="413"/>
      <c r="F541" s="413"/>
      <c r="G541" s="413"/>
      <c r="H541" s="413"/>
      <c r="I541" s="413"/>
      <c r="J541" s="413"/>
      <c r="K541" s="413"/>
      <c r="L541" s="971"/>
      <c r="M541" s="413"/>
      <c r="N541" s="413"/>
      <c r="O541" s="413"/>
      <c r="P541" s="414"/>
      <c r="Q541" s="413"/>
      <c r="R541" s="413"/>
      <c r="S541" s="413"/>
      <c r="T541" s="413"/>
      <c r="U541" s="413"/>
      <c r="V541" s="413"/>
      <c r="W541" s="413"/>
      <c r="X541" s="413"/>
      <c r="Y541" s="413"/>
      <c r="Z541" s="413"/>
    </row>
    <row r="542" spans="2:26" x14ac:dyDescent="0.2">
      <c r="B542" s="413"/>
      <c r="C542" s="413"/>
      <c r="D542" s="413"/>
      <c r="E542" s="413"/>
      <c r="F542" s="413"/>
      <c r="G542" s="413"/>
      <c r="H542" s="413"/>
      <c r="I542" s="413"/>
      <c r="J542" s="413"/>
      <c r="K542" s="413"/>
      <c r="L542" s="971"/>
      <c r="M542" s="413"/>
      <c r="N542" s="413"/>
      <c r="O542" s="413"/>
      <c r="P542" s="414"/>
      <c r="Q542" s="413"/>
      <c r="R542" s="413"/>
      <c r="S542" s="413"/>
      <c r="T542" s="413"/>
      <c r="U542" s="413"/>
      <c r="V542" s="413"/>
      <c r="W542" s="413"/>
      <c r="X542" s="413"/>
      <c r="Y542" s="413"/>
      <c r="Z542" s="413"/>
    </row>
    <row r="543" spans="2:26" x14ac:dyDescent="0.2">
      <c r="B543" s="413"/>
      <c r="C543" s="413"/>
      <c r="D543" s="413"/>
      <c r="E543" s="413"/>
      <c r="F543" s="413"/>
      <c r="G543" s="413"/>
      <c r="H543" s="413"/>
      <c r="I543" s="413"/>
      <c r="J543" s="413"/>
      <c r="K543" s="413"/>
      <c r="L543" s="971"/>
      <c r="M543" s="413"/>
      <c r="N543" s="413"/>
      <c r="O543" s="413"/>
      <c r="P543" s="414"/>
      <c r="Q543" s="413"/>
      <c r="R543" s="413"/>
      <c r="S543" s="413"/>
      <c r="T543" s="413"/>
      <c r="U543" s="413"/>
      <c r="V543" s="413"/>
      <c r="W543" s="413"/>
      <c r="X543" s="413"/>
      <c r="Y543" s="413"/>
      <c r="Z543" s="413"/>
    </row>
    <row r="544" spans="2:26" x14ac:dyDescent="0.2">
      <c r="B544" s="413"/>
      <c r="C544" s="413"/>
      <c r="D544" s="413"/>
      <c r="E544" s="413"/>
      <c r="F544" s="413"/>
      <c r="G544" s="413"/>
      <c r="H544" s="413"/>
      <c r="I544" s="413"/>
      <c r="J544" s="413"/>
      <c r="K544" s="413"/>
      <c r="L544" s="971"/>
      <c r="M544" s="413"/>
      <c r="N544" s="413"/>
      <c r="O544" s="413"/>
      <c r="P544" s="414"/>
      <c r="Q544" s="413"/>
      <c r="R544" s="413"/>
      <c r="S544" s="413"/>
      <c r="T544" s="413"/>
      <c r="U544" s="413"/>
      <c r="V544" s="413"/>
      <c r="W544" s="413"/>
      <c r="X544" s="413"/>
      <c r="Y544" s="413"/>
      <c r="Z544" s="413"/>
    </row>
    <row r="545" spans="2:26" x14ac:dyDescent="0.2">
      <c r="B545" s="413"/>
      <c r="C545" s="413"/>
      <c r="D545" s="413"/>
      <c r="E545" s="413"/>
      <c r="F545" s="413"/>
      <c r="G545" s="413"/>
      <c r="H545" s="413"/>
      <c r="I545" s="413"/>
      <c r="J545" s="413"/>
      <c r="K545" s="413"/>
      <c r="L545" s="971"/>
      <c r="M545" s="413"/>
      <c r="N545" s="413"/>
      <c r="O545" s="413"/>
      <c r="P545" s="414"/>
      <c r="Q545" s="413"/>
      <c r="R545" s="413"/>
      <c r="S545" s="413"/>
      <c r="T545" s="413"/>
      <c r="U545" s="413"/>
      <c r="V545" s="413"/>
      <c r="W545" s="413"/>
      <c r="X545" s="413"/>
      <c r="Y545" s="413"/>
      <c r="Z545" s="413"/>
    </row>
    <row r="546" spans="2:26" x14ac:dyDescent="0.2">
      <c r="B546" s="413"/>
      <c r="C546" s="413"/>
      <c r="D546" s="413"/>
      <c r="E546" s="413"/>
      <c r="F546" s="413"/>
      <c r="G546" s="413"/>
      <c r="H546" s="413"/>
      <c r="I546" s="413"/>
      <c r="J546" s="413"/>
      <c r="K546" s="413"/>
      <c r="L546" s="971"/>
      <c r="M546" s="413"/>
      <c r="N546" s="413"/>
      <c r="O546" s="413"/>
      <c r="P546" s="414"/>
      <c r="Q546" s="413"/>
      <c r="R546" s="413"/>
      <c r="S546" s="413"/>
      <c r="T546" s="413"/>
      <c r="U546" s="413"/>
      <c r="V546" s="413"/>
      <c r="W546" s="413"/>
      <c r="X546" s="413"/>
      <c r="Y546" s="413"/>
      <c r="Z546" s="413"/>
    </row>
    <row r="547" spans="2:26" x14ac:dyDescent="0.2">
      <c r="B547" s="413"/>
      <c r="C547" s="413"/>
      <c r="D547" s="413"/>
      <c r="E547" s="413"/>
      <c r="F547" s="413"/>
      <c r="G547" s="413"/>
      <c r="H547" s="413"/>
      <c r="I547" s="413"/>
      <c r="J547" s="413"/>
      <c r="K547" s="413"/>
      <c r="L547" s="971"/>
      <c r="M547" s="413"/>
      <c r="N547" s="413"/>
      <c r="O547" s="413"/>
      <c r="P547" s="414"/>
      <c r="Q547" s="413"/>
      <c r="R547" s="413"/>
      <c r="S547" s="413"/>
      <c r="T547" s="413"/>
      <c r="U547" s="413"/>
      <c r="V547" s="413"/>
      <c r="W547" s="413"/>
      <c r="X547" s="413"/>
      <c r="Y547" s="413"/>
      <c r="Z547" s="413"/>
    </row>
    <row r="548" spans="2:26" x14ac:dyDescent="0.2">
      <c r="B548" s="413"/>
      <c r="C548" s="413"/>
      <c r="D548" s="413"/>
      <c r="E548" s="413"/>
      <c r="F548" s="413"/>
      <c r="G548" s="413"/>
      <c r="H548" s="413"/>
      <c r="I548" s="413"/>
      <c r="J548" s="413"/>
      <c r="K548" s="413"/>
      <c r="L548" s="971"/>
      <c r="M548" s="413"/>
      <c r="N548" s="413"/>
      <c r="O548" s="413"/>
      <c r="P548" s="414"/>
      <c r="Q548" s="413"/>
      <c r="R548" s="413"/>
      <c r="S548" s="413"/>
      <c r="T548" s="413"/>
      <c r="U548" s="413"/>
      <c r="V548" s="413"/>
      <c r="W548" s="413"/>
      <c r="X548" s="413"/>
      <c r="Y548" s="413"/>
      <c r="Z548" s="413"/>
    </row>
    <row r="549" spans="2:26" x14ac:dyDescent="0.2">
      <c r="B549" s="413"/>
      <c r="C549" s="413"/>
      <c r="D549" s="413"/>
      <c r="E549" s="413"/>
      <c r="F549" s="413"/>
      <c r="G549" s="413"/>
      <c r="H549" s="413"/>
      <c r="I549" s="413"/>
      <c r="J549" s="413"/>
      <c r="K549" s="413"/>
      <c r="L549" s="971"/>
      <c r="M549" s="413"/>
      <c r="N549" s="413"/>
      <c r="O549" s="413"/>
      <c r="P549" s="414"/>
      <c r="Q549" s="413"/>
      <c r="R549" s="413"/>
      <c r="S549" s="413"/>
      <c r="T549" s="413"/>
      <c r="U549" s="413"/>
      <c r="V549" s="413"/>
      <c r="W549" s="413"/>
      <c r="X549" s="413"/>
      <c r="Y549" s="413"/>
      <c r="Z549" s="413"/>
    </row>
    <row r="550" spans="2:26" x14ac:dyDescent="0.2">
      <c r="B550" s="413"/>
      <c r="C550" s="413"/>
      <c r="D550" s="413"/>
      <c r="E550" s="413"/>
      <c r="F550" s="413"/>
      <c r="G550" s="413"/>
      <c r="H550" s="413"/>
      <c r="I550" s="413"/>
      <c r="J550" s="413"/>
      <c r="K550" s="413"/>
      <c r="L550" s="971"/>
      <c r="M550" s="413"/>
      <c r="N550" s="413"/>
      <c r="O550" s="413"/>
      <c r="P550" s="414"/>
      <c r="Q550" s="413"/>
      <c r="R550" s="413"/>
      <c r="S550" s="413"/>
      <c r="T550" s="413"/>
      <c r="U550" s="413"/>
      <c r="V550" s="413"/>
      <c r="W550" s="413"/>
      <c r="X550" s="413"/>
      <c r="Y550" s="413"/>
      <c r="Z550" s="413"/>
    </row>
    <row r="551" spans="2:26" x14ac:dyDescent="0.2">
      <c r="B551" s="413"/>
      <c r="C551" s="413"/>
      <c r="D551" s="413"/>
      <c r="E551" s="413"/>
      <c r="F551" s="413"/>
      <c r="G551" s="413"/>
      <c r="H551" s="413"/>
      <c r="I551" s="413"/>
      <c r="J551" s="413"/>
      <c r="K551" s="413"/>
      <c r="L551" s="971"/>
      <c r="M551" s="413"/>
      <c r="N551" s="413"/>
      <c r="O551" s="413"/>
      <c r="P551" s="414"/>
      <c r="Q551" s="413"/>
      <c r="R551" s="413"/>
      <c r="S551" s="413"/>
      <c r="T551" s="413"/>
      <c r="U551" s="413"/>
      <c r="V551" s="413"/>
      <c r="W551" s="413"/>
      <c r="X551" s="413"/>
      <c r="Y551" s="413"/>
      <c r="Z551" s="413"/>
    </row>
    <row r="552" spans="2:26" x14ac:dyDescent="0.2">
      <c r="B552" s="413"/>
      <c r="C552" s="413"/>
      <c r="D552" s="413"/>
      <c r="E552" s="413"/>
      <c r="F552" s="413"/>
      <c r="G552" s="413"/>
      <c r="H552" s="413"/>
      <c r="I552" s="413"/>
      <c r="J552" s="413"/>
      <c r="K552" s="413"/>
      <c r="L552" s="971"/>
      <c r="M552" s="413"/>
      <c r="N552" s="413"/>
      <c r="O552" s="413"/>
      <c r="P552" s="414"/>
      <c r="Q552" s="413"/>
      <c r="R552" s="413"/>
      <c r="S552" s="413"/>
      <c r="T552" s="413"/>
      <c r="U552" s="413"/>
      <c r="V552" s="413"/>
      <c r="W552" s="413"/>
      <c r="X552" s="413"/>
      <c r="Y552" s="413"/>
      <c r="Z552" s="413"/>
    </row>
    <row r="553" spans="2:26" x14ac:dyDescent="0.2">
      <c r="B553" s="413"/>
      <c r="C553" s="413"/>
      <c r="D553" s="413"/>
      <c r="E553" s="413"/>
      <c r="F553" s="413"/>
      <c r="G553" s="413"/>
      <c r="H553" s="413"/>
      <c r="I553" s="413"/>
      <c r="J553" s="413"/>
      <c r="K553" s="413"/>
      <c r="L553" s="971"/>
      <c r="M553" s="413"/>
      <c r="N553" s="413"/>
      <c r="O553" s="413"/>
      <c r="P553" s="414"/>
      <c r="Q553" s="413"/>
      <c r="R553" s="413"/>
      <c r="S553" s="413"/>
      <c r="T553" s="413"/>
      <c r="U553" s="413"/>
      <c r="V553" s="413"/>
      <c r="W553" s="413"/>
      <c r="X553" s="413"/>
      <c r="Y553" s="413"/>
      <c r="Z553" s="413"/>
    </row>
    <row r="554" spans="2:26" x14ac:dyDescent="0.2">
      <c r="B554" s="413"/>
      <c r="C554" s="413"/>
      <c r="D554" s="413"/>
      <c r="E554" s="413"/>
      <c r="F554" s="413"/>
      <c r="G554" s="413"/>
      <c r="H554" s="413"/>
      <c r="I554" s="413"/>
      <c r="J554" s="413"/>
      <c r="K554" s="413"/>
      <c r="L554" s="971"/>
      <c r="M554" s="413"/>
      <c r="N554" s="413"/>
      <c r="O554" s="413"/>
      <c r="P554" s="414"/>
      <c r="Q554" s="413"/>
      <c r="R554" s="413"/>
      <c r="S554" s="413"/>
      <c r="T554" s="413"/>
      <c r="U554" s="413"/>
      <c r="V554" s="413"/>
      <c r="W554" s="413"/>
      <c r="X554" s="413"/>
      <c r="Y554" s="413"/>
      <c r="Z554" s="413"/>
    </row>
    <row r="555" spans="2:26" x14ac:dyDescent="0.2">
      <c r="B555" s="413"/>
      <c r="C555" s="413"/>
      <c r="D555" s="413"/>
      <c r="E555" s="413"/>
      <c r="F555" s="413"/>
      <c r="G555" s="413"/>
      <c r="H555" s="413"/>
      <c r="I555" s="413"/>
      <c r="J555" s="413"/>
      <c r="K555" s="413"/>
      <c r="L555" s="971"/>
      <c r="M555" s="413"/>
      <c r="N555" s="413"/>
      <c r="O555" s="413"/>
      <c r="P555" s="414"/>
      <c r="Q555" s="413"/>
      <c r="R555" s="413"/>
      <c r="S555" s="413"/>
      <c r="T555" s="413"/>
      <c r="U555" s="413"/>
      <c r="V555" s="413"/>
      <c r="W555" s="413"/>
      <c r="X555" s="413"/>
      <c r="Y555" s="413"/>
      <c r="Z555" s="413"/>
    </row>
    <row r="556" spans="2:26" x14ac:dyDescent="0.2">
      <c r="B556" s="413"/>
      <c r="C556" s="413"/>
      <c r="D556" s="413"/>
      <c r="E556" s="413"/>
      <c r="F556" s="413"/>
      <c r="G556" s="413"/>
      <c r="H556" s="413"/>
      <c r="I556" s="413"/>
      <c r="J556" s="413"/>
      <c r="K556" s="413"/>
      <c r="L556" s="971"/>
      <c r="M556" s="413"/>
      <c r="N556" s="413"/>
      <c r="O556" s="413"/>
      <c r="P556" s="414"/>
      <c r="Q556" s="413"/>
      <c r="R556" s="413"/>
      <c r="S556" s="413"/>
      <c r="T556" s="413"/>
      <c r="U556" s="413"/>
      <c r="V556" s="413"/>
      <c r="W556" s="413"/>
      <c r="X556" s="413"/>
      <c r="Y556" s="413"/>
      <c r="Z556" s="413"/>
    </row>
    <row r="557" spans="2:26" x14ac:dyDescent="0.2">
      <c r="B557" s="413"/>
      <c r="C557" s="413"/>
      <c r="D557" s="413"/>
      <c r="E557" s="413"/>
      <c r="F557" s="413"/>
      <c r="G557" s="413"/>
      <c r="H557" s="413"/>
      <c r="I557" s="413"/>
      <c r="J557" s="413"/>
      <c r="K557" s="413"/>
      <c r="L557" s="971"/>
      <c r="M557" s="413"/>
      <c r="N557" s="413"/>
      <c r="O557" s="413"/>
      <c r="P557" s="414"/>
      <c r="Q557" s="413"/>
      <c r="R557" s="413"/>
      <c r="S557" s="413"/>
      <c r="T557" s="413"/>
      <c r="U557" s="413"/>
      <c r="V557" s="413"/>
      <c r="W557" s="413"/>
      <c r="X557" s="413"/>
      <c r="Y557" s="413"/>
      <c r="Z557" s="413"/>
    </row>
    <row r="558" spans="2:26" x14ac:dyDescent="0.2">
      <c r="B558" s="413"/>
      <c r="C558" s="413"/>
      <c r="D558" s="413"/>
      <c r="E558" s="413"/>
      <c r="F558" s="413"/>
      <c r="G558" s="413"/>
      <c r="H558" s="413"/>
      <c r="I558" s="413"/>
      <c r="J558" s="413"/>
      <c r="K558" s="413"/>
      <c r="L558" s="971"/>
      <c r="M558" s="413"/>
      <c r="N558" s="413"/>
      <c r="O558" s="413"/>
      <c r="P558" s="414"/>
      <c r="Q558" s="413"/>
      <c r="R558" s="413"/>
      <c r="S558" s="413"/>
      <c r="T558" s="413"/>
      <c r="U558" s="413"/>
      <c r="V558" s="413"/>
      <c r="W558" s="413"/>
      <c r="X558" s="413"/>
      <c r="Y558" s="413"/>
      <c r="Z558" s="413"/>
    </row>
    <row r="559" spans="2:26" x14ac:dyDescent="0.2">
      <c r="B559" s="413"/>
      <c r="C559" s="413"/>
      <c r="D559" s="413"/>
      <c r="E559" s="413"/>
      <c r="F559" s="413"/>
      <c r="G559" s="413"/>
      <c r="H559" s="413"/>
      <c r="I559" s="413"/>
      <c r="J559" s="413"/>
      <c r="K559" s="413"/>
      <c r="L559" s="971"/>
      <c r="M559" s="413"/>
      <c r="N559" s="413"/>
      <c r="O559" s="413"/>
      <c r="P559" s="414"/>
      <c r="Q559" s="413"/>
      <c r="R559" s="413"/>
      <c r="S559" s="413"/>
      <c r="T559" s="413"/>
      <c r="U559" s="413"/>
      <c r="V559" s="413"/>
      <c r="W559" s="413"/>
      <c r="X559" s="413"/>
      <c r="Y559" s="413"/>
      <c r="Z559" s="413"/>
    </row>
    <row r="560" spans="2:26" x14ac:dyDescent="0.2">
      <c r="B560" s="413"/>
      <c r="C560" s="413"/>
      <c r="D560" s="413"/>
      <c r="E560" s="413"/>
      <c r="F560" s="413"/>
      <c r="G560" s="413"/>
      <c r="H560" s="413"/>
      <c r="I560" s="413"/>
      <c r="J560" s="413"/>
      <c r="K560" s="413"/>
      <c r="L560" s="971"/>
      <c r="M560" s="413"/>
      <c r="N560" s="413"/>
      <c r="O560" s="413"/>
      <c r="P560" s="414"/>
      <c r="Q560" s="413"/>
      <c r="R560" s="413"/>
      <c r="S560" s="413"/>
      <c r="T560" s="413"/>
      <c r="U560" s="413"/>
      <c r="V560" s="413"/>
      <c r="W560" s="413"/>
      <c r="X560" s="413"/>
      <c r="Y560" s="413"/>
      <c r="Z560" s="413"/>
    </row>
    <row r="561" spans="2:26" x14ac:dyDescent="0.2">
      <c r="B561" s="413"/>
      <c r="C561" s="413"/>
      <c r="D561" s="413"/>
      <c r="E561" s="413"/>
      <c r="F561" s="413"/>
      <c r="G561" s="413"/>
      <c r="H561" s="413"/>
      <c r="I561" s="413"/>
      <c r="J561" s="413"/>
      <c r="K561" s="413"/>
      <c r="L561" s="971"/>
      <c r="M561" s="413"/>
      <c r="N561" s="413"/>
      <c r="O561" s="413"/>
      <c r="P561" s="414"/>
      <c r="Q561" s="413"/>
      <c r="R561" s="413"/>
      <c r="S561" s="413"/>
      <c r="T561" s="413"/>
      <c r="U561" s="413"/>
      <c r="V561" s="413"/>
      <c r="W561" s="413"/>
      <c r="X561" s="413"/>
      <c r="Y561" s="413"/>
      <c r="Z561" s="413"/>
    </row>
    <row r="562" spans="2:26" x14ac:dyDescent="0.2">
      <c r="B562" s="413"/>
      <c r="C562" s="413"/>
      <c r="D562" s="413"/>
      <c r="E562" s="413"/>
      <c r="F562" s="413"/>
      <c r="G562" s="413"/>
      <c r="H562" s="413"/>
      <c r="I562" s="413"/>
      <c r="J562" s="413"/>
      <c r="K562" s="413"/>
      <c r="L562" s="971"/>
      <c r="M562" s="413"/>
      <c r="N562" s="413"/>
      <c r="O562" s="413"/>
      <c r="P562" s="414"/>
      <c r="Q562" s="413"/>
      <c r="R562" s="413"/>
      <c r="S562" s="413"/>
      <c r="T562" s="413"/>
      <c r="U562" s="413"/>
      <c r="V562" s="413"/>
      <c r="W562" s="413"/>
      <c r="X562" s="413"/>
      <c r="Y562" s="413"/>
      <c r="Z562" s="413"/>
    </row>
    <row r="563" spans="2:26" x14ac:dyDescent="0.2">
      <c r="B563" s="413"/>
      <c r="C563" s="413"/>
      <c r="D563" s="413"/>
      <c r="E563" s="413"/>
      <c r="F563" s="413"/>
      <c r="G563" s="413"/>
      <c r="H563" s="413"/>
      <c r="I563" s="413"/>
      <c r="J563" s="413"/>
      <c r="K563" s="413"/>
      <c r="L563" s="971"/>
      <c r="M563" s="413"/>
      <c r="N563" s="413"/>
      <c r="O563" s="413"/>
      <c r="P563" s="414"/>
      <c r="Q563" s="413"/>
      <c r="R563" s="413"/>
      <c r="S563" s="413"/>
      <c r="T563" s="413"/>
      <c r="U563" s="413"/>
      <c r="V563" s="413"/>
      <c r="W563" s="413"/>
      <c r="X563" s="413"/>
      <c r="Y563" s="413"/>
      <c r="Z563" s="413"/>
    </row>
    <row r="564" spans="2:26" x14ac:dyDescent="0.2">
      <c r="B564" s="413"/>
      <c r="C564" s="413"/>
      <c r="D564" s="413"/>
      <c r="E564" s="413"/>
      <c r="F564" s="413"/>
      <c r="G564" s="413"/>
      <c r="H564" s="413"/>
      <c r="I564" s="413"/>
      <c r="J564" s="413"/>
      <c r="K564" s="413"/>
      <c r="L564" s="971"/>
      <c r="M564" s="413"/>
      <c r="N564" s="413"/>
      <c r="O564" s="413"/>
      <c r="P564" s="414"/>
      <c r="Q564" s="413"/>
      <c r="R564" s="413"/>
      <c r="S564" s="413"/>
      <c r="T564" s="413"/>
      <c r="U564" s="413"/>
      <c r="V564" s="413"/>
      <c r="W564" s="413"/>
      <c r="X564" s="413"/>
      <c r="Y564" s="413"/>
      <c r="Z564" s="413"/>
    </row>
    <row r="565" spans="2:26" x14ac:dyDescent="0.2">
      <c r="B565" s="413"/>
      <c r="C565" s="413"/>
      <c r="D565" s="413"/>
      <c r="E565" s="413"/>
      <c r="F565" s="413"/>
      <c r="G565" s="413"/>
      <c r="H565" s="413"/>
      <c r="I565" s="413"/>
      <c r="J565" s="413"/>
      <c r="K565" s="413"/>
      <c r="L565" s="971"/>
      <c r="M565" s="413"/>
      <c r="N565" s="413"/>
      <c r="O565" s="413"/>
      <c r="P565" s="414"/>
      <c r="Q565" s="413"/>
      <c r="R565" s="413"/>
      <c r="S565" s="413"/>
      <c r="T565" s="413"/>
      <c r="U565" s="413"/>
      <c r="V565" s="413"/>
      <c r="W565" s="413"/>
      <c r="X565" s="413"/>
      <c r="Y565" s="413"/>
      <c r="Z565" s="413"/>
    </row>
    <row r="566" spans="2:26" x14ac:dyDescent="0.2">
      <c r="B566" s="413"/>
      <c r="C566" s="413"/>
      <c r="D566" s="413"/>
      <c r="E566" s="413"/>
      <c r="F566" s="413"/>
      <c r="G566" s="413"/>
      <c r="H566" s="413"/>
      <c r="I566" s="413"/>
      <c r="J566" s="413"/>
      <c r="K566" s="413"/>
      <c r="L566" s="971"/>
      <c r="M566" s="413"/>
      <c r="N566" s="413"/>
      <c r="O566" s="413"/>
      <c r="P566" s="414"/>
      <c r="Q566" s="413"/>
      <c r="R566" s="413"/>
      <c r="S566" s="413"/>
      <c r="T566" s="413"/>
      <c r="U566" s="413"/>
      <c r="V566" s="413"/>
      <c r="W566" s="413"/>
      <c r="X566" s="413"/>
      <c r="Y566" s="413"/>
      <c r="Z566" s="413"/>
    </row>
    <row r="567" spans="2:26" x14ac:dyDescent="0.2">
      <c r="B567" s="413"/>
      <c r="C567" s="413"/>
      <c r="D567" s="413"/>
      <c r="E567" s="413"/>
      <c r="F567" s="413"/>
      <c r="G567" s="413"/>
      <c r="H567" s="413"/>
      <c r="I567" s="413"/>
      <c r="J567" s="413"/>
      <c r="K567" s="413"/>
      <c r="L567" s="971"/>
      <c r="M567" s="413"/>
      <c r="N567" s="413"/>
      <c r="O567" s="413"/>
      <c r="P567" s="414"/>
      <c r="Q567" s="413"/>
      <c r="R567" s="413"/>
      <c r="S567" s="413"/>
      <c r="T567" s="413"/>
      <c r="U567" s="413"/>
      <c r="V567" s="413"/>
      <c r="W567" s="413"/>
      <c r="X567" s="413"/>
      <c r="Y567" s="413"/>
      <c r="Z567" s="413"/>
    </row>
    <row r="568" spans="2:26" x14ac:dyDescent="0.2">
      <c r="B568" s="413"/>
      <c r="C568" s="413"/>
      <c r="D568" s="413"/>
      <c r="E568" s="413"/>
      <c r="F568" s="413"/>
      <c r="G568" s="413"/>
      <c r="H568" s="413"/>
      <c r="I568" s="413"/>
      <c r="J568" s="413"/>
      <c r="K568" s="413"/>
      <c r="L568" s="971"/>
      <c r="M568" s="413"/>
      <c r="N568" s="413"/>
      <c r="O568" s="413"/>
      <c r="P568" s="414"/>
      <c r="Q568" s="413"/>
      <c r="R568" s="413"/>
      <c r="S568" s="413"/>
      <c r="T568" s="413"/>
      <c r="U568" s="413"/>
      <c r="V568" s="413"/>
      <c r="W568" s="413"/>
      <c r="X568" s="413"/>
      <c r="Y568" s="413"/>
      <c r="Z568" s="413"/>
    </row>
    <row r="569" spans="2:26" x14ac:dyDescent="0.2">
      <c r="B569" s="413"/>
      <c r="C569" s="413"/>
      <c r="D569" s="413"/>
      <c r="E569" s="413"/>
      <c r="F569" s="413"/>
      <c r="G569" s="413"/>
      <c r="H569" s="413"/>
      <c r="I569" s="413"/>
      <c r="J569" s="413"/>
      <c r="K569" s="413"/>
      <c r="L569" s="971"/>
      <c r="M569" s="413"/>
      <c r="N569" s="413"/>
      <c r="O569" s="413"/>
      <c r="P569" s="414"/>
      <c r="Q569" s="413"/>
      <c r="R569" s="413"/>
      <c r="S569" s="413"/>
      <c r="T569" s="413"/>
      <c r="U569" s="413"/>
      <c r="V569" s="413"/>
      <c r="W569" s="413"/>
      <c r="X569" s="413"/>
      <c r="Y569" s="413"/>
      <c r="Z569" s="413"/>
    </row>
    <row r="570" spans="2:26" x14ac:dyDescent="0.2">
      <c r="B570" s="413"/>
      <c r="C570" s="413"/>
      <c r="D570" s="413"/>
      <c r="E570" s="413"/>
      <c r="F570" s="413"/>
      <c r="G570" s="413"/>
      <c r="H570" s="413"/>
      <c r="I570" s="413"/>
      <c r="J570" s="413"/>
      <c r="K570" s="413"/>
      <c r="L570" s="971"/>
      <c r="M570" s="413"/>
      <c r="N570" s="413"/>
      <c r="O570" s="413"/>
      <c r="P570" s="414"/>
      <c r="Q570" s="413"/>
      <c r="R570" s="413"/>
      <c r="S570" s="413"/>
      <c r="T570" s="413"/>
      <c r="U570" s="413"/>
      <c r="V570" s="413"/>
      <c r="W570" s="413"/>
      <c r="X570" s="413"/>
      <c r="Y570" s="413"/>
      <c r="Z570" s="413"/>
    </row>
    <row r="571" spans="2:26" x14ac:dyDescent="0.2">
      <c r="B571" s="413"/>
      <c r="C571" s="413"/>
      <c r="D571" s="413"/>
      <c r="E571" s="413"/>
      <c r="F571" s="413"/>
      <c r="G571" s="413"/>
      <c r="H571" s="413"/>
      <c r="I571" s="413"/>
      <c r="J571" s="413"/>
      <c r="K571" s="413"/>
      <c r="L571" s="971"/>
      <c r="M571" s="413"/>
      <c r="N571" s="413"/>
      <c r="O571" s="413"/>
      <c r="P571" s="414"/>
      <c r="Q571" s="413"/>
      <c r="R571" s="413"/>
      <c r="S571" s="413"/>
      <c r="T571" s="413"/>
      <c r="U571" s="413"/>
      <c r="V571" s="413"/>
      <c r="W571" s="413"/>
      <c r="X571" s="413"/>
      <c r="Y571" s="413"/>
      <c r="Z571" s="413"/>
    </row>
    <row r="572" spans="2:26" x14ac:dyDescent="0.2">
      <c r="B572" s="413"/>
      <c r="C572" s="413"/>
      <c r="D572" s="413"/>
      <c r="E572" s="413"/>
      <c r="F572" s="413"/>
      <c r="G572" s="413"/>
      <c r="H572" s="413"/>
      <c r="I572" s="413"/>
      <c r="J572" s="413"/>
      <c r="K572" s="413"/>
      <c r="L572" s="971"/>
      <c r="M572" s="413"/>
      <c r="N572" s="413"/>
      <c r="O572" s="413"/>
      <c r="P572" s="414"/>
      <c r="Q572" s="413"/>
      <c r="R572" s="413"/>
      <c r="S572" s="413"/>
      <c r="T572" s="413"/>
      <c r="U572" s="413"/>
      <c r="V572" s="413"/>
      <c r="W572" s="413"/>
      <c r="X572" s="413"/>
      <c r="Y572" s="413"/>
      <c r="Z572" s="413"/>
    </row>
    <row r="573" spans="2:26" x14ac:dyDescent="0.2">
      <c r="B573" s="413"/>
      <c r="C573" s="413"/>
      <c r="D573" s="413"/>
      <c r="E573" s="413"/>
      <c r="F573" s="413"/>
      <c r="G573" s="413"/>
      <c r="H573" s="413"/>
      <c r="I573" s="413"/>
      <c r="J573" s="413"/>
      <c r="K573" s="413"/>
      <c r="L573" s="971"/>
      <c r="M573" s="413"/>
      <c r="N573" s="413"/>
      <c r="O573" s="413"/>
      <c r="P573" s="414"/>
      <c r="Q573" s="413"/>
      <c r="R573" s="413"/>
      <c r="S573" s="413"/>
      <c r="T573" s="413"/>
      <c r="U573" s="413"/>
      <c r="V573" s="413"/>
      <c r="W573" s="413"/>
      <c r="X573" s="413"/>
      <c r="Y573" s="413"/>
      <c r="Z573" s="413"/>
    </row>
    <row r="574" spans="2:26" x14ac:dyDescent="0.2">
      <c r="B574" s="413"/>
      <c r="C574" s="413"/>
      <c r="D574" s="413"/>
      <c r="E574" s="413"/>
      <c r="F574" s="413"/>
      <c r="G574" s="413"/>
      <c r="H574" s="413"/>
      <c r="I574" s="413"/>
      <c r="J574" s="413"/>
      <c r="K574" s="413"/>
      <c r="L574" s="971"/>
      <c r="M574" s="413"/>
      <c r="N574" s="413"/>
      <c r="O574" s="413"/>
      <c r="P574" s="414"/>
      <c r="Q574" s="413"/>
      <c r="R574" s="413"/>
      <c r="S574" s="413"/>
      <c r="T574" s="413"/>
      <c r="U574" s="413"/>
      <c r="V574" s="413"/>
      <c r="W574" s="413"/>
      <c r="X574" s="413"/>
      <c r="Y574" s="413"/>
      <c r="Z574" s="413"/>
    </row>
    <row r="575" spans="2:26" x14ac:dyDescent="0.2">
      <c r="B575" s="413"/>
      <c r="C575" s="413"/>
      <c r="D575" s="413"/>
      <c r="E575" s="413"/>
      <c r="F575" s="413"/>
      <c r="G575" s="413"/>
      <c r="H575" s="413"/>
      <c r="I575" s="413"/>
      <c r="J575" s="413"/>
      <c r="K575" s="413"/>
      <c r="L575" s="971"/>
      <c r="M575" s="413"/>
      <c r="N575" s="413"/>
      <c r="O575" s="413"/>
      <c r="P575" s="414"/>
      <c r="Q575" s="413"/>
      <c r="R575" s="413"/>
      <c r="S575" s="413"/>
      <c r="T575" s="413"/>
      <c r="U575" s="413"/>
      <c r="V575" s="413"/>
      <c r="W575" s="413"/>
      <c r="X575" s="413"/>
      <c r="Y575" s="413"/>
      <c r="Z575" s="413"/>
    </row>
    <row r="576" spans="2:26" x14ac:dyDescent="0.2">
      <c r="B576" s="413"/>
      <c r="C576" s="413"/>
      <c r="D576" s="413"/>
      <c r="E576" s="413"/>
      <c r="F576" s="413"/>
      <c r="G576" s="413"/>
      <c r="H576" s="413"/>
      <c r="I576" s="413"/>
      <c r="J576" s="413"/>
      <c r="K576" s="413"/>
      <c r="L576" s="971"/>
      <c r="M576" s="413"/>
      <c r="N576" s="413"/>
      <c r="O576" s="413"/>
      <c r="P576" s="414"/>
      <c r="Q576" s="413"/>
      <c r="R576" s="413"/>
      <c r="S576" s="413"/>
      <c r="T576" s="413"/>
      <c r="U576" s="413"/>
      <c r="V576" s="413"/>
      <c r="W576" s="413"/>
      <c r="X576" s="413"/>
      <c r="Y576" s="413"/>
      <c r="Z576" s="413"/>
    </row>
    <row r="577" spans="2:26" x14ac:dyDescent="0.2">
      <c r="B577" s="413"/>
      <c r="C577" s="413"/>
      <c r="D577" s="413"/>
      <c r="E577" s="413"/>
      <c r="F577" s="413"/>
      <c r="G577" s="413"/>
      <c r="H577" s="413"/>
      <c r="I577" s="413"/>
      <c r="J577" s="413"/>
      <c r="K577" s="413"/>
      <c r="L577" s="971"/>
      <c r="M577" s="413"/>
      <c r="N577" s="413"/>
      <c r="O577" s="413"/>
      <c r="P577" s="414"/>
      <c r="Q577" s="413"/>
      <c r="R577" s="413"/>
      <c r="S577" s="413"/>
      <c r="T577" s="413"/>
      <c r="U577" s="413"/>
      <c r="V577" s="413"/>
      <c r="W577" s="413"/>
      <c r="X577" s="413"/>
      <c r="Y577" s="413"/>
      <c r="Z577" s="413"/>
    </row>
    <row r="578" spans="2:26" x14ac:dyDescent="0.2">
      <c r="B578" s="413"/>
      <c r="C578" s="413"/>
      <c r="D578" s="413"/>
      <c r="E578" s="413"/>
      <c r="F578" s="413"/>
      <c r="G578" s="413"/>
      <c r="H578" s="413"/>
      <c r="I578" s="413"/>
      <c r="J578" s="413"/>
      <c r="K578" s="413"/>
      <c r="L578" s="971"/>
      <c r="M578" s="413"/>
      <c r="N578" s="413"/>
      <c r="O578" s="413"/>
      <c r="P578" s="414"/>
      <c r="Q578" s="413"/>
      <c r="R578" s="413"/>
      <c r="S578" s="413"/>
      <c r="T578" s="413"/>
      <c r="U578" s="413"/>
      <c r="V578" s="413"/>
      <c r="W578" s="413"/>
      <c r="X578" s="413"/>
      <c r="Y578" s="413"/>
      <c r="Z578" s="413"/>
    </row>
    <row r="579" spans="2:26" x14ac:dyDescent="0.2">
      <c r="B579" s="413"/>
      <c r="C579" s="413"/>
      <c r="D579" s="413"/>
      <c r="E579" s="413"/>
      <c r="F579" s="413"/>
      <c r="G579" s="413"/>
      <c r="H579" s="413"/>
      <c r="I579" s="413"/>
      <c r="J579" s="413"/>
      <c r="K579" s="413"/>
      <c r="L579" s="971"/>
      <c r="M579" s="413"/>
      <c r="N579" s="413"/>
      <c r="O579" s="413"/>
      <c r="P579" s="414"/>
      <c r="Q579" s="413"/>
      <c r="R579" s="413"/>
      <c r="S579" s="413"/>
      <c r="T579" s="413"/>
      <c r="U579" s="413"/>
      <c r="V579" s="413"/>
      <c r="W579" s="413"/>
      <c r="X579" s="413"/>
      <c r="Y579" s="413"/>
      <c r="Z579" s="413"/>
    </row>
    <row r="580" spans="2:26" x14ac:dyDescent="0.2">
      <c r="B580" s="413"/>
      <c r="C580" s="413"/>
      <c r="D580" s="413"/>
      <c r="E580" s="413"/>
      <c r="F580" s="413"/>
      <c r="G580" s="413"/>
      <c r="H580" s="413"/>
      <c r="I580" s="413"/>
      <c r="J580" s="413"/>
      <c r="K580" s="413"/>
      <c r="L580" s="971"/>
      <c r="M580" s="413"/>
      <c r="N580" s="413"/>
      <c r="O580" s="413"/>
      <c r="P580" s="414"/>
      <c r="Q580" s="413"/>
      <c r="R580" s="413"/>
      <c r="S580" s="413"/>
      <c r="T580" s="413"/>
      <c r="U580" s="413"/>
      <c r="V580" s="413"/>
      <c r="W580" s="413"/>
      <c r="X580" s="413"/>
      <c r="Y580" s="413"/>
      <c r="Z580" s="413"/>
    </row>
    <row r="581" spans="2:26" x14ac:dyDescent="0.2">
      <c r="B581" s="413"/>
      <c r="C581" s="413"/>
      <c r="D581" s="413"/>
      <c r="E581" s="413"/>
      <c r="F581" s="413"/>
      <c r="G581" s="413"/>
      <c r="H581" s="413"/>
      <c r="I581" s="413"/>
      <c r="J581" s="413"/>
      <c r="K581" s="413"/>
      <c r="L581" s="971"/>
      <c r="M581" s="413"/>
      <c r="N581" s="413"/>
      <c r="O581" s="413"/>
      <c r="P581" s="414"/>
      <c r="Q581" s="413"/>
      <c r="R581" s="413"/>
      <c r="S581" s="413"/>
      <c r="T581" s="413"/>
      <c r="U581" s="413"/>
      <c r="V581" s="413"/>
      <c r="W581" s="413"/>
      <c r="X581" s="413"/>
      <c r="Y581" s="413"/>
      <c r="Z581" s="413"/>
    </row>
    <row r="582" spans="2:26" x14ac:dyDescent="0.2">
      <c r="B582" s="413"/>
      <c r="C582" s="413"/>
      <c r="D582" s="413"/>
      <c r="E582" s="413"/>
      <c r="F582" s="413"/>
      <c r="G582" s="413"/>
      <c r="H582" s="413"/>
      <c r="I582" s="413"/>
      <c r="J582" s="413"/>
      <c r="K582" s="413"/>
      <c r="L582" s="971"/>
      <c r="M582" s="413"/>
      <c r="N582" s="413"/>
      <c r="O582" s="413"/>
      <c r="P582" s="414"/>
      <c r="Q582" s="413"/>
      <c r="R582" s="413"/>
      <c r="S582" s="413"/>
      <c r="T582" s="413"/>
      <c r="U582" s="413"/>
      <c r="V582" s="413"/>
      <c r="W582" s="413"/>
      <c r="X582" s="413"/>
      <c r="Y582" s="413"/>
      <c r="Z582" s="413"/>
    </row>
    <row r="583" spans="2:26" x14ac:dyDescent="0.2">
      <c r="B583" s="413"/>
      <c r="C583" s="413"/>
      <c r="D583" s="413"/>
      <c r="E583" s="413"/>
      <c r="F583" s="413"/>
      <c r="G583" s="413"/>
      <c r="H583" s="413"/>
      <c r="I583" s="413"/>
      <c r="J583" s="413"/>
      <c r="K583" s="413"/>
      <c r="L583" s="971"/>
      <c r="M583" s="413"/>
      <c r="N583" s="413"/>
      <c r="O583" s="413"/>
      <c r="P583" s="414"/>
      <c r="Q583" s="413"/>
      <c r="R583" s="413"/>
      <c r="S583" s="413"/>
      <c r="T583" s="413"/>
      <c r="U583" s="413"/>
      <c r="V583" s="413"/>
      <c r="W583" s="413"/>
      <c r="X583" s="413"/>
      <c r="Y583" s="413"/>
      <c r="Z583" s="413"/>
    </row>
    <row r="584" spans="2:26" x14ac:dyDescent="0.2">
      <c r="B584" s="413"/>
      <c r="C584" s="413"/>
      <c r="D584" s="413"/>
      <c r="E584" s="413"/>
      <c r="F584" s="413"/>
      <c r="G584" s="413"/>
      <c r="H584" s="413"/>
      <c r="I584" s="413"/>
      <c r="J584" s="413"/>
      <c r="K584" s="413"/>
      <c r="L584" s="971"/>
      <c r="M584" s="413"/>
      <c r="N584" s="413"/>
      <c r="O584" s="413"/>
      <c r="P584" s="414"/>
      <c r="Q584" s="413"/>
      <c r="R584" s="413"/>
      <c r="S584" s="413"/>
      <c r="T584" s="413"/>
      <c r="U584" s="413"/>
      <c r="V584" s="413"/>
      <c r="W584" s="413"/>
      <c r="X584" s="413"/>
      <c r="Y584" s="413"/>
      <c r="Z584" s="413"/>
    </row>
    <row r="585" spans="2:26" x14ac:dyDescent="0.2">
      <c r="B585" s="413"/>
      <c r="C585" s="413"/>
      <c r="D585" s="413"/>
      <c r="E585" s="413"/>
      <c r="F585" s="413"/>
      <c r="G585" s="413"/>
      <c r="H585" s="413"/>
      <c r="I585" s="413"/>
      <c r="J585" s="413"/>
      <c r="K585" s="413"/>
      <c r="L585" s="971"/>
      <c r="M585" s="413"/>
      <c r="N585" s="413"/>
      <c r="O585" s="413"/>
      <c r="P585" s="414"/>
      <c r="Q585" s="413"/>
      <c r="R585" s="413"/>
      <c r="S585" s="413"/>
      <c r="T585" s="413"/>
      <c r="U585" s="413"/>
      <c r="V585" s="413"/>
      <c r="W585" s="413"/>
      <c r="X585" s="413"/>
      <c r="Y585" s="413"/>
      <c r="Z585" s="413"/>
    </row>
    <row r="586" spans="2:26" x14ac:dyDescent="0.2">
      <c r="B586" s="413"/>
      <c r="C586" s="413"/>
      <c r="D586" s="413"/>
      <c r="E586" s="413"/>
      <c r="F586" s="413"/>
      <c r="G586" s="413"/>
      <c r="H586" s="413"/>
      <c r="I586" s="413"/>
      <c r="J586" s="413"/>
      <c r="K586" s="413"/>
      <c r="L586" s="971"/>
      <c r="M586" s="413"/>
      <c r="N586" s="413"/>
      <c r="O586" s="413"/>
      <c r="P586" s="414"/>
      <c r="Q586" s="413"/>
      <c r="R586" s="413"/>
      <c r="S586" s="413"/>
      <c r="T586" s="413"/>
      <c r="U586" s="413"/>
      <c r="V586" s="413"/>
      <c r="W586" s="413"/>
      <c r="X586" s="413"/>
      <c r="Y586" s="413"/>
      <c r="Z586" s="413"/>
    </row>
    <row r="587" spans="2:26" x14ac:dyDescent="0.2">
      <c r="B587" s="413"/>
      <c r="C587" s="413"/>
      <c r="D587" s="413"/>
      <c r="E587" s="413"/>
      <c r="F587" s="413"/>
      <c r="G587" s="413"/>
      <c r="H587" s="413"/>
      <c r="I587" s="413"/>
      <c r="J587" s="413"/>
      <c r="K587" s="413"/>
      <c r="L587" s="971"/>
      <c r="M587" s="413"/>
      <c r="N587" s="413"/>
      <c r="O587" s="413"/>
      <c r="P587" s="414"/>
      <c r="Q587" s="413"/>
      <c r="R587" s="413"/>
      <c r="S587" s="413"/>
      <c r="T587" s="413"/>
      <c r="U587" s="413"/>
      <c r="V587" s="413"/>
      <c r="W587" s="413"/>
      <c r="X587" s="413"/>
      <c r="Y587" s="413"/>
      <c r="Z587" s="413"/>
    </row>
    <row r="588" spans="2:26" x14ac:dyDescent="0.2">
      <c r="B588" s="413"/>
      <c r="C588" s="413"/>
      <c r="D588" s="413"/>
      <c r="E588" s="413"/>
      <c r="F588" s="413"/>
      <c r="G588" s="413"/>
      <c r="H588" s="413"/>
      <c r="I588" s="413"/>
      <c r="J588" s="413"/>
      <c r="K588" s="413"/>
      <c r="L588" s="971"/>
      <c r="M588" s="413"/>
      <c r="N588" s="413"/>
      <c r="O588" s="413"/>
      <c r="P588" s="414"/>
      <c r="Q588" s="413"/>
      <c r="R588" s="413"/>
      <c r="S588" s="413"/>
      <c r="T588" s="413"/>
      <c r="U588" s="413"/>
      <c r="V588" s="413"/>
      <c r="W588" s="413"/>
      <c r="X588" s="413"/>
      <c r="Y588" s="413"/>
      <c r="Z588" s="413"/>
    </row>
    <row r="589" spans="2:26" x14ac:dyDescent="0.2">
      <c r="B589" s="413"/>
      <c r="C589" s="413"/>
      <c r="D589" s="413"/>
      <c r="E589" s="413"/>
      <c r="F589" s="413"/>
      <c r="G589" s="413"/>
      <c r="H589" s="413"/>
      <c r="I589" s="413"/>
      <c r="J589" s="413"/>
      <c r="K589" s="413"/>
      <c r="L589" s="971"/>
      <c r="M589" s="413"/>
      <c r="N589" s="413"/>
      <c r="O589" s="413"/>
      <c r="P589" s="414"/>
      <c r="Q589" s="413"/>
      <c r="R589" s="413"/>
      <c r="S589" s="413"/>
      <c r="T589" s="413"/>
      <c r="U589" s="413"/>
      <c r="V589" s="413"/>
      <c r="W589" s="413"/>
      <c r="X589" s="413"/>
      <c r="Y589" s="413"/>
      <c r="Z589" s="413"/>
    </row>
    <row r="590" spans="2:26" x14ac:dyDescent="0.2">
      <c r="B590" s="413"/>
      <c r="C590" s="413"/>
      <c r="D590" s="413"/>
      <c r="E590" s="413"/>
      <c r="F590" s="413"/>
      <c r="G590" s="413"/>
      <c r="H590" s="413"/>
      <c r="I590" s="413"/>
      <c r="J590" s="413"/>
      <c r="K590" s="413"/>
      <c r="L590" s="971"/>
      <c r="M590" s="413"/>
      <c r="N590" s="413"/>
      <c r="O590" s="413"/>
      <c r="P590" s="414"/>
      <c r="Q590" s="413"/>
      <c r="R590" s="413"/>
      <c r="S590" s="413"/>
      <c r="T590" s="413"/>
      <c r="U590" s="413"/>
      <c r="V590" s="413"/>
      <c r="W590" s="413"/>
      <c r="X590" s="413"/>
      <c r="Y590" s="413"/>
      <c r="Z590" s="413"/>
    </row>
    <row r="591" spans="2:26" x14ac:dyDescent="0.2">
      <c r="B591" s="413"/>
      <c r="C591" s="413"/>
      <c r="D591" s="413"/>
      <c r="E591" s="413"/>
      <c r="F591" s="413"/>
      <c r="G591" s="413"/>
      <c r="H591" s="413"/>
      <c r="I591" s="413"/>
      <c r="J591" s="413"/>
      <c r="K591" s="413"/>
      <c r="L591" s="971"/>
      <c r="M591" s="413"/>
      <c r="N591" s="413"/>
      <c r="O591" s="413"/>
      <c r="P591" s="414"/>
      <c r="Q591" s="413"/>
      <c r="R591" s="413"/>
      <c r="S591" s="413"/>
      <c r="T591" s="413"/>
      <c r="U591" s="413"/>
      <c r="V591" s="413"/>
      <c r="W591" s="413"/>
      <c r="X591" s="413"/>
      <c r="Y591" s="413"/>
      <c r="Z591" s="413"/>
    </row>
    <row r="592" spans="2:26" x14ac:dyDescent="0.2">
      <c r="B592" s="413"/>
      <c r="C592" s="413"/>
      <c r="D592" s="413"/>
      <c r="E592" s="413"/>
      <c r="F592" s="413"/>
      <c r="G592" s="413"/>
      <c r="H592" s="413"/>
      <c r="I592" s="413"/>
      <c r="J592" s="413"/>
      <c r="K592" s="413"/>
      <c r="L592" s="971"/>
      <c r="M592" s="413"/>
      <c r="N592" s="413"/>
      <c r="O592" s="413"/>
      <c r="P592" s="414"/>
      <c r="Q592" s="413"/>
      <c r="R592" s="413"/>
      <c r="S592" s="413"/>
      <c r="T592" s="413"/>
      <c r="U592" s="413"/>
      <c r="V592" s="413"/>
      <c r="W592" s="413"/>
      <c r="X592" s="413"/>
      <c r="Y592" s="413"/>
      <c r="Z592" s="413"/>
    </row>
    <row r="593" spans="2:26" x14ac:dyDescent="0.2">
      <c r="B593" s="413"/>
      <c r="C593" s="413"/>
      <c r="D593" s="413"/>
      <c r="E593" s="413"/>
      <c r="F593" s="413"/>
      <c r="G593" s="413"/>
      <c r="H593" s="413"/>
      <c r="I593" s="413"/>
      <c r="J593" s="413"/>
      <c r="K593" s="413"/>
      <c r="L593" s="971"/>
      <c r="M593" s="413"/>
      <c r="N593" s="413"/>
      <c r="O593" s="413"/>
      <c r="P593" s="414"/>
      <c r="Q593" s="413"/>
      <c r="R593" s="413"/>
      <c r="S593" s="413"/>
      <c r="T593" s="413"/>
      <c r="U593" s="413"/>
      <c r="V593" s="413"/>
      <c r="W593" s="413"/>
      <c r="X593" s="413"/>
      <c r="Y593" s="413"/>
      <c r="Z593" s="413"/>
    </row>
    <row r="594" spans="2:26" x14ac:dyDescent="0.2">
      <c r="B594" s="413"/>
      <c r="C594" s="413"/>
      <c r="D594" s="413"/>
      <c r="E594" s="413"/>
      <c r="F594" s="413"/>
      <c r="G594" s="413"/>
      <c r="H594" s="413"/>
      <c r="I594" s="413"/>
      <c r="J594" s="413"/>
      <c r="K594" s="413"/>
      <c r="L594" s="971"/>
      <c r="M594" s="413"/>
      <c r="N594" s="413"/>
      <c r="O594" s="413"/>
      <c r="P594" s="414"/>
      <c r="Q594" s="413"/>
      <c r="R594" s="413"/>
      <c r="S594" s="413"/>
      <c r="T594" s="413"/>
      <c r="U594" s="413"/>
      <c r="V594" s="413"/>
      <c r="W594" s="413"/>
      <c r="X594" s="413"/>
      <c r="Y594" s="413"/>
      <c r="Z594" s="413"/>
    </row>
    <row r="595" spans="2:26" x14ac:dyDescent="0.2">
      <c r="B595" s="413"/>
      <c r="C595" s="413"/>
      <c r="D595" s="413"/>
      <c r="E595" s="413"/>
      <c r="F595" s="413"/>
      <c r="G595" s="413"/>
      <c r="H595" s="413"/>
      <c r="I595" s="413"/>
      <c r="J595" s="413"/>
      <c r="K595" s="413"/>
      <c r="L595" s="971"/>
      <c r="M595" s="413"/>
      <c r="N595" s="413"/>
      <c r="O595" s="413"/>
      <c r="P595" s="414"/>
      <c r="Q595" s="413"/>
      <c r="R595" s="413"/>
      <c r="S595" s="413"/>
      <c r="T595" s="413"/>
      <c r="U595" s="413"/>
      <c r="V595" s="413"/>
      <c r="W595" s="413"/>
      <c r="X595" s="413"/>
      <c r="Y595" s="413"/>
      <c r="Z595" s="413"/>
    </row>
    <row r="596" spans="2:26" x14ac:dyDescent="0.2">
      <c r="B596" s="413"/>
      <c r="C596" s="413"/>
      <c r="D596" s="413"/>
      <c r="E596" s="413"/>
      <c r="F596" s="413"/>
      <c r="G596" s="413"/>
      <c r="H596" s="413"/>
      <c r="I596" s="413"/>
      <c r="J596" s="413"/>
      <c r="K596" s="413"/>
      <c r="L596" s="971"/>
      <c r="M596" s="413"/>
      <c r="N596" s="413"/>
      <c r="O596" s="413"/>
      <c r="P596" s="414"/>
      <c r="Q596" s="413"/>
      <c r="R596" s="413"/>
      <c r="S596" s="413"/>
      <c r="T596" s="413"/>
      <c r="U596" s="413"/>
      <c r="V596" s="413"/>
      <c r="W596" s="413"/>
      <c r="X596" s="413"/>
      <c r="Y596" s="413"/>
      <c r="Z596" s="413"/>
    </row>
    <row r="597" spans="2:26" x14ac:dyDescent="0.2">
      <c r="B597" s="413"/>
      <c r="C597" s="413"/>
      <c r="D597" s="413"/>
      <c r="E597" s="413"/>
      <c r="F597" s="413"/>
      <c r="G597" s="413"/>
      <c r="H597" s="413"/>
      <c r="I597" s="413"/>
      <c r="J597" s="413"/>
      <c r="K597" s="413"/>
      <c r="L597" s="971"/>
      <c r="M597" s="413"/>
      <c r="N597" s="413"/>
      <c r="O597" s="413"/>
      <c r="P597" s="414"/>
      <c r="Q597" s="413"/>
      <c r="R597" s="413"/>
      <c r="S597" s="413"/>
      <c r="T597" s="413"/>
      <c r="U597" s="413"/>
      <c r="V597" s="413"/>
      <c r="W597" s="413"/>
      <c r="X597" s="413"/>
      <c r="Y597" s="413"/>
      <c r="Z597" s="413"/>
    </row>
    <row r="598" spans="2:26" x14ac:dyDescent="0.2">
      <c r="B598" s="413"/>
      <c r="C598" s="413"/>
      <c r="D598" s="413"/>
      <c r="E598" s="413"/>
      <c r="F598" s="413"/>
      <c r="G598" s="413"/>
      <c r="H598" s="413"/>
      <c r="I598" s="413"/>
      <c r="J598" s="413"/>
      <c r="K598" s="413"/>
      <c r="L598" s="971"/>
      <c r="M598" s="413"/>
      <c r="N598" s="413"/>
      <c r="O598" s="413"/>
      <c r="P598" s="414"/>
      <c r="Q598" s="413"/>
      <c r="R598" s="413"/>
      <c r="S598" s="413"/>
      <c r="T598" s="413"/>
      <c r="U598" s="413"/>
      <c r="V598" s="413"/>
      <c r="W598" s="413"/>
      <c r="X598" s="413"/>
      <c r="Y598" s="413"/>
      <c r="Z598" s="413"/>
    </row>
    <row r="599" spans="2:26" x14ac:dyDescent="0.2">
      <c r="B599" s="413"/>
      <c r="C599" s="413"/>
      <c r="D599" s="413"/>
      <c r="E599" s="413"/>
      <c r="F599" s="413"/>
      <c r="G599" s="413"/>
      <c r="H599" s="413"/>
      <c r="I599" s="413"/>
      <c r="J599" s="413"/>
      <c r="K599" s="413"/>
      <c r="L599" s="971"/>
      <c r="M599" s="413"/>
      <c r="N599" s="413"/>
      <c r="O599" s="413"/>
      <c r="P599" s="414"/>
      <c r="Q599" s="413"/>
      <c r="R599" s="413"/>
      <c r="S599" s="413"/>
      <c r="T599" s="413"/>
      <c r="U599" s="413"/>
      <c r="V599" s="413"/>
      <c r="W599" s="413"/>
      <c r="X599" s="413"/>
      <c r="Y599" s="413"/>
      <c r="Z599" s="413"/>
    </row>
    <row r="600" spans="2:26" x14ac:dyDescent="0.2">
      <c r="B600" s="413"/>
      <c r="C600" s="413"/>
      <c r="D600" s="413"/>
      <c r="E600" s="413"/>
      <c r="F600" s="413"/>
      <c r="G600" s="413"/>
      <c r="H600" s="413"/>
      <c r="I600" s="413"/>
      <c r="J600" s="413"/>
      <c r="K600" s="413"/>
      <c r="L600" s="971"/>
      <c r="M600" s="413"/>
      <c r="N600" s="413"/>
      <c r="O600" s="413"/>
      <c r="P600" s="414"/>
      <c r="Q600" s="413"/>
      <c r="R600" s="413"/>
      <c r="S600" s="413"/>
      <c r="T600" s="413"/>
      <c r="U600" s="413"/>
      <c r="V600" s="413"/>
      <c r="W600" s="413"/>
      <c r="X600" s="413"/>
      <c r="Y600" s="413"/>
      <c r="Z600" s="413"/>
    </row>
    <row r="601" spans="2:26" x14ac:dyDescent="0.2">
      <c r="B601" s="413"/>
      <c r="C601" s="413"/>
      <c r="D601" s="413"/>
      <c r="E601" s="413"/>
      <c r="F601" s="413"/>
      <c r="G601" s="413"/>
      <c r="H601" s="413"/>
      <c r="I601" s="413"/>
      <c r="J601" s="413"/>
      <c r="K601" s="413"/>
      <c r="L601" s="971"/>
      <c r="M601" s="413"/>
      <c r="N601" s="413"/>
      <c r="O601" s="413"/>
      <c r="P601" s="414"/>
      <c r="Q601" s="413"/>
      <c r="R601" s="413"/>
      <c r="S601" s="413"/>
      <c r="T601" s="413"/>
      <c r="U601" s="413"/>
      <c r="V601" s="413"/>
      <c r="W601" s="413"/>
      <c r="X601" s="413"/>
      <c r="Y601" s="413"/>
      <c r="Z601" s="413"/>
    </row>
    <row r="602" spans="2:26" x14ac:dyDescent="0.2">
      <c r="B602" s="413"/>
      <c r="C602" s="413"/>
      <c r="D602" s="413"/>
      <c r="E602" s="413"/>
      <c r="F602" s="413"/>
      <c r="G602" s="413"/>
      <c r="H602" s="413"/>
      <c r="I602" s="413"/>
      <c r="J602" s="413"/>
      <c r="K602" s="413"/>
      <c r="L602" s="971"/>
      <c r="M602" s="413"/>
      <c r="N602" s="413"/>
      <c r="O602" s="413"/>
      <c r="P602" s="414"/>
      <c r="Q602" s="413"/>
      <c r="R602" s="413"/>
      <c r="S602" s="413"/>
      <c r="T602" s="413"/>
      <c r="U602" s="413"/>
      <c r="V602" s="413"/>
      <c r="W602" s="413"/>
      <c r="X602" s="413"/>
      <c r="Y602" s="413"/>
      <c r="Z602" s="413"/>
    </row>
    <row r="603" spans="2:26" x14ac:dyDescent="0.2">
      <c r="B603" s="413"/>
      <c r="C603" s="413"/>
      <c r="D603" s="413"/>
      <c r="E603" s="413"/>
      <c r="F603" s="413"/>
      <c r="G603" s="413"/>
      <c r="H603" s="413"/>
      <c r="I603" s="413"/>
      <c r="J603" s="413"/>
      <c r="K603" s="413"/>
      <c r="L603" s="971"/>
      <c r="M603" s="413"/>
      <c r="N603" s="413"/>
      <c r="O603" s="413"/>
      <c r="P603" s="414"/>
      <c r="Q603" s="413"/>
      <c r="R603" s="413"/>
      <c r="S603" s="413"/>
      <c r="T603" s="413"/>
      <c r="U603" s="413"/>
      <c r="V603" s="413"/>
      <c r="W603" s="413"/>
      <c r="X603" s="413"/>
      <c r="Y603" s="413"/>
      <c r="Z603" s="413"/>
    </row>
    <row r="604" spans="2:26" x14ac:dyDescent="0.2">
      <c r="B604" s="413"/>
      <c r="C604" s="413"/>
      <c r="D604" s="413"/>
      <c r="E604" s="413"/>
      <c r="F604" s="413"/>
      <c r="G604" s="413"/>
      <c r="H604" s="413"/>
      <c r="I604" s="413"/>
      <c r="J604" s="413"/>
      <c r="K604" s="413"/>
      <c r="L604" s="971"/>
      <c r="M604" s="413"/>
      <c r="N604" s="413"/>
      <c r="O604" s="413"/>
      <c r="P604" s="414"/>
      <c r="Q604" s="413"/>
      <c r="R604" s="413"/>
      <c r="S604" s="413"/>
      <c r="T604" s="413"/>
      <c r="U604" s="413"/>
      <c r="V604" s="413"/>
      <c r="W604" s="413"/>
      <c r="X604" s="413"/>
      <c r="Y604" s="413"/>
      <c r="Z604" s="413"/>
    </row>
    <row r="605" spans="2:26" x14ac:dyDescent="0.2">
      <c r="B605" s="413"/>
      <c r="C605" s="413"/>
      <c r="D605" s="413"/>
      <c r="E605" s="413"/>
      <c r="F605" s="413"/>
      <c r="G605" s="413"/>
      <c r="H605" s="413"/>
      <c r="I605" s="413"/>
      <c r="J605" s="413"/>
      <c r="K605" s="413"/>
      <c r="L605" s="971"/>
      <c r="M605" s="413"/>
      <c r="N605" s="413"/>
      <c r="O605" s="413"/>
      <c r="P605" s="414"/>
      <c r="Q605" s="413"/>
      <c r="R605" s="413"/>
      <c r="S605" s="413"/>
      <c r="T605" s="413"/>
      <c r="U605" s="413"/>
      <c r="V605" s="413"/>
      <c r="W605" s="413"/>
      <c r="X605" s="413"/>
      <c r="Y605" s="413"/>
      <c r="Z605" s="413"/>
    </row>
    <row r="606" spans="2:26" x14ac:dyDescent="0.2">
      <c r="B606" s="413"/>
      <c r="C606" s="413"/>
      <c r="D606" s="413"/>
      <c r="E606" s="413"/>
      <c r="F606" s="413"/>
      <c r="G606" s="413"/>
      <c r="H606" s="413"/>
      <c r="I606" s="413"/>
      <c r="J606" s="413"/>
      <c r="K606" s="413"/>
      <c r="L606" s="971"/>
      <c r="M606" s="413"/>
      <c r="N606" s="413"/>
      <c r="O606" s="413"/>
      <c r="P606" s="414"/>
      <c r="Q606" s="413"/>
      <c r="R606" s="413"/>
      <c r="S606" s="413"/>
      <c r="T606" s="413"/>
      <c r="U606" s="413"/>
      <c r="V606" s="413"/>
      <c r="W606" s="413"/>
      <c r="X606" s="413"/>
      <c r="Y606" s="413"/>
      <c r="Z606" s="413"/>
    </row>
    <row r="607" spans="2:26" x14ac:dyDescent="0.2">
      <c r="B607" s="413"/>
      <c r="C607" s="413"/>
      <c r="D607" s="413"/>
      <c r="E607" s="413"/>
      <c r="F607" s="413"/>
      <c r="G607" s="413"/>
      <c r="H607" s="413"/>
      <c r="I607" s="413"/>
      <c r="J607" s="413"/>
      <c r="K607" s="413"/>
      <c r="L607" s="971"/>
      <c r="M607" s="413"/>
      <c r="N607" s="413"/>
      <c r="O607" s="413"/>
      <c r="P607" s="414"/>
      <c r="Q607" s="413"/>
      <c r="R607" s="413"/>
      <c r="S607" s="413"/>
      <c r="T607" s="413"/>
      <c r="U607" s="413"/>
      <c r="V607" s="413"/>
      <c r="W607" s="413"/>
      <c r="X607" s="413"/>
      <c r="Y607" s="413"/>
      <c r="Z607" s="413"/>
    </row>
    <row r="608" spans="2:26" x14ac:dyDescent="0.2">
      <c r="B608" s="413"/>
      <c r="C608" s="413"/>
      <c r="D608" s="413"/>
      <c r="E608" s="413"/>
      <c r="F608" s="413"/>
      <c r="G608" s="413"/>
      <c r="H608" s="413"/>
      <c r="I608" s="413"/>
      <c r="J608" s="413"/>
      <c r="K608" s="413"/>
      <c r="L608" s="971"/>
      <c r="M608" s="413"/>
      <c r="N608" s="413"/>
      <c r="O608" s="413"/>
      <c r="P608" s="414"/>
      <c r="Q608" s="413"/>
      <c r="R608" s="413"/>
      <c r="S608" s="413"/>
      <c r="T608" s="413"/>
      <c r="U608" s="413"/>
      <c r="V608" s="413"/>
      <c r="W608" s="413"/>
      <c r="X608" s="413"/>
      <c r="Y608" s="413"/>
      <c r="Z608" s="413"/>
    </row>
    <row r="609" spans="2:26" x14ac:dyDescent="0.2">
      <c r="B609" s="413"/>
      <c r="C609" s="413"/>
      <c r="D609" s="413"/>
      <c r="E609" s="413"/>
      <c r="F609" s="413"/>
      <c r="G609" s="413"/>
      <c r="H609" s="413"/>
      <c r="I609" s="413"/>
      <c r="J609" s="413"/>
      <c r="K609" s="413"/>
      <c r="L609" s="971"/>
      <c r="M609" s="413"/>
      <c r="N609" s="413"/>
      <c r="O609" s="413"/>
      <c r="P609" s="414"/>
      <c r="Q609" s="413"/>
      <c r="R609" s="413"/>
      <c r="S609" s="413"/>
      <c r="T609" s="413"/>
      <c r="U609" s="413"/>
      <c r="V609" s="413"/>
      <c r="W609" s="413"/>
      <c r="X609" s="413"/>
      <c r="Y609" s="413"/>
      <c r="Z609" s="413"/>
    </row>
    <row r="610" spans="2:26" x14ac:dyDescent="0.2">
      <c r="B610" s="413"/>
      <c r="C610" s="413"/>
      <c r="D610" s="413"/>
      <c r="E610" s="413"/>
      <c r="F610" s="413"/>
      <c r="G610" s="413"/>
      <c r="H610" s="413"/>
      <c r="I610" s="413"/>
      <c r="J610" s="413"/>
      <c r="K610" s="413"/>
      <c r="L610" s="971"/>
      <c r="M610" s="413"/>
      <c r="N610" s="413"/>
      <c r="O610" s="413"/>
      <c r="P610" s="414"/>
      <c r="Q610" s="413"/>
      <c r="R610" s="413"/>
      <c r="S610" s="413"/>
      <c r="T610" s="413"/>
      <c r="U610" s="413"/>
      <c r="V610" s="413"/>
      <c r="W610" s="413"/>
      <c r="X610" s="413"/>
      <c r="Y610" s="413"/>
      <c r="Z610" s="413"/>
    </row>
    <row r="611" spans="2:26" x14ac:dyDescent="0.2">
      <c r="B611" s="413"/>
      <c r="C611" s="413"/>
      <c r="D611" s="413"/>
      <c r="E611" s="413"/>
      <c r="F611" s="413"/>
      <c r="G611" s="413"/>
      <c r="H611" s="413"/>
      <c r="I611" s="413"/>
      <c r="J611" s="413"/>
      <c r="K611" s="413"/>
      <c r="L611" s="971"/>
      <c r="M611" s="413"/>
      <c r="N611" s="413"/>
      <c r="O611" s="413"/>
      <c r="P611" s="414"/>
      <c r="Q611" s="413"/>
      <c r="R611" s="413"/>
      <c r="S611" s="413"/>
      <c r="T611" s="413"/>
      <c r="U611" s="413"/>
      <c r="V611" s="413"/>
      <c r="W611" s="413"/>
      <c r="X611" s="413"/>
      <c r="Y611" s="413"/>
      <c r="Z611" s="413"/>
    </row>
    <row r="612" spans="2:26" x14ac:dyDescent="0.2">
      <c r="B612" s="413"/>
      <c r="C612" s="413"/>
      <c r="D612" s="413"/>
      <c r="E612" s="413"/>
      <c r="F612" s="413"/>
      <c r="G612" s="413"/>
      <c r="H612" s="413"/>
      <c r="I612" s="413"/>
      <c r="J612" s="413"/>
      <c r="K612" s="413"/>
      <c r="L612" s="971"/>
      <c r="M612" s="413"/>
      <c r="N612" s="413"/>
      <c r="O612" s="413"/>
      <c r="P612" s="414"/>
      <c r="Q612" s="413"/>
      <c r="R612" s="413"/>
      <c r="S612" s="413"/>
      <c r="T612" s="413"/>
      <c r="U612" s="413"/>
      <c r="V612" s="413"/>
      <c r="W612" s="413"/>
      <c r="X612" s="413"/>
      <c r="Y612" s="413"/>
      <c r="Z612" s="413"/>
    </row>
    <row r="613" spans="2:26" x14ac:dyDescent="0.2">
      <c r="B613" s="413"/>
      <c r="C613" s="413"/>
      <c r="D613" s="413"/>
      <c r="E613" s="413"/>
      <c r="F613" s="413"/>
      <c r="G613" s="413"/>
      <c r="H613" s="413"/>
      <c r="I613" s="413"/>
      <c r="J613" s="413"/>
      <c r="K613" s="413"/>
      <c r="L613" s="971"/>
      <c r="M613" s="413"/>
      <c r="N613" s="413"/>
      <c r="O613" s="413"/>
      <c r="P613" s="414"/>
      <c r="Q613" s="413"/>
      <c r="R613" s="413"/>
      <c r="S613" s="413"/>
      <c r="T613" s="413"/>
      <c r="U613" s="413"/>
      <c r="V613" s="413"/>
      <c r="W613" s="413"/>
      <c r="X613" s="413"/>
      <c r="Y613" s="413"/>
      <c r="Z613" s="413"/>
    </row>
    <row r="614" spans="2:26" x14ac:dyDescent="0.2">
      <c r="B614" s="413"/>
      <c r="C614" s="413"/>
      <c r="D614" s="413"/>
      <c r="E614" s="413"/>
      <c r="F614" s="413"/>
      <c r="G614" s="413"/>
      <c r="H614" s="413"/>
      <c r="I614" s="413"/>
      <c r="J614" s="413"/>
      <c r="K614" s="413"/>
      <c r="L614" s="971"/>
      <c r="M614" s="413"/>
      <c r="N614" s="413"/>
      <c r="O614" s="413"/>
      <c r="P614" s="414"/>
      <c r="Q614" s="413"/>
      <c r="R614" s="413"/>
      <c r="S614" s="413"/>
      <c r="T614" s="413"/>
      <c r="U614" s="413"/>
      <c r="V614" s="413"/>
      <c r="W614" s="413"/>
      <c r="X614" s="413"/>
      <c r="Y614" s="413"/>
      <c r="Z614" s="413"/>
    </row>
    <row r="615" spans="2:26" x14ac:dyDescent="0.2">
      <c r="B615" s="413"/>
      <c r="C615" s="413"/>
      <c r="D615" s="413"/>
      <c r="E615" s="413"/>
      <c r="F615" s="413"/>
      <c r="G615" s="413"/>
      <c r="H615" s="413"/>
      <c r="I615" s="413"/>
      <c r="J615" s="413"/>
      <c r="K615" s="413"/>
      <c r="L615" s="971"/>
      <c r="M615" s="413"/>
      <c r="N615" s="413"/>
      <c r="O615" s="413"/>
      <c r="P615" s="414"/>
      <c r="Q615" s="413"/>
      <c r="R615" s="413"/>
      <c r="S615" s="413"/>
      <c r="T615" s="413"/>
      <c r="U615" s="413"/>
      <c r="V615" s="413"/>
      <c r="W615" s="413"/>
      <c r="X615" s="413"/>
      <c r="Y615" s="413"/>
      <c r="Z615" s="413"/>
    </row>
    <row r="616" spans="2:26" x14ac:dyDescent="0.2">
      <c r="B616" s="413"/>
      <c r="C616" s="413"/>
      <c r="D616" s="413"/>
      <c r="E616" s="413"/>
      <c r="F616" s="413"/>
      <c r="G616" s="413"/>
      <c r="H616" s="413"/>
      <c r="I616" s="413"/>
      <c r="J616" s="413"/>
      <c r="K616" s="413"/>
      <c r="L616" s="971"/>
      <c r="M616" s="413"/>
      <c r="N616" s="413"/>
      <c r="O616" s="413"/>
      <c r="P616" s="414"/>
      <c r="Q616" s="413"/>
      <c r="R616" s="413"/>
      <c r="S616" s="413"/>
      <c r="T616" s="413"/>
      <c r="U616" s="413"/>
      <c r="V616" s="413"/>
      <c r="W616" s="413"/>
      <c r="X616" s="413"/>
      <c r="Y616" s="413"/>
      <c r="Z616" s="413"/>
    </row>
    <row r="617" spans="2:26" x14ac:dyDescent="0.2">
      <c r="B617" s="413"/>
      <c r="C617" s="413"/>
      <c r="D617" s="413"/>
      <c r="E617" s="413"/>
      <c r="F617" s="413"/>
      <c r="G617" s="413"/>
      <c r="H617" s="413"/>
      <c r="I617" s="413"/>
      <c r="J617" s="413"/>
      <c r="K617" s="413"/>
      <c r="L617" s="971"/>
      <c r="M617" s="413"/>
      <c r="N617" s="413"/>
      <c r="O617" s="413"/>
      <c r="P617" s="414"/>
      <c r="Q617" s="413"/>
      <c r="R617" s="413"/>
      <c r="S617" s="413"/>
      <c r="T617" s="413"/>
      <c r="U617" s="413"/>
      <c r="V617" s="413"/>
      <c r="W617" s="413"/>
      <c r="X617" s="413"/>
      <c r="Y617" s="413"/>
      <c r="Z617" s="413"/>
    </row>
    <row r="618" spans="2:26" x14ac:dyDescent="0.2">
      <c r="B618" s="413"/>
      <c r="C618" s="413"/>
      <c r="D618" s="413"/>
      <c r="E618" s="413"/>
      <c r="F618" s="413"/>
      <c r="G618" s="413"/>
      <c r="H618" s="413"/>
      <c r="I618" s="413"/>
      <c r="J618" s="413"/>
      <c r="K618" s="413"/>
      <c r="L618" s="971"/>
      <c r="M618" s="413"/>
      <c r="N618" s="413"/>
      <c r="O618" s="413"/>
      <c r="P618" s="414"/>
      <c r="Q618" s="413"/>
      <c r="R618" s="413"/>
      <c r="S618" s="413"/>
      <c r="T618" s="413"/>
      <c r="U618" s="413"/>
      <c r="V618" s="413"/>
      <c r="W618" s="413"/>
      <c r="X618" s="413"/>
      <c r="Y618" s="413"/>
      <c r="Z618" s="413"/>
    </row>
    <row r="619" spans="2:26" x14ac:dyDescent="0.2">
      <c r="B619" s="413"/>
      <c r="C619" s="413"/>
      <c r="D619" s="413"/>
      <c r="E619" s="413"/>
      <c r="F619" s="413"/>
      <c r="G619" s="413"/>
      <c r="H619" s="413"/>
      <c r="I619" s="413"/>
      <c r="J619" s="413"/>
      <c r="K619" s="413"/>
      <c r="L619" s="971"/>
      <c r="M619" s="413"/>
      <c r="N619" s="413"/>
      <c r="O619" s="413"/>
      <c r="P619" s="414"/>
      <c r="Q619" s="413"/>
      <c r="R619" s="413"/>
      <c r="S619" s="413"/>
      <c r="T619" s="413"/>
      <c r="U619" s="413"/>
      <c r="V619" s="413"/>
      <c r="W619" s="413"/>
      <c r="X619" s="413"/>
      <c r="Y619" s="413"/>
      <c r="Z619" s="413"/>
    </row>
    <row r="620" spans="2:26" x14ac:dyDescent="0.2">
      <c r="B620" s="413"/>
      <c r="C620" s="413"/>
      <c r="D620" s="413"/>
      <c r="E620" s="413"/>
      <c r="F620" s="413"/>
      <c r="G620" s="413"/>
      <c r="H620" s="413"/>
      <c r="I620" s="413"/>
      <c r="J620" s="413"/>
      <c r="K620" s="413"/>
      <c r="L620" s="971"/>
      <c r="M620" s="413"/>
      <c r="N620" s="413"/>
      <c r="O620" s="413"/>
      <c r="P620" s="414"/>
      <c r="Q620" s="413"/>
      <c r="R620" s="413"/>
      <c r="S620" s="413"/>
      <c r="T620" s="413"/>
      <c r="U620" s="413"/>
      <c r="V620" s="413"/>
      <c r="W620" s="413"/>
      <c r="X620" s="413"/>
      <c r="Y620" s="413"/>
      <c r="Z620" s="413"/>
    </row>
    <row r="621" spans="2:26" x14ac:dyDescent="0.2">
      <c r="B621" s="413"/>
      <c r="C621" s="413"/>
      <c r="D621" s="413"/>
      <c r="E621" s="413"/>
      <c r="F621" s="413"/>
      <c r="G621" s="413"/>
      <c r="H621" s="413"/>
      <c r="I621" s="413"/>
      <c r="J621" s="413"/>
      <c r="K621" s="413"/>
      <c r="L621" s="971"/>
      <c r="M621" s="413"/>
      <c r="N621" s="413"/>
      <c r="O621" s="413"/>
      <c r="P621" s="414"/>
      <c r="Q621" s="413"/>
      <c r="R621" s="413"/>
      <c r="S621" s="413"/>
      <c r="T621" s="413"/>
      <c r="U621" s="413"/>
      <c r="V621" s="413"/>
      <c r="W621" s="413"/>
      <c r="X621" s="413"/>
      <c r="Y621" s="413"/>
      <c r="Z621" s="413"/>
    </row>
    <row r="622" spans="2:26" x14ac:dyDescent="0.2">
      <c r="B622" s="413"/>
      <c r="C622" s="413"/>
      <c r="D622" s="413"/>
      <c r="E622" s="413"/>
      <c r="F622" s="413"/>
      <c r="G622" s="413"/>
      <c r="H622" s="413"/>
      <c r="I622" s="413"/>
      <c r="J622" s="413"/>
      <c r="K622" s="413"/>
      <c r="L622" s="971"/>
      <c r="M622" s="413"/>
      <c r="N622" s="413"/>
      <c r="O622" s="413"/>
      <c r="P622" s="414"/>
      <c r="Q622" s="413"/>
      <c r="R622" s="413"/>
      <c r="S622" s="413"/>
      <c r="T622" s="413"/>
      <c r="U622" s="413"/>
      <c r="V622" s="413"/>
      <c r="W622" s="413"/>
      <c r="X622" s="413"/>
      <c r="Y622" s="413"/>
      <c r="Z622" s="413"/>
    </row>
    <row r="623" spans="2:26" x14ac:dyDescent="0.2">
      <c r="B623" s="413"/>
      <c r="C623" s="413"/>
      <c r="D623" s="413"/>
      <c r="E623" s="413"/>
      <c r="F623" s="413"/>
      <c r="G623" s="413"/>
      <c r="H623" s="413"/>
      <c r="I623" s="413"/>
      <c r="J623" s="413"/>
      <c r="K623" s="413"/>
      <c r="L623" s="971"/>
      <c r="M623" s="413"/>
      <c r="N623" s="413"/>
      <c r="O623" s="413"/>
      <c r="P623" s="414"/>
      <c r="Q623" s="413"/>
      <c r="R623" s="413"/>
      <c r="S623" s="413"/>
      <c r="T623" s="413"/>
      <c r="U623" s="413"/>
      <c r="V623" s="413"/>
      <c r="W623" s="413"/>
      <c r="X623" s="413"/>
      <c r="Y623" s="413"/>
      <c r="Z623" s="413"/>
    </row>
    <row r="624" spans="2:26" x14ac:dyDescent="0.2">
      <c r="B624" s="413"/>
      <c r="C624" s="413"/>
      <c r="D624" s="413"/>
      <c r="E624" s="413"/>
      <c r="F624" s="413"/>
      <c r="G624" s="413"/>
      <c r="H624" s="413"/>
      <c r="I624" s="413"/>
      <c r="J624" s="413"/>
      <c r="K624" s="413"/>
      <c r="L624" s="971"/>
      <c r="M624" s="413"/>
      <c r="N624" s="413"/>
      <c r="O624" s="413"/>
      <c r="P624" s="414"/>
      <c r="Q624" s="413"/>
      <c r="R624" s="413"/>
      <c r="S624" s="413"/>
      <c r="T624" s="413"/>
      <c r="U624" s="413"/>
      <c r="V624" s="413"/>
      <c r="W624" s="413"/>
      <c r="X624" s="413"/>
      <c r="Y624" s="413"/>
      <c r="Z624" s="413"/>
    </row>
    <row r="625" spans="2:26" x14ac:dyDescent="0.2">
      <c r="B625" s="413"/>
      <c r="C625" s="413"/>
      <c r="D625" s="413"/>
      <c r="E625" s="413"/>
      <c r="F625" s="413"/>
      <c r="G625" s="413"/>
      <c r="H625" s="413"/>
      <c r="I625" s="413"/>
      <c r="J625" s="413"/>
      <c r="K625" s="413"/>
      <c r="L625" s="971"/>
      <c r="M625" s="413"/>
      <c r="N625" s="413"/>
      <c r="O625" s="413"/>
      <c r="P625" s="414"/>
      <c r="Q625" s="413"/>
      <c r="R625" s="413"/>
      <c r="S625" s="413"/>
      <c r="T625" s="413"/>
      <c r="U625" s="413"/>
      <c r="V625" s="413"/>
      <c r="W625" s="413"/>
      <c r="X625" s="413"/>
      <c r="Y625" s="413"/>
      <c r="Z625" s="413"/>
    </row>
    <row r="626" spans="2:26" x14ac:dyDescent="0.2">
      <c r="B626" s="413"/>
      <c r="C626" s="413"/>
      <c r="D626" s="413"/>
      <c r="E626" s="413"/>
      <c r="F626" s="413"/>
      <c r="G626" s="413"/>
      <c r="H626" s="413"/>
      <c r="I626" s="413"/>
      <c r="J626" s="413"/>
      <c r="K626" s="413"/>
      <c r="L626" s="971"/>
      <c r="M626" s="413"/>
      <c r="N626" s="413"/>
      <c r="O626" s="413"/>
      <c r="P626" s="414"/>
      <c r="Q626" s="413"/>
      <c r="R626" s="413"/>
      <c r="S626" s="413"/>
      <c r="T626" s="413"/>
      <c r="U626" s="413"/>
      <c r="V626" s="413"/>
      <c r="W626" s="413"/>
      <c r="X626" s="413"/>
      <c r="Y626" s="413"/>
      <c r="Z626" s="413"/>
    </row>
    <row r="627" spans="2:26" x14ac:dyDescent="0.2">
      <c r="B627" s="413"/>
      <c r="C627" s="413"/>
      <c r="D627" s="413"/>
      <c r="E627" s="413"/>
      <c r="F627" s="413"/>
      <c r="G627" s="413"/>
      <c r="H627" s="413"/>
      <c r="I627" s="413"/>
      <c r="J627" s="413"/>
      <c r="K627" s="413"/>
      <c r="L627" s="971"/>
      <c r="M627" s="413"/>
      <c r="N627" s="413"/>
      <c r="O627" s="413"/>
      <c r="P627" s="414"/>
      <c r="Q627" s="413"/>
      <c r="R627" s="413"/>
      <c r="S627" s="413"/>
      <c r="T627" s="413"/>
      <c r="U627" s="413"/>
      <c r="V627" s="413"/>
      <c r="W627" s="413"/>
      <c r="X627" s="413"/>
      <c r="Y627" s="413"/>
      <c r="Z627" s="413"/>
    </row>
    <row r="628" spans="2:26" x14ac:dyDescent="0.2">
      <c r="B628" s="413"/>
      <c r="C628" s="413"/>
      <c r="D628" s="413"/>
      <c r="E628" s="413"/>
      <c r="F628" s="413"/>
      <c r="G628" s="413"/>
      <c r="H628" s="413"/>
      <c r="I628" s="413"/>
      <c r="J628" s="413"/>
      <c r="K628" s="413"/>
      <c r="L628" s="971"/>
      <c r="M628" s="413"/>
      <c r="N628" s="413"/>
      <c r="O628" s="413"/>
      <c r="P628" s="414"/>
      <c r="Q628" s="413"/>
      <c r="R628" s="413"/>
      <c r="S628" s="413"/>
      <c r="T628" s="413"/>
      <c r="U628" s="413"/>
      <c r="V628" s="413"/>
      <c r="W628" s="413"/>
      <c r="X628" s="413"/>
      <c r="Y628" s="413"/>
      <c r="Z628" s="413"/>
    </row>
    <row r="629" spans="2:26" x14ac:dyDescent="0.2">
      <c r="B629" s="413"/>
      <c r="C629" s="413"/>
      <c r="D629" s="413"/>
      <c r="E629" s="413"/>
      <c r="F629" s="413"/>
      <c r="G629" s="413"/>
      <c r="H629" s="413"/>
      <c r="I629" s="413"/>
      <c r="J629" s="413"/>
      <c r="K629" s="413"/>
      <c r="L629" s="971"/>
      <c r="M629" s="413"/>
      <c r="N629" s="413"/>
      <c r="O629" s="413"/>
      <c r="P629" s="414"/>
      <c r="Q629" s="413"/>
      <c r="R629" s="413"/>
      <c r="S629" s="413"/>
      <c r="T629" s="413"/>
      <c r="U629" s="413"/>
      <c r="V629" s="413"/>
      <c r="W629" s="413"/>
      <c r="X629" s="413"/>
      <c r="Y629" s="413"/>
      <c r="Z629" s="413"/>
    </row>
    <row r="630" spans="2:26" x14ac:dyDescent="0.2">
      <c r="B630" s="413"/>
      <c r="C630" s="413"/>
      <c r="D630" s="413"/>
      <c r="E630" s="413"/>
      <c r="F630" s="413"/>
      <c r="G630" s="413"/>
      <c r="H630" s="413"/>
      <c r="I630" s="413"/>
      <c r="J630" s="413"/>
      <c r="K630" s="413"/>
      <c r="L630" s="971"/>
      <c r="M630" s="413"/>
      <c r="N630" s="413"/>
      <c r="O630" s="413"/>
      <c r="P630" s="414"/>
      <c r="Q630" s="413"/>
      <c r="R630" s="413"/>
      <c r="S630" s="413"/>
      <c r="T630" s="413"/>
      <c r="U630" s="413"/>
      <c r="V630" s="413"/>
      <c r="W630" s="413"/>
      <c r="X630" s="413"/>
      <c r="Y630" s="413"/>
      <c r="Z630" s="413"/>
    </row>
    <row r="631" spans="2:26" x14ac:dyDescent="0.2">
      <c r="B631" s="413"/>
      <c r="C631" s="413"/>
      <c r="D631" s="413"/>
      <c r="E631" s="413"/>
      <c r="F631" s="413"/>
      <c r="G631" s="413"/>
      <c r="H631" s="413"/>
      <c r="I631" s="413"/>
      <c r="J631" s="413"/>
      <c r="K631" s="413"/>
      <c r="L631" s="971"/>
      <c r="M631" s="413"/>
      <c r="N631" s="413"/>
      <c r="O631" s="413"/>
      <c r="P631" s="414"/>
      <c r="Q631" s="413"/>
      <c r="R631" s="413"/>
      <c r="S631" s="413"/>
      <c r="T631" s="413"/>
      <c r="U631" s="413"/>
      <c r="V631" s="413"/>
      <c r="W631" s="413"/>
      <c r="X631" s="413"/>
      <c r="Y631" s="413"/>
      <c r="Z631" s="413"/>
    </row>
    <row r="632" spans="2:26" x14ac:dyDescent="0.2">
      <c r="B632" s="413"/>
      <c r="C632" s="413"/>
      <c r="D632" s="413"/>
      <c r="E632" s="413"/>
      <c r="F632" s="413"/>
      <c r="G632" s="413"/>
      <c r="H632" s="413"/>
      <c r="I632" s="413"/>
      <c r="J632" s="413"/>
      <c r="K632" s="413"/>
      <c r="L632" s="971"/>
      <c r="M632" s="413"/>
      <c r="N632" s="413"/>
      <c r="O632" s="413"/>
      <c r="P632" s="414"/>
      <c r="Q632" s="413"/>
      <c r="R632" s="413"/>
      <c r="S632" s="413"/>
      <c r="T632" s="413"/>
      <c r="U632" s="413"/>
      <c r="V632" s="413"/>
      <c r="W632" s="413"/>
      <c r="X632" s="413"/>
      <c r="Y632" s="413"/>
      <c r="Z632" s="413"/>
    </row>
    <row r="633" spans="2:26" x14ac:dyDescent="0.2">
      <c r="B633" s="413"/>
      <c r="C633" s="413"/>
      <c r="D633" s="413"/>
      <c r="E633" s="413"/>
      <c r="F633" s="413"/>
      <c r="G633" s="413"/>
      <c r="H633" s="413"/>
      <c r="I633" s="413"/>
      <c r="J633" s="413"/>
      <c r="K633" s="413"/>
      <c r="L633" s="971"/>
      <c r="M633" s="413"/>
      <c r="N633" s="413"/>
      <c r="O633" s="413"/>
      <c r="P633" s="414"/>
      <c r="Q633" s="413"/>
      <c r="R633" s="413"/>
      <c r="S633" s="413"/>
      <c r="T633" s="413"/>
      <c r="U633" s="413"/>
      <c r="V633" s="413"/>
      <c r="W633" s="413"/>
      <c r="X633" s="413"/>
      <c r="Y633" s="413"/>
      <c r="Z633" s="413"/>
    </row>
    <row r="634" spans="2:26" x14ac:dyDescent="0.2">
      <c r="B634" s="413"/>
      <c r="C634" s="413"/>
      <c r="D634" s="413"/>
      <c r="E634" s="413"/>
      <c r="F634" s="413"/>
      <c r="G634" s="413"/>
      <c r="H634" s="413"/>
      <c r="I634" s="413"/>
      <c r="J634" s="413"/>
      <c r="K634" s="413"/>
      <c r="L634" s="971"/>
      <c r="M634" s="413"/>
      <c r="N634" s="413"/>
      <c r="O634" s="413"/>
      <c r="P634" s="414"/>
      <c r="Q634" s="413"/>
      <c r="R634" s="413"/>
      <c r="S634" s="413"/>
      <c r="T634" s="413"/>
      <c r="U634" s="413"/>
      <c r="V634" s="413"/>
      <c r="W634" s="413"/>
      <c r="X634" s="413"/>
      <c r="Y634" s="413"/>
      <c r="Z634" s="413"/>
    </row>
  </sheetData>
  <mergeCells count="23">
    <mergeCell ref="B300:Z300"/>
    <mergeCell ref="T7:Z7"/>
    <mergeCell ref="T2:Z2"/>
    <mergeCell ref="T3:Z3"/>
    <mergeCell ref="T4:Z4"/>
    <mergeCell ref="T5:Z5"/>
    <mergeCell ref="T6:Z6"/>
    <mergeCell ref="B380:Z380"/>
    <mergeCell ref="B407:Z407"/>
    <mergeCell ref="B10:B11"/>
    <mergeCell ref="D10:D11"/>
    <mergeCell ref="E10:Y10"/>
    <mergeCell ref="Z10:Z11"/>
    <mergeCell ref="B155:Z155"/>
    <mergeCell ref="B406:Z406"/>
    <mergeCell ref="B293:Z293"/>
    <mergeCell ref="B299:Z299"/>
    <mergeCell ref="B248:Z248"/>
    <mergeCell ref="B265:Z265"/>
    <mergeCell ref="B277:Z277"/>
    <mergeCell ref="B266:Z266"/>
    <mergeCell ref="B273:Z273"/>
    <mergeCell ref="B301:Z301"/>
  </mergeCells>
  <phoneticPr fontId="0" type="noConversion"/>
  <printOptions horizontalCentered="1"/>
  <pageMargins left="0.23622047244094491" right="0.23622047244094491" top="0.74803149606299213" bottom="0.74803149606299213" header="0.31496062992125984" footer="0.31496062992125984"/>
  <pageSetup paperSize="8" scale="40" orientation="portrait" r:id="rId1"/>
  <headerFooter alignWithMargins="0"/>
  <ignoredErrors>
    <ignoredError sqref="E314:X379 E381:X387" formula="1"/>
    <ignoredError sqref="E143:Y143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X134"/>
  <sheetViews>
    <sheetView zoomScale="85" zoomScaleNormal="85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L75" sqref="L75"/>
    </sheetView>
  </sheetViews>
  <sheetFormatPr defaultRowHeight="12.75" x14ac:dyDescent="0.2"/>
  <cols>
    <col min="1" max="1" width="2.28515625" customWidth="1"/>
    <col min="2" max="2" width="47" customWidth="1"/>
    <col min="4" max="4" width="10.7109375" style="302" customWidth="1"/>
    <col min="5" max="5" width="10.28515625" style="302" bestFit="1" customWidth="1"/>
    <col min="6" max="6" width="10.140625" style="302" customWidth="1"/>
    <col min="7" max="9" width="9.140625" style="302"/>
    <col min="10" max="10" width="10.28515625" style="302" bestFit="1" customWidth="1"/>
    <col min="11" max="11" width="9.140625" style="302"/>
    <col min="12" max="12" width="10.28515625" style="302" bestFit="1" customWidth="1"/>
    <col min="13" max="13" width="10.140625" style="302" customWidth="1"/>
    <col min="14" max="25" width="9.140625" style="302"/>
    <col min="26" max="26" width="10.85546875" style="302" customWidth="1"/>
    <col min="27" max="34" width="9.140625" customWidth="1"/>
    <col min="35" max="35" width="21" customWidth="1"/>
    <col min="36" max="36" width="24.7109375" customWidth="1"/>
    <col min="37" max="37" width="12.28515625" customWidth="1"/>
    <col min="38" max="40" width="11.42578125" customWidth="1"/>
    <col min="41" max="47" width="11.42578125" style="1" customWidth="1"/>
    <col min="48" max="49" width="11.42578125" customWidth="1"/>
    <col min="50" max="53" width="11.42578125" style="1" customWidth="1"/>
    <col min="54" max="58" width="9.28515625" style="1" customWidth="1"/>
    <col min="59" max="109" width="9.140625" style="1" customWidth="1"/>
    <col min="110" max="170" width="9.140625" style="1"/>
    <col min="290" max="290" width="5.5703125" customWidth="1"/>
    <col min="291" max="291" width="41.5703125" customWidth="1"/>
    <col min="292" max="292" width="13" customWidth="1"/>
    <col min="295" max="295" width="11.140625" customWidth="1"/>
    <col min="296" max="296" width="10.42578125" customWidth="1"/>
    <col min="546" max="546" width="5.5703125" customWidth="1"/>
    <col min="547" max="547" width="41.5703125" customWidth="1"/>
    <col min="548" max="548" width="13" customWidth="1"/>
    <col min="551" max="551" width="11.140625" customWidth="1"/>
    <col min="552" max="552" width="10.42578125" customWidth="1"/>
    <col min="802" max="802" width="5.5703125" customWidth="1"/>
    <col min="803" max="803" width="41.5703125" customWidth="1"/>
    <col min="804" max="804" width="13" customWidth="1"/>
    <col min="807" max="807" width="11.140625" customWidth="1"/>
    <col min="808" max="808" width="10.42578125" customWidth="1"/>
    <col min="1058" max="1058" width="5.5703125" customWidth="1"/>
    <col min="1059" max="1059" width="41.5703125" customWidth="1"/>
    <col min="1060" max="1060" width="13" customWidth="1"/>
    <col min="1063" max="1063" width="11.140625" customWidth="1"/>
    <col min="1064" max="1064" width="10.42578125" customWidth="1"/>
    <col min="1314" max="1314" width="5.5703125" customWidth="1"/>
    <col min="1315" max="1315" width="41.5703125" customWidth="1"/>
    <col min="1316" max="1316" width="13" customWidth="1"/>
    <col min="1319" max="1319" width="11.140625" customWidth="1"/>
    <col min="1320" max="1320" width="10.42578125" customWidth="1"/>
    <col min="1570" max="1570" width="5.5703125" customWidth="1"/>
    <col min="1571" max="1571" width="41.5703125" customWidth="1"/>
    <col min="1572" max="1572" width="13" customWidth="1"/>
    <col min="1575" max="1575" width="11.140625" customWidth="1"/>
    <col min="1576" max="1576" width="10.42578125" customWidth="1"/>
    <col min="1826" max="1826" width="5.5703125" customWidth="1"/>
    <col min="1827" max="1827" width="41.5703125" customWidth="1"/>
    <col min="1828" max="1828" width="13" customWidth="1"/>
    <col min="1831" max="1831" width="11.140625" customWidth="1"/>
    <col min="1832" max="1832" width="10.42578125" customWidth="1"/>
    <col min="2082" max="2082" width="5.5703125" customWidth="1"/>
    <col min="2083" max="2083" width="41.5703125" customWidth="1"/>
    <col min="2084" max="2084" width="13" customWidth="1"/>
    <col min="2087" max="2087" width="11.140625" customWidth="1"/>
    <col min="2088" max="2088" width="10.42578125" customWidth="1"/>
    <col min="2338" max="2338" width="5.5703125" customWidth="1"/>
    <col min="2339" max="2339" width="41.5703125" customWidth="1"/>
    <col min="2340" max="2340" width="13" customWidth="1"/>
    <col min="2343" max="2343" width="11.140625" customWidth="1"/>
    <col min="2344" max="2344" width="10.42578125" customWidth="1"/>
    <col min="2594" max="2594" width="5.5703125" customWidth="1"/>
    <col min="2595" max="2595" width="41.5703125" customWidth="1"/>
    <col min="2596" max="2596" width="13" customWidth="1"/>
    <col min="2599" max="2599" width="11.140625" customWidth="1"/>
    <col min="2600" max="2600" width="10.42578125" customWidth="1"/>
    <col min="2850" max="2850" width="5.5703125" customWidth="1"/>
    <col min="2851" max="2851" width="41.5703125" customWidth="1"/>
    <col min="2852" max="2852" width="13" customWidth="1"/>
    <col min="2855" max="2855" width="11.140625" customWidth="1"/>
    <col min="2856" max="2856" width="10.42578125" customWidth="1"/>
    <col min="3106" max="3106" width="5.5703125" customWidth="1"/>
    <col min="3107" max="3107" width="41.5703125" customWidth="1"/>
    <col min="3108" max="3108" width="13" customWidth="1"/>
    <col min="3111" max="3111" width="11.140625" customWidth="1"/>
    <col min="3112" max="3112" width="10.42578125" customWidth="1"/>
    <col min="3362" max="3362" width="5.5703125" customWidth="1"/>
    <col min="3363" max="3363" width="41.5703125" customWidth="1"/>
    <col min="3364" max="3364" width="13" customWidth="1"/>
    <col min="3367" max="3367" width="11.140625" customWidth="1"/>
    <col min="3368" max="3368" width="10.42578125" customWidth="1"/>
    <col min="3618" max="3618" width="5.5703125" customWidth="1"/>
    <col min="3619" max="3619" width="41.5703125" customWidth="1"/>
    <col min="3620" max="3620" width="13" customWidth="1"/>
    <col min="3623" max="3623" width="11.140625" customWidth="1"/>
    <col min="3624" max="3624" width="10.42578125" customWidth="1"/>
    <col min="3874" max="3874" width="5.5703125" customWidth="1"/>
    <col min="3875" max="3875" width="41.5703125" customWidth="1"/>
    <col min="3876" max="3876" width="13" customWidth="1"/>
    <col min="3879" max="3879" width="11.140625" customWidth="1"/>
    <col min="3880" max="3880" width="10.42578125" customWidth="1"/>
    <col min="4130" max="4130" width="5.5703125" customWidth="1"/>
    <col min="4131" max="4131" width="41.5703125" customWidth="1"/>
    <col min="4132" max="4132" width="13" customWidth="1"/>
    <col min="4135" max="4135" width="11.140625" customWidth="1"/>
    <col min="4136" max="4136" width="10.42578125" customWidth="1"/>
    <col min="4386" max="4386" width="5.5703125" customWidth="1"/>
    <col min="4387" max="4387" width="41.5703125" customWidth="1"/>
    <col min="4388" max="4388" width="13" customWidth="1"/>
    <col min="4391" max="4391" width="11.140625" customWidth="1"/>
    <col min="4392" max="4392" width="10.42578125" customWidth="1"/>
    <col min="4642" max="4642" width="5.5703125" customWidth="1"/>
    <col min="4643" max="4643" width="41.5703125" customWidth="1"/>
    <col min="4644" max="4644" width="13" customWidth="1"/>
    <col min="4647" max="4647" width="11.140625" customWidth="1"/>
    <col min="4648" max="4648" width="10.42578125" customWidth="1"/>
    <col min="4898" max="4898" width="5.5703125" customWidth="1"/>
    <col min="4899" max="4899" width="41.5703125" customWidth="1"/>
    <col min="4900" max="4900" width="13" customWidth="1"/>
    <col min="4903" max="4903" width="11.140625" customWidth="1"/>
    <col min="4904" max="4904" width="10.42578125" customWidth="1"/>
    <col min="5154" max="5154" width="5.5703125" customWidth="1"/>
    <col min="5155" max="5155" width="41.5703125" customWidth="1"/>
    <col min="5156" max="5156" width="13" customWidth="1"/>
    <col min="5159" max="5159" width="11.140625" customWidth="1"/>
    <col min="5160" max="5160" width="10.42578125" customWidth="1"/>
    <col min="5410" max="5410" width="5.5703125" customWidth="1"/>
    <col min="5411" max="5411" width="41.5703125" customWidth="1"/>
    <col min="5412" max="5412" width="13" customWidth="1"/>
    <col min="5415" max="5415" width="11.140625" customWidth="1"/>
    <col min="5416" max="5416" width="10.42578125" customWidth="1"/>
    <col min="5666" max="5666" width="5.5703125" customWidth="1"/>
    <col min="5667" max="5667" width="41.5703125" customWidth="1"/>
    <col min="5668" max="5668" width="13" customWidth="1"/>
    <col min="5671" max="5671" width="11.140625" customWidth="1"/>
    <col min="5672" max="5672" width="10.42578125" customWidth="1"/>
    <col min="5922" max="5922" width="5.5703125" customWidth="1"/>
    <col min="5923" max="5923" width="41.5703125" customWidth="1"/>
    <col min="5924" max="5924" width="13" customWidth="1"/>
    <col min="5927" max="5927" width="11.140625" customWidth="1"/>
    <col min="5928" max="5928" width="10.42578125" customWidth="1"/>
    <col min="6178" max="6178" width="5.5703125" customWidth="1"/>
    <col min="6179" max="6179" width="41.5703125" customWidth="1"/>
    <col min="6180" max="6180" width="13" customWidth="1"/>
    <col min="6183" max="6183" width="11.140625" customWidth="1"/>
    <col min="6184" max="6184" width="10.42578125" customWidth="1"/>
    <col min="6434" max="6434" width="5.5703125" customWidth="1"/>
    <col min="6435" max="6435" width="41.5703125" customWidth="1"/>
    <col min="6436" max="6436" width="13" customWidth="1"/>
    <col min="6439" max="6439" width="11.140625" customWidth="1"/>
    <col min="6440" max="6440" width="10.42578125" customWidth="1"/>
    <col min="6690" max="6690" width="5.5703125" customWidth="1"/>
    <col min="6691" max="6691" width="41.5703125" customWidth="1"/>
    <col min="6692" max="6692" width="13" customWidth="1"/>
    <col min="6695" max="6695" width="11.140625" customWidth="1"/>
    <col min="6696" max="6696" width="10.42578125" customWidth="1"/>
    <col min="6946" max="6946" width="5.5703125" customWidth="1"/>
    <col min="6947" max="6947" width="41.5703125" customWidth="1"/>
    <col min="6948" max="6948" width="13" customWidth="1"/>
    <col min="6951" max="6951" width="11.140625" customWidth="1"/>
    <col min="6952" max="6952" width="10.42578125" customWidth="1"/>
    <col min="7202" max="7202" width="5.5703125" customWidth="1"/>
    <col min="7203" max="7203" width="41.5703125" customWidth="1"/>
    <col min="7204" max="7204" width="13" customWidth="1"/>
    <col min="7207" max="7207" width="11.140625" customWidth="1"/>
    <col min="7208" max="7208" width="10.42578125" customWidth="1"/>
    <col min="7458" max="7458" width="5.5703125" customWidth="1"/>
    <col min="7459" max="7459" width="41.5703125" customWidth="1"/>
    <col min="7460" max="7460" width="13" customWidth="1"/>
    <col min="7463" max="7463" width="11.140625" customWidth="1"/>
    <col min="7464" max="7464" width="10.42578125" customWidth="1"/>
    <col min="7714" max="7714" width="5.5703125" customWidth="1"/>
    <col min="7715" max="7715" width="41.5703125" customWidth="1"/>
    <col min="7716" max="7716" width="13" customWidth="1"/>
    <col min="7719" max="7719" width="11.140625" customWidth="1"/>
    <col min="7720" max="7720" width="10.42578125" customWidth="1"/>
    <col min="7970" max="7970" width="5.5703125" customWidth="1"/>
    <col min="7971" max="7971" width="41.5703125" customWidth="1"/>
    <col min="7972" max="7972" width="13" customWidth="1"/>
    <col min="7975" max="7975" width="11.140625" customWidth="1"/>
    <col min="7976" max="7976" width="10.42578125" customWidth="1"/>
    <col min="8226" max="8226" width="5.5703125" customWidth="1"/>
    <col min="8227" max="8227" width="41.5703125" customWidth="1"/>
    <col min="8228" max="8228" width="13" customWidth="1"/>
    <col min="8231" max="8231" width="11.140625" customWidth="1"/>
    <col min="8232" max="8232" width="10.42578125" customWidth="1"/>
    <col min="8482" max="8482" width="5.5703125" customWidth="1"/>
    <col min="8483" max="8483" width="41.5703125" customWidth="1"/>
    <col min="8484" max="8484" width="13" customWidth="1"/>
    <col min="8487" max="8487" width="11.140625" customWidth="1"/>
    <col min="8488" max="8488" width="10.42578125" customWidth="1"/>
    <col min="8738" max="8738" width="5.5703125" customWidth="1"/>
    <col min="8739" max="8739" width="41.5703125" customWidth="1"/>
    <col min="8740" max="8740" width="13" customWidth="1"/>
    <col min="8743" max="8743" width="11.140625" customWidth="1"/>
    <col min="8744" max="8744" width="10.42578125" customWidth="1"/>
    <col min="8994" max="8994" width="5.5703125" customWidth="1"/>
    <col min="8995" max="8995" width="41.5703125" customWidth="1"/>
    <col min="8996" max="8996" width="13" customWidth="1"/>
    <col min="8999" max="8999" width="11.140625" customWidth="1"/>
    <col min="9000" max="9000" width="10.42578125" customWidth="1"/>
    <col min="9250" max="9250" width="5.5703125" customWidth="1"/>
    <col min="9251" max="9251" width="41.5703125" customWidth="1"/>
    <col min="9252" max="9252" width="13" customWidth="1"/>
    <col min="9255" max="9255" width="11.140625" customWidth="1"/>
    <col min="9256" max="9256" width="10.42578125" customWidth="1"/>
    <col min="9506" max="9506" width="5.5703125" customWidth="1"/>
    <col min="9507" max="9507" width="41.5703125" customWidth="1"/>
    <col min="9508" max="9508" width="13" customWidth="1"/>
    <col min="9511" max="9511" width="11.140625" customWidth="1"/>
    <col min="9512" max="9512" width="10.42578125" customWidth="1"/>
    <col min="9762" max="9762" width="5.5703125" customWidth="1"/>
    <col min="9763" max="9763" width="41.5703125" customWidth="1"/>
    <col min="9764" max="9764" width="13" customWidth="1"/>
    <col min="9767" max="9767" width="11.140625" customWidth="1"/>
    <col min="9768" max="9768" width="10.42578125" customWidth="1"/>
    <col min="10018" max="10018" width="5.5703125" customWidth="1"/>
    <col min="10019" max="10019" width="41.5703125" customWidth="1"/>
    <col min="10020" max="10020" width="13" customWidth="1"/>
    <col min="10023" max="10023" width="11.140625" customWidth="1"/>
    <col min="10024" max="10024" width="10.42578125" customWidth="1"/>
    <col min="10274" max="10274" width="5.5703125" customWidth="1"/>
    <col min="10275" max="10275" width="41.5703125" customWidth="1"/>
    <col min="10276" max="10276" width="13" customWidth="1"/>
    <col min="10279" max="10279" width="11.140625" customWidth="1"/>
    <col min="10280" max="10280" width="10.42578125" customWidth="1"/>
    <col min="10530" max="10530" width="5.5703125" customWidth="1"/>
    <col min="10531" max="10531" width="41.5703125" customWidth="1"/>
    <col min="10532" max="10532" width="13" customWidth="1"/>
    <col min="10535" max="10535" width="11.140625" customWidth="1"/>
    <col min="10536" max="10536" width="10.42578125" customWidth="1"/>
    <col min="10786" max="10786" width="5.5703125" customWidth="1"/>
    <col min="10787" max="10787" width="41.5703125" customWidth="1"/>
    <col min="10788" max="10788" width="13" customWidth="1"/>
    <col min="10791" max="10791" width="11.140625" customWidth="1"/>
    <col min="10792" max="10792" width="10.42578125" customWidth="1"/>
    <col min="11042" max="11042" width="5.5703125" customWidth="1"/>
    <col min="11043" max="11043" width="41.5703125" customWidth="1"/>
    <col min="11044" max="11044" width="13" customWidth="1"/>
    <col min="11047" max="11047" width="11.140625" customWidth="1"/>
    <col min="11048" max="11048" width="10.42578125" customWidth="1"/>
    <col min="11298" max="11298" width="5.5703125" customWidth="1"/>
    <col min="11299" max="11299" width="41.5703125" customWidth="1"/>
    <col min="11300" max="11300" width="13" customWidth="1"/>
    <col min="11303" max="11303" width="11.140625" customWidth="1"/>
    <col min="11304" max="11304" width="10.42578125" customWidth="1"/>
    <col min="11554" max="11554" width="5.5703125" customWidth="1"/>
    <col min="11555" max="11555" width="41.5703125" customWidth="1"/>
    <col min="11556" max="11556" width="13" customWidth="1"/>
    <col min="11559" max="11559" width="11.140625" customWidth="1"/>
    <col min="11560" max="11560" width="10.42578125" customWidth="1"/>
    <col min="11810" max="11810" width="5.5703125" customWidth="1"/>
    <col min="11811" max="11811" width="41.5703125" customWidth="1"/>
    <col min="11812" max="11812" width="13" customWidth="1"/>
    <col min="11815" max="11815" width="11.140625" customWidth="1"/>
    <col min="11816" max="11816" width="10.42578125" customWidth="1"/>
    <col min="12066" max="12066" width="5.5703125" customWidth="1"/>
    <col min="12067" max="12067" width="41.5703125" customWidth="1"/>
    <col min="12068" max="12068" width="13" customWidth="1"/>
    <col min="12071" max="12071" width="11.140625" customWidth="1"/>
    <col min="12072" max="12072" width="10.42578125" customWidth="1"/>
    <col min="12322" max="12322" width="5.5703125" customWidth="1"/>
    <col min="12323" max="12323" width="41.5703125" customWidth="1"/>
    <col min="12324" max="12324" width="13" customWidth="1"/>
    <col min="12327" max="12327" width="11.140625" customWidth="1"/>
    <col min="12328" max="12328" width="10.42578125" customWidth="1"/>
    <col min="12578" max="12578" width="5.5703125" customWidth="1"/>
    <col min="12579" max="12579" width="41.5703125" customWidth="1"/>
    <col min="12580" max="12580" width="13" customWidth="1"/>
    <col min="12583" max="12583" width="11.140625" customWidth="1"/>
    <col min="12584" max="12584" width="10.42578125" customWidth="1"/>
    <col min="12834" max="12834" width="5.5703125" customWidth="1"/>
    <col min="12835" max="12835" width="41.5703125" customWidth="1"/>
    <col min="12836" max="12836" width="13" customWidth="1"/>
    <col min="12839" max="12839" width="11.140625" customWidth="1"/>
    <col min="12840" max="12840" width="10.42578125" customWidth="1"/>
    <col min="13090" max="13090" width="5.5703125" customWidth="1"/>
    <col min="13091" max="13091" width="41.5703125" customWidth="1"/>
    <col min="13092" max="13092" width="13" customWidth="1"/>
    <col min="13095" max="13095" width="11.140625" customWidth="1"/>
    <col min="13096" max="13096" width="10.42578125" customWidth="1"/>
    <col min="13346" max="13346" width="5.5703125" customWidth="1"/>
    <col min="13347" max="13347" width="41.5703125" customWidth="1"/>
    <col min="13348" max="13348" width="13" customWidth="1"/>
    <col min="13351" max="13351" width="11.140625" customWidth="1"/>
    <col min="13352" max="13352" width="10.42578125" customWidth="1"/>
    <col min="13602" max="13602" width="5.5703125" customWidth="1"/>
    <col min="13603" max="13603" width="41.5703125" customWidth="1"/>
    <col min="13604" max="13604" width="13" customWidth="1"/>
    <col min="13607" max="13607" width="11.140625" customWidth="1"/>
    <col min="13608" max="13608" width="10.42578125" customWidth="1"/>
    <col min="13858" max="13858" width="5.5703125" customWidth="1"/>
    <col min="13859" max="13859" width="41.5703125" customWidth="1"/>
    <col min="13860" max="13860" width="13" customWidth="1"/>
    <col min="13863" max="13863" width="11.140625" customWidth="1"/>
    <col min="13864" max="13864" width="10.42578125" customWidth="1"/>
    <col min="14114" max="14114" width="5.5703125" customWidth="1"/>
    <col min="14115" max="14115" width="41.5703125" customWidth="1"/>
    <col min="14116" max="14116" width="13" customWidth="1"/>
    <col min="14119" max="14119" width="11.140625" customWidth="1"/>
    <col min="14120" max="14120" width="10.42578125" customWidth="1"/>
    <col min="14370" max="14370" width="5.5703125" customWidth="1"/>
    <col min="14371" max="14371" width="41.5703125" customWidth="1"/>
    <col min="14372" max="14372" width="13" customWidth="1"/>
    <col min="14375" max="14375" width="11.140625" customWidth="1"/>
    <col min="14376" max="14376" width="10.42578125" customWidth="1"/>
    <col min="14626" max="14626" width="5.5703125" customWidth="1"/>
    <col min="14627" max="14627" width="41.5703125" customWidth="1"/>
    <col min="14628" max="14628" width="13" customWidth="1"/>
    <col min="14631" max="14631" width="11.140625" customWidth="1"/>
    <col min="14632" max="14632" width="10.42578125" customWidth="1"/>
    <col min="14882" max="14882" width="5.5703125" customWidth="1"/>
    <col min="14883" max="14883" width="41.5703125" customWidth="1"/>
    <col min="14884" max="14884" width="13" customWidth="1"/>
    <col min="14887" max="14887" width="11.140625" customWidth="1"/>
    <col min="14888" max="14888" width="10.42578125" customWidth="1"/>
    <col min="15138" max="15138" width="5.5703125" customWidth="1"/>
    <col min="15139" max="15139" width="41.5703125" customWidth="1"/>
    <col min="15140" max="15140" width="13" customWidth="1"/>
    <col min="15143" max="15143" width="11.140625" customWidth="1"/>
    <col min="15144" max="15144" width="10.42578125" customWidth="1"/>
    <col min="15394" max="15394" width="5.5703125" customWidth="1"/>
    <col min="15395" max="15395" width="41.5703125" customWidth="1"/>
    <col min="15396" max="15396" width="13" customWidth="1"/>
    <col min="15399" max="15399" width="11.140625" customWidth="1"/>
    <col min="15400" max="15400" width="10.42578125" customWidth="1"/>
    <col min="15650" max="15650" width="5.5703125" customWidth="1"/>
    <col min="15651" max="15651" width="41.5703125" customWidth="1"/>
    <col min="15652" max="15652" width="13" customWidth="1"/>
    <col min="15655" max="15655" width="11.140625" customWidth="1"/>
    <col min="15656" max="15656" width="10.42578125" customWidth="1"/>
    <col min="15906" max="15906" width="5.5703125" customWidth="1"/>
    <col min="15907" max="15907" width="41.5703125" customWidth="1"/>
    <col min="15908" max="15908" width="13" customWidth="1"/>
    <col min="15911" max="15911" width="11.140625" customWidth="1"/>
    <col min="15912" max="15912" width="10.42578125" customWidth="1"/>
  </cols>
  <sheetData>
    <row r="1" spans="1:173" ht="13.5" thickBot="1" x14ac:dyDescent="0.25">
      <c r="FO1" s="1"/>
      <c r="FP1" s="1"/>
      <c r="FQ1" s="1"/>
    </row>
    <row r="2" spans="1:173" ht="13.5" thickBot="1" x14ac:dyDescent="0.25">
      <c r="B2" s="24"/>
      <c r="C2" s="33" t="s">
        <v>528</v>
      </c>
      <c r="D2" s="1037">
        <v>2024</v>
      </c>
      <c r="E2" s="1038"/>
      <c r="F2" s="1038"/>
      <c r="G2" s="1038"/>
      <c r="H2" s="1038"/>
      <c r="I2" s="1038"/>
      <c r="J2" s="1038"/>
      <c r="K2" s="1038"/>
      <c r="L2" s="1038"/>
      <c r="M2" s="1038"/>
      <c r="N2" s="1038"/>
      <c r="O2" s="1038"/>
      <c r="P2" s="1038"/>
      <c r="Q2" s="1038"/>
      <c r="R2" s="1038"/>
      <c r="S2" s="1038"/>
      <c r="T2" s="1038"/>
      <c r="U2" s="1038"/>
      <c r="V2" s="1038"/>
      <c r="W2" s="1038"/>
      <c r="X2" s="1038"/>
      <c r="Y2" s="1038"/>
      <c r="Z2" s="1039"/>
      <c r="FO2" s="1"/>
      <c r="FP2" s="1"/>
      <c r="FQ2" s="1"/>
    </row>
    <row r="3" spans="1:173" ht="13.5" thickBot="1" x14ac:dyDescent="0.25">
      <c r="B3" s="23"/>
      <c r="C3" s="34"/>
      <c r="D3" s="829"/>
      <c r="E3" s="829"/>
      <c r="F3" s="829"/>
      <c r="G3" s="830"/>
      <c r="H3" s="829"/>
      <c r="I3" s="829"/>
      <c r="J3" s="829"/>
      <c r="K3" s="829"/>
      <c r="L3" s="829"/>
      <c r="M3" s="829"/>
      <c r="N3" s="829"/>
      <c r="O3" s="829"/>
      <c r="P3" s="829"/>
      <c r="Q3" s="829"/>
      <c r="R3" s="829"/>
      <c r="S3" s="829"/>
      <c r="T3" s="829"/>
      <c r="U3" s="829"/>
      <c r="V3" s="829"/>
      <c r="W3" s="829"/>
      <c r="X3" s="829"/>
      <c r="Y3" s="829"/>
      <c r="Z3" s="831"/>
      <c r="AI3" s="23" t="s">
        <v>67</v>
      </c>
      <c r="AJ3" s="19"/>
      <c r="AK3" s="49"/>
      <c r="AL3" s="49"/>
      <c r="AM3" s="49"/>
      <c r="FO3" s="1"/>
      <c r="FP3" s="1"/>
      <c r="FQ3" s="1"/>
    </row>
    <row r="4" spans="1:173" x14ac:dyDescent="0.2">
      <c r="B4" s="35"/>
      <c r="C4" s="184"/>
      <c r="D4" s="279" t="s">
        <v>4</v>
      </c>
      <c r="E4" s="279" t="s">
        <v>5</v>
      </c>
      <c r="F4" s="279" t="s">
        <v>5</v>
      </c>
      <c r="G4" s="278" t="s">
        <v>4</v>
      </c>
      <c r="H4" s="278" t="s">
        <v>5</v>
      </c>
      <c r="I4" s="719" t="s">
        <v>4</v>
      </c>
      <c r="J4" s="719" t="s">
        <v>5</v>
      </c>
      <c r="K4" s="746" t="s">
        <v>4</v>
      </c>
      <c r="L4" s="746" t="s">
        <v>5</v>
      </c>
      <c r="M4" s="746" t="s">
        <v>5</v>
      </c>
      <c r="N4" s="280" t="s">
        <v>5</v>
      </c>
      <c r="O4" s="306" t="s">
        <v>5</v>
      </c>
      <c r="P4" s="306" t="s">
        <v>5</v>
      </c>
      <c r="Q4" s="774" t="s">
        <v>5</v>
      </c>
      <c r="R4" s="774" t="s">
        <v>5</v>
      </c>
      <c r="S4" s="333" t="s">
        <v>5</v>
      </c>
      <c r="T4" s="333" t="s">
        <v>5</v>
      </c>
      <c r="U4" s="359" t="s">
        <v>5</v>
      </c>
      <c r="V4" s="359" t="s">
        <v>5</v>
      </c>
      <c r="W4" s="801" t="s">
        <v>5</v>
      </c>
      <c r="X4" s="801" t="s">
        <v>5</v>
      </c>
      <c r="Y4" s="418" t="s">
        <v>4</v>
      </c>
      <c r="Z4" s="418" t="s">
        <v>5</v>
      </c>
      <c r="AI4" s="23" t="s">
        <v>68</v>
      </c>
      <c r="AJ4" s="19"/>
      <c r="AK4" s="49"/>
      <c r="AL4" s="49"/>
      <c r="AM4" s="49"/>
      <c r="FO4" s="1"/>
      <c r="FP4" s="1"/>
      <c r="FQ4" s="1"/>
    </row>
    <row r="5" spans="1:173" ht="15.75" x14ac:dyDescent="0.2">
      <c r="B5" s="37" t="s">
        <v>10</v>
      </c>
      <c r="C5" s="185" t="s">
        <v>11</v>
      </c>
      <c r="D5" s="220" t="s">
        <v>382</v>
      </c>
      <c r="E5" s="220" t="s">
        <v>382</v>
      </c>
      <c r="F5" s="220" t="s">
        <v>382</v>
      </c>
      <c r="G5" s="196" t="s">
        <v>379</v>
      </c>
      <c r="H5" s="196" t="s">
        <v>379</v>
      </c>
      <c r="I5" s="720" t="s">
        <v>519</v>
      </c>
      <c r="J5" s="720" t="s">
        <v>519</v>
      </c>
      <c r="K5" s="747" t="s">
        <v>520</v>
      </c>
      <c r="L5" s="747" t="s">
        <v>520</v>
      </c>
      <c r="M5" s="747" t="s">
        <v>520</v>
      </c>
      <c r="N5" s="255" t="s">
        <v>341</v>
      </c>
      <c r="O5" s="310" t="s">
        <v>471</v>
      </c>
      <c r="P5" s="310" t="s">
        <v>471</v>
      </c>
      <c r="Q5" s="775" t="s">
        <v>350</v>
      </c>
      <c r="R5" s="775" t="s">
        <v>350</v>
      </c>
      <c r="S5" s="334" t="s">
        <v>16</v>
      </c>
      <c r="T5" s="334" t="s">
        <v>16</v>
      </c>
      <c r="U5" s="360" t="s">
        <v>245</v>
      </c>
      <c r="V5" s="360" t="s">
        <v>245</v>
      </c>
      <c r="W5" s="802" t="s">
        <v>15</v>
      </c>
      <c r="X5" s="802" t="s">
        <v>15</v>
      </c>
      <c r="Y5" s="419" t="s">
        <v>383</v>
      </c>
      <c r="Z5" s="419" t="s">
        <v>383</v>
      </c>
      <c r="AI5" s="23" t="s">
        <v>69</v>
      </c>
      <c r="AJ5" s="19"/>
      <c r="AK5" s="49"/>
      <c r="AL5" s="49"/>
      <c r="AM5" s="49"/>
      <c r="FO5" s="1"/>
      <c r="FP5" s="1"/>
      <c r="FQ5" s="1"/>
    </row>
    <row r="6" spans="1:173" ht="15.75" x14ac:dyDescent="0.2">
      <c r="B6" s="38"/>
      <c r="C6" s="185" t="s">
        <v>17</v>
      </c>
      <c r="D6" s="220" t="s">
        <v>380</v>
      </c>
      <c r="E6" s="220" t="s">
        <v>380</v>
      </c>
      <c r="F6" s="220" t="s">
        <v>380</v>
      </c>
      <c r="G6" s="196" t="s">
        <v>18</v>
      </c>
      <c r="H6" s="196" t="s">
        <v>18</v>
      </c>
      <c r="I6" s="720" t="s">
        <v>380</v>
      </c>
      <c r="J6" s="720" t="s">
        <v>380</v>
      </c>
      <c r="K6" s="747" t="s">
        <v>18</v>
      </c>
      <c r="L6" s="747" t="s">
        <v>18</v>
      </c>
      <c r="M6" s="747" t="s">
        <v>18</v>
      </c>
      <c r="N6" s="255" t="s">
        <v>18</v>
      </c>
      <c r="O6" s="310" t="s">
        <v>18</v>
      </c>
      <c r="P6" s="310" t="s">
        <v>18</v>
      </c>
      <c r="Q6" s="775" t="s">
        <v>18</v>
      </c>
      <c r="R6" s="775" t="s">
        <v>18</v>
      </c>
      <c r="S6" s="334" t="s">
        <v>18</v>
      </c>
      <c r="T6" s="334" t="s">
        <v>18</v>
      </c>
      <c r="U6" s="360" t="s">
        <v>18</v>
      </c>
      <c r="V6" s="360" t="s">
        <v>18</v>
      </c>
      <c r="W6" s="802" t="s">
        <v>18</v>
      </c>
      <c r="X6" s="802" t="s">
        <v>18</v>
      </c>
      <c r="Y6" s="419" t="s">
        <v>18</v>
      </c>
      <c r="Z6" s="419" t="s">
        <v>18</v>
      </c>
      <c r="AI6" s="23" t="s">
        <v>70</v>
      </c>
      <c r="AJ6" s="19"/>
      <c r="AK6" s="49"/>
      <c r="AL6" s="49"/>
      <c r="AM6" s="49"/>
      <c r="FO6" s="1"/>
      <c r="FP6" s="1"/>
      <c r="FQ6" s="1"/>
    </row>
    <row r="7" spans="1:173" ht="16.5" thickBot="1" x14ac:dyDescent="0.25">
      <c r="B7" s="39"/>
      <c r="C7" s="34">
        <v>3</v>
      </c>
      <c r="D7" s="221" t="s">
        <v>381</v>
      </c>
      <c r="E7" s="221" t="s">
        <v>381</v>
      </c>
      <c r="F7" s="221" t="s">
        <v>381</v>
      </c>
      <c r="G7" s="197">
        <v>75138</v>
      </c>
      <c r="H7" s="197">
        <v>75131</v>
      </c>
      <c r="I7" s="721" t="s">
        <v>381</v>
      </c>
      <c r="J7" s="721" t="s">
        <v>381</v>
      </c>
      <c r="K7" s="748">
        <v>75138</v>
      </c>
      <c r="L7" s="748">
        <v>75131</v>
      </c>
      <c r="M7" s="748">
        <v>75131</v>
      </c>
      <c r="N7" s="256">
        <v>75306</v>
      </c>
      <c r="O7" s="311">
        <v>75306</v>
      </c>
      <c r="P7" s="311">
        <v>75306</v>
      </c>
      <c r="Q7" s="776">
        <v>75306</v>
      </c>
      <c r="R7" s="776">
        <v>75306</v>
      </c>
      <c r="S7" s="335">
        <v>75306</v>
      </c>
      <c r="T7" s="335">
        <v>75306</v>
      </c>
      <c r="U7" s="361">
        <v>75306</v>
      </c>
      <c r="V7" s="361">
        <v>75306</v>
      </c>
      <c r="W7" s="803">
        <v>75306</v>
      </c>
      <c r="X7" s="803">
        <v>75306</v>
      </c>
      <c r="Y7" s="420">
        <v>75138</v>
      </c>
      <c r="Z7" s="420">
        <v>75131</v>
      </c>
      <c r="AI7" s="23" t="s">
        <v>71</v>
      </c>
      <c r="AJ7" s="19"/>
      <c r="AK7" s="49"/>
      <c r="AL7" s="49"/>
      <c r="AM7" s="49"/>
      <c r="FO7" s="1"/>
      <c r="FP7" s="1"/>
      <c r="FQ7" s="1"/>
    </row>
    <row r="8" spans="1:173" ht="26.25" thickBot="1" x14ac:dyDescent="0.25">
      <c r="B8" s="40">
        <v>1</v>
      </c>
      <c r="C8" s="186" t="str">
        <f t="shared" ref="C8" si="0">TEXT(B8+1,"@")</f>
        <v>2</v>
      </c>
      <c r="D8" s="222" t="s">
        <v>3</v>
      </c>
      <c r="E8" s="715" t="s">
        <v>6</v>
      </c>
      <c r="F8" s="223" t="s">
        <v>278</v>
      </c>
      <c r="G8" s="198" t="s">
        <v>3</v>
      </c>
      <c r="H8" s="199" t="s">
        <v>278</v>
      </c>
      <c r="I8" s="722" t="s">
        <v>3</v>
      </c>
      <c r="J8" s="723" t="s">
        <v>6</v>
      </c>
      <c r="K8" s="749" t="s">
        <v>3</v>
      </c>
      <c r="L8" s="750" t="s">
        <v>6</v>
      </c>
      <c r="M8" s="751" t="s">
        <v>278</v>
      </c>
      <c r="N8" s="257" t="s">
        <v>278</v>
      </c>
      <c r="O8" s="312" t="s">
        <v>6</v>
      </c>
      <c r="P8" s="305" t="s">
        <v>278</v>
      </c>
      <c r="Q8" s="777" t="s">
        <v>6</v>
      </c>
      <c r="R8" s="778" t="s">
        <v>278</v>
      </c>
      <c r="S8" s="336" t="s">
        <v>9</v>
      </c>
      <c r="T8" s="337" t="s">
        <v>278</v>
      </c>
      <c r="U8" s="799" t="s">
        <v>6</v>
      </c>
      <c r="V8" s="362" t="s">
        <v>278</v>
      </c>
      <c r="W8" s="804" t="s">
        <v>6</v>
      </c>
      <c r="X8" s="805" t="s">
        <v>278</v>
      </c>
      <c r="Y8" s="442" t="s">
        <v>3</v>
      </c>
      <c r="Z8" s="421" t="s">
        <v>278</v>
      </c>
      <c r="AI8" s="19"/>
      <c r="AJ8" s="19"/>
      <c r="AK8" s="49"/>
      <c r="AL8" s="49"/>
      <c r="AM8" s="49"/>
      <c r="FO8" s="1"/>
      <c r="FP8" s="1"/>
      <c r="FQ8" s="1"/>
    </row>
    <row r="9" spans="1:173" hidden="1" x14ac:dyDescent="0.2">
      <c r="B9" s="41" t="s">
        <v>20</v>
      </c>
      <c r="C9" s="187"/>
      <c r="D9" s="224">
        <v>2</v>
      </c>
      <c r="E9" s="224">
        <v>4</v>
      </c>
      <c r="F9" s="224">
        <v>4</v>
      </c>
      <c r="G9" s="200">
        <v>2</v>
      </c>
      <c r="H9" s="200">
        <v>4</v>
      </c>
      <c r="I9" s="724">
        <v>2</v>
      </c>
      <c r="J9" s="724">
        <v>4</v>
      </c>
      <c r="K9" s="752">
        <v>2</v>
      </c>
      <c r="L9" s="752">
        <v>4</v>
      </c>
      <c r="M9" s="752">
        <v>4</v>
      </c>
      <c r="N9" s="258">
        <v>4</v>
      </c>
      <c r="O9" s="313">
        <v>4</v>
      </c>
      <c r="P9" s="313">
        <v>4</v>
      </c>
      <c r="Q9" s="779">
        <v>4</v>
      </c>
      <c r="R9" s="779">
        <v>4</v>
      </c>
      <c r="S9" s="338">
        <v>2</v>
      </c>
      <c r="T9" s="338">
        <v>4</v>
      </c>
      <c r="U9" s="363">
        <v>4</v>
      </c>
      <c r="V9" s="363">
        <v>4</v>
      </c>
      <c r="W9" s="806">
        <v>4</v>
      </c>
      <c r="X9" s="806">
        <v>4</v>
      </c>
      <c r="Y9" s="422">
        <v>2</v>
      </c>
      <c r="Z9" s="422">
        <v>4</v>
      </c>
      <c r="AI9" s="23" t="s">
        <v>72</v>
      </c>
      <c r="AJ9" s="19"/>
      <c r="AK9" s="49"/>
      <c r="AL9" s="49"/>
      <c r="AM9" s="49"/>
      <c r="AN9" s="19"/>
      <c r="AO9" s="17"/>
      <c r="AP9" s="17"/>
      <c r="FO9" s="1"/>
      <c r="FP9" s="1"/>
      <c r="FQ9" s="1"/>
    </row>
    <row r="10" spans="1:173" x14ac:dyDescent="0.2">
      <c r="B10" s="42" t="s">
        <v>21</v>
      </c>
      <c r="C10" s="188" t="s">
        <v>22</v>
      </c>
      <c r="D10" s="225">
        <v>6.7</v>
      </c>
      <c r="E10" s="225">
        <v>6.7</v>
      </c>
      <c r="F10" s="225">
        <v>6.7</v>
      </c>
      <c r="G10" s="201">
        <v>13</v>
      </c>
      <c r="H10" s="201">
        <v>13</v>
      </c>
      <c r="I10" s="725">
        <v>6.3</v>
      </c>
      <c r="J10" s="725">
        <v>6.3</v>
      </c>
      <c r="K10" s="753">
        <v>10.7</v>
      </c>
      <c r="L10" s="753">
        <v>10.7</v>
      </c>
      <c r="M10" s="753">
        <v>10.7</v>
      </c>
      <c r="N10" s="259">
        <v>33.6</v>
      </c>
      <c r="O10" s="314">
        <v>35</v>
      </c>
      <c r="P10" s="314">
        <v>35</v>
      </c>
      <c r="Q10" s="780">
        <v>18</v>
      </c>
      <c r="R10" s="780">
        <v>18</v>
      </c>
      <c r="S10" s="339">
        <v>15</v>
      </c>
      <c r="T10" s="339">
        <v>15</v>
      </c>
      <c r="U10" s="364">
        <v>12</v>
      </c>
      <c r="V10" s="364">
        <v>12</v>
      </c>
      <c r="W10" s="807">
        <v>10</v>
      </c>
      <c r="X10" s="807">
        <v>10</v>
      </c>
      <c r="Y10" s="423">
        <v>10</v>
      </c>
      <c r="Z10" s="423">
        <v>10</v>
      </c>
      <c r="AI10" s="23" t="s">
        <v>73</v>
      </c>
      <c r="AJ10" s="19"/>
      <c r="AK10" s="49"/>
      <c r="AL10" s="49"/>
      <c r="AM10" s="49"/>
      <c r="AN10" s="19"/>
      <c r="AO10" s="17"/>
      <c r="AP10" s="17"/>
      <c r="FO10" s="1"/>
      <c r="FP10" s="1"/>
      <c r="FQ10" s="1"/>
    </row>
    <row r="11" spans="1:173" hidden="1" x14ac:dyDescent="0.2">
      <c r="B11" s="36" t="s">
        <v>23</v>
      </c>
      <c r="C11" s="189"/>
      <c r="D11" s="226">
        <f>VLOOKUP(D9,$AI$19:$AO$38,3)</f>
        <v>1.25</v>
      </c>
      <c r="E11" s="226">
        <f>VLOOKUP(E9,$AI$19:$AO$38,3)</f>
        <v>1.5</v>
      </c>
      <c r="F11" s="226">
        <f>VLOOKUP(F9,$AI$19:$AO$38,3)</f>
        <v>1.5</v>
      </c>
      <c r="G11" s="202">
        <f>VLOOKUP(G9,$AI$19:$AO$38,3)</f>
        <v>1.25</v>
      </c>
      <c r="H11" s="202">
        <f>VLOOKUP(H9,$AI$19:$AO$38,3)</f>
        <v>1.5</v>
      </c>
      <c r="I11" s="726">
        <f>VLOOKUP(I9,$AI$19:$AO$38,3)</f>
        <v>1.25</v>
      </c>
      <c r="J11" s="726">
        <f>VLOOKUP(J9,$AI$19:$AO$38,3)</f>
        <v>1.5</v>
      </c>
      <c r="K11" s="717">
        <f>VLOOKUP(K9,$AI$19:$AO$38,3)</f>
        <v>1.25</v>
      </c>
      <c r="L11" s="717">
        <f>VLOOKUP(L9,$AI$19:$AO$38,3)</f>
        <v>1.5</v>
      </c>
      <c r="M11" s="717">
        <f>VLOOKUP(M9,$AI$19:$AO$38,3)</f>
        <v>1.5</v>
      </c>
      <c r="N11" s="260">
        <f>VLOOKUP(N9,$AI$19:$AO$38,3)</f>
        <v>1.5</v>
      </c>
      <c r="O11" s="315">
        <f>VLOOKUP(O9,$AI$19:$AO$38,3)</f>
        <v>1.5</v>
      </c>
      <c r="P11" s="315">
        <f>VLOOKUP(P9,$AI$19:$AO$38,3)</f>
        <v>1.5</v>
      </c>
      <c r="Q11" s="718">
        <f>VLOOKUP(Q9,$AI$19:$AO$38,3)</f>
        <v>1.5</v>
      </c>
      <c r="R11" s="718">
        <f>VLOOKUP(R9,$AI$19:$AO$38,3)</f>
        <v>1.5</v>
      </c>
      <c r="S11" s="340">
        <f>VLOOKUP(S9,$AI$19:$AO$38,3)</f>
        <v>1.25</v>
      </c>
      <c r="T11" s="340">
        <f>VLOOKUP(T9,$AI$19:$AO$38,3)</f>
        <v>1.5</v>
      </c>
      <c r="U11" s="365">
        <f>VLOOKUP(U9,$AI$19:$AO$38,3)</f>
        <v>1.5</v>
      </c>
      <c r="V11" s="365">
        <f>VLOOKUP(V9,$AI$19:$AO$38,3)</f>
        <v>1.5</v>
      </c>
      <c r="W11" s="808">
        <f>VLOOKUP(W9,$AI$19:$AO$38,3)</f>
        <v>1.5</v>
      </c>
      <c r="X11" s="808">
        <f>VLOOKUP(X9,$AI$19:$AO$38,3)</f>
        <v>1.5</v>
      </c>
      <c r="Y11" s="424">
        <f>VLOOKUP(Y9,$AI$19:$AO$38,3)</f>
        <v>1.25</v>
      </c>
      <c r="Z11" s="424">
        <f>VLOOKUP(Z9,$AI$19:$AO$38,3)</f>
        <v>1.5</v>
      </c>
      <c r="AI11" s="51" t="s">
        <v>51</v>
      </c>
      <c r="AJ11" s="19"/>
      <c r="AK11" s="49"/>
      <c r="AL11" s="49"/>
      <c r="AM11" s="49"/>
      <c r="AN11" s="19"/>
      <c r="AO11" s="17"/>
      <c r="AP11" s="17"/>
      <c r="AR11" s="17"/>
      <c r="FO11" s="1"/>
      <c r="FP11" s="1"/>
      <c r="FQ11" s="1"/>
    </row>
    <row r="12" spans="1:173" hidden="1" x14ac:dyDescent="0.2">
      <c r="A12" s="19"/>
      <c r="B12" s="36" t="s">
        <v>24</v>
      </c>
      <c r="C12" s="189"/>
      <c r="D12" s="227">
        <v>1.19</v>
      </c>
      <c r="E12" s="227">
        <v>0.9</v>
      </c>
      <c r="F12" s="227">
        <v>0.9</v>
      </c>
      <c r="G12" s="203">
        <v>1.19</v>
      </c>
      <c r="H12" s="203">
        <v>0.9</v>
      </c>
      <c r="I12" s="727">
        <v>1.05</v>
      </c>
      <c r="J12" s="727">
        <v>0.9</v>
      </c>
      <c r="K12" s="754">
        <v>1.05</v>
      </c>
      <c r="L12" s="754">
        <v>0.9</v>
      </c>
      <c r="M12" s="754">
        <v>0.9</v>
      </c>
      <c r="N12" s="261">
        <v>0.9</v>
      </c>
      <c r="O12" s="316">
        <v>0.9</v>
      </c>
      <c r="P12" s="316">
        <v>0.9</v>
      </c>
      <c r="Q12" s="781">
        <v>0.9</v>
      </c>
      <c r="R12" s="781">
        <v>0.9</v>
      </c>
      <c r="S12" s="341">
        <v>1.05</v>
      </c>
      <c r="T12" s="341">
        <v>0.9</v>
      </c>
      <c r="U12" s="366">
        <v>0.9</v>
      </c>
      <c r="V12" s="366">
        <v>0.9</v>
      </c>
      <c r="W12" s="809">
        <v>0.9</v>
      </c>
      <c r="X12" s="809">
        <v>0.9</v>
      </c>
      <c r="Y12" s="425">
        <v>1</v>
      </c>
      <c r="Z12" s="425">
        <v>0.9</v>
      </c>
      <c r="AA12" s="19"/>
      <c r="AB12" s="19"/>
      <c r="AC12" s="19"/>
      <c r="AD12" s="19"/>
      <c r="AE12" s="19"/>
      <c r="AF12" s="19"/>
      <c r="AG12" s="19"/>
      <c r="AH12" s="19"/>
      <c r="AK12" s="34"/>
      <c r="AN12" s="19"/>
      <c r="AO12" s="17"/>
      <c r="AP12" s="17"/>
      <c r="AQ12" s="17"/>
      <c r="AR12" s="17"/>
      <c r="AS12" s="17"/>
      <c r="AT12" s="17"/>
      <c r="AU12" s="17"/>
      <c r="AV12" s="19"/>
      <c r="AW12" s="19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FO12" s="1"/>
      <c r="FP12" s="1"/>
      <c r="FQ12" s="1"/>
    </row>
    <row r="13" spans="1:173" hidden="1" x14ac:dyDescent="0.2">
      <c r="A13" s="19"/>
      <c r="B13" s="36" t="s">
        <v>25</v>
      </c>
      <c r="C13" s="189"/>
      <c r="D13" s="228">
        <f>D12/D11</f>
        <v>0.95199999999999996</v>
      </c>
      <c r="E13" s="228">
        <f t="shared" ref="E13:F13" si="1">E12/E11</f>
        <v>0.6</v>
      </c>
      <c r="F13" s="228">
        <f t="shared" si="1"/>
        <v>0.6</v>
      </c>
      <c r="G13" s="204">
        <f>G12/G11</f>
        <v>0.95199999999999996</v>
      </c>
      <c r="H13" s="204">
        <f t="shared" ref="H13" si="2">H12/H11</f>
        <v>0.6</v>
      </c>
      <c r="I13" s="728">
        <f>I12/I11</f>
        <v>0.84000000000000008</v>
      </c>
      <c r="J13" s="728">
        <f t="shared" ref="J13" si="3">J12/J11</f>
        <v>0.6</v>
      </c>
      <c r="K13" s="755">
        <f>K12/K11</f>
        <v>0.84000000000000008</v>
      </c>
      <c r="L13" s="755">
        <f t="shared" ref="L13:X13" si="4">L12/L11</f>
        <v>0.6</v>
      </c>
      <c r="M13" s="755">
        <f t="shared" si="4"/>
        <v>0.6</v>
      </c>
      <c r="N13" s="262">
        <f t="shared" si="4"/>
        <v>0.6</v>
      </c>
      <c r="O13" s="317">
        <f t="shared" si="4"/>
        <v>0.6</v>
      </c>
      <c r="P13" s="317">
        <f t="shared" si="4"/>
        <v>0.6</v>
      </c>
      <c r="Q13" s="782">
        <f t="shared" si="4"/>
        <v>0.6</v>
      </c>
      <c r="R13" s="782">
        <f t="shared" si="4"/>
        <v>0.6</v>
      </c>
      <c r="S13" s="342">
        <f t="shared" si="4"/>
        <v>0.84000000000000008</v>
      </c>
      <c r="T13" s="342">
        <f t="shared" si="4"/>
        <v>0.6</v>
      </c>
      <c r="U13" s="367">
        <f t="shared" si="4"/>
        <v>0.6</v>
      </c>
      <c r="V13" s="367">
        <f t="shared" si="4"/>
        <v>0.6</v>
      </c>
      <c r="W13" s="810">
        <f t="shared" si="4"/>
        <v>0.6</v>
      </c>
      <c r="X13" s="810">
        <f t="shared" si="4"/>
        <v>0.6</v>
      </c>
      <c r="Y13" s="426">
        <f>Y12/Y11</f>
        <v>0.8</v>
      </c>
      <c r="Z13" s="426">
        <f t="shared" ref="Z13" si="5">Z12/Z11</f>
        <v>0.6</v>
      </c>
      <c r="AA13" s="19"/>
      <c r="AB13" s="19"/>
      <c r="AC13" s="19"/>
      <c r="AD13" s="19"/>
      <c r="AE13" s="19"/>
      <c r="AF13" s="19"/>
      <c r="AG13" s="19"/>
      <c r="AH13" s="19"/>
      <c r="AK13" s="34"/>
      <c r="AN13" s="19"/>
      <c r="AO13" s="17"/>
      <c r="AP13" s="17"/>
      <c r="AQ13" s="17"/>
      <c r="AR13" s="17"/>
      <c r="AS13" s="17"/>
      <c r="AT13" s="17"/>
      <c r="AU13" s="17"/>
      <c r="AV13" s="19"/>
      <c r="AW13" s="19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FO13" s="1"/>
      <c r="FP13" s="1"/>
      <c r="FQ13" s="1"/>
    </row>
    <row r="14" spans="1:173" hidden="1" x14ac:dyDescent="0.2">
      <c r="A14" s="19"/>
      <c r="B14" s="36" t="s">
        <v>26</v>
      </c>
      <c r="C14" s="185" t="s">
        <v>22</v>
      </c>
      <c r="D14" s="228">
        <f>D10*D13</f>
        <v>6.3784000000000001</v>
      </c>
      <c r="E14" s="228">
        <f>E10*E13</f>
        <v>4.0199999999999996</v>
      </c>
      <c r="F14" s="228">
        <f>F10*F13</f>
        <v>4.0199999999999996</v>
      </c>
      <c r="G14" s="204">
        <f>G10*G13</f>
        <v>12.375999999999999</v>
      </c>
      <c r="H14" s="204">
        <f t="shared" ref="H14" si="6">H10*H13</f>
        <v>7.8</v>
      </c>
      <c r="I14" s="728">
        <f>I10*I13</f>
        <v>5.2920000000000007</v>
      </c>
      <c r="J14" s="728">
        <f>J10*J13</f>
        <v>3.78</v>
      </c>
      <c r="K14" s="755">
        <f>K10*K13</f>
        <v>8.9879999999999995</v>
      </c>
      <c r="L14" s="755">
        <f>L10*L13</f>
        <v>6.419999999999999</v>
      </c>
      <c r="M14" s="755">
        <f>M10*M13</f>
        <v>6.419999999999999</v>
      </c>
      <c r="N14" s="262">
        <f t="shared" ref="N14:X14" si="7">N10*N13</f>
        <v>20.16</v>
      </c>
      <c r="O14" s="317">
        <f t="shared" si="7"/>
        <v>21</v>
      </c>
      <c r="P14" s="317">
        <f t="shared" si="7"/>
        <v>21</v>
      </c>
      <c r="Q14" s="782">
        <f t="shared" si="7"/>
        <v>10.799999999999999</v>
      </c>
      <c r="R14" s="782">
        <f t="shared" si="7"/>
        <v>10.799999999999999</v>
      </c>
      <c r="S14" s="342">
        <f t="shared" si="7"/>
        <v>12.600000000000001</v>
      </c>
      <c r="T14" s="342">
        <f t="shared" si="7"/>
        <v>9</v>
      </c>
      <c r="U14" s="367">
        <f t="shared" si="7"/>
        <v>7.1999999999999993</v>
      </c>
      <c r="V14" s="367">
        <f t="shared" si="7"/>
        <v>7.1999999999999993</v>
      </c>
      <c r="W14" s="810">
        <f t="shared" si="7"/>
        <v>6</v>
      </c>
      <c r="X14" s="810">
        <f t="shared" si="7"/>
        <v>6</v>
      </c>
      <c r="Y14" s="426">
        <f>Y10*Y13</f>
        <v>8</v>
      </c>
      <c r="Z14" s="426">
        <f t="shared" ref="Z14" si="8">Z10*Z13</f>
        <v>6</v>
      </c>
      <c r="AA14" s="19"/>
      <c r="AB14" s="19"/>
      <c r="AC14" s="19"/>
      <c r="AD14" s="19"/>
      <c r="AE14" s="19"/>
      <c r="AF14" s="19"/>
      <c r="AG14" s="19"/>
      <c r="AH14" s="19"/>
      <c r="AI14" s="52" t="s">
        <v>75</v>
      </c>
      <c r="AK14" s="34"/>
      <c r="AN14" s="19"/>
      <c r="AP14" s="17"/>
      <c r="AQ14" s="17"/>
      <c r="AR14" s="17"/>
      <c r="AS14" s="17"/>
      <c r="AT14" s="17"/>
      <c r="AU14" s="17"/>
      <c r="AV14" s="19"/>
      <c r="AW14" s="19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FO14" s="1"/>
      <c r="FP14" s="1"/>
      <c r="FQ14" s="1"/>
    </row>
    <row r="15" spans="1:173" hidden="1" x14ac:dyDescent="0.2">
      <c r="A15" s="19"/>
      <c r="B15" s="36" t="s">
        <v>27</v>
      </c>
      <c r="C15" s="185" t="s">
        <v>28</v>
      </c>
      <c r="D15" s="716">
        <v>35</v>
      </c>
      <c r="E15" s="716">
        <v>35</v>
      </c>
      <c r="F15" s="716">
        <v>35</v>
      </c>
      <c r="G15" s="716">
        <v>36</v>
      </c>
      <c r="H15" s="716">
        <v>38</v>
      </c>
      <c r="I15" s="716">
        <v>54</v>
      </c>
      <c r="J15" s="716">
        <v>56</v>
      </c>
      <c r="K15" s="716">
        <v>56</v>
      </c>
      <c r="L15" s="716">
        <v>58</v>
      </c>
      <c r="M15" s="716">
        <v>58</v>
      </c>
      <c r="N15" s="716">
        <v>25</v>
      </c>
      <c r="O15" s="716">
        <v>26</v>
      </c>
      <c r="P15" s="716">
        <v>26</v>
      </c>
      <c r="Q15" s="716">
        <v>32</v>
      </c>
      <c r="R15" s="716">
        <v>32</v>
      </c>
      <c r="S15" s="716">
        <v>41</v>
      </c>
      <c r="T15" s="716">
        <v>41</v>
      </c>
      <c r="U15" s="716">
        <v>32</v>
      </c>
      <c r="V15" s="716">
        <v>32</v>
      </c>
      <c r="W15" s="716">
        <v>32</v>
      </c>
      <c r="X15" s="716">
        <v>32</v>
      </c>
      <c r="Y15" s="425">
        <v>58</v>
      </c>
      <c r="Z15" s="425">
        <v>58</v>
      </c>
      <c r="AA15" s="19"/>
      <c r="AB15" s="19"/>
      <c r="AC15" s="19"/>
      <c r="AD15" s="19"/>
      <c r="AE15" s="19"/>
      <c r="AF15" s="19"/>
      <c r="AG15" s="19"/>
      <c r="AH15" s="19"/>
      <c r="AI15" s="52" t="s">
        <v>77</v>
      </c>
      <c r="AJ15" s="52" t="s">
        <v>78</v>
      </c>
      <c r="AK15" s="53" t="s">
        <v>79</v>
      </c>
      <c r="AM15" t="s">
        <v>156</v>
      </c>
      <c r="AN15" s="19"/>
      <c r="AO15" s="18" t="s">
        <v>157</v>
      </c>
      <c r="AP15" s="17"/>
      <c r="AQ15" s="17"/>
      <c r="AR15" s="17"/>
      <c r="AS15" s="17"/>
      <c r="AT15" s="17"/>
      <c r="AU15" s="17"/>
      <c r="AV15" s="19"/>
      <c r="AW15" s="19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FO15" s="1"/>
      <c r="FP15" s="1"/>
      <c r="FQ15" s="1"/>
    </row>
    <row r="16" spans="1:173" hidden="1" x14ac:dyDescent="0.2">
      <c r="A16" s="19"/>
      <c r="B16" s="36" t="s">
        <v>29</v>
      </c>
      <c r="C16" s="185" t="s">
        <v>28</v>
      </c>
      <c r="D16" s="226">
        <f t="shared" ref="D16:Y16" si="9">ROUND(D15/D17,1)</f>
        <v>35</v>
      </c>
      <c r="E16" s="226">
        <f t="shared" si="9"/>
        <v>35</v>
      </c>
      <c r="F16" s="226">
        <f t="shared" si="9"/>
        <v>35</v>
      </c>
      <c r="G16" s="202">
        <f t="shared" si="9"/>
        <v>36</v>
      </c>
      <c r="H16" s="202">
        <f t="shared" si="9"/>
        <v>38</v>
      </c>
      <c r="I16" s="726">
        <f t="shared" si="9"/>
        <v>54</v>
      </c>
      <c r="J16" s="726">
        <f t="shared" si="9"/>
        <v>56</v>
      </c>
      <c r="K16" s="717">
        <f t="shared" si="9"/>
        <v>56</v>
      </c>
      <c r="L16" s="717">
        <f t="shared" si="9"/>
        <v>58</v>
      </c>
      <c r="M16" s="717">
        <f t="shared" si="9"/>
        <v>58</v>
      </c>
      <c r="N16" s="260">
        <f t="shared" si="9"/>
        <v>25</v>
      </c>
      <c r="O16" s="315">
        <f t="shared" si="9"/>
        <v>26</v>
      </c>
      <c r="P16" s="315">
        <f t="shared" si="9"/>
        <v>26</v>
      </c>
      <c r="Q16" s="718">
        <f t="shared" si="9"/>
        <v>32</v>
      </c>
      <c r="R16" s="718">
        <f t="shared" si="9"/>
        <v>32</v>
      </c>
      <c r="S16" s="340">
        <f t="shared" si="9"/>
        <v>41</v>
      </c>
      <c r="T16" s="340">
        <f t="shared" si="9"/>
        <v>41</v>
      </c>
      <c r="U16" s="365">
        <f t="shared" si="9"/>
        <v>32</v>
      </c>
      <c r="V16" s="365">
        <f t="shared" si="9"/>
        <v>32</v>
      </c>
      <c r="W16" s="808">
        <f t="shared" si="9"/>
        <v>32</v>
      </c>
      <c r="X16" s="808">
        <f t="shared" si="9"/>
        <v>32</v>
      </c>
      <c r="Y16" s="424">
        <f t="shared" si="9"/>
        <v>58</v>
      </c>
      <c r="Z16" s="424">
        <f t="shared" ref="Z16" si="10">ROUND(Z15/Z17,1)</f>
        <v>58</v>
      </c>
      <c r="AA16" s="19"/>
      <c r="AB16" s="19"/>
      <c r="AC16" s="19"/>
      <c r="AD16" s="19"/>
      <c r="AE16" s="19"/>
      <c r="AF16" s="19"/>
      <c r="AG16" s="19"/>
      <c r="AH16" s="19"/>
      <c r="AI16" s="52" t="s">
        <v>82</v>
      </c>
      <c r="AJ16" s="52" t="s">
        <v>83</v>
      </c>
      <c r="AK16" s="53" t="s">
        <v>84</v>
      </c>
      <c r="AO16" s="18" t="s">
        <v>158</v>
      </c>
      <c r="AP16" s="17"/>
      <c r="AQ16" s="17"/>
      <c r="AR16" s="18" t="s">
        <v>67</v>
      </c>
      <c r="AS16" s="17"/>
      <c r="AT16" s="17"/>
      <c r="AU16" s="17"/>
      <c r="AV16" s="19"/>
      <c r="AW16" s="19"/>
      <c r="AX16" s="17"/>
      <c r="AY16" s="17"/>
      <c r="AZ16" s="17"/>
      <c r="BA16" s="17"/>
      <c r="BB16" s="18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FO16" s="1"/>
      <c r="FP16" s="1"/>
      <c r="FQ16" s="1"/>
    </row>
    <row r="17" spans="1:173" hidden="1" x14ac:dyDescent="0.2">
      <c r="A17" s="19"/>
      <c r="B17" s="710" t="s">
        <v>30</v>
      </c>
      <c r="C17" s="185" t="s">
        <v>51</v>
      </c>
      <c r="D17" s="229">
        <v>1</v>
      </c>
      <c r="E17" s="229">
        <v>1</v>
      </c>
      <c r="F17" s="229">
        <v>1</v>
      </c>
      <c r="G17" s="205">
        <v>1</v>
      </c>
      <c r="H17" s="205">
        <v>1</v>
      </c>
      <c r="I17" s="729">
        <v>1</v>
      </c>
      <c r="J17" s="729">
        <v>1</v>
      </c>
      <c r="K17" s="756">
        <v>1</v>
      </c>
      <c r="L17" s="756">
        <v>1</v>
      </c>
      <c r="M17" s="756">
        <v>1</v>
      </c>
      <c r="N17" s="263">
        <v>1</v>
      </c>
      <c r="O17" s="318">
        <v>1</v>
      </c>
      <c r="P17" s="318">
        <v>1</v>
      </c>
      <c r="Q17" s="783">
        <v>1</v>
      </c>
      <c r="R17" s="783">
        <v>1</v>
      </c>
      <c r="S17" s="343">
        <v>1</v>
      </c>
      <c r="T17" s="343">
        <v>1</v>
      </c>
      <c r="U17" s="368">
        <v>1</v>
      </c>
      <c r="V17" s="368">
        <v>1</v>
      </c>
      <c r="W17" s="811">
        <v>1</v>
      </c>
      <c r="X17" s="811">
        <v>1</v>
      </c>
      <c r="Y17" s="427">
        <v>1</v>
      </c>
      <c r="Z17" s="427">
        <v>1</v>
      </c>
      <c r="AA17" s="19"/>
      <c r="AB17" s="19"/>
      <c r="AC17" s="19"/>
      <c r="AD17" s="19"/>
      <c r="AE17" s="19"/>
      <c r="AF17" s="19"/>
      <c r="AG17" s="19"/>
      <c r="AH17" s="19"/>
      <c r="AI17" s="19" t="s">
        <v>86</v>
      </c>
      <c r="AJ17" s="52" t="s">
        <v>87</v>
      </c>
      <c r="AK17" s="53" t="s">
        <v>88</v>
      </c>
      <c r="AM17" t="s">
        <v>159</v>
      </c>
      <c r="AN17" s="19" t="s">
        <v>90</v>
      </c>
      <c r="AO17" s="54" t="s">
        <v>89</v>
      </c>
      <c r="AP17" s="17"/>
      <c r="AQ17" s="17"/>
      <c r="AR17" s="18" t="s">
        <v>68</v>
      </c>
      <c r="AS17" s="17"/>
      <c r="AT17" s="17"/>
      <c r="AU17" s="17"/>
      <c r="AV17" s="19"/>
      <c r="AW17" s="19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FO17" s="1"/>
      <c r="FP17" s="1"/>
      <c r="FQ17" s="1"/>
    </row>
    <row r="18" spans="1:173" hidden="1" x14ac:dyDescent="0.2">
      <c r="A18" s="19"/>
      <c r="B18" s="36" t="s">
        <v>31</v>
      </c>
      <c r="C18" s="185" t="s">
        <v>32</v>
      </c>
      <c r="D18" s="230">
        <v>1.4</v>
      </c>
      <c r="E18" s="230">
        <v>2.46</v>
      </c>
      <c r="F18" s="230">
        <v>2.68</v>
      </c>
      <c r="G18" s="206">
        <v>1.4</v>
      </c>
      <c r="H18" s="206">
        <v>2.68</v>
      </c>
      <c r="I18" s="730">
        <v>1.4</v>
      </c>
      <c r="J18" s="730">
        <v>2.46</v>
      </c>
      <c r="K18" s="757">
        <v>1.4</v>
      </c>
      <c r="L18" s="757">
        <v>2.46</v>
      </c>
      <c r="M18" s="757">
        <v>2.68</v>
      </c>
      <c r="N18" s="264">
        <v>2.68</v>
      </c>
      <c r="O18" s="319">
        <v>2.48</v>
      </c>
      <c r="P18" s="319">
        <v>2.68</v>
      </c>
      <c r="Q18" s="784">
        <v>2.48</v>
      </c>
      <c r="R18" s="784">
        <v>2.68</v>
      </c>
      <c r="S18" s="344">
        <v>1.98</v>
      </c>
      <c r="T18" s="344">
        <v>2.68</v>
      </c>
      <c r="U18" s="369">
        <v>2.48</v>
      </c>
      <c r="V18" s="369">
        <v>2.68</v>
      </c>
      <c r="W18" s="812">
        <v>2.48</v>
      </c>
      <c r="X18" s="812">
        <v>2.68</v>
      </c>
      <c r="Y18" s="428">
        <v>1.4</v>
      </c>
      <c r="Z18" s="428">
        <v>2.68</v>
      </c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53" t="s">
        <v>92</v>
      </c>
      <c r="AN18" s="52"/>
      <c r="AO18" s="54" t="s">
        <v>93</v>
      </c>
      <c r="AP18" s="17"/>
      <c r="AQ18" s="17"/>
      <c r="AR18" s="18" t="s">
        <v>69</v>
      </c>
      <c r="AS18" s="17"/>
      <c r="AT18" s="17"/>
      <c r="AU18" s="17"/>
      <c r="AV18" s="19"/>
      <c r="AW18" s="19"/>
      <c r="AX18" s="17"/>
      <c r="AY18" s="17"/>
      <c r="AZ18" s="17"/>
      <c r="BA18" s="17"/>
      <c r="BB18" s="18"/>
      <c r="BC18" s="17"/>
      <c r="BD18" s="17"/>
      <c r="BE18" s="17"/>
      <c r="BF18" s="17"/>
      <c r="BG18" s="17"/>
      <c r="BH18" s="17"/>
      <c r="BI18" s="17"/>
      <c r="BJ18" s="17"/>
      <c r="BL18" s="1" t="s">
        <v>67</v>
      </c>
      <c r="FO18" s="1"/>
      <c r="FP18" s="1"/>
      <c r="FQ18" s="1"/>
    </row>
    <row r="19" spans="1:173" hidden="1" x14ac:dyDescent="0.2">
      <c r="A19" s="19"/>
      <c r="B19" s="36" t="s">
        <v>34</v>
      </c>
      <c r="C19" s="185" t="s">
        <v>7</v>
      </c>
      <c r="D19" s="231">
        <v>91</v>
      </c>
      <c r="E19" s="227">
        <v>91</v>
      </c>
      <c r="F19" s="227">
        <v>91</v>
      </c>
      <c r="G19" s="207">
        <v>130</v>
      </c>
      <c r="H19" s="203">
        <v>130</v>
      </c>
      <c r="I19" s="731">
        <v>91</v>
      </c>
      <c r="J19" s="727">
        <v>91</v>
      </c>
      <c r="K19" s="758">
        <v>130</v>
      </c>
      <c r="L19" s="754">
        <v>130</v>
      </c>
      <c r="M19" s="754">
        <v>130</v>
      </c>
      <c r="N19" s="261">
        <v>220</v>
      </c>
      <c r="O19" s="316">
        <v>220</v>
      </c>
      <c r="P19" s="316">
        <v>220</v>
      </c>
      <c r="Q19" s="781">
        <v>220</v>
      </c>
      <c r="R19" s="781">
        <v>220</v>
      </c>
      <c r="S19" s="341">
        <v>220</v>
      </c>
      <c r="T19" s="341">
        <v>220</v>
      </c>
      <c r="U19" s="366">
        <v>220</v>
      </c>
      <c r="V19" s="366">
        <v>220</v>
      </c>
      <c r="W19" s="809">
        <v>220</v>
      </c>
      <c r="X19" s="809">
        <v>220</v>
      </c>
      <c r="Y19" s="443">
        <v>130</v>
      </c>
      <c r="Z19" s="425">
        <v>130</v>
      </c>
      <c r="AA19" s="19"/>
      <c r="AB19" s="19"/>
      <c r="AC19" s="19"/>
      <c r="AD19" s="19"/>
      <c r="AE19" s="19"/>
      <c r="AF19" s="19"/>
      <c r="AG19" s="19"/>
      <c r="AH19" s="19"/>
      <c r="AI19" s="26">
        <v>0.99999999999999001</v>
      </c>
      <c r="AJ19" s="26">
        <v>0.8</v>
      </c>
      <c r="AK19" s="53">
        <v>1.1499999999999999</v>
      </c>
      <c r="AL19" s="26">
        <v>1</v>
      </c>
      <c r="AM19" s="26">
        <v>1.05</v>
      </c>
      <c r="AN19" s="55">
        <v>1</v>
      </c>
      <c r="AO19" s="1">
        <v>0.91</v>
      </c>
      <c r="AP19" s="17"/>
      <c r="AQ19" s="20" t="s">
        <v>19</v>
      </c>
      <c r="AR19" s="18" t="s">
        <v>70</v>
      </c>
      <c r="AS19" s="17"/>
      <c r="AT19" s="17"/>
      <c r="AU19" s="17"/>
      <c r="AV19" s="19"/>
      <c r="AW19" s="19"/>
      <c r="AX19" s="17"/>
      <c r="AY19" s="17"/>
      <c r="AZ19" s="17"/>
      <c r="BA19" s="17"/>
      <c r="BB19" s="18"/>
      <c r="BC19" s="17"/>
      <c r="BD19" s="17"/>
      <c r="BE19" s="17"/>
      <c r="BF19" s="17"/>
      <c r="BG19" s="17"/>
      <c r="BH19" s="17"/>
      <c r="BI19" s="17"/>
      <c r="BJ19" s="18"/>
      <c r="BL19" s="1" t="s">
        <v>68</v>
      </c>
      <c r="FO19" s="1"/>
      <c r="FP19" s="1"/>
      <c r="FQ19" s="1"/>
    </row>
    <row r="20" spans="1:173" hidden="1" x14ac:dyDescent="0.2">
      <c r="A20" s="19"/>
      <c r="B20" s="36" t="s">
        <v>35</v>
      </c>
      <c r="C20" s="185" t="s">
        <v>22</v>
      </c>
      <c r="D20" s="227">
        <v>60</v>
      </c>
      <c r="E20" s="227">
        <v>60</v>
      </c>
      <c r="F20" s="227">
        <v>60</v>
      </c>
      <c r="G20" s="203">
        <v>71.2</v>
      </c>
      <c r="H20" s="203">
        <v>71.2</v>
      </c>
      <c r="I20" s="727">
        <v>60</v>
      </c>
      <c r="J20" s="727">
        <v>60</v>
      </c>
      <c r="K20" s="754">
        <v>71.2</v>
      </c>
      <c r="L20" s="754">
        <v>71.2</v>
      </c>
      <c r="M20" s="754">
        <v>71.2</v>
      </c>
      <c r="N20" s="261">
        <v>112</v>
      </c>
      <c r="O20" s="316">
        <v>112</v>
      </c>
      <c r="P20" s="316">
        <v>112</v>
      </c>
      <c r="Q20" s="781">
        <v>112</v>
      </c>
      <c r="R20" s="781">
        <v>112</v>
      </c>
      <c r="S20" s="341">
        <v>112</v>
      </c>
      <c r="T20" s="341">
        <v>112</v>
      </c>
      <c r="U20" s="366">
        <v>112</v>
      </c>
      <c r="V20" s="366">
        <v>112</v>
      </c>
      <c r="W20" s="809">
        <v>112</v>
      </c>
      <c r="X20" s="809">
        <v>112</v>
      </c>
      <c r="Y20" s="425">
        <v>71.2</v>
      </c>
      <c r="Z20" s="425">
        <v>71.2</v>
      </c>
      <c r="AA20" s="19"/>
      <c r="AB20" s="19"/>
      <c r="AC20" s="19"/>
      <c r="AD20" s="19"/>
      <c r="AE20" s="19"/>
      <c r="AF20" s="19"/>
      <c r="AG20" s="19"/>
      <c r="AH20" s="19"/>
      <c r="AI20" s="26">
        <v>1</v>
      </c>
      <c r="AJ20" s="26">
        <v>1.6</v>
      </c>
      <c r="AK20" s="53">
        <v>1.1499999999999999</v>
      </c>
      <c r="AL20" s="26">
        <v>1</v>
      </c>
      <c r="AM20" s="26">
        <v>1.05</v>
      </c>
      <c r="AN20" s="55">
        <v>1</v>
      </c>
      <c r="AO20" s="1">
        <v>0.91</v>
      </c>
      <c r="AP20" s="17"/>
      <c r="AQ20" s="17"/>
      <c r="AR20" s="18" t="s">
        <v>110</v>
      </c>
      <c r="AS20" s="17"/>
      <c r="AT20" s="17"/>
      <c r="AU20" s="17"/>
      <c r="AV20" s="19"/>
      <c r="AW20" s="19"/>
      <c r="AX20" s="17"/>
      <c r="AY20" s="17"/>
      <c r="AZ20" s="17"/>
      <c r="BA20" s="17"/>
      <c r="BB20" s="21"/>
      <c r="BC20" s="17"/>
      <c r="BD20" s="17"/>
      <c r="BE20" s="17"/>
      <c r="BF20" s="17"/>
      <c r="BG20" s="17"/>
      <c r="BH20" s="17"/>
      <c r="BI20" s="17"/>
      <c r="BJ20" s="17"/>
      <c r="BL20" s="1" t="s">
        <v>69</v>
      </c>
      <c r="FO20" s="1"/>
      <c r="FP20" s="1"/>
      <c r="FQ20" s="1"/>
    </row>
    <row r="21" spans="1:173" hidden="1" x14ac:dyDescent="0.2">
      <c r="A21" s="19"/>
      <c r="B21" s="36" t="s">
        <v>36</v>
      </c>
      <c r="C21" s="189"/>
      <c r="D21" s="232"/>
      <c r="E21" s="232"/>
      <c r="F21" s="232"/>
      <c r="G21" s="208"/>
      <c r="H21" s="208"/>
      <c r="I21" s="732"/>
      <c r="J21" s="732"/>
      <c r="K21" s="759"/>
      <c r="L21" s="759"/>
      <c r="M21" s="759"/>
      <c r="N21" s="265"/>
      <c r="O21" s="320"/>
      <c r="P21" s="320"/>
      <c r="Q21" s="785"/>
      <c r="R21" s="785"/>
      <c r="S21" s="345"/>
      <c r="T21" s="345"/>
      <c r="U21" s="370"/>
      <c r="V21" s="370"/>
      <c r="W21" s="813"/>
      <c r="X21" s="813"/>
      <c r="Y21" s="429"/>
      <c r="Z21" s="429"/>
      <c r="AA21" s="19"/>
      <c r="AB21" s="19"/>
      <c r="AC21" s="19"/>
      <c r="AD21" s="19"/>
      <c r="AE21" s="19"/>
      <c r="AF21" s="19"/>
      <c r="AG21" s="19"/>
      <c r="AH21" s="19"/>
      <c r="AI21" s="26">
        <v>2</v>
      </c>
      <c r="AJ21" s="26">
        <v>1.8</v>
      </c>
      <c r="AK21" s="53">
        <v>1.25</v>
      </c>
      <c r="AL21" s="26">
        <v>2</v>
      </c>
      <c r="AM21" s="26">
        <v>1.05</v>
      </c>
      <c r="AN21" s="55">
        <v>1</v>
      </c>
      <c r="AO21" s="21">
        <v>0.84</v>
      </c>
      <c r="AP21" s="17"/>
      <c r="AQ21" s="17"/>
      <c r="AR21" s="17"/>
      <c r="AS21" s="17"/>
      <c r="AT21" s="17"/>
      <c r="AU21" s="17"/>
      <c r="AV21" s="19"/>
      <c r="AW21" s="19"/>
      <c r="AX21" s="17"/>
      <c r="AY21" s="17"/>
      <c r="AZ21" s="17"/>
      <c r="BA21" s="17"/>
      <c r="BB21" s="21"/>
      <c r="BC21" s="21"/>
      <c r="BD21" s="17"/>
      <c r="BE21" s="17"/>
      <c r="BF21" s="17"/>
      <c r="BG21" s="17"/>
      <c r="BH21" s="17"/>
      <c r="BI21" s="17"/>
      <c r="BJ21" s="17"/>
      <c r="BL21" s="1" t="s">
        <v>70</v>
      </c>
      <c r="FO21" s="1"/>
      <c r="FP21" s="1"/>
      <c r="FQ21" s="1"/>
    </row>
    <row r="22" spans="1:173" hidden="1" x14ac:dyDescent="0.2">
      <c r="A22" s="19"/>
      <c r="B22" s="36" t="s">
        <v>35</v>
      </c>
      <c r="C22" s="185" t="s">
        <v>22</v>
      </c>
      <c r="D22" s="228">
        <f t="shared" ref="D22:Y22" si="11">IF(D19*D11/D18&lt;D20,D19/D18,D20/D11)</f>
        <v>48</v>
      </c>
      <c r="E22" s="228">
        <f t="shared" si="11"/>
        <v>36.991869918699187</v>
      </c>
      <c r="F22" s="228">
        <f t="shared" si="11"/>
        <v>33.955223880597011</v>
      </c>
      <c r="G22" s="204">
        <f t="shared" si="11"/>
        <v>56.96</v>
      </c>
      <c r="H22" s="204">
        <f t="shared" si="11"/>
        <v>47.466666666666669</v>
      </c>
      <c r="I22" s="728">
        <f t="shared" si="11"/>
        <v>48</v>
      </c>
      <c r="J22" s="728">
        <f t="shared" si="11"/>
        <v>36.991869918699187</v>
      </c>
      <c r="K22" s="755">
        <f t="shared" si="11"/>
        <v>56.96</v>
      </c>
      <c r="L22" s="755">
        <f t="shared" si="11"/>
        <v>47.466666666666669</v>
      </c>
      <c r="M22" s="755">
        <f t="shared" si="11"/>
        <v>47.466666666666669</v>
      </c>
      <c r="N22" s="262">
        <f t="shared" si="11"/>
        <v>74.666666666666671</v>
      </c>
      <c r="O22" s="317">
        <f t="shared" si="11"/>
        <v>74.666666666666671</v>
      </c>
      <c r="P22" s="317">
        <f t="shared" si="11"/>
        <v>74.666666666666671</v>
      </c>
      <c r="Q22" s="782">
        <f t="shared" si="11"/>
        <v>74.666666666666671</v>
      </c>
      <c r="R22" s="782">
        <f t="shared" si="11"/>
        <v>74.666666666666671</v>
      </c>
      <c r="S22" s="342">
        <f t="shared" si="11"/>
        <v>89.6</v>
      </c>
      <c r="T22" s="342">
        <f t="shared" si="11"/>
        <v>74.666666666666671</v>
      </c>
      <c r="U22" s="367">
        <f t="shared" si="11"/>
        <v>74.666666666666671</v>
      </c>
      <c r="V22" s="367">
        <f t="shared" si="11"/>
        <v>74.666666666666671</v>
      </c>
      <c r="W22" s="810">
        <f t="shared" si="11"/>
        <v>74.666666666666671</v>
      </c>
      <c r="X22" s="810">
        <f t="shared" si="11"/>
        <v>74.666666666666671</v>
      </c>
      <c r="Y22" s="426">
        <f t="shared" si="11"/>
        <v>56.96</v>
      </c>
      <c r="Z22" s="426">
        <f t="shared" ref="Z22" si="12">IF(Z19*Z11/Z18&lt;Z20,Z19/Z18,Z20/Z11)</f>
        <v>47.466666666666669</v>
      </c>
      <c r="AA22" s="19"/>
      <c r="AB22" s="19"/>
      <c r="AC22" s="19"/>
      <c r="AD22" s="19"/>
      <c r="AE22" s="19"/>
      <c r="AF22" s="19"/>
      <c r="AG22" s="19"/>
      <c r="AH22" s="19"/>
      <c r="AI22" s="26">
        <v>3</v>
      </c>
      <c r="AJ22" s="26">
        <v>2</v>
      </c>
      <c r="AK22" s="53">
        <v>1.35</v>
      </c>
      <c r="AL22" s="26">
        <v>3</v>
      </c>
      <c r="AM22" s="26">
        <v>0.95</v>
      </c>
      <c r="AN22" s="43">
        <v>0.9</v>
      </c>
      <c r="AO22" s="21">
        <v>0.7</v>
      </c>
      <c r="AP22" s="17"/>
      <c r="AQ22" s="17"/>
      <c r="AR22" s="18" t="s">
        <v>111</v>
      </c>
      <c r="AS22" s="17"/>
      <c r="AT22" s="17"/>
      <c r="AU22" s="17"/>
      <c r="AV22" s="19"/>
      <c r="AW22" s="19"/>
      <c r="AX22" s="17"/>
      <c r="AY22" s="17"/>
      <c r="AZ22" s="17"/>
      <c r="BA22" s="17"/>
      <c r="BB22" s="21"/>
      <c r="BC22" s="21"/>
      <c r="BD22" s="17"/>
      <c r="BE22" s="17"/>
      <c r="BF22" s="17"/>
      <c r="BG22" s="17"/>
      <c r="BH22" s="17"/>
      <c r="BI22" s="17"/>
      <c r="BJ22" s="17"/>
      <c r="FO22" s="1"/>
      <c r="FP22" s="1"/>
      <c r="FQ22" s="1"/>
    </row>
    <row r="23" spans="1:173" hidden="1" x14ac:dyDescent="0.2">
      <c r="A23" s="19"/>
      <c r="B23" s="36" t="s">
        <v>125</v>
      </c>
      <c r="C23" s="189"/>
      <c r="D23" s="233"/>
      <c r="E23" s="233"/>
      <c r="F23" s="233"/>
      <c r="G23" s="209"/>
      <c r="H23" s="209"/>
      <c r="I23" s="733"/>
      <c r="J23" s="733"/>
      <c r="K23" s="760"/>
      <c r="L23" s="760"/>
      <c r="M23" s="760"/>
      <c r="N23" s="266"/>
      <c r="O23" s="321"/>
      <c r="P23" s="321"/>
      <c r="Q23" s="786"/>
      <c r="R23" s="786"/>
      <c r="S23" s="346"/>
      <c r="T23" s="346"/>
      <c r="U23" s="371"/>
      <c r="V23" s="371"/>
      <c r="W23" s="814"/>
      <c r="X23" s="814"/>
      <c r="Y23" s="430"/>
      <c r="Z23" s="430"/>
      <c r="AA23" s="19"/>
      <c r="AB23" s="19"/>
      <c r="AC23" s="19"/>
      <c r="AD23" s="19"/>
      <c r="AE23" s="19"/>
      <c r="AF23" s="19"/>
      <c r="AG23" s="19"/>
      <c r="AH23" s="19"/>
      <c r="AI23" s="26"/>
      <c r="AJ23" s="26">
        <v>2.1</v>
      </c>
      <c r="AK23" s="53">
        <v>1.35</v>
      </c>
      <c r="AL23" s="26">
        <v>3</v>
      </c>
      <c r="AM23" s="26">
        <v>0.95</v>
      </c>
      <c r="AN23" s="43">
        <v>0.9</v>
      </c>
      <c r="AO23" s="21">
        <v>0.7</v>
      </c>
      <c r="AP23" s="17"/>
      <c r="AQ23" s="20" t="s">
        <v>19</v>
      </c>
      <c r="AR23" s="18" t="s">
        <v>112</v>
      </c>
      <c r="AS23" s="17"/>
      <c r="AT23" s="17"/>
      <c r="AU23" s="17"/>
      <c r="AV23" s="19"/>
      <c r="AW23" s="19"/>
      <c r="AX23" s="17"/>
      <c r="AY23" s="17"/>
      <c r="AZ23" s="17"/>
      <c r="BA23" s="17"/>
      <c r="BB23" s="21"/>
      <c r="BC23" s="21"/>
      <c r="BD23" s="17"/>
      <c r="BE23" s="17"/>
      <c r="BF23" s="17"/>
      <c r="BG23" s="17"/>
      <c r="BH23" s="17"/>
      <c r="BI23" s="17"/>
      <c r="BJ23" s="17"/>
      <c r="BK23" s="1" t="s">
        <v>160</v>
      </c>
      <c r="FO23" s="1"/>
      <c r="FP23" s="1"/>
      <c r="FQ23" s="1"/>
    </row>
    <row r="24" spans="1:173" x14ac:dyDescent="0.2">
      <c r="A24" s="19"/>
      <c r="B24" s="36" t="s">
        <v>37</v>
      </c>
      <c r="C24" s="189"/>
      <c r="D24" s="228">
        <f t="shared" ref="D24:Y24" si="13">IF((D20*D18/D11)&gt;D19,D22,IF((D20/D11)&gt;D22,D22,D20/D11))</f>
        <v>48</v>
      </c>
      <c r="E24" s="228">
        <f t="shared" si="13"/>
        <v>36.991869918699187</v>
      </c>
      <c r="F24" s="228">
        <f t="shared" si="13"/>
        <v>33.955223880597011</v>
      </c>
      <c r="G24" s="204">
        <f t="shared" si="13"/>
        <v>56.96</v>
      </c>
      <c r="H24" s="204">
        <f t="shared" si="13"/>
        <v>47.466666666666669</v>
      </c>
      <c r="I24" s="728">
        <f t="shared" si="13"/>
        <v>48</v>
      </c>
      <c r="J24" s="728">
        <f t="shared" si="13"/>
        <v>36.991869918699187</v>
      </c>
      <c r="K24" s="755">
        <f t="shared" si="13"/>
        <v>56.96</v>
      </c>
      <c r="L24" s="755">
        <f t="shared" si="13"/>
        <v>47.466666666666669</v>
      </c>
      <c r="M24" s="755">
        <f t="shared" si="13"/>
        <v>47.466666666666669</v>
      </c>
      <c r="N24" s="262">
        <f t="shared" si="13"/>
        <v>74.666666666666671</v>
      </c>
      <c r="O24" s="317">
        <f t="shared" si="13"/>
        <v>74.666666666666671</v>
      </c>
      <c r="P24" s="317">
        <f t="shared" si="13"/>
        <v>74.666666666666671</v>
      </c>
      <c r="Q24" s="782">
        <f t="shared" si="13"/>
        <v>74.666666666666671</v>
      </c>
      <c r="R24" s="782">
        <f t="shared" si="13"/>
        <v>74.666666666666671</v>
      </c>
      <c r="S24" s="342">
        <f t="shared" si="13"/>
        <v>89.6</v>
      </c>
      <c r="T24" s="342">
        <f t="shared" si="13"/>
        <v>74.666666666666671</v>
      </c>
      <c r="U24" s="367">
        <f t="shared" si="13"/>
        <v>74.666666666666671</v>
      </c>
      <c r="V24" s="367">
        <f t="shared" si="13"/>
        <v>74.666666666666671</v>
      </c>
      <c r="W24" s="810">
        <f t="shared" si="13"/>
        <v>74.666666666666671</v>
      </c>
      <c r="X24" s="810">
        <f t="shared" si="13"/>
        <v>74.666666666666671</v>
      </c>
      <c r="Y24" s="426">
        <f t="shared" si="13"/>
        <v>56.96</v>
      </c>
      <c r="Z24" s="426">
        <f t="shared" ref="Z24" si="14">IF((Z20*Z18/Z11)&gt;Z19,Z22,IF((Z20/Z11)&gt;Z22,Z22,Z20/Z11))</f>
        <v>47.466666666666669</v>
      </c>
      <c r="AA24" s="19"/>
      <c r="AB24" s="19"/>
      <c r="AC24" s="19"/>
      <c r="AD24" s="19"/>
      <c r="AE24" s="19"/>
      <c r="AF24" s="19"/>
      <c r="AG24" s="19"/>
      <c r="AH24" s="19"/>
      <c r="AI24" s="26"/>
      <c r="AJ24" s="26">
        <v>2.2000000000000002</v>
      </c>
      <c r="AK24" s="53">
        <v>1.35</v>
      </c>
      <c r="AL24" s="26">
        <v>3</v>
      </c>
      <c r="AM24" s="26">
        <v>0.95</v>
      </c>
      <c r="AN24" s="43">
        <v>0.9</v>
      </c>
      <c r="AO24" s="21">
        <v>0.7</v>
      </c>
      <c r="AQ24" s="17"/>
      <c r="AR24" s="18" t="s">
        <v>113</v>
      </c>
      <c r="AS24" s="17"/>
      <c r="AT24" s="17"/>
      <c r="AU24" s="17"/>
      <c r="AV24" s="19"/>
      <c r="AW24" s="19"/>
      <c r="AX24" s="17"/>
      <c r="AY24" s="17"/>
      <c r="AZ24" s="17"/>
      <c r="BA24" s="17"/>
      <c r="BB24" s="21"/>
      <c r="BC24" s="21"/>
      <c r="BD24" s="17"/>
      <c r="BE24" s="17"/>
      <c r="BF24" s="17"/>
      <c r="BG24" s="17"/>
      <c r="BH24" s="17"/>
      <c r="BI24" s="17"/>
      <c r="BJ24" s="17"/>
      <c r="BL24" s="1" t="s">
        <v>81</v>
      </c>
      <c r="FO24" s="1"/>
      <c r="FP24" s="1"/>
      <c r="FQ24" s="1"/>
    </row>
    <row r="25" spans="1:173" hidden="1" x14ac:dyDescent="0.2">
      <c r="A25" s="19"/>
      <c r="B25" s="36" t="s">
        <v>38</v>
      </c>
      <c r="C25" s="189"/>
      <c r="D25" s="232"/>
      <c r="E25" s="232"/>
      <c r="F25" s="232"/>
      <c r="G25" s="208"/>
      <c r="H25" s="208"/>
      <c r="I25" s="732"/>
      <c r="J25" s="732"/>
      <c r="K25" s="759"/>
      <c r="L25" s="759"/>
      <c r="M25" s="759"/>
      <c r="N25" s="265"/>
      <c r="O25" s="320"/>
      <c r="P25" s="320"/>
      <c r="Q25" s="785"/>
      <c r="R25" s="785"/>
      <c r="S25" s="345"/>
      <c r="T25" s="345"/>
      <c r="U25" s="370"/>
      <c r="V25" s="370"/>
      <c r="W25" s="813"/>
      <c r="X25" s="813"/>
      <c r="Y25" s="429"/>
      <c r="Z25" s="429"/>
      <c r="AA25" s="19"/>
      <c r="AB25" s="19"/>
      <c r="AC25" s="19"/>
      <c r="AD25" s="19"/>
      <c r="AE25" s="19"/>
      <c r="AF25" s="19"/>
      <c r="AG25" s="19"/>
      <c r="AH25" s="19"/>
      <c r="AI25" s="26"/>
      <c r="AJ25" s="26">
        <v>2.2999999999999998</v>
      </c>
      <c r="AK25" s="53">
        <v>1.5</v>
      </c>
      <c r="AL25" s="26">
        <v>4</v>
      </c>
      <c r="AM25" s="26">
        <v>0.9</v>
      </c>
      <c r="AN25" s="55">
        <v>0.85</v>
      </c>
      <c r="AO25" s="21">
        <v>0.6</v>
      </c>
      <c r="AQ25" s="20" t="s">
        <v>19</v>
      </c>
      <c r="AR25" s="17"/>
      <c r="AS25" s="17"/>
      <c r="AT25" s="17"/>
      <c r="AU25" s="17"/>
      <c r="AV25" s="19"/>
      <c r="AW25" s="19"/>
      <c r="AX25" s="17"/>
      <c r="AY25" s="17"/>
      <c r="AZ25" s="17"/>
      <c r="BA25" s="17"/>
      <c r="BB25" s="17"/>
      <c r="BC25" s="21"/>
      <c r="BD25" s="17"/>
      <c r="BE25" s="17"/>
      <c r="BF25" s="17"/>
      <c r="BG25" s="17"/>
      <c r="BH25" s="17"/>
      <c r="BI25" s="17"/>
      <c r="BJ25" s="17"/>
      <c r="BV25" s="1" t="s">
        <v>161</v>
      </c>
      <c r="FO25" s="1"/>
      <c r="FP25" s="1"/>
      <c r="FQ25" s="1"/>
    </row>
    <row r="26" spans="1:173" hidden="1" x14ac:dyDescent="0.2">
      <c r="A26" s="19"/>
      <c r="B26" s="36" t="s">
        <v>39</v>
      </c>
      <c r="C26" s="185" t="s">
        <v>40</v>
      </c>
      <c r="D26" s="227">
        <v>0.7</v>
      </c>
      <c r="E26" s="227">
        <v>0.7</v>
      </c>
      <c r="F26" s="227">
        <v>0.7</v>
      </c>
      <c r="G26" s="203">
        <v>1.1000000000000001</v>
      </c>
      <c r="H26" s="203">
        <v>1.1000000000000001</v>
      </c>
      <c r="I26" s="727">
        <v>0.7</v>
      </c>
      <c r="J26" s="727">
        <v>0.7</v>
      </c>
      <c r="K26" s="754">
        <v>1.1000000000000001</v>
      </c>
      <c r="L26" s="754">
        <v>1.1000000000000001</v>
      </c>
      <c r="M26" s="754">
        <v>1.1000000000000001</v>
      </c>
      <c r="N26" s="261">
        <v>1.1000000000000001</v>
      </c>
      <c r="O26" s="316">
        <v>1.1000000000000001</v>
      </c>
      <c r="P26" s="316">
        <v>1.1000000000000001</v>
      </c>
      <c r="Q26" s="781">
        <v>1.1000000000000001</v>
      </c>
      <c r="R26" s="781">
        <v>1.1000000000000001</v>
      </c>
      <c r="S26" s="341">
        <v>1.1000000000000001</v>
      </c>
      <c r="T26" s="341">
        <v>1.1000000000000001</v>
      </c>
      <c r="U26" s="366">
        <v>1.1000000000000001</v>
      </c>
      <c r="V26" s="366">
        <v>1.1000000000000001</v>
      </c>
      <c r="W26" s="809">
        <v>1.1000000000000001</v>
      </c>
      <c r="X26" s="809">
        <v>1.1000000000000001</v>
      </c>
      <c r="Y26" s="425">
        <v>1.1000000000000001</v>
      </c>
      <c r="Z26" s="425">
        <v>1.1000000000000001</v>
      </c>
      <c r="AA26" s="19"/>
      <c r="AB26" s="19"/>
      <c r="AC26" s="19"/>
      <c r="AD26" s="19"/>
      <c r="AE26" s="19"/>
      <c r="AF26" s="19"/>
      <c r="AG26" s="19"/>
      <c r="AH26" s="19"/>
      <c r="AI26" s="26"/>
      <c r="AJ26" s="26">
        <v>2.4</v>
      </c>
      <c r="AK26" s="53">
        <v>1.5</v>
      </c>
      <c r="AL26" s="26">
        <v>4</v>
      </c>
      <c r="AM26" s="26">
        <v>0.9</v>
      </c>
      <c r="AN26" s="55">
        <v>0.85</v>
      </c>
      <c r="AO26" s="21">
        <v>0.6</v>
      </c>
      <c r="AP26" s="17"/>
      <c r="AQ26" s="20" t="s">
        <v>19</v>
      </c>
      <c r="AR26" s="17"/>
      <c r="AS26" s="17"/>
      <c r="AT26" s="17"/>
      <c r="AU26" s="17"/>
      <c r="AV26" s="19"/>
      <c r="AW26" s="19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M26" s="1" t="s">
        <v>91</v>
      </c>
      <c r="BV26" s="56" t="s">
        <v>162</v>
      </c>
      <c r="BW26" s="57" t="s">
        <v>163</v>
      </c>
      <c r="BX26" s="57" t="s">
        <v>102</v>
      </c>
      <c r="BY26" s="57" t="s">
        <v>102</v>
      </c>
      <c r="BZ26" s="57"/>
      <c r="CA26" s="58"/>
      <c r="CB26" s="57" t="s">
        <v>164</v>
      </c>
      <c r="CC26" s="57"/>
      <c r="CD26" s="57" t="s">
        <v>165</v>
      </c>
      <c r="CE26" s="57"/>
      <c r="CF26" s="56" t="s">
        <v>165</v>
      </c>
      <c r="CG26" s="58"/>
      <c r="CI26" s="56" t="s">
        <v>166</v>
      </c>
      <c r="CJ26" s="57" t="s">
        <v>167</v>
      </c>
      <c r="CK26" s="57"/>
      <c r="CL26" s="58"/>
      <c r="FO26" s="1"/>
      <c r="FP26" s="1"/>
      <c r="FQ26" s="1"/>
    </row>
    <row r="27" spans="1:173" hidden="1" x14ac:dyDescent="0.2">
      <c r="A27" s="19"/>
      <c r="B27" s="36" t="s">
        <v>41</v>
      </c>
      <c r="C27" s="189"/>
      <c r="D27" s="234">
        <v>1</v>
      </c>
      <c r="E27" s="234">
        <v>1</v>
      </c>
      <c r="F27" s="234">
        <v>1</v>
      </c>
      <c r="G27" s="210">
        <v>1</v>
      </c>
      <c r="H27" s="210">
        <v>1</v>
      </c>
      <c r="I27" s="734">
        <v>1</v>
      </c>
      <c r="J27" s="734">
        <v>1</v>
      </c>
      <c r="K27" s="761">
        <v>1</v>
      </c>
      <c r="L27" s="761">
        <v>1</v>
      </c>
      <c r="M27" s="761">
        <v>1</v>
      </c>
      <c r="N27" s="267">
        <v>1</v>
      </c>
      <c r="O27" s="322">
        <v>1</v>
      </c>
      <c r="P27" s="322">
        <v>1</v>
      </c>
      <c r="Q27" s="787">
        <v>1</v>
      </c>
      <c r="R27" s="787">
        <v>1</v>
      </c>
      <c r="S27" s="347">
        <v>1</v>
      </c>
      <c r="T27" s="347">
        <v>1</v>
      </c>
      <c r="U27" s="372">
        <v>1</v>
      </c>
      <c r="V27" s="372">
        <v>1</v>
      </c>
      <c r="W27" s="815">
        <v>1</v>
      </c>
      <c r="X27" s="815">
        <v>1</v>
      </c>
      <c r="Y27" s="431">
        <v>1</v>
      </c>
      <c r="Z27" s="431">
        <v>1</v>
      </c>
      <c r="AA27" s="19"/>
      <c r="AB27" s="19"/>
      <c r="AC27" s="19"/>
      <c r="AD27" s="19"/>
      <c r="AE27" s="19"/>
      <c r="AF27" s="19"/>
      <c r="AG27" s="19"/>
      <c r="AH27" s="19"/>
      <c r="AI27" s="26">
        <v>4</v>
      </c>
      <c r="AJ27" s="26">
        <v>2.5</v>
      </c>
      <c r="AK27" s="53">
        <v>1.5</v>
      </c>
      <c r="AL27" s="26">
        <v>4</v>
      </c>
      <c r="AM27" s="26">
        <v>0.9</v>
      </c>
      <c r="AN27" s="55">
        <v>0.85</v>
      </c>
      <c r="AO27" s="21">
        <v>0.6</v>
      </c>
      <c r="AP27" s="20" t="s">
        <v>19</v>
      </c>
      <c r="AS27" s="17"/>
      <c r="AT27" s="17"/>
      <c r="AU27" s="17"/>
      <c r="AV27" s="19"/>
      <c r="AW27" s="19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M27" s="1" t="s">
        <v>94</v>
      </c>
      <c r="BN27" s="1" t="s">
        <v>95</v>
      </c>
      <c r="BO27" s="59" t="s">
        <v>168</v>
      </c>
      <c r="BP27" s="59"/>
      <c r="BQ27" s="59" t="s">
        <v>169</v>
      </c>
      <c r="BR27" s="59"/>
      <c r="BS27" s="1" t="s">
        <v>170</v>
      </c>
      <c r="BT27" s="1" t="s">
        <v>171</v>
      </c>
      <c r="BV27" s="60" t="s">
        <v>172</v>
      </c>
      <c r="BW27" s="50" t="s">
        <v>173</v>
      </c>
      <c r="BX27" s="50" t="s">
        <v>174</v>
      </c>
      <c r="BY27" s="50" t="s">
        <v>175</v>
      </c>
      <c r="BZ27" s="50" t="s">
        <v>176</v>
      </c>
      <c r="CA27" s="61" t="s">
        <v>177</v>
      </c>
      <c r="CB27" s="50" t="s">
        <v>178</v>
      </c>
      <c r="CC27" s="50"/>
      <c r="CD27" s="50"/>
      <c r="CE27" s="50"/>
      <c r="CF27" s="60" t="s">
        <v>178</v>
      </c>
      <c r="CG27" s="61"/>
      <c r="CI27" s="60" t="s">
        <v>179</v>
      </c>
      <c r="CJ27" s="50" t="s">
        <v>180</v>
      </c>
      <c r="CK27" s="50"/>
      <c r="CL27" s="61"/>
      <c r="FO27" s="1"/>
      <c r="FP27" s="1"/>
      <c r="FQ27" s="1"/>
    </row>
    <row r="28" spans="1:173" hidden="1" x14ac:dyDescent="0.2">
      <c r="A28" s="19"/>
      <c r="B28" s="36" t="s">
        <v>42</v>
      </c>
      <c r="C28" s="185" t="s">
        <v>43</v>
      </c>
      <c r="D28" s="226">
        <f>ROUND(D24/D14,1)</f>
        <v>7.5</v>
      </c>
      <c r="E28" s="226">
        <f>ROUND(E24/E14,1)</f>
        <v>9.1999999999999993</v>
      </c>
      <c r="F28" s="226">
        <f>ROUND(F24/F14,1)</f>
        <v>8.4</v>
      </c>
      <c r="G28" s="202">
        <f>ROUND(G24/G14,1)</f>
        <v>4.5999999999999996</v>
      </c>
      <c r="H28" s="202">
        <f t="shared" ref="H28" si="15">ROUND(H24/H14,1)</f>
        <v>6.1</v>
      </c>
      <c r="I28" s="726">
        <f>ROUND(I24/I14,1)</f>
        <v>9.1</v>
      </c>
      <c r="J28" s="726">
        <f>ROUND(J24/J14,1)</f>
        <v>9.8000000000000007</v>
      </c>
      <c r="K28" s="717">
        <f>ROUND(K24/K14,1)</f>
        <v>6.3</v>
      </c>
      <c r="L28" s="717">
        <f>ROUND(L24/L14,1)</f>
        <v>7.4</v>
      </c>
      <c r="M28" s="717">
        <f>ROUND(M24/M14,1)</f>
        <v>7.4</v>
      </c>
      <c r="N28" s="260">
        <f t="shared" ref="N28:X28" si="16">ROUND(N24/N14,1)</f>
        <v>3.7</v>
      </c>
      <c r="O28" s="315">
        <f t="shared" si="16"/>
        <v>3.6</v>
      </c>
      <c r="P28" s="315">
        <f t="shared" si="16"/>
        <v>3.6</v>
      </c>
      <c r="Q28" s="718">
        <f t="shared" si="16"/>
        <v>6.9</v>
      </c>
      <c r="R28" s="718">
        <f t="shared" si="16"/>
        <v>6.9</v>
      </c>
      <c r="S28" s="340">
        <f t="shared" si="16"/>
        <v>7.1</v>
      </c>
      <c r="T28" s="340">
        <f t="shared" si="16"/>
        <v>8.3000000000000007</v>
      </c>
      <c r="U28" s="365">
        <f t="shared" si="16"/>
        <v>10.4</v>
      </c>
      <c r="V28" s="365">
        <f t="shared" si="16"/>
        <v>10.4</v>
      </c>
      <c r="W28" s="808">
        <f t="shared" si="16"/>
        <v>12.4</v>
      </c>
      <c r="X28" s="808">
        <f t="shared" si="16"/>
        <v>12.4</v>
      </c>
      <c r="Y28" s="424">
        <f>ROUND(Y24/Y14,1)</f>
        <v>7.1</v>
      </c>
      <c r="Z28" s="424">
        <f t="shared" ref="Z28" si="17">ROUND(Z24/Z14,1)</f>
        <v>7.9</v>
      </c>
      <c r="AA28" s="19"/>
      <c r="AB28" s="19"/>
      <c r="AC28" s="19"/>
      <c r="AD28" s="19"/>
      <c r="AE28" s="19"/>
      <c r="AF28" s="19"/>
      <c r="AG28" s="19"/>
      <c r="AH28" s="19"/>
      <c r="AI28" s="26"/>
      <c r="AJ28" s="26">
        <v>2.6</v>
      </c>
      <c r="AK28" s="53">
        <v>1.5</v>
      </c>
      <c r="AL28" s="26">
        <v>4</v>
      </c>
      <c r="AM28" s="26">
        <v>0.9</v>
      </c>
      <c r="AN28" s="55">
        <v>0.85</v>
      </c>
      <c r="AO28" s="21">
        <v>0.6</v>
      </c>
      <c r="AP28" s="20" t="s">
        <v>19</v>
      </c>
      <c r="AU28" s="17"/>
      <c r="AW28" s="19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O28" s="1" t="s">
        <v>97</v>
      </c>
      <c r="BP28" s="1" t="s">
        <v>98</v>
      </c>
      <c r="BQ28" s="1" t="s">
        <v>97</v>
      </c>
      <c r="BR28" s="1" t="s">
        <v>98</v>
      </c>
      <c r="BT28" s="1" t="s">
        <v>181</v>
      </c>
      <c r="BV28" s="60">
        <v>0</v>
      </c>
      <c r="BW28" s="50">
        <v>11</v>
      </c>
      <c r="BX28" s="50">
        <v>11</v>
      </c>
      <c r="BY28" s="50">
        <v>11</v>
      </c>
      <c r="BZ28" s="50">
        <v>11</v>
      </c>
      <c r="CA28" s="61">
        <v>11</v>
      </c>
      <c r="CB28" s="50" t="s">
        <v>182</v>
      </c>
      <c r="CC28" s="50"/>
      <c r="CD28" s="50" t="s">
        <v>183</v>
      </c>
      <c r="CE28" s="50" t="s">
        <v>184</v>
      </c>
      <c r="CF28" s="60" t="s">
        <v>185</v>
      </c>
      <c r="CG28" s="61" t="s">
        <v>186</v>
      </c>
      <c r="CI28" s="60">
        <v>6</v>
      </c>
      <c r="CJ28" s="50">
        <v>44</v>
      </c>
      <c r="CK28" s="50"/>
      <c r="CL28" s="61"/>
      <c r="FO28" s="1"/>
      <c r="FP28" s="1"/>
      <c r="FQ28" s="1"/>
    </row>
    <row r="29" spans="1:173" hidden="1" x14ac:dyDescent="0.2">
      <c r="A29" s="19"/>
      <c r="B29" s="36" t="s">
        <v>44</v>
      </c>
      <c r="C29" s="189"/>
      <c r="D29" s="232"/>
      <c r="E29" s="232"/>
      <c r="F29" s="232"/>
      <c r="G29" s="208"/>
      <c r="H29" s="208"/>
      <c r="I29" s="732"/>
      <c r="J29" s="732"/>
      <c r="K29" s="759"/>
      <c r="L29" s="759"/>
      <c r="M29" s="759"/>
      <c r="N29" s="265"/>
      <c r="O29" s="320"/>
      <c r="P29" s="320"/>
      <c r="Q29" s="785"/>
      <c r="R29" s="785"/>
      <c r="S29" s="345"/>
      <c r="T29" s="345"/>
      <c r="U29" s="370"/>
      <c r="V29" s="370"/>
      <c r="W29" s="813"/>
      <c r="X29" s="813"/>
      <c r="Y29" s="429"/>
      <c r="Z29" s="429"/>
      <c r="AA29" s="19"/>
      <c r="AB29" s="19"/>
      <c r="AC29" s="19"/>
      <c r="AD29" s="19"/>
      <c r="AE29" s="19"/>
      <c r="AF29" s="19"/>
      <c r="AG29" s="19"/>
      <c r="AH29" s="19"/>
      <c r="AI29" s="26"/>
      <c r="AJ29" s="26"/>
      <c r="AK29" s="53"/>
      <c r="AL29" s="26"/>
      <c r="AM29" s="26">
        <v>0.9</v>
      </c>
      <c r="AN29" s="55"/>
      <c r="AO29" s="21"/>
      <c r="AP29" s="20"/>
      <c r="AQ29" s="22" t="s">
        <v>75</v>
      </c>
      <c r="AS29" s="18" t="s">
        <v>75</v>
      </c>
      <c r="AU29" s="17"/>
      <c r="AV29" s="23" t="s">
        <v>96</v>
      </c>
      <c r="AW29" s="19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V29" s="60"/>
      <c r="BW29" s="50"/>
      <c r="BX29" s="50"/>
      <c r="BY29" s="50"/>
      <c r="BZ29" s="50"/>
      <c r="CA29" s="61"/>
      <c r="CB29" s="50"/>
      <c r="CC29" s="50"/>
      <c r="CD29" s="50"/>
      <c r="CE29" s="50"/>
      <c r="CF29" s="60"/>
      <c r="CG29" s="61"/>
      <c r="CI29" s="60">
        <v>12.5</v>
      </c>
      <c r="CJ29" s="50">
        <v>44</v>
      </c>
      <c r="CK29" s="50"/>
      <c r="CL29" s="61"/>
      <c r="FO29" s="1"/>
      <c r="FP29" s="1"/>
      <c r="FQ29" s="1"/>
    </row>
    <row r="30" spans="1:173" hidden="1" x14ac:dyDescent="0.2">
      <c r="A30" s="19"/>
      <c r="B30" s="36" t="s">
        <v>45</v>
      </c>
      <c r="C30" s="189"/>
      <c r="D30" s="232"/>
      <c r="E30" s="232"/>
      <c r="F30" s="232"/>
      <c r="G30" s="208"/>
      <c r="H30" s="208"/>
      <c r="I30" s="732"/>
      <c r="J30" s="732"/>
      <c r="K30" s="759"/>
      <c r="L30" s="759"/>
      <c r="M30" s="759"/>
      <c r="N30" s="265"/>
      <c r="O30" s="320"/>
      <c r="P30" s="320"/>
      <c r="Q30" s="785"/>
      <c r="R30" s="785"/>
      <c r="S30" s="345"/>
      <c r="T30" s="345"/>
      <c r="U30" s="370"/>
      <c r="V30" s="370"/>
      <c r="W30" s="813"/>
      <c r="X30" s="813"/>
      <c r="Y30" s="429"/>
      <c r="Z30" s="429"/>
      <c r="AA30" s="19"/>
      <c r="AB30" s="19"/>
      <c r="AC30" s="19"/>
      <c r="AD30" s="19"/>
      <c r="AE30" s="19"/>
      <c r="AF30" s="19"/>
      <c r="AG30" s="19"/>
      <c r="AH30" s="19"/>
      <c r="AI30" s="26"/>
      <c r="AJ30" s="26">
        <v>2.7</v>
      </c>
      <c r="AK30" s="53">
        <v>1.5</v>
      </c>
      <c r="AL30" s="26">
        <v>4</v>
      </c>
      <c r="AM30" s="26">
        <v>0.9</v>
      </c>
      <c r="AN30" s="55">
        <v>0.85</v>
      </c>
      <c r="AO30" s="21">
        <v>0.6</v>
      </c>
      <c r="AP30" s="20" t="s">
        <v>19</v>
      </c>
      <c r="AQ30" s="18" t="s">
        <v>114</v>
      </c>
      <c r="AR30" s="17"/>
      <c r="AS30" s="18" t="s">
        <v>77</v>
      </c>
      <c r="AU30" s="17"/>
      <c r="AV30" s="19"/>
      <c r="AW30" s="19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" t="s">
        <v>99</v>
      </c>
      <c r="BL30" s="2" t="s">
        <v>100</v>
      </c>
      <c r="BM30" s="1">
        <v>12.5</v>
      </c>
      <c r="BN30" s="1">
        <v>10</v>
      </c>
      <c r="BO30" s="1">
        <v>0.3</v>
      </c>
      <c r="BP30" s="1">
        <v>0.6</v>
      </c>
      <c r="BQ30" s="1">
        <v>0.5</v>
      </c>
      <c r="BR30" s="1">
        <v>0.5</v>
      </c>
      <c r="BS30" s="1">
        <v>0.8</v>
      </c>
      <c r="BT30" s="1">
        <v>0.25</v>
      </c>
      <c r="BV30" s="60">
        <v>0.4</v>
      </c>
      <c r="BW30" s="50">
        <v>11</v>
      </c>
      <c r="BX30" s="50">
        <v>11</v>
      </c>
      <c r="BY30" s="50">
        <v>11</v>
      </c>
      <c r="BZ30" s="50">
        <v>11</v>
      </c>
      <c r="CA30" s="61">
        <v>11</v>
      </c>
      <c r="CB30" s="50" t="s">
        <v>187</v>
      </c>
      <c r="CC30" s="50"/>
      <c r="CD30" s="50">
        <v>10</v>
      </c>
      <c r="CE30" s="50">
        <v>6.5</v>
      </c>
      <c r="CF30" s="60">
        <v>0</v>
      </c>
      <c r="CG30" s="61">
        <v>1</v>
      </c>
      <c r="CI30" s="60">
        <v>18</v>
      </c>
      <c r="CJ30" s="50">
        <v>44</v>
      </c>
      <c r="CK30" s="50"/>
      <c r="CL30" s="61"/>
      <c r="FO30" s="1"/>
      <c r="FP30" s="1"/>
      <c r="FQ30" s="1"/>
    </row>
    <row r="31" spans="1:173" hidden="1" x14ac:dyDescent="0.2">
      <c r="B31" s="36" t="s">
        <v>46</v>
      </c>
      <c r="C31" s="185" t="s">
        <v>43</v>
      </c>
      <c r="D31" s="226">
        <f t="shared" ref="D31:Y31" si="18">IF(D28=TRUNC(D28),D28,TRUNC(D28)+1)</f>
        <v>8</v>
      </c>
      <c r="E31" s="226">
        <f t="shared" si="18"/>
        <v>10</v>
      </c>
      <c r="F31" s="226">
        <f t="shared" si="18"/>
        <v>9</v>
      </c>
      <c r="G31" s="202">
        <f t="shared" si="18"/>
        <v>5</v>
      </c>
      <c r="H31" s="202">
        <f t="shared" si="18"/>
        <v>7</v>
      </c>
      <c r="I31" s="726">
        <f t="shared" si="18"/>
        <v>10</v>
      </c>
      <c r="J31" s="726">
        <f t="shared" si="18"/>
        <v>10</v>
      </c>
      <c r="K31" s="717">
        <f t="shared" si="18"/>
        <v>7</v>
      </c>
      <c r="L31" s="717">
        <f t="shared" si="18"/>
        <v>8</v>
      </c>
      <c r="M31" s="717">
        <f t="shared" si="18"/>
        <v>8</v>
      </c>
      <c r="N31" s="260">
        <f t="shared" si="18"/>
        <v>4</v>
      </c>
      <c r="O31" s="315">
        <f t="shared" si="18"/>
        <v>4</v>
      </c>
      <c r="P31" s="315">
        <f t="shared" si="18"/>
        <v>4</v>
      </c>
      <c r="Q31" s="718">
        <f t="shared" si="18"/>
        <v>7</v>
      </c>
      <c r="R31" s="718">
        <f t="shared" si="18"/>
        <v>7</v>
      </c>
      <c r="S31" s="340">
        <f t="shared" si="18"/>
        <v>8</v>
      </c>
      <c r="T31" s="340">
        <f t="shared" si="18"/>
        <v>9</v>
      </c>
      <c r="U31" s="365">
        <f t="shared" si="18"/>
        <v>11</v>
      </c>
      <c r="V31" s="365">
        <f t="shared" si="18"/>
        <v>11</v>
      </c>
      <c r="W31" s="808">
        <f t="shared" si="18"/>
        <v>13</v>
      </c>
      <c r="X31" s="808">
        <f t="shared" si="18"/>
        <v>13</v>
      </c>
      <c r="Y31" s="424">
        <f t="shared" si="18"/>
        <v>8</v>
      </c>
      <c r="Z31" s="424">
        <f t="shared" ref="Z31" si="19">IF(Z28=TRUNC(Z28),Z28,TRUNC(Z28)+1)</f>
        <v>8</v>
      </c>
      <c r="AI31" s="26"/>
      <c r="AJ31" s="26">
        <v>2.8</v>
      </c>
      <c r="AK31" s="53">
        <v>1.5</v>
      </c>
      <c r="AL31" s="26">
        <v>4</v>
      </c>
      <c r="AM31" s="26">
        <v>0.9</v>
      </c>
      <c r="AN31" s="55">
        <v>0.85</v>
      </c>
      <c r="AO31" s="21">
        <v>0.6</v>
      </c>
      <c r="AP31" s="20" t="s">
        <v>19</v>
      </c>
      <c r="AQ31" s="18" t="s">
        <v>115</v>
      </c>
      <c r="AR31" s="17"/>
      <c r="AS31" s="18" t="s">
        <v>82</v>
      </c>
      <c r="AT31" s="17"/>
      <c r="AU31" s="17"/>
      <c r="AV31" s="19"/>
      <c r="AX31" s="24" t="s">
        <v>116</v>
      </c>
      <c r="AY31" s="17"/>
      <c r="AZ31" s="17"/>
      <c r="BA31" s="17"/>
      <c r="BB31" s="25" t="s">
        <v>117</v>
      </c>
      <c r="BD31" s="17"/>
      <c r="BE31" s="17"/>
      <c r="BF31" s="17"/>
      <c r="BH31" s="62" t="s">
        <v>188</v>
      </c>
      <c r="BI31" s="62" t="s">
        <v>188</v>
      </c>
      <c r="BJ31" s="17"/>
      <c r="BK31" s="1" t="s">
        <v>101</v>
      </c>
      <c r="BL31" s="2">
        <v>148</v>
      </c>
      <c r="BM31" s="1">
        <v>13.5</v>
      </c>
      <c r="BN31" s="1">
        <v>9.4</v>
      </c>
      <c r="BO31" s="1">
        <v>0.3</v>
      </c>
      <c r="BP31" s="1">
        <v>0.6</v>
      </c>
      <c r="BQ31" s="1">
        <v>0.5</v>
      </c>
      <c r="BR31" s="1">
        <v>0.5</v>
      </c>
      <c r="BS31" s="1">
        <v>0.8</v>
      </c>
      <c r="BT31" s="1">
        <v>0.25</v>
      </c>
      <c r="BV31" s="60">
        <v>0.5</v>
      </c>
      <c r="BW31" s="50">
        <v>12.61</v>
      </c>
      <c r="BX31" s="50">
        <v>12.5</v>
      </c>
      <c r="BY31" s="50">
        <v>12.45</v>
      </c>
      <c r="BZ31" s="50">
        <v>15.2</v>
      </c>
      <c r="CA31" s="61">
        <v>15.5</v>
      </c>
      <c r="CB31" s="50" t="s">
        <v>189</v>
      </c>
      <c r="CC31" s="50"/>
      <c r="CD31" s="50">
        <v>12</v>
      </c>
      <c r="CE31" s="50">
        <v>8</v>
      </c>
      <c r="CF31" s="60">
        <v>4.9999999999989999</v>
      </c>
      <c r="CG31" s="61">
        <v>1</v>
      </c>
      <c r="CI31" s="60">
        <v>27</v>
      </c>
      <c r="CJ31" s="50">
        <v>65</v>
      </c>
      <c r="CK31" s="50"/>
      <c r="CL31" s="61"/>
      <c r="FO31" s="1"/>
      <c r="FP31" s="1"/>
      <c r="FQ31" s="1"/>
    </row>
    <row r="32" spans="1:173" hidden="1" x14ac:dyDescent="0.2">
      <c r="B32" s="36" t="s">
        <v>47</v>
      </c>
      <c r="C32" s="185" t="s">
        <v>40</v>
      </c>
      <c r="D32" s="226">
        <f t="shared" ref="D32:Y32" si="20">ROUND(D16*D31/60,1)</f>
        <v>4.7</v>
      </c>
      <c r="E32" s="226">
        <f t="shared" si="20"/>
        <v>5.8</v>
      </c>
      <c r="F32" s="226">
        <f t="shared" si="20"/>
        <v>5.3</v>
      </c>
      <c r="G32" s="202">
        <f t="shared" si="20"/>
        <v>3</v>
      </c>
      <c r="H32" s="202">
        <f t="shared" si="20"/>
        <v>4.4000000000000004</v>
      </c>
      <c r="I32" s="726">
        <f t="shared" si="20"/>
        <v>9</v>
      </c>
      <c r="J32" s="726">
        <f t="shared" si="20"/>
        <v>9.3000000000000007</v>
      </c>
      <c r="K32" s="717">
        <f t="shared" si="20"/>
        <v>6.5</v>
      </c>
      <c r="L32" s="717">
        <f t="shared" si="20"/>
        <v>7.7</v>
      </c>
      <c r="M32" s="717">
        <f t="shared" si="20"/>
        <v>7.7</v>
      </c>
      <c r="N32" s="260">
        <f t="shared" si="20"/>
        <v>1.7</v>
      </c>
      <c r="O32" s="315">
        <f t="shared" si="20"/>
        <v>1.7</v>
      </c>
      <c r="P32" s="315">
        <f t="shared" si="20"/>
        <v>1.7</v>
      </c>
      <c r="Q32" s="718">
        <f t="shared" si="20"/>
        <v>3.7</v>
      </c>
      <c r="R32" s="718">
        <f t="shared" si="20"/>
        <v>3.7</v>
      </c>
      <c r="S32" s="340">
        <f t="shared" si="20"/>
        <v>5.5</v>
      </c>
      <c r="T32" s="340">
        <f t="shared" si="20"/>
        <v>6.2</v>
      </c>
      <c r="U32" s="365">
        <f t="shared" si="20"/>
        <v>5.9</v>
      </c>
      <c r="V32" s="365">
        <f t="shared" si="20"/>
        <v>5.9</v>
      </c>
      <c r="W32" s="808">
        <f t="shared" si="20"/>
        <v>6.9</v>
      </c>
      <c r="X32" s="808">
        <f t="shared" si="20"/>
        <v>6.9</v>
      </c>
      <c r="Y32" s="424">
        <f t="shared" si="20"/>
        <v>7.7</v>
      </c>
      <c r="Z32" s="424">
        <f t="shared" ref="Z32" si="21">ROUND(Z16*Z31/60,1)</f>
        <v>7.7</v>
      </c>
      <c r="AI32" s="26"/>
      <c r="AJ32" s="26">
        <v>2.9</v>
      </c>
      <c r="AK32" s="53">
        <v>1.5</v>
      </c>
      <c r="AL32" s="26">
        <v>4</v>
      </c>
      <c r="AM32" s="26">
        <v>0.9</v>
      </c>
      <c r="AN32" s="55">
        <v>0.85</v>
      </c>
      <c r="AO32" s="21">
        <v>0.6</v>
      </c>
      <c r="AP32" s="20" t="s">
        <v>19</v>
      </c>
      <c r="AQ32" s="20"/>
      <c r="AR32" s="17"/>
      <c r="AS32" s="18" t="s">
        <v>86</v>
      </c>
      <c r="AT32" s="21">
        <v>2.5</v>
      </c>
      <c r="AU32" s="21">
        <v>3</v>
      </c>
      <c r="AV32" s="26">
        <v>4</v>
      </c>
      <c r="AW32" s="26">
        <v>4.5999999999999996</v>
      </c>
      <c r="AX32" s="21">
        <v>5</v>
      </c>
      <c r="AY32" s="21">
        <v>6</v>
      </c>
      <c r="AZ32" s="21">
        <v>6.3</v>
      </c>
      <c r="BA32" s="21">
        <v>8</v>
      </c>
      <c r="BB32" s="21">
        <v>10</v>
      </c>
      <c r="BC32" s="21">
        <v>12</v>
      </c>
      <c r="BD32" s="21">
        <v>12.5</v>
      </c>
      <c r="BE32" s="21">
        <v>15</v>
      </c>
      <c r="BH32" s="63">
        <v>10</v>
      </c>
      <c r="BI32" s="64">
        <v>4.5999999999999996</v>
      </c>
      <c r="BJ32" s="21"/>
      <c r="BK32" s="1" t="s">
        <v>102</v>
      </c>
      <c r="BL32" s="2">
        <v>540</v>
      </c>
      <c r="BM32" s="1">
        <v>27</v>
      </c>
      <c r="BN32" s="1">
        <v>18</v>
      </c>
      <c r="BO32" s="1">
        <v>0.5</v>
      </c>
      <c r="BP32" s="1">
        <v>0.7</v>
      </c>
      <c r="BQ32" s="1">
        <v>0.6</v>
      </c>
      <c r="BR32" s="1">
        <v>0.6</v>
      </c>
      <c r="BS32" s="1">
        <v>0.8</v>
      </c>
      <c r="BT32" s="1">
        <v>0.4</v>
      </c>
      <c r="BV32" s="60">
        <v>0.6</v>
      </c>
      <c r="BW32" s="50">
        <v>13.99</v>
      </c>
      <c r="BX32" s="50">
        <v>13.78</v>
      </c>
      <c r="BY32" s="50">
        <v>13.66</v>
      </c>
      <c r="BZ32" s="50">
        <v>16.7</v>
      </c>
      <c r="CA32" s="61">
        <v>17.2</v>
      </c>
      <c r="CB32" s="50" t="s">
        <v>190</v>
      </c>
      <c r="CC32" s="50"/>
      <c r="CD32" s="50">
        <v>13</v>
      </c>
      <c r="CE32" s="50">
        <v>9</v>
      </c>
      <c r="CF32" s="60">
        <v>5</v>
      </c>
      <c r="CG32" s="61">
        <v>0.98</v>
      </c>
      <c r="CI32" s="60">
        <v>40</v>
      </c>
      <c r="CJ32" s="50">
        <v>76</v>
      </c>
      <c r="CK32" s="50"/>
      <c r="CL32" s="61"/>
      <c r="FO32" s="1"/>
      <c r="FP32" s="1"/>
      <c r="FQ32" s="1"/>
    </row>
    <row r="33" spans="1:173" hidden="1" x14ac:dyDescent="0.2">
      <c r="B33" s="36" t="s">
        <v>126</v>
      </c>
      <c r="C33" s="189"/>
      <c r="D33" s="227">
        <v>0.15</v>
      </c>
      <c r="E33" s="227">
        <v>0.15</v>
      </c>
      <c r="F33" s="227">
        <v>0.15</v>
      </c>
      <c r="G33" s="203">
        <v>0.15</v>
      </c>
      <c r="H33" s="203">
        <v>0.15</v>
      </c>
      <c r="I33" s="727">
        <v>0.15</v>
      </c>
      <c r="J33" s="727">
        <v>0.15</v>
      </c>
      <c r="K33" s="754">
        <v>0.15</v>
      </c>
      <c r="L33" s="754">
        <v>0.15</v>
      </c>
      <c r="M33" s="754">
        <v>0.15</v>
      </c>
      <c r="N33" s="261">
        <v>0.15</v>
      </c>
      <c r="O33" s="316">
        <v>0.15</v>
      </c>
      <c r="P33" s="316">
        <v>0.15</v>
      </c>
      <c r="Q33" s="781">
        <v>0.15</v>
      </c>
      <c r="R33" s="781">
        <v>0.15</v>
      </c>
      <c r="S33" s="341">
        <v>0.15</v>
      </c>
      <c r="T33" s="341">
        <v>0.15</v>
      </c>
      <c r="U33" s="366">
        <v>0.15</v>
      </c>
      <c r="V33" s="366">
        <v>0.15</v>
      </c>
      <c r="W33" s="809">
        <v>0.15</v>
      </c>
      <c r="X33" s="809">
        <v>0.15</v>
      </c>
      <c r="Y33" s="425">
        <v>0.15</v>
      </c>
      <c r="Z33" s="425">
        <v>0.15</v>
      </c>
      <c r="AI33" s="26"/>
      <c r="AJ33" s="26">
        <v>3</v>
      </c>
      <c r="AK33" s="53">
        <v>1.5</v>
      </c>
      <c r="AL33" s="26">
        <v>4</v>
      </c>
      <c r="AM33" s="26">
        <v>0.9</v>
      </c>
      <c r="AN33" s="55">
        <v>0.85</v>
      </c>
      <c r="AO33" s="21">
        <v>0.6</v>
      </c>
      <c r="AP33" s="20" t="s">
        <v>19</v>
      </c>
      <c r="AQ33" s="20"/>
      <c r="AR33" s="17"/>
      <c r="AS33" s="17"/>
      <c r="AT33" s="17"/>
      <c r="AU33" s="17"/>
      <c r="AV33" s="19"/>
      <c r="AW33" s="19"/>
      <c r="AX33" s="17"/>
      <c r="AY33" s="17"/>
      <c r="AZ33" s="17"/>
      <c r="BA33" s="17"/>
      <c r="BB33" s="17"/>
      <c r="BC33" s="17"/>
      <c r="BD33" s="17"/>
      <c r="BE33" s="17"/>
      <c r="BH33" s="17"/>
      <c r="BI33"/>
      <c r="BJ33" s="17"/>
      <c r="BK33" s="1" t="s">
        <v>102</v>
      </c>
      <c r="BL33" s="2">
        <v>548</v>
      </c>
      <c r="BM33" s="1">
        <v>40</v>
      </c>
      <c r="BN33" s="1">
        <v>26</v>
      </c>
      <c r="BO33" s="1">
        <v>0.5</v>
      </c>
      <c r="BP33" s="1">
        <v>0.7</v>
      </c>
      <c r="BQ33" s="1">
        <v>0.6</v>
      </c>
      <c r="BR33" s="1">
        <v>0.6</v>
      </c>
      <c r="BS33" s="1">
        <v>0.8</v>
      </c>
      <c r="BT33" s="1">
        <v>0.4</v>
      </c>
      <c r="BV33" s="60">
        <v>0.7</v>
      </c>
      <c r="BW33" s="50">
        <v>15.2</v>
      </c>
      <c r="BX33" s="50">
        <v>14.88</v>
      </c>
      <c r="BY33" s="50">
        <v>14.71</v>
      </c>
      <c r="BZ33" s="50">
        <v>18.100000000000001</v>
      </c>
      <c r="CA33" s="61">
        <v>18.600000000000001</v>
      </c>
      <c r="CB33" s="66" t="s">
        <v>191</v>
      </c>
      <c r="CC33" s="66"/>
      <c r="CD33" s="66">
        <v>14</v>
      </c>
      <c r="CE33" s="66">
        <v>9.5</v>
      </c>
      <c r="CF33" s="60">
        <v>6</v>
      </c>
      <c r="CG33" s="61">
        <v>0.98</v>
      </c>
      <c r="CI33" s="60">
        <v>75</v>
      </c>
      <c r="CJ33" s="50">
        <v>135</v>
      </c>
      <c r="CK33" s="50"/>
      <c r="CL33" s="61"/>
      <c r="FO33" s="1"/>
      <c r="FP33" s="1"/>
      <c r="FQ33" s="1"/>
    </row>
    <row r="34" spans="1:173" x14ac:dyDescent="0.2">
      <c r="B34" s="166" t="s">
        <v>284</v>
      </c>
      <c r="C34" s="185" t="s">
        <v>40</v>
      </c>
      <c r="D34" s="226">
        <f>ROUND(2*D65*60/D36,1)</f>
        <v>29</v>
      </c>
      <c r="E34" s="226">
        <f t="shared" ref="E34:F34" si="22">ROUND(2*E65*60/E36,1)</f>
        <v>29.7</v>
      </c>
      <c r="F34" s="226">
        <f t="shared" si="22"/>
        <v>29.7</v>
      </c>
      <c r="G34" s="202">
        <f>ROUND(2*G65*60/G36,1)</f>
        <v>29</v>
      </c>
      <c r="H34" s="202">
        <f t="shared" ref="H34" si="23">ROUND(2*H65*60/H36,1)</f>
        <v>29.7</v>
      </c>
      <c r="I34" s="726">
        <f>ROUND(2*I65*60/I36,1)</f>
        <v>29</v>
      </c>
      <c r="J34" s="726">
        <f t="shared" ref="J34" si="24">ROUND(2*J65*60/J36,1)</f>
        <v>29.7</v>
      </c>
      <c r="K34" s="717">
        <f>ROUND(2*K65*60/K36,1)</f>
        <v>29</v>
      </c>
      <c r="L34" s="717">
        <f t="shared" ref="L34:X34" si="25">ROUND(2*L65*60/L36,1)</f>
        <v>29.7</v>
      </c>
      <c r="M34" s="717">
        <f t="shared" si="25"/>
        <v>29.7</v>
      </c>
      <c r="N34" s="260">
        <f t="shared" si="25"/>
        <v>28.3</v>
      </c>
      <c r="O34" s="315">
        <f t="shared" si="25"/>
        <v>26.2</v>
      </c>
      <c r="P34" s="315">
        <f t="shared" si="25"/>
        <v>28.3</v>
      </c>
      <c r="Q34" s="718">
        <f t="shared" si="25"/>
        <v>26.2</v>
      </c>
      <c r="R34" s="718">
        <f t="shared" si="25"/>
        <v>28.3</v>
      </c>
      <c r="S34" s="340">
        <f t="shared" si="25"/>
        <v>24.5</v>
      </c>
      <c r="T34" s="340">
        <f t="shared" si="25"/>
        <v>28.3</v>
      </c>
      <c r="U34" s="365">
        <f t="shared" si="25"/>
        <v>24.5</v>
      </c>
      <c r="V34" s="365">
        <f t="shared" si="25"/>
        <v>28.3</v>
      </c>
      <c r="W34" s="808">
        <f t="shared" si="25"/>
        <v>24.5</v>
      </c>
      <c r="X34" s="808">
        <f t="shared" si="25"/>
        <v>28.3</v>
      </c>
      <c r="Y34" s="424">
        <f>ROUND(2*Y65*60/Y36,1)</f>
        <v>26.6</v>
      </c>
      <c r="Z34" s="424">
        <f t="shared" ref="Z34" si="26">ROUND(2*Z65*60/Z36,1)</f>
        <v>15</v>
      </c>
      <c r="AI34" s="26"/>
      <c r="AJ34" s="26">
        <v>3.1</v>
      </c>
      <c r="AK34" s="53">
        <v>1.6</v>
      </c>
      <c r="AL34" s="26">
        <v>5</v>
      </c>
      <c r="AM34" s="26">
        <v>0.9</v>
      </c>
      <c r="AN34" s="43"/>
      <c r="AO34" s="21">
        <v>0.56000000000000005</v>
      </c>
      <c r="AP34" s="20" t="s">
        <v>19</v>
      </c>
      <c r="AQ34" s="18" t="s">
        <v>118</v>
      </c>
      <c r="AR34" s="17"/>
      <c r="AS34" s="21">
        <v>1</v>
      </c>
      <c r="AT34" s="27">
        <v>20</v>
      </c>
      <c r="AU34" s="27">
        <v>20.100000000000001</v>
      </c>
      <c r="AV34" s="28">
        <v>21.2</v>
      </c>
      <c r="AW34" s="28">
        <v>22.2</v>
      </c>
      <c r="AX34" s="27">
        <v>22.2</v>
      </c>
      <c r="AY34" s="27">
        <v>24.1</v>
      </c>
      <c r="AZ34" s="27">
        <v>26.6</v>
      </c>
      <c r="BA34" s="27">
        <v>26</v>
      </c>
      <c r="BB34" s="17">
        <v>27.3</v>
      </c>
      <c r="BD34" s="17"/>
      <c r="BE34" s="17"/>
      <c r="BH34" s="68">
        <v>26.6</v>
      </c>
      <c r="BI34" s="69">
        <v>21.9</v>
      </c>
      <c r="BJ34" s="17"/>
      <c r="BK34" s="1" t="s">
        <v>108</v>
      </c>
      <c r="BL34" s="2">
        <v>5511</v>
      </c>
      <c r="BM34" s="1">
        <v>10</v>
      </c>
      <c r="BN34" s="1">
        <v>7.2</v>
      </c>
      <c r="BO34" s="1">
        <v>0.3</v>
      </c>
      <c r="BP34" s="1">
        <v>0.6</v>
      </c>
      <c r="BQ34" s="1">
        <v>0.5</v>
      </c>
      <c r="BR34" s="1">
        <v>0.5</v>
      </c>
      <c r="BS34" s="1">
        <v>0.8</v>
      </c>
      <c r="BT34" s="1">
        <v>0.4</v>
      </c>
      <c r="BV34" s="60">
        <v>0.8</v>
      </c>
      <c r="BW34" s="50">
        <v>16.27</v>
      </c>
      <c r="BX34" s="50">
        <v>15.86</v>
      </c>
      <c r="BY34" s="50">
        <v>15.63</v>
      </c>
      <c r="BZ34" s="50">
        <v>19.2</v>
      </c>
      <c r="CA34" s="61">
        <v>19.899999999999999</v>
      </c>
      <c r="CF34" s="60">
        <v>7</v>
      </c>
      <c r="CG34" s="61">
        <v>0.98</v>
      </c>
      <c r="CI34" s="60">
        <v>110</v>
      </c>
      <c r="CJ34" s="50">
        <v>149</v>
      </c>
      <c r="CK34" s="50"/>
      <c r="CL34" s="61"/>
      <c r="FO34" s="1"/>
      <c r="FP34" s="1"/>
      <c r="FQ34" s="1"/>
    </row>
    <row r="35" spans="1:173" hidden="1" x14ac:dyDescent="0.2">
      <c r="B35" s="36" t="s">
        <v>127</v>
      </c>
      <c r="C35" s="189"/>
      <c r="D35" s="226"/>
      <c r="E35" s="226"/>
      <c r="F35" s="226"/>
      <c r="G35" s="202"/>
      <c r="H35" s="202"/>
      <c r="I35" s="726"/>
      <c r="J35" s="726"/>
      <c r="K35" s="717"/>
      <c r="L35" s="717"/>
      <c r="M35" s="717"/>
      <c r="N35" s="260"/>
      <c r="O35" s="315"/>
      <c r="P35" s="315"/>
      <c r="Q35" s="718"/>
      <c r="R35" s="718"/>
      <c r="S35" s="340"/>
      <c r="T35" s="340"/>
      <c r="U35" s="365"/>
      <c r="V35" s="365"/>
      <c r="W35" s="808"/>
      <c r="X35" s="808"/>
      <c r="Y35" s="424"/>
      <c r="Z35" s="424"/>
      <c r="AI35" s="26"/>
      <c r="AJ35" s="26">
        <v>3.2</v>
      </c>
      <c r="AK35" s="53">
        <v>1.6</v>
      </c>
      <c r="AL35" s="26">
        <v>5</v>
      </c>
      <c r="AM35" s="26">
        <v>0.9</v>
      </c>
      <c r="AN35" s="43"/>
      <c r="AO35" s="21">
        <v>0.56000000000000005</v>
      </c>
      <c r="AP35" s="20" t="s">
        <v>19</v>
      </c>
      <c r="AQ35" s="17"/>
      <c r="AR35" s="17"/>
      <c r="AS35" s="21">
        <v>2</v>
      </c>
      <c r="AT35" s="27">
        <v>22.4</v>
      </c>
      <c r="AU35" s="27">
        <v>22.5</v>
      </c>
      <c r="AV35" s="28">
        <v>24</v>
      </c>
      <c r="AW35" s="28">
        <v>25.1</v>
      </c>
      <c r="AX35" s="27">
        <v>25.1</v>
      </c>
      <c r="AY35" s="27">
        <v>26.6</v>
      </c>
      <c r="AZ35" s="27">
        <v>30</v>
      </c>
      <c r="BA35" s="27">
        <v>29.3</v>
      </c>
      <c r="BB35" s="17">
        <v>30.599999999999998</v>
      </c>
      <c r="BD35" s="17"/>
      <c r="BE35" s="17"/>
      <c r="BH35" s="68">
        <v>29.6</v>
      </c>
      <c r="BI35" s="69">
        <v>24.3</v>
      </c>
      <c r="BJ35" s="17"/>
      <c r="BK35" s="1" t="s">
        <v>109</v>
      </c>
      <c r="BL35" s="2">
        <v>6507</v>
      </c>
      <c r="BM35" s="1">
        <v>20</v>
      </c>
      <c r="BN35" s="1">
        <v>14.4</v>
      </c>
      <c r="BO35" s="1">
        <v>0.5</v>
      </c>
      <c r="BP35" s="1">
        <v>0.7</v>
      </c>
      <c r="BQ35" s="1">
        <v>0.6</v>
      </c>
      <c r="BR35" s="1">
        <v>0.6</v>
      </c>
      <c r="BS35" s="1">
        <v>0.8</v>
      </c>
      <c r="BT35" s="1">
        <v>0.4</v>
      </c>
      <c r="BV35" s="60">
        <v>0.9</v>
      </c>
      <c r="BW35" s="50">
        <v>17.23</v>
      </c>
      <c r="BX35" s="50">
        <v>16.72</v>
      </c>
      <c r="BY35" s="50">
        <v>16.45</v>
      </c>
      <c r="BZ35" s="50">
        <v>20.3</v>
      </c>
      <c r="CA35" s="61">
        <v>21.1</v>
      </c>
      <c r="CF35" s="60">
        <v>8</v>
      </c>
      <c r="CG35" s="61">
        <v>0.94</v>
      </c>
      <c r="CI35" s="60">
        <v>180</v>
      </c>
      <c r="CJ35" s="50">
        <v>158</v>
      </c>
      <c r="CK35" s="50"/>
      <c r="CL35" s="61"/>
      <c r="FO35" s="1"/>
      <c r="FP35" s="1"/>
      <c r="FQ35" s="1"/>
    </row>
    <row r="36" spans="1:173" x14ac:dyDescent="0.2">
      <c r="A36" s="19"/>
      <c r="B36" s="44" t="s">
        <v>128</v>
      </c>
      <c r="C36" s="190" t="s">
        <v>129</v>
      </c>
      <c r="D36" s="235">
        <f>VLOOKUP(D65,$BV$28:$CA$119,IF(D19&lt;=13.5,2,IF(D19&lt;=30,3,IF(D19&lt;=42,4,IF(D19&lt;=75,5,6)))))</f>
        <v>34.799999999999997</v>
      </c>
      <c r="E36" s="235">
        <f>VLOOKUP(E65,$BV$28:$CA$119,IF(E19&lt;=13.5,2,IF(E19&lt;=30,3,IF(E19&lt;=42,4,IF(E19&lt;=75,5,6)))))</f>
        <v>35.1</v>
      </c>
      <c r="F36" s="235">
        <f>VLOOKUP(F65,$BV$28:$CA$119,IF(F19&lt;=13.5,2,IF(F19&lt;=30,3,IF(F19&lt;=42,4,IF(F19&lt;=75,5,6)))))</f>
        <v>35.1</v>
      </c>
      <c r="G36" s="211">
        <f>VLOOKUP(G65,$BV$28:$CA$119,IF(G19&lt;=13.5,2,IF(G19&lt;=30,3,IF(G19&lt;=42,4,IF(G19&lt;=75,5,6)))))</f>
        <v>34.799999999999997</v>
      </c>
      <c r="H36" s="211">
        <f>VLOOKUP(H65,$BV$28:$CA$119,IF(H19&lt;=13.5,2,IF(H19&lt;=30,3,IF(H19&lt;=42,4,IF(H19&lt;=75,5,6)))))</f>
        <v>35.1</v>
      </c>
      <c r="I36" s="735">
        <f>VLOOKUP(I65,$BV$28:$CA$119,IF(I19&lt;=13.5,2,IF(I19&lt;=30,3,IF(I19&lt;=42,4,IF(I19&lt;=75,5,6)))))</f>
        <v>34.799999999999997</v>
      </c>
      <c r="J36" s="735">
        <f>VLOOKUP(J65,$BV$28:$CA$119,IF(J19&lt;=13.5,2,IF(J19&lt;=30,3,IF(J19&lt;=42,4,IF(J19&lt;=75,5,6)))))</f>
        <v>35.1</v>
      </c>
      <c r="K36" s="762">
        <f>VLOOKUP(K65,$BV$28:$CA$119,IF(K19&lt;=13.5,2,IF(K19&lt;=30,3,IF(K19&lt;=42,4,IF(K19&lt;=75,5,6)))))</f>
        <v>34.799999999999997</v>
      </c>
      <c r="L36" s="762">
        <f>VLOOKUP(L65,$BV$28:$CA$119,IF(L19&lt;=13.5,2,IF(L19&lt;=30,3,IF(L19&lt;=42,4,IF(L19&lt;=75,5,6)))))</f>
        <v>35.1</v>
      </c>
      <c r="M36" s="762">
        <f>VLOOKUP(M65,$BV$28:$CA$119,IF(M19&lt;=13.5,2,IF(M19&lt;=30,3,IF(M19&lt;=42,4,IF(M19&lt;=75,5,6)))))</f>
        <v>35.1</v>
      </c>
      <c r="N36" s="268">
        <f>VLOOKUP(N65,$BV$28:$CA$119,IF(N19&lt;=13.5,2,IF(N19&lt;=30,3,IF(N19&lt;=42,4,IF(N19&lt;=75,5,6)))))</f>
        <v>34.799999999999997</v>
      </c>
      <c r="O36" s="323">
        <f>VLOOKUP(O65,$BV$28:$CA$119,IF(O19&lt;=13.5,2,IF(O19&lt;=30,3,IF(O19&lt;=42,4,IF(O19&lt;=75,5,6)))))</f>
        <v>34.299999999999997</v>
      </c>
      <c r="P36" s="323">
        <f>VLOOKUP(P65,$BV$28:$CA$119,IF(P19&lt;=13.5,2,IF(P19&lt;=30,3,IF(P19&lt;=42,4,IF(P19&lt;=75,5,6)))))</f>
        <v>34.799999999999997</v>
      </c>
      <c r="Q36" s="788">
        <f>VLOOKUP(Q65,$BV$28:$CA$119,IF(Q19&lt;=13.5,2,IF(Q19&lt;=30,3,IF(Q19&lt;=42,4,IF(Q19&lt;=75,5,6)))))</f>
        <v>34.299999999999997</v>
      </c>
      <c r="R36" s="788">
        <f>VLOOKUP(R65,$BV$28:$CA$119,IF(R19&lt;=13.5,2,IF(R19&lt;=30,3,IF(R19&lt;=42,4,IF(R19&lt;=75,5,6)))))</f>
        <v>34.799999999999997</v>
      </c>
      <c r="S36" s="348">
        <f>VLOOKUP(S65,$BV$28:$CA$119,IF(S19&lt;=13.5,2,IF(S19&lt;=30,3,IF(S19&lt;=42,4,IF(S19&lt;=75,5,6)))))</f>
        <v>34.299999999999997</v>
      </c>
      <c r="T36" s="348">
        <f>VLOOKUP(T65,$BV$28:$CA$119,IF(T19&lt;=13.5,2,IF(T19&lt;=30,3,IF(T19&lt;=42,4,IF(T19&lt;=75,5,6)))))</f>
        <v>34.799999999999997</v>
      </c>
      <c r="U36" s="373">
        <f>VLOOKUP(U65,$BV$28:$CA$119,IF(U19&lt;=13.5,2,IF(U19&lt;=30,3,IF(U19&lt;=42,4,IF(U19&lt;=75,5,6)))))</f>
        <v>34.299999999999997</v>
      </c>
      <c r="V36" s="373">
        <f>VLOOKUP(V65,$BV$28:$CA$119,IF(V19&lt;=13.5,2,IF(V19&lt;=30,3,IF(V19&lt;=42,4,IF(V19&lt;=75,5,6)))))</f>
        <v>34.799999999999997</v>
      </c>
      <c r="W36" s="816">
        <f>VLOOKUP(W65,$BV$28:$CA$119,IF(W19&lt;=13.5,2,IF(W19&lt;=30,3,IF(W19&lt;=42,4,IF(W19&lt;=75,5,6)))))</f>
        <v>34.299999999999997</v>
      </c>
      <c r="X36" s="816">
        <f>VLOOKUP(X65,$BV$28:$CA$119,IF(X19&lt;=13.5,2,IF(X19&lt;=30,3,IF(X19&lt;=42,4,IF(X19&lt;=75,5,6)))))</f>
        <v>34.799999999999997</v>
      </c>
      <c r="Y36" s="432">
        <f>VLOOKUP(Y65,$BV$28:$CA$119,IF(Y19&lt;=13.5,2,IF(Y19&lt;=30,3,IF(Y19&lt;=42,4,IF(Y19&lt;=75,5,6)))))</f>
        <v>34.799999999999997</v>
      </c>
      <c r="Z36" s="432">
        <f>VLOOKUP(Z65,$BV$28:$CA$119,IF(Z19&lt;=13.5,2,IF(Z19&lt;=30,3,IF(Z19&lt;=42,4,IF(Z19&lt;=75,5,6)))))</f>
        <v>31.9</v>
      </c>
      <c r="AA36" s="19"/>
      <c r="AB36" s="19"/>
      <c r="AC36" s="19"/>
      <c r="AD36" s="19"/>
      <c r="AE36" s="19"/>
      <c r="AF36" s="19"/>
      <c r="AG36" s="19"/>
      <c r="AH36" s="19"/>
      <c r="AI36" s="26"/>
      <c r="AJ36" s="26">
        <v>3.3</v>
      </c>
      <c r="AK36" s="53">
        <v>1.6</v>
      </c>
      <c r="AL36" s="26">
        <v>5</v>
      </c>
      <c r="AM36" s="26">
        <v>0.9</v>
      </c>
      <c r="AN36" s="43"/>
      <c r="AO36" s="21">
        <v>0.56000000000000005</v>
      </c>
      <c r="AP36" s="20" t="s">
        <v>19</v>
      </c>
      <c r="AQ36" s="17"/>
      <c r="AR36" s="17"/>
      <c r="AS36" s="21">
        <v>3</v>
      </c>
      <c r="AT36" s="27">
        <v>24.1</v>
      </c>
      <c r="AU36" s="27">
        <v>24.4</v>
      </c>
      <c r="AV36" s="28">
        <v>26.2</v>
      </c>
      <c r="AW36" s="28">
        <v>27.4</v>
      </c>
      <c r="AX36" s="27">
        <v>27.4</v>
      </c>
      <c r="AY36" s="27">
        <v>29</v>
      </c>
      <c r="AZ36" s="27">
        <v>32.9</v>
      </c>
      <c r="BA36" s="27">
        <v>32.1</v>
      </c>
      <c r="BB36" s="17">
        <v>33.4</v>
      </c>
      <c r="BD36" s="17"/>
      <c r="BE36" s="17"/>
      <c r="BH36" s="68">
        <v>32.799999999999997</v>
      </c>
      <c r="BI36" s="69">
        <v>26.8</v>
      </c>
      <c r="BJ36" s="17"/>
      <c r="BK36" s="1" t="s">
        <v>102</v>
      </c>
      <c r="BL36" s="2">
        <v>7509</v>
      </c>
      <c r="BM36" s="1">
        <v>75</v>
      </c>
      <c r="BN36" s="1">
        <v>46</v>
      </c>
      <c r="BO36" s="1">
        <v>0.8</v>
      </c>
      <c r="BP36" s="1">
        <v>1.1000000000000001</v>
      </c>
      <c r="BQ36" s="1">
        <v>0.7</v>
      </c>
      <c r="BR36" s="1">
        <v>0.7</v>
      </c>
      <c r="BS36" s="1">
        <v>0.8</v>
      </c>
      <c r="BT36" s="1">
        <v>0.5</v>
      </c>
      <c r="BV36" s="60">
        <v>1</v>
      </c>
      <c r="BW36" s="50">
        <v>18.11</v>
      </c>
      <c r="BX36" s="50">
        <v>17.510000000000002</v>
      </c>
      <c r="BY36" s="50">
        <v>17.190000000000001</v>
      </c>
      <c r="BZ36" s="50">
        <v>21.2</v>
      </c>
      <c r="CA36" s="61">
        <v>22.2</v>
      </c>
      <c r="CF36" s="60">
        <v>9</v>
      </c>
      <c r="CG36" s="61">
        <v>0.94</v>
      </c>
      <c r="CI36" s="65"/>
      <c r="CJ36" s="66"/>
      <c r="CK36" s="66"/>
      <c r="CL36" s="67"/>
      <c r="FO36" s="1"/>
      <c r="FP36" s="1"/>
      <c r="FQ36" s="1"/>
    </row>
    <row r="37" spans="1:173" hidden="1" x14ac:dyDescent="0.2">
      <c r="A37" s="19"/>
      <c r="B37" s="36" t="s">
        <v>130</v>
      </c>
      <c r="C37" s="189"/>
      <c r="D37" s="227">
        <v>0.6</v>
      </c>
      <c r="E37" s="227">
        <v>0.6</v>
      </c>
      <c r="F37" s="227">
        <v>0.6</v>
      </c>
      <c r="G37" s="203">
        <v>0.7</v>
      </c>
      <c r="H37" s="203">
        <v>0.7</v>
      </c>
      <c r="I37" s="727">
        <v>0.6</v>
      </c>
      <c r="J37" s="727">
        <v>0.6</v>
      </c>
      <c r="K37" s="754">
        <v>0.7</v>
      </c>
      <c r="L37" s="754">
        <v>0.7</v>
      </c>
      <c r="M37" s="754">
        <v>0.7</v>
      </c>
      <c r="N37" s="261">
        <v>0.7</v>
      </c>
      <c r="O37" s="316">
        <v>0.7</v>
      </c>
      <c r="P37" s="316">
        <v>0.7</v>
      </c>
      <c r="Q37" s="781">
        <v>0.7</v>
      </c>
      <c r="R37" s="781">
        <v>0.7</v>
      </c>
      <c r="S37" s="341">
        <v>0.7</v>
      </c>
      <c r="T37" s="341">
        <v>0.7</v>
      </c>
      <c r="U37" s="366">
        <v>0.7</v>
      </c>
      <c r="V37" s="366">
        <v>0.7</v>
      </c>
      <c r="W37" s="809">
        <v>0.7</v>
      </c>
      <c r="X37" s="809">
        <v>0.7</v>
      </c>
      <c r="Y37" s="425">
        <v>0.7</v>
      </c>
      <c r="Z37" s="425">
        <v>0.7</v>
      </c>
      <c r="AA37" s="19"/>
      <c r="AB37" s="19"/>
      <c r="AC37" s="19"/>
      <c r="AD37" s="19"/>
      <c r="AE37" s="19"/>
      <c r="AF37" s="19"/>
      <c r="AG37" s="19"/>
      <c r="AH37" s="19"/>
      <c r="AI37" s="26"/>
      <c r="AJ37" s="26">
        <v>3.4</v>
      </c>
      <c r="AK37" s="53">
        <v>1.6</v>
      </c>
      <c r="AL37" s="26">
        <v>5</v>
      </c>
      <c r="AM37" s="26">
        <v>0.9</v>
      </c>
      <c r="AN37" s="43"/>
      <c r="AO37" s="21">
        <v>0.56000000000000005</v>
      </c>
      <c r="AP37" s="17"/>
      <c r="AQ37" s="17"/>
      <c r="AR37" s="17"/>
      <c r="AS37" s="21">
        <v>4</v>
      </c>
      <c r="AT37" s="27">
        <v>25.5</v>
      </c>
      <c r="AU37" s="27">
        <v>25.8</v>
      </c>
      <c r="AV37" s="28">
        <v>28.1</v>
      </c>
      <c r="AW37" s="28">
        <v>29.3</v>
      </c>
      <c r="AX37" s="27">
        <v>29.3</v>
      </c>
      <c r="AY37" s="27">
        <v>31</v>
      </c>
      <c r="AZ37" s="27">
        <v>35.1</v>
      </c>
      <c r="BA37" s="27">
        <v>34.299999999999997</v>
      </c>
      <c r="BB37" s="17">
        <v>35.6</v>
      </c>
      <c r="BD37" s="17"/>
      <c r="BE37" s="17"/>
      <c r="BH37" s="68">
        <v>34.9</v>
      </c>
      <c r="BI37" s="69">
        <v>28.4</v>
      </c>
      <c r="BJ37" s="17"/>
      <c r="BK37" s="1" t="s">
        <v>102</v>
      </c>
      <c r="BL37" s="2">
        <v>7512</v>
      </c>
      <c r="BM37" s="1">
        <v>120</v>
      </c>
      <c r="BN37" s="1">
        <v>61</v>
      </c>
      <c r="BO37" s="1">
        <v>0.8</v>
      </c>
      <c r="BP37" s="1">
        <v>1.1000000000000001</v>
      </c>
      <c r="BQ37" s="1">
        <v>0.7</v>
      </c>
      <c r="BR37" s="1">
        <v>0.7</v>
      </c>
      <c r="BS37" s="1">
        <v>0.8</v>
      </c>
      <c r="BT37" s="1">
        <v>0.5</v>
      </c>
      <c r="BV37" s="60">
        <v>1.2</v>
      </c>
      <c r="BW37" s="50">
        <v>19.649999999999999</v>
      </c>
      <c r="BX37" s="50">
        <v>18.89</v>
      </c>
      <c r="BY37" s="50">
        <v>18.48</v>
      </c>
      <c r="BZ37" s="50">
        <v>22.6</v>
      </c>
      <c r="CA37" s="61">
        <v>23.9</v>
      </c>
      <c r="CF37" s="60">
        <v>10</v>
      </c>
      <c r="CG37" s="61">
        <v>0.94</v>
      </c>
      <c r="FO37" s="1"/>
      <c r="FP37" s="1"/>
      <c r="FQ37" s="1"/>
    </row>
    <row r="38" spans="1:173" hidden="1" x14ac:dyDescent="0.2">
      <c r="A38" s="19"/>
      <c r="B38" s="36" t="s">
        <v>131</v>
      </c>
      <c r="C38" s="189"/>
      <c r="D38" s="227">
        <v>0.8</v>
      </c>
      <c r="E38" s="227">
        <v>0.8</v>
      </c>
      <c r="F38" s="227">
        <v>0.8</v>
      </c>
      <c r="G38" s="203">
        <v>0.9</v>
      </c>
      <c r="H38" s="203">
        <v>0.9</v>
      </c>
      <c r="I38" s="727">
        <v>0.8</v>
      </c>
      <c r="J38" s="727">
        <v>0.8</v>
      </c>
      <c r="K38" s="754">
        <v>0.9</v>
      </c>
      <c r="L38" s="754">
        <v>0.9</v>
      </c>
      <c r="M38" s="754">
        <v>0.9</v>
      </c>
      <c r="N38" s="261">
        <v>0.9</v>
      </c>
      <c r="O38" s="316">
        <v>0.9</v>
      </c>
      <c r="P38" s="316">
        <v>0.9</v>
      </c>
      <c r="Q38" s="781">
        <v>0.9</v>
      </c>
      <c r="R38" s="781">
        <v>0.9</v>
      </c>
      <c r="S38" s="341">
        <v>0.9</v>
      </c>
      <c r="T38" s="341">
        <v>0.9</v>
      </c>
      <c r="U38" s="366">
        <v>0.9</v>
      </c>
      <c r="V38" s="366">
        <v>0.9</v>
      </c>
      <c r="W38" s="809">
        <v>0.9</v>
      </c>
      <c r="X38" s="809">
        <v>0.9</v>
      </c>
      <c r="Y38" s="425">
        <v>0.9</v>
      </c>
      <c r="Z38" s="425">
        <v>0.9</v>
      </c>
      <c r="AA38" s="19"/>
      <c r="AB38" s="19"/>
      <c r="AC38" s="19"/>
      <c r="AD38" s="19"/>
      <c r="AE38" s="19"/>
      <c r="AF38" s="19"/>
      <c r="AG38" s="19"/>
      <c r="AH38" s="19"/>
      <c r="AI38" s="26">
        <v>5</v>
      </c>
      <c r="AJ38" s="26">
        <v>3.5</v>
      </c>
      <c r="AK38" s="53">
        <v>1.6</v>
      </c>
      <c r="AL38" s="26">
        <v>5</v>
      </c>
      <c r="AM38" s="26">
        <v>0.9</v>
      </c>
      <c r="AN38" s="43"/>
      <c r="AO38" s="21">
        <v>0.56000000000000005</v>
      </c>
      <c r="AP38" s="17"/>
      <c r="AQ38" s="17"/>
      <c r="AR38" s="17"/>
      <c r="AS38" s="21">
        <v>5</v>
      </c>
      <c r="AT38" s="27">
        <v>26.7</v>
      </c>
      <c r="AU38" s="27">
        <v>27.1</v>
      </c>
      <c r="AV38" s="28">
        <v>29.6</v>
      </c>
      <c r="AW38" s="28">
        <v>30.8</v>
      </c>
      <c r="AX38" s="27">
        <v>30.8</v>
      </c>
      <c r="AY38" s="27">
        <v>32.299999999999997</v>
      </c>
      <c r="AZ38" s="27">
        <v>36.4</v>
      </c>
      <c r="BA38" s="27">
        <v>35.6</v>
      </c>
      <c r="BB38" s="17">
        <v>36.9</v>
      </c>
      <c r="BD38" s="17"/>
      <c r="BE38" s="17"/>
      <c r="BH38" s="68">
        <v>36.200000000000003</v>
      </c>
      <c r="BI38" s="69">
        <v>30.2</v>
      </c>
      <c r="BJ38" s="17"/>
      <c r="BK38" s="1" t="s">
        <v>102</v>
      </c>
      <c r="BL38" s="2">
        <v>7519</v>
      </c>
      <c r="BM38" s="1">
        <v>110</v>
      </c>
      <c r="BN38" s="1">
        <v>56</v>
      </c>
      <c r="BO38" s="1">
        <v>0.8</v>
      </c>
      <c r="BP38" s="1">
        <v>1.1000000000000001</v>
      </c>
      <c r="BQ38" s="1">
        <v>0.7</v>
      </c>
      <c r="BR38" s="1">
        <v>0.7</v>
      </c>
      <c r="BS38" s="1">
        <v>0.8</v>
      </c>
      <c r="BT38" s="1">
        <v>0.5</v>
      </c>
      <c r="BV38" s="60">
        <v>1.4</v>
      </c>
      <c r="BW38" s="50">
        <v>20.99</v>
      </c>
      <c r="BX38" s="50">
        <v>20.079999999999998</v>
      </c>
      <c r="BY38" s="50">
        <v>19.59</v>
      </c>
      <c r="BZ38" s="50">
        <v>23.8</v>
      </c>
      <c r="CA38" s="61">
        <v>25.3</v>
      </c>
      <c r="CF38" s="60">
        <v>11</v>
      </c>
      <c r="CG38" s="61">
        <v>0.94</v>
      </c>
      <c r="FO38" s="1"/>
      <c r="FP38" s="1"/>
      <c r="FQ38" s="1"/>
    </row>
    <row r="39" spans="1:173" hidden="1" x14ac:dyDescent="0.2">
      <c r="A39" s="19"/>
      <c r="B39" s="166" t="s">
        <v>283</v>
      </c>
      <c r="C39" s="189"/>
      <c r="D39" s="226">
        <f>D26+D32+D33+D34+D37+D38</f>
        <v>35.949999999999996</v>
      </c>
      <c r="E39" s="226">
        <f t="shared" ref="E39:F39" si="27">E26+E32+E33+E34+E37+E38</f>
        <v>37.75</v>
      </c>
      <c r="F39" s="226">
        <f t="shared" si="27"/>
        <v>37.25</v>
      </c>
      <c r="G39" s="202">
        <f>G26+G32+G33+G34+G37+G38</f>
        <v>34.85</v>
      </c>
      <c r="H39" s="202">
        <f t="shared" ref="H39" si="28">H26+H32+H33+H34+H37+H38</f>
        <v>36.950000000000003</v>
      </c>
      <c r="I39" s="726">
        <f>I26+I32+I33+I34+I37+I38</f>
        <v>40.25</v>
      </c>
      <c r="J39" s="726">
        <f t="shared" ref="J39" si="29">J26+J32+J33+J34+J37+J38</f>
        <v>41.25</v>
      </c>
      <c r="K39" s="717">
        <f>K26+K32+K33+K34+K37+K38</f>
        <v>38.35</v>
      </c>
      <c r="L39" s="717">
        <f t="shared" ref="L39:X39" si="30">L26+L32+L33+L34+L37+L38</f>
        <v>40.25</v>
      </c>
      <c r="M39" s="717">
        <f t="shared" si="30"/>
        <v>40.25</v>
      </c>
      <c r="N39" s="260">
        <f t="shared" si="30"/>
        <v>32.85</v>
      </c>
      <c r="O39" s="315">
        <f t="shared" si="30"/>
        <v>30.749999999999996</v>
      </c>
      <c r="P39" s="315">
        <f t="shared" si="30"/>
        <v>32.85</v>
      </c>
      <c r="Q39" s="718">
        <f t="shared" si="30"/>
        <v>32.75</v>
      </c>
      <c r="R39" s="718">
        <f t="shared" si="30"/>
        <v>34.85</v>
      </c>
      <c r="S39" s="340">
        <f t="shared" si="30"/>
        <v>32.85</v>
      </c>
      <c r="T39" s="340">
        <f t="shared" si="30"/>
        <v>37.35</v>
      </c>
      <c r="U39" s="365">
        <f t="shared" si="30"/>
        <v>33.25</v>
      </c>
      <c r="V39" s="365">
        <f t="shared" si="30"/>
        <v>37.050000000000004</v>
      </c>
      <c r="W39" s="808">
        <f t="shared" si="30"/>
        <v>34.25</v>
      </c>
      <c r="X39" s="808">
        <f t="shared" si="30"/>
        <v>38.050000000000004</v>
      </c>
      <c r="Y39" s="424">
        <f>Y26+Y32+Y33+Y34+Y37+Y38</f>
        <v>37.150000000000006</v>
      </c>
      <c r="Z39" s="424">
        <f t="shared" ref="Z39" si="31">Z26+Z32+Z33+Z34+Z37+Z38</f>
        <v>25.55</v>
      </c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49"/>
      <c r="AL39" s="49"/>
      <c r="AM39" s="49"/>
      <c r="AN39" s="19"/>
      <c r="AO39" s="17"/>
      <c r="AP39" s="17"/>
      <c r="AQ39" s="18" t="s">
        <v>119</v>
      </c>
      <c r="AR39" s="17"/>
      <c r="AS39" s="17"/>
      <c r="AT39" s="17"/>
      <c r="AU39" s="17"/>
      <c r="AV39" s="19"/>
      <c r="AW39" s="19"/>
      <c r="AX39" s="17"/>
      <c r="AY39" s="17"/>
      <c r="AZ39" s="17"/>
      <c r="BA39" s="17"/>
      <c r="BB39" s="21"/>
      <c r="BC39" s="17"/>
      <c r="BD39" s="17"/>
      <c r="BE39" s="17"/>
      <c r="BH39" s="17"/>
      <c r="BI39"/>
      <c r="BJ39" s="17"/>
      <c r="BK39" s="1" t="s">
        <v>102</v>
      </c>
      <c r="BL39" s="2">
        <v>7522</v>
      </c>
      <c r="BM39" s="1">
        <v>30</v>
      </c>
      <c r="BN39" s="1">
        <v>18</v>
      </c>
      <c r="BO39" s="1">
        <v>0.5</v>
      </c>
      <c r="BP39" s="1">
        <v>0.7</v>
      </c>
      <c r="BQ39" s="1">
        <v>0.6</v>
      </c>
      <c r="BR39" s="1">
        <v>0.6</v>
      </c>
      <c r="BS39" s="1">
        <v>0.8</v>
      </c>
      <c r="BT39" s="1">
        <v>0.4</v>
      </c>
      <c r="BV39" s="60">
        <v>1.6</v>
      </c>
      <c r="BW39" s="50">
        <v>22.18</v>
      </c>
      <c r="BX39" s="50">
        <v>21.13</v>
      </c>
      <c r="BY39" s="50">
        <v>20.58</v>
      </c>
      <c r="BZ39" s="50">
        <v>24.8</v>
      </c>
      <c r="CA39" s="61">
        <v>26.5</v>
      </c>
      <c r="CF39" s="60">
        <v>12</v>
      </c>
      <c r="CG39" s="61">
        <v>0.94</v>
      </c>
      <c r="FO39" s="1"/>
      <c r="FP39" s="1"/>
      <c r="FQ39" s="1"/>
    </row>
    <row r="40" spans="1:173" hidden="1" x14ac:dyDescent="0.2">
      <c r="A40" s="19"/>
      <c r="B40" s="36" t="s">
        <v>48</v>
      </c>
      <c r="C40" s="185" t="s">
        <v>40</v>
      </c>
      <c r="D40" s="234">
        <v>720</v>
      </c>
      <c r="E40" s="234">
        <v>720</v>
      </c>
      <c r="F40" s="234">
        <v>720</v>
      </c>
      <c r="G40" s="210">
        <v>720</v>
      </c>
      <c r="H40" s="210">
        <v>480</v>
      </c>
      <c r="I40" s="734">
        <v>720</v>
      </c>
      <c r="J40" s="734">
        <v>720</v>
      </c>
      <c r="K40" s="761">
        <v>720</v>
      </c>
      <c r="L40" s="761">
        <v>720</v>
      </c>
      <c r="M40" s="761">
        <v>720</v>
      </c>
      <c r="N40" s="267">
        <v>720</v>
      </c>
      <c r="O40" s="322">
        <v>720</v>
      </c>
      <c r="P40" s="322">
        <v>720</v>
      </c>
      <c r="Q40" s="787">
        <v>720</v>
      </c>
      <c r="R40" s="787">
        <v>720</v>
      </c>
      <c r="S40" s="347">
        <v>720</v>
      </c>
      <c r="T40" s="347">
        <v>720</v>
      </c>
      <c r="U40" s="372">
        <v>720</v>
      </c>
      <c r="V40" s="372">
        <v>720</v>
      </c>
      <c r="W40" s="815">
        <v>720</v>
      </c>
      <c r="X40" s="815">
        <v>720</v>
      </c>
      <c r="Y40" s="431">
        <v>720</v>
      </c>
      <c r="Z40" s="431">
        <v>720</v>
      </c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49"/>
      <c r="AL40" s="49"/>
      <c r="AM40" s="49"/>
      <c r="AN40" s="19"/>
      <c r="AO40" s="17"/>
      <c r="AP40" s="17"/>
      <c r="AQ40" s="17"/>
      <c r="AR40" s="17"/>
      <c r="AS40" s="21">
        <v>1</v>
      </c>
      <c r="AT40" s="27">
        <v>2.6</v>
      </c>
      <c r="AU40" s="28">
        <v>2.6</v>
      </c>
      <c r="AV40" s="28">
        <v>2.8</v>
      </c>
      <c r="AW40" s="27">
        <v>3</v>
      </c>
      <c r="AX40" s="27">
        <v>3</v>
      </c>
      <c r="AY40" s="27">
        <v>3</v>
      </c>
      <c r="AZ40" s="27">
        <v>3</v>
      </c>
      <c r="BA40" s="27">
        <v>3</v>
      </c>
      <c r="BB40" s="27">
        <v>3</v>
      </c>
      <c r="BC40" s="17"/>
      <c r="BD40" s="17"/>
      <c r="BE40" s="17"/>
      <c r="BH40" s="68">
        <v>3</v>
      </c>
      <c r="BI40">
        <v>3</v>
      </c>
      <c r="BJ40" s="17"/>
      <c r="BK40" s="1" t="s">
        <v>102</v>
      </c>
      <c r="BL40" s="2">
        <v>7523</v>
      </c>
      <c r="BM40" s="1">
        <v>42</v>
      </c>
      <c r="BN40" s="1">
        <v>26</v>
      </c>
      <c r="BO40" s="1">
        <v>0.5</v>
      </c>
      <c r="BP40" s="1">
        <v>0.7</v>
      </c>
      <c r="BQ40" s="1">
        <v>0.6</v>
      </c>
      <c r="BR40" s="1">
        <v>0.6</v>
      </c>
      <c r="BS40" s="1">
        <v>0.8</v>
      </c>
      <c r="BT40" s="1">
        <v>0.4</v>
      </c>
      <c r="BV40" s="60">
        <v>1.8</v>
      </c>
      <c r="BW40" s="50">
        <v>23.26</v>
      </c>
      <c r="BX40" s="50">
        <v>22.09</v>
      </c>
      <c r="BY40" s="50">
        <v>21.47</v>
      </c>
      <c r="BZ40" s="50">
        <v>25.7</v>
      </c>
      <c r="CA40" s="61">
        <v>27.5</v>
      </c>
      <c r="CF40" s="60">
        <v>13</v>
      </c>
      <c r="CG40" s="61">
        <v>0.9</v>
      </c>
      <c r="FO40" s="1"/>
      <c r="FP40" s="1"/>
      <c r="FQ40" s="1"/>
    </row>
    <row r="41" spans="1:173" hidden="1" x14ac:dyDescent="0.2">
      <c r="A41" s="19"/>
      <c r="B41" s="166" t="s">
        <v>282</v>
      </c>
      <c r="C41" s="185" t="s">
        <v>40</v>
      </c>
      <c r="D41" s="226">
        <v>40</v>
      </c>
      <c r="E41" s="226">
        <v>40</v>
      </c>
      <c r="F41" s="226">
        <v>40</v>
      </c>
      <c r="G41" s="202">
        <v>40</v>
      </c>
      <c r="H41" s="202">
        <v>40</v>
      </c>
      <c r="I41" s="726">
        <v>40</v>
      </c>
      <c r="J41" s="726">
        <v>40</v>
      </c>
      <c r="K41" s="717">
        <v>40</v>
      </c>
      <c r="L41" s="717">
        <v>40</v>
      </c>
      <c r="M41" s="717">
        <v>40</v>
      </c>
      <c r="N41" s="260">
        <v>40</v>
      </c>
      <c r="O41" s="315">
        <v>40</v>
      </c>
      <c r="P41" s="315">
        <v>40</v>
      </c>
      <c r="Q41" s="718">
        <v>40</v>
      </c>
      <c r="R41" s="718">
        <v>40</v>
      </c>
      <c r="S41" s="340">
        <v>40</v>
      </c>
      <c r="T41" s="340">
        <v>40</v>
      </c>
      <c r="U41" s="365">
        <v>40</v>
      </c>
      <c r="V41" s="365">
        <v>40</v>
      </c>
      <c r="W41" s="808">
        <v>40</v>
      </c>
      <c r="X41" s="808">
        <v>40</v>
      </c>
      <c r="Y41" s="424">
        <v>40</v>
      </c>
      <c r="Z41" s="424">
        <v>40</v>
      </c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49"/>
      <c r="AL41" s="49"/>
      <c r="AM41" s="49"/>
      <c r="AN41" s="19"/>
      <c r="AO41" s="17"/>
      <c r="AP41" s="17"/>
      <c r="AQ41" s="17"/>
      <c r="AR41" s="17"/>
      <c r="AS41" s="21">
        <v>2</v>
      </c>
      <c r="AT41" s="27">
        <v>2.4</v>
      </c>
      <c r="AU41" s="27">
        <v>2.4</v>
      </c>
      <c r="AV41" s="28">
        <v>2.6</v>
      </c>
      <c r="AW41" s="28">
        <v>2.6</v>
      </c>
      <c r="AX41" s="27">
        <v>2.6</v>
      </c>
      <c r="AY41" s="27">
        <v>2.8</v>
      </c>
      <c r="AZ41" s="27">
        <v>2.8</v>
      </c>
      <c r="BA41" s="27">
        <v>2.8</v>
      </c>
      <c r="BB41" s="27">
        <v>2.8</v>
      </c>
      <c r="BC41" s="17"/>
      <c r="BD41" s="17"/>
      <c r="BE41" s="17"/>
      <c r="BH41" s="27">
        <v>2.8</v>
      </c>
      <c r="BI41">
        <v>2.6</v>
      </c>
      <c r="BJ41" s="17"/>
      <c r="BK41" s="1" t="s">
        <v>102</v>
      </c>
      <c r="BL41" s="2">
        <v>7525</v>
      </c>
      <c r="BM41" s="1">
        <v>40</v>
      </c>
      <c r="BN41" s="1">
        <v>33.700000000000003</v>
      </c>
      <c r="BO41" s="1">
        <v>0.5</v>
      </c>
      <c r="BP41" s="1">
        <v>0.7</v>
      </c>
      <c r="BQ41" s="1">
        <v>0.6</v>
      </c>
      <c r="BR41" s="1">
        <v>0.6</v>
      </c>
      <c r="BS41" s="1">
        <v>0.8</v>
      </c>
      <c r="BT41" s="1">
        <v>0.4</v>
      </c>
      <c r="BV41" s="60">
        <v>2</v>
      </c>
      <c r="BW41" s="50">
        <v>24.26</v>
      </c>
      <c r="BX41" s="50">
        <v>22.97</v>
      </c>
      <c r="BY41" s="50">
        <v>22.3</v>
      </c>
      <c r="BZ41" s="50">
        <v>26.4</v>
      </c>
      <c r="CA41" s="61">
        <v>27.8</v>
      </c>
      <c r="CF41" s="60">
        <v>14</v>
      </c>
      <c r="CG41" s="61">
        <v>0.9</v>
      </c>
      <c r="FO41" s="1"/>
      <c r="FP41" s="1"/>
      <c r="FQ41" s="1"/>
    </row>
    <row r="42" spans="1:173" hidden="1" x14ac:dyDescent="0.2">
      <c r="A42" s="19"/>
      <c r="B42" s="36" t="s">
        <v>49</v>
      </c>
      <c r="C42" s="185" t="s">
        <v>40</v>
      </c>
      <c r="D42" s="226">
        <v>60</v>
      </c>
      <c r="E42" s="226">
        <v>60</v>
      </c>
      <c r="F42" s="226">
        <v>60</v>
      </c>
      <c r="G42" s="202">
        <v>60</v>
      </c>
      <c r="H42" s="202">
        <f t="shared" ref="H42" si="32">10*H44</f>
        <v>10</v>
      </c>
      <c r="I42" s="726">
        <v>60</v>
      </c>
      <c r="J42" s="726">
        <v>60</v>
      </c>
      <c r="K42" s="717">
        <v>60</v>
      </c>
      <c r="L42" s="717">
        <v>60</v>
      </c>
      <c r="M42" s="717">
        <v>60</v>
      </c>
      <c r="N42" s="260">
        <v>60</v>
      </c>
      <c r="O42" s="315">
        <v>60</v>
      </c>
      <c r="P42" s="315">
        <v>60</v>
      </c>
      <c r="Q42" s="718">
        <v>60</v>
      </c>
      <c r="R42" s="718">
        <v>60</v>
      </c>
      <c r="S42" s="340">
        <v>60</v>
      </c>
      <c r="T42" s="340">
        <v>60</v>
      </c>
      <c r="U42" s="365">
        <v>60</v>
      </c>
      <c r="V42" s="365">
        <v>60</v>
      </c>
      <c r="W42" s="808">
        <v>60</v>
      </c>
      <c r="X42" s="808">
        <v>60</v>
      </c>
      <c r="Y42" s="424">
        <v>60</v>
      </c>
      <c r="Z42" s="424">
        <v>60</v>
      </c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49"/>
      <c r="AL42" s="49"/>
      <c r="AM42" s="49"/>
      <c r="AN42" s="19"/>
      <c r="AO42" s="17"/>
      <c r="AP42" s="17"/>
      <c r="AQ42" s="17"/>
      <c r="AR42" s="17"/>
      <c r="AS42" s="21">
        <v>3</v>
      </c>
      <c r="AT42" s="27">
        <v>2.2000000000000002</v>
      </c>
      <c r="AU42" s="27">
        <v>2.2000000000000002</v>
      </c>
      <c r="AV42" s="28">
        <v>2.4</v>
      </c>
      <c r="AW42" s="28">
        <v>2.4</v>
      </c>
      <c r="AX42" s="27">
        <v>2.4</v>
      </c>
      <c r="AY42" s="27">
        <v>2.6</v>
      </c>
      <c r="AZ42" s="27">
        <v>2.6</v>
      </c>
      <c r="BA42" s="27">
        <v>2.6</v>
      </c>
      <c r="BB42" s="27">
        <v>2.6</v>
      </c>
      <c r="BC42" s="17"/>
      <c r="BD42" s="17"/>
      <c r="BE42" s="17"/>
      <c r="BH42" s="27">
        <v>2.6</v>
      </c>
      <c r="BI42">
        <v>2.4</v>
      </c>
      <c r="BJ42" s="17"/>
      <c r="BK42" s="1" t="s">
        <v>102</v>
      </c>
      <c r="BL42" s="2">
        <v>7526</v>
      </c>
      <c r="BM42" s="1">
        <v>30</v>
      </c>
      <c r="BN42" s="1">
        <v>23.5</v>
      </c>
      <c r="BO42" s="1">
        <v>0.5</v>
      </c>
      <c r="BP42" s="1">
        <v>0.7</v>
      </c>
      <c r="BQ42" s="1">
        <v>0.6</v>
      </c>
      <c r="BR42" s="1">
        <v>0.6</v>
      </c>
      <c r="BS42" s="1">
        <v>0.8</v>
      </c>
      <c r="BT42" s="1">
        <v>0.4</v>
      </c>
      <c r="BV42" s="60">
        <v>2.2000000000000002</v>
      </c>
      <c r="BW42" s="50">
        <v>25.18</v>
      </c>
      <c r="BX42" s="50">
        <v>23.79</v>
      </c>
      <c r="BY42" s="50">
        <v>23.07</v>
      </c>
      <c r="BZ42" s="50">
        <v>26.9</v>
      </c>
      <c r="CA42" s="165">
        <v>28</v>
      </c>
      <c r="CF42" s="60">
        <v>15</v>
      </c>
      <c r="CG42" s="61">
        <v>0.9</v>
      </c>
      <c r="FO42" s="1"/>
      <c r="FP42" s="1"/>
      <c r="FQ42" s="1"/>
    </row>
    <row r="43" spans="1:173" hidden="1" x14ac:dyDescent="0.2">
      <c r="A43" s="19"/>
      <c r="B43" s="166" t="s">
        <v>352</v>
      </c>
      <c r="C43" s="185" t="s">
        <v>40</v>
      </c>
      <c r="D43" s="234">
        <v>0</v>
      </c>
      <c r="E43" s="234">
        <v>0</v>
      </c>
      <c r="F43" s="234">
        <v>0</v>
      </c>
      <c r="G43" s="210">
        <v>0</v>
      </c>
      <c r="H43" s="210">
        <v>0</v>
      </c>
      <c r="I43" s="734">
        <v>0</v>
      </c>
      <c r="J43" s="734">
        <v>0</v>
      </c>
      <c r="K43" s="761">
        <v>0</v>
      </c>
      <c r="L43" s="761">
        <v>0</v>
      </c>
      <c r="M43" s="761">
        <v>0</v>
      </c>
      <c r="N43" s="267">
        <v>0</v>
      </c>
      <c r="O43" s="322">
        <v>0</v>
      </c>
      <c r="P43" s="322">
        <v>0</v>
      </c>
      <c r="Q43" s="787">
        <v>0</v>
      </c>
      <c r="R43" s="787">
        <v>0</v>
      </c>
      <c r="S43" s="347">
        <v>0</v>
      </c>
      <c r="T43" s="347">
        <v>0</v>
      </c>
      <c r="U43" s="372">
        <v>0</v>
      </c>
      <c r="V43" s="372">
        <v>0</v>
      </c>
      <c r="W43" s="815">
        <v>0</v>
      </c>
      <c r="X43" s="815">
        <v>0</v>
      </c>
      <c r="Y43" s="431">
        <v>0</v>
      </c>
      <c r="Z43" s="431">
        <v>0</v>
      </c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49"/>
      <c r="AL43" s="49"/>
      <c r="AM43" s="49"/>
      <c r="AN43" s="19"/>
      <c r="AO43" s="17"/>
      <c r="AP43" s="17"/>
      <c r="AQ43" s="17"/>
      <c r="AR43" s="17"/>
      <c r="AS43" s="21">
        <v>4</v>
      </c>
      <c r="AT43" s="27">
        <v>2.2000000000000002</v>
      </c>
      <c r="AU43" s="27">
        <v>2.2000000000000002</v>
      </c>
      <c r="AV43" s="28">
        <v>2.4</v>
      </c>
      <c r="AW43" s="28">
        <v>2.4</v>
      </c>
      <c r="AX43" s="27">
        <v>2.4</v>
      </c>
      <c r="AY43" s="27">
        <v>2.6</v>
      </c>
      <c r="AZ43" s="27">
        <v>2.6</v>
      </c>
      <c r="BA43" s="27">
        <v>2.6</v>
      </c>
      <c r="BB43" s="27">
        <v>2.6</v>
      </c>
      <c r="BC43" s="17"/>
      <c r="BD43" s="17"/>
      <c r="BE43" s="17"/>
      <c r="BH43" s="27">
        <v>2.6</v>
      </c>
      <c r="BI43">
        <v>2.4</v>
      </c>
      <c r="BJ43" s="17"/>
      <c r="BK43" s="1" t="s">
        <v>102</v>
      </c>
      <c r="BL43" s="2">
        <v>7527</v>
      </c>
      <c r="BM43" s="1">
        <v>42</v>
      </c>
      <c r="BN43" s="1">
        <v>33.700000000000003</v>
      </c>
      <c r="BO43" s="1">
        <v>0.5</v>
      </c>
      <c r="BP43" s="1">
        <v>0.7</v>
      </c>
      <c r="BQ43" s="1">
        <v>0.6</v>
      </c>
      <c r="BR43" s="1">
        <v>0.6</v>
      </c>
      <c r="BS43" s="1">
        <v>0.8</v>
      </c>
      <c r="BT43" s="1">
        <v>0.4</v>
      </c>
      <c r="BV43" s="60">
        <v>2.4</v>
      </c>
      <c r="BW43" s="50">
        <v>26.05</v>
      </c>
      <c r="BX43" s="50">
        <v>24.56</v>
      </c>
      <c r="BY43" s="50">
        <v>23.79</v>
      </c>
      <c r="BZ43" s="50">
        <v>27.5</v>
      </c>
      <c r="CA43" s="61">
        <v>28.7</v>
      </c>
      <c r="CF43" s="60">
        <v>16</v>
      </c>
      <c r="CG43" s="61">
        <v>0.9</v>
      </c>
      <c r="FO43" s="1"/>
      <c r="FP43" s="1"/>
      <c r="FQ43" s="1"/>
    </row>
    <row r="44" spans="1:173" hidden="1" x14ac:dyDescent="0.2">
      <c r="A44" s="19"/>
      <c r="B44" s="36" t="s">
        <v>50</v>
      </c>
      <c r="C44" s="185" t="s">
        <v>51</v>
      </c>
      <c r="D44" s="226">
        <f t="shared" ref="D44:Y44" si="33">D40/480</f>
        <v>1.5</v>
      </c>
      <c r="E44" s="226">
        <f t="shared" si="33"/>
        <v>1.5</v>
      </c>
      <c r="F44" s="226">
        <f t="shared" si="33"/>
        <v>1.5</v>
      </c>
      <c r="G44" s="202">
        <f t="shared" si="33"/>
        <v>1.5</v>
      </c>
      <c r="H44" s="202">
        <f t="shared" si="33"/>
        <v>1</v>
      </c>
      <c r="I44" s="726">
        <f t="shared" si="33"/>
        <v>1.5</v>
      </c>
      <c r="J44" s="726">
        <f t="shared" si="33"/>
        <v>1.5</v>
      </c>
      <c r="K44" s="717">
        <f t="shared" si="33"/>
        <v>1.5</v>
      </c>
      <c r="L44" s="717">
        <f t="shared" si="33"/>
        <v>1.5</v>
      </c>
      <c r="M44" s="717">
        <f t="shared" si="33"/>
        <v>1.5</v>
      </c>
      <c r="N44" s="260">
        <f t="shared" si="33"/>
        <v>1.5</v>
      </c>
      <c r="O44" s="315">
        <f t="shared" si="33"/>
        <v>1.5</v>
      </c>
      <c r="P44" s="315">
        <f t="shared" si="33"/>
        <v>1.5</v>
      </c>
      <c r="Q44" s="718">
        <f t="shared" si="33"/>
        <v>1.5</v>
      </c>
      <c r="R44" s="718">
        <f t="shared" si="33"/>
        <v>1.5</v>
      </c>
      <c r="S44" s="340">
        <f t="shared" si="33"/>
        <v>1.5</v>
      </c>
      <c r="T44" s="340">
        <f t="shared" si="33"/>
        <v>1.5</v>
      </c>
      <c r="U44" s="365">
        <f t="shared" si="33"/>
        <v>1.5</v>
      </c>
      <c r="V44" s="365">
        <f t="shared" si="33"/>
        <v>1.5</v>
      </c>
      <c r="W44" s="808">
        <f t="shared" si="33"/>
        <v>1.5</v>
      </c>
      <c r="X44" s="808">
        <f t="shared" si="33"/>
        <v>1.5</v>
      </c>
      <c r="Y44" s="424">
        <f t="shared" si="33"/>
        <v>1.5</v>
      </c>
      <c r="Z44" s="424">
        <f t="shared" ref="Z44" si="34">Z40/480</f>
        <v>1.5</v>
      </c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49"/>
      <c r="AL44" s="49"/>
      <c r="AM44" s="49"/>
      <c r="AN44" s="19"/>
      <c r="AO44" s="17"/>
      <c r="AP44" s="17"/>
      <c r="AQ44" s="17"/>
      <c r="AR44" s="17"/>
      <c r="AS44" s="21">
        <v>5</v>
      </c>
      <c r="AT44" s="27">
        <v>2.2000000000000002</v>
      </c>
      <c r="AU44" s="27">
        <v>2.2000000000000002</v>
      </c>
      <c r="AV44" s="28">
        <v>2.4</v>
      </c>
      <c r="AW44" s="28">
        <v>2.4</v>
      </c>
      <c r="AX44" s="27">
        <v>2.4</v>
      </c>
      <c r="AY44" s="27">
        <v>2.6</v>
      </c>
      <c r="AZ44" s="27">
        <v>2.6</v>
      </c>
      <c r="BA44" s="27">
        <v>2.6</v>
      </c>
      <c r="BB44" s="27">
        <v>2.6</v>
      </c>
      <c r="BC44" s="17"/>
      <c r="BD44" s="17"/>
      <c r="BE44" s="17"/>
      <c r="BH44" s="27">
        <v>2.6</v>
      </c>
      <c r="BI44">
        <v>2.4</v>
      </c>
      <c r="BJ44" s="17"/>
      <c r="BK44" s="1" t="s">
        <v>102</v>
      </c>
      <c r="BL44" s="2">
        <v>7530</v>
      </c>
      <c r="BM44" s="1">
        <v>200</v>
      </c>
      <c r="BN44" s="1">
        <v>115</v>
      </c>
      <c r="BO44" s="1">
        <v>0.8</v>
      </c>
      <c r="BP44" s="1">
        <v>1.1000000000000001</v>
      </c>
      <c r="BQ44" s="1">
        <v>0.7</v>
      </c>
      <c r="BR44" s="1">
        <v>0.7</v>
      </c>
      <c r="BS44" s="1">
        <v>0.8</v>
      </c>
      <c r="BT44" s="1">
        <v>0.5</v>
      </c>
      <c r="BV44" s="60">
        <v>2.6</v>
      </c>
      <c r="BW44" s="50">
        <v>26.88</v>
      </c>
      <c r="BX44" s="50">
        <v>25.29</v>
      </c>
      <c r="BY44" s="50">
        <v>24.48</v>
      </c>
      <c r="BZ44" s="50">
        <v>27.9</v>
      </c>
      <c r="CA44" s="61">
        <v>29.3</v>
      </c>
      <c r="CF44" s="60">
        <v>17</v>
      </c>
      <c r="CG44" s="61">
        <v>0.9</v>
      </c>
      <c r="FO44" s="1"/>
      <c r="FP44" s="1"/>
      <c r="FQ44" s="1"/>
    </row>
    <row r="45" spans="1:173" hidden="1" x14ac:dyDescent="0.2">
      <c r="A45" s="19"/>
      <c r="B45" s="36" t="s">
        <v>52</v>
      </c>
      <c r="C45" s="189"/>
      <c r="D45" s="232"/>
      <c r="E45" s="232"/>
      <c r="F45" s="232"/>
      <c r="G45" s="208"/>
      <c r="H45" s="208"/>
      <c r="I45" s="732"/>
      <c r="J45" s="732"/>
      <c r="K45" s="759"/>
      <c r="L45" s="759"/>
      <c r="M45" s="759"/>
      <c r="N45" s="265"/>
      <c r="O45" s="320"/>
      <c r="P45" s="320"/>
      <c r="Q45" s="785"/>
      <c r="R45" s="785"/>
      <c r="S45" s="345"/>
      <c r="T45" s="345"/>
      <c r="U45" s="370"/>
      <c r="V45" s="370"/>
      <c r="W45" s="813"/>
      <c r="X45" s="813"/>
      <c r="Y45" s="429"/>
      <c r="Z45" s="42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49"/>
      <c r="AL45" s="49"/>
      <c r="AM45" s="49"/>
      <c r="AN45" s="19"/>
      <c r="AO45" s="17"/>
      <c r="AP45" s="17"/>
      <c r="AQ45" s="18" t="s">
        <v>120</v>
      </c>
      <c r="AR45" s="21"/>
      <c r="AS45" s="17"/>
      <c r="AT45" s="21">
        <v>2.5</v>
      </c>
      <c r="AU45" s="21">
        <v>3</v>
      </c>
      <c r="AV45" s="26">
        <v>4</v>
      </c>
      <c r="AW45" s="26">
        <v>4.5999999999999996</v>
      </c>
      <c r="AX45" s="21">
        <v>5</v>
      </c>
      <c r="AY45" s="21">
        <v>6</v>
      </c>
      <c r="AZ45" s="21">
        <v>6.3</v>
      </c>
      <c r="BA45" s="21">
        <v>8</v>
      </c>
      <c r="BB45" s="21">
        <v>10</v>
      </c>
      <c r="BC45" s="21">
        <v>12</v>
      </c>
      <c r="BD45" s="21">
        <v>12.5</v>
      </c>
      <c r="BE45" s="21">
        <v>15</v>
      </c>
      <c r="BI45"/>
      <c r="BJ45" s="17"/>
      <c r="BK45" s="1" t="s">
        <v>102</v>
      </c>
      <c r="BL45" s="2">
        <v>7540</v>
      </c>
      <c r="BM45" s="1">
        <v>30</v>
      </c>
      <c r="BN45" s="1">
        <v>18.5</v>
      </c>
      <c r="BO45" s="1">
        <v>0.5</v>
      </c>
      <c r="BP45" s="1">
        <v>0.7</v>
      </c>
      <c r="BQ45" s="1">
        <v>0.6</v>
      </c>
      <c r="BR45" s="1">
        <v>0.6</v>
      </c>
      <c r="BS45" s="1">
        <v>0.8</v>
      </c>
      <c r="BT45" s="1">
        <v>0.4</v>
      </c>
      <c r="BV45" s="60">
        <v>2.8</v>
      </c>
      <c r="BW45" s="50">
        <v>27.67</v>
      </c>
      <c r="BX45" s="50">
        <v>26</v>
      </c>
      <c r="BY45" s="50">
        <v>25.14</v>
      </c>
      <c r="BZ45" s="50">
        <v>28.4</v>
      </c>
      <c r="CA45" s="61">
        <v>29.8</v>
      </c>
      <c r="CF45" s="60">
        <v>18</v>
      </c>
      <c r="CG45" s="61">
        <v>0.86</v>
      </c>
      <c r="FO45" s="1"/>
      <c r="FP45" s="1"/>
      <c r="FQ45" s="1"/>
    </row>
    <row r="46" spans="1:173" hidden="1" x14ac:dyDescent="0.2">
      <c r="A46" s="19"/>
      <c r="B46" s="36" t="s">
        <v>53</v>
      </c>
      <c r="C46" s="191"/>
      <c r="D46" s="228">
        <f t="shared" ref="D46:Y46" si="35">D47*D48*D49*D50*D51*D52*D53*D54</f>
        <v>0.89385499999999996</v>
      </c>
      <c r="E46" s="228">
        <f t="shared" si="35"/>
        <v>0.89385499999999996</v>
      </c>
      <c r="F46" s="228">
        <f t="shared" si="35"/>
        <v>0.89385499999999996</v>
      </c>
      <c r="G46" s="204">
        <f t="shared" si="35"/>
        <v>0.89385499999999996</v>
      </c>
      <c r="H46" s="204">
        <f t="shared" si="35"/>
        <v>0.89385499999999996</v>
      </c>
      <c r="I46" s="728">
        <f t="shared" si="35"/>
        <v>0.89385499999999996</v>
      </c>
      <c r="J46" s="728">
        <f t="shared" si="35"/>
        <v>0.89385499999999996</v>
      </c>
      <c r="K46" s="755">
        <f t="shared" si="35"/>
        <v>0.89385499999999996</v>
      </c>
      <c r="L46" s="755">
        <f t="shared" si="35"/>
        <v>0.89385499999999996</v>
      </c>
      <c r="M46" s="755">
        <f t="shared" si="35"/>
        <v>0.89385499999999996</v>
      </c>
      <c r="N46" s="262">
        <f t="shared" si="35"/>
        <v>0.89385499999999996</v>
      </c>
      <c r="O46" s="317">
        <f t="shared" si="35"/>
        <v>0.89385499999999996</v>
      </c>
      <c r="P46" s="317">
        <f t="shared" si="35"/>
        <v>0.89385499999999996</v>
      </c>
      <c r="Q46" s="782">
        <f t="shared" si="35"/>
        <v>0.89385499999999996</v>
      </c>
      <c r="R46" s="782">
        <f t="shared" si="35"/>
        <v>0.89385499999999996</v>
      </c>
      <c r="S46" s="342">
        <f t="shared" si="35"/>
        <v>0.76424602499999994</v>
      </c>
      <c r="T46" s="342">
        <f t="shared" si="35"/>
        <v>0.89385499999999996</v>
      </c>
      <c r="U46" s="367">
        <f t="shared" si="35"/>
        <v>0.89385499999999996</v>
      </c>
      <c r="V46" s="367">
        <f t="shared" si="35"/>
        <v>0.89385499999999996</v>
      </c>
      <c r="W46" s="810">
        <f t="shared" si="35"/>
        <v>0.89385499999999996</v>
      </c>
      <c r="X46" s="810">
        <f t="shared" si="35"/>
        <v>0.89385499999999996</v>
      </c>
      <c r="Y46" s="426">
        <f t="shared" si="35"/>
        <v>0.89385499999999996</v>
      </c>
      <c r="Z46" s="426">
        <f t="shared" ref="Z46" si="36">Z47*Z48*Z49*Z50*Z51*Z52*Z53*Z54</f>
        <v>0.89385499999999996</v>
      </c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49"/>
      <c r="AL46" s="49"/>
      <c r="AM46" s="49"/>
      <c r="AN46" s="19"/>
      <c r="AO46" s="17"/>
      <c r="AP46" s="17"/>
      <c r="AR46" s="21"/>
      <c r="AS46" s="21">
        <v>1</v>
      </c>
      <c r="AT46" s="27">
        <v>22.6</v>
      </c>
      <c r="AU46" s="27">
        <v>22.7</v>
      </c>
      <c r="AV46" s="28">
        <v>24</v>
      </c>
      <c r="AW46" s="28">
        <v>25</v>
      </c>
      <c r="AX46" s="27">
        <v>25</v>
      </c>
      <c r="AY46" s="27">
        <v>27.1</v>
      </c>
      <c r="AZ46" s="27">
        <v>29.6</v>
      </c>
      <c r="BA46" s="27">
        <v>29</v>
      </c>
      <c r="BB46" s="27">
        <v>30.3</v>
      </c>
      <c r="BC46" s="27">
        <v>34.4</v>
      </c>
      <c r="BD46" s="27">
        <v>31.5</v>
      </c>
      <c r="BE46" s="27">
        <v>34.9</v>
      </c>
      <c r="BH46" s="5">
        <f t="shared" ref="BH46:BI50" si="37">BH34+BH40</f>
        <v>29.6</v>
      </c>
      <c r="BI46" s="70">
        <f t="shared" si="37"/>
        <v>24.9</v>
      </c>
      <c r="BJ46" s="21"/>
      <c r="BK46" s="1" t="s">
        <v>102</v>
      </c>
      <c r="BL46" s="2">
        <v>7548</v>
      </c>
      <c r="BM46" s="1">
        <v>42</v>
      </c>
      <c r="BN46" s="1">
        <v>26</v>
      </c>
      <c r="BO46" s="1">
        <v>0.5</v>
      </c>
      <c r="BP46" s="1">
        <v>0.7</v>
      </c>
      <c r="BQ46" s="1">
        <v>0.6</v>
      </c>
      <c r="BR46" s="1">
        <v>0.6</v>
      </c>
      <c r="BS46" s="1">
        <v>0.8</v>
      </c>
      <c r="BT46" s="1">
        <v>0.4</v>
      </c>
      <c r="BV46" s="60">
        <v>3</v>
      </c>
      <c r="BW46" s="50">
        <v>28.44</v>
      </c>
      <c r="BX46" s="50">
        <v>26.68</v>
      </c>
      <c r="BY46" s="50">
        <v>25.78</v>
      </c>
      <c r="BZ46" s="50">
        <v>28.7</v>
      </c>
      <c r="CA46" s="61">
        <v>30.2</v>
      </c>
      <c r="CF46" s="60">
        <v>19</v>
      </c>
      <c r="CG46" s="61">
        <v>0.86</v>
      </c>
      <c r="FO46" s="1"/>
      <c r="FP46" s="1"/>
      <c r="FQ46" s="1"/>
    </row>
    <row r="47" spans="1:173" hidden="1" x14ac:dyDescent="0.2">
      <c r="A47" s="19"/>
      <c r="B47" s="36" t="s">
        <v>54</v>
      </c>
      <c r="C47" s="192"/>
      <c r="D47" s="227">
        <v>1</v>
      </c>
      <c r="E47" s="227">
        <v>1</v>
      </c>
      <c r="F47" s="227">
        <v>1</v>
      </c>
      <c r="G47" s="203">
        <v>1</v>
      </c>
      <c r="H47" s="203">
        <v>1</v>
      </c>
      <c r="I47" s="727">
        <v>1</v>
      </c>
      <c r="J47" s="727">
        <v>1</v>
      </c>
      <c r="K47" s="754">
        <v>1</v>
      </c>
      <c r="L47" s="754">
        <v>1</v>
      </c>
      <c r="M47" s="754">
        <v>1</v>
      </c>
      <c r="N47" s="261">
        <v>1</v>
      </c>
      <c r="O47" s="316">
        <v>1</v>
      </c>
      <c r="P47" s="316">
        <v>1</v>
      </c>
      <c r="Q47" s="781">
        <v>1</v>
      </c>
      <c r="R47" s="781">
        <v>1</v>
      </c>
      <c r="S47" s="341">
        <v>0.95</v>
      </c>
      <c r="T47" s="341">
        <v>1</v>
      </c>
      <c r="U47" s="366">
        <v>1</v>
      </c>
      <c r="V47" s="366">
        <v>1</v>
      </c>
      <c r="W47" s="809">
        <v>1</v>
      </c>
      <c r="X47" s="809">
        <v>1</v>
      </c>
      <c r="Y47" s="425">
        <v>1</v>
      </c>
      <c r="Z47" s="425">
        <v>1</v>
      </c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49"/>
      <c r="AL47" s="49"/>
      <c r="AM47" s="49"/>
      <c r="AN47" s="19"/>
      <c r="AO47" s="17"/>
      <c r="AP47" s="17"/>
      <c r="AR47" s="21"/>
      <c r="AS47" s="21">
        <v>2</v>
      </c>
      <c r="AT47" s="27">
        <v>24.8</v>
      </c>
      <c r="AU47" s="27">
        <v>24.9</v>
      </c>
      <c r="AV47" s="28">
        <v>26.6</v>
      </c>
      <c r="AW47" s="28">
        <v>27.7</v>
      </c>
      <c r="AX47" s="27">
        <v>27.7</v>
      </c>
      <c r="AY47" s="27">
        <v>29.4</v>
      </c>
      <c r="AZ47" s="27">
        <v>32.799999999999997</v>
      </c>
      <c r="BA47" s="27">
        <v>32.1</v>
      </c>
      <c r="BB47" s="27">
        <v>33.4</v>
      </c>
      <c r="BC47" s="27">
        <v>38.799999999999997</v>
      </c>
      <c r="BD47" s="27">
        <v>34.799999999999997</v>
      </c>
      <c r="BE47" s="27">
        <v>37.5</v>
      </c>
      <c r="BH47" s="5">
        <f t="shared" si="37"/>
        <v>32.4</v>
      </c>
      <c r="BI47" s="70">
        <f t="shared" si="37"/>
        <v>26.900000000000002</v>
      </c>
      <c r="BJ47" s="21"/>
      <c r="BK47" s="1" t="s">
        <v>102</v>
      </c>
      <c r="BL47" s="2">
        <v>7549</v>
      </c>
      <c r="BM47" s="1">
        <v>80</v>
      </c>
      <c r="BN47" s="1">
        <v>50</v>
      </c>
      <c r="BO47" s="1">
        <v>0.8</v>
      </c>
      <c r="BP47" s="1">
        <v>1.1000000000000001</v>
      </c>
      <c r="BQ47" s="1">
        <v>0.7</v>
      </c>
      <c r="BR47" s="1">
        <v>0.7</v>
      </c>
      <c r="BS47" s="1">
        <v>0.8</v>
      </c>
      <c r="BT47" s="1">
        <v>0.5</v>
      </c>
      <c r="BV47" s="60">
        <v>3.1</v>
      </c>
      <c r="BW47" s="50">
        <v>28.44</v>
      </c>
      <c r="BX47" s="50">
        <v>26.68</v>
      </c>
      <c r="BY47" s="50">
        <v>25.78</v>
      </c>
      <c r="BZ47" s="50">
        <v>28.7</v>
      </c>
      <c r="CA47" s="61">
        <v>30.2</v>
      </c>
      <c r="CF47" s="65">
        <v>20</v>
      </c>
      <c r="CG47" s="67">
        <v>0.86</v>
      </c>
      <c r="FO47" s="1"/>
      <c r="FP47" s="1"/>
      <c r="FQ47" s="1"/>
    </row>
    <row r="48" spans="1:173" hidden="1" x14ac:dyDescent="0.2">
      <c r="A48" s="19"/>
      <c r="B48" s="36" t="s">
        <v>55</v>
      </c>
      <c r="C48" s="193"/>
      <c r="D48" s="227">
        <v>0.97</v>
      </c>
      <c r="E48" s="227">
        <v>0.97</v>
      </c>
      <c r="F48" s="227">
        <v>0.97</v>
      </c>
      <c r="G48" s="203">
        <v>0.97</v>
      </c>
      <c r="H48" s="203">
        <v>0.97</v>
      </c>
      <c r="I48" s="727">
        <v>0.97</v>
      </c>
      <c r="J48" s="727">
        <v>0.97</v>
      </c>
      <c r="K48" s="754">
        <v>0.97</v>
      </c>
      <c r="L48" s="754">
        <v>0.97</v>
      </c>
      <c r="M48" s="754">
        <v>0.97</v>
      </c>
      <c r="N48" s="261">
        <v>0.97</v>
      </c>
      <c r="O48" s="316">
        <v>0.97</v>
      </c>
      <c r="P48" s="316">
        <v>0.97</v>
      </c>
      <c r="Q48" s="781">
        <v>0.97</v>
      </c>
      <c r="R48" s="781">
        <v>0.97</v>
      </c>
      <c r="S48" s="341">
        <v>0.97</v>
      </c>
      <c r="T48" s="341">
        <v>0.97</v>
      </c>
      <c r="U48" s="366">
        <v>0.97</v>
      </c>
      <c r="V48" s="366">
        <v>0.97</v>
      </c>
      <c r="W48" s="809">
        <v>0.97</v>
      </c>
      <c r="X48" s="809">
        <v>0.97</v>
      </c>
      <c r="Y48" s="425">
        <v>0.97</v>
      </c>
      <c r="Z48" s="425">
        <v>0.97</v>
      </c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49"/>
      <c r="AL48" s="49"/>
      <c r="AM48" s="49"/>
      <c r="AN48" s="19"/>
      <c r="AO48" s="17"/>
      <c r="AP48" s="17"/>
      <c r="AR48" s="21"/>
      <c r="AS48" s="21">
        <v>3</v>
      </c>
      <c r="AT48" s="27">
        <v>26.3</v>
      </c>
      <c r="AU48" s="27">
        <v>26.6</v>
      </c>
      <c r="AV48" s="28">
        <v>28.6</v>
      </c>
      <c r="AW48" s="28">
        <v>29.8</v>
      </c>
      <c r="AX48" s="27">
        <v>29.8</v>
      </c>
      <c r="AY48" s="27">
        <v>31.6</v>
      </c>
      <c r="AZ48" s="27">
        <v>35.5</v>
      </c>
      <c r="BA48" s="27">
        <v>34.700000000000003</v>
      </c>
      <c r="BB48" s="27">
        <v>36</v>
      </c>
      <c r="BC48" s="27">
        <v>42.2</v>
      </c>
      <c r="BD48" s="27">
        <v>37.6</v>
      </c>
      <c r="BE48" s="27">
        <v>40.1</v>
      </c>
      <c r="BH48" s="5">
        <f t="shared" si="37"/>
        <v>35.4</v>
      </c>
      <c r="BI48" s="70">
        <f t="shared" si="37"/>
        <v>29.2</v>
      </c>
      <c r="BJ48" s="21"/>
      <c r="BK48" s="1" t="s">
        <v>102</v>
      </c>
      <c r="BL48" s="2">
        <v>75128</v>
      </c>
      <c r="BM48" s="1">
        <v>110</v>
      </c>
      <c r="BN48" s="1">
        <v>110</v>
      </c>
      <c r="BO48" s="1">
        <v>0.8</v>
      </c>
      <c r="BP48" s="1">
        <v>1.1000000000000001</v>
      </c>
      <c r="BQ48" s="1">
        <v>0.7</v>
      </c>
      <c r="BR48" s="1">
        <v>0.7</v>
      </c>
      <c r="BS48" s="1">
        <v>0.8</v>
      </c>
      <c r="BT48" s="1">
        <v>0.5</v>
      </c>
      <c r="BV48" s="60">
        <v>3.2</v>
      </c>
      <c r="BW48" s="50">
        <v>28.44</v>
      </c>
      <c r="BX48" s="50">
        <v>26.68</v>
      </c>
      <c r="BY48" s="50">
        <v>25.78</v>
      </c>
      <c r="BZ48" s="50">
        <v>28.7</v>
      </c>
      <c r="CA48" s="61">
        <v>30.2</v>
      </c>
      <c r="FO48" s="1"/>
      <c r="FP48" s="1"/>
      <c r="FQ48" s="1"/>
    </row>
    <row r="49" spans="1:173" hidden="1" x14ac:dyDescent="0.2">
      <c r="A49" s="19"/>
      <c r="B49" s="36" t="s">
        <v>56</v>
      </c>
      <c r="C49" s="193"/>
      <c r="D49" s="227">
        <v>0.97</v>
      </c>
      <c r="E49" s="227">
        <f>IF(E9=2,1,0.97)</f>
        <v>0.97</v>
      </c>
      <c r="F49" s="227">
        <f>IF(F9=2,1,0.97)</f>
        <v>0.97</v>
      </c>
      <c r="G49" s="203">
        <v>0.97</v>
      </c>
      <c r="H49" s="203">
        <v>0.97</v>
      </c>
      <c r="I49" s="727">
        <v>0.97</v>
      </c>
      <c r="J49" s="727">
        <f>IF(J9=2,1,0.97)</f>
        <v>0.97</v>
      </c>
      <c r="K49" s="754">
        <v>0.97</v>
      </c>
      <c r="L49" s="754">
        <f>IF(L9=2,1,0.97)</f>
        <v>0.97</v>
      </c>
      <c r="M49" s="754">
        <f>IF(M9=2,1,0.97)</f>
        <v>0.97</v>
      </c>
      <c r="N49" s="261">
        <f t="shared" ref="N49:R49" si="38">IF(N9=2,1,0.97)</f>
        <v>0.97</v>
      </c>
      <c r="O49" s="316">
        <f t="shared" si="38"/>
        <v>0.97</v>
      </c>
      <c r="P49" s="316">
        <f t="shared" si="38"/>
        <v>0.97</v>
      </c>
      <c r="Q49" s="781">
        <f t="shared" si="38"/>
        <v>0.97</v>
      </c>
      <c r="R49" s="781">
        <f t="shared" si="38"/>
        <v>0.97</v>
      </c>
      <c r="S49" s="341">
        <v>0.97</v>
      </c>
      <c r="T49" s="341">
        <f t="shared" ref="T49" si="39">IF(T9=2,1,0.97)</f>
        <v>0.97</v>
      </c>
      <c r="U49" s="366">
        <v>0.97</v>
      </c>
      <c r="V49" s="366">
        <f t="shared" ref="V49" si="40">IF(V9=2,1,0.97)</f>
        <v>0.97</v>
      </c>
      <c r="W49" s="809">
        <v>0.97</v>
      </c>
      <c r="X49" s="809">
        <f t="shared" ref="X49" si="41">IF(X9=2,1,0.97)</f>
        <v>0.97</v>
      </c>
      <c r="Y49" s="425">
        <v>0.97</v>
      </c>
      <c r="Z49" s="425">
        <f t="shared" ref="Z49" si="42">IF(Z9=2,1,0.97)</f>
        <v>0.97</v>
      </c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49"/>
      <c r="AL49" s="49"/>
      <c r="AM49" s="49"/>
      <c r="AN49" s="19"/>
      <c r="AO49" s="17"/>
      <c r="AP49" s="17"/>
      <c r="AR49" s="21"/>
      <c r="AS49" s="21">
        <v>4</v>
      </c>
      <c r="AT49" s="27">
        <v>27.7</v>
      </c>
      <c r="AU49" s="27">
        <v>28</v>
      </c>
      <c r="AV49" s="28">
        <v>30.5</v>
      </c>
      <c r="AW49" s="28">
        <v>31.7</v>
      </c>
      <c r="AX49" s="27">
        <v>31.7</v>
      </c>
      <c r="AY49" s="27">
        <v>33.6</v>
      </c>
      <c r="AZ49" s="27">
        <v>37.700000000000003</v>
      </c>
      <c r="BA49" s="27">
        <v>36.9</v>
      </c>
      <c r="BB49" s="27">
        <v>38.200000000000003</v>
      </c>
      <c r="BC49" s="27">
        <v>44.6</v>
      </c>
      <c r="BD49" s="27">
        <v>39.799999999999997</v>
      </c>
      <c r="BE49" s="27">
        <v>42.3</v>
      </c>
      <c r="BH49" s="5">
        <f t="shared" si="37"/>
        <v>37.5</v>
      </c>
      <c r="BI49" s="70">
        <f t="shared" si="37"/>
        <v>30.799999999999997</v>
      </c>
      <c r="BJ49" s="21"/>
      <c r="BK49" s="1" t="s">
        <v>102</v>
      </c>
      <c r="BL49" s="2">
        <v>75191</v>
      </c>
      <c r="BM49" s="1">
        <v>110</v>
      </c>
      <c r="BN49" s="1">
        <v>56</v>
      </c>
      <c r="BO49" s="1">
        <v>0.8</v>
      </c>
      <c r="BP49" s="1">
        <v>1.1000000000000001</v>
      </c>
      <c r="BQ49" s="1">
        <v>0.7</v>
      </c>
      <c r="BR49" s="1">
        <v>0.7</v>
      </c>
      <c r="BS49" s="1">
        <v>0.8</v>
      </c>
      <c r="BT49" s="1">
        <v>0.5</v>
      </c>
      <c r="BV49" s="60">
        <v>3.3</v>
      </c>
      <c r="BW49" s="50">
        <v>30.24</v>
      </c>
      <c r="BX49" s="50">
        <v>28.29</v>
      </c>
      <c r="BY49" s="50">
        <v>27.3</v>
      </c>
      <c r="BZ49" s="50">
        <v>28.7</v>
      </c>
      <c r="CA49" s="61">
        <v>30.2</v>
      </c>
      <c r="FO49" s="1"/>
      <c r="FP49" s="1"/>
      <c r="FQ49" s="1"/>
    </row>
    <row r="50" spans="1:173" hidden="1" x14ac:dyDescent="0.2">
      <c r="A50" s="19"/>
      <c r="B50" s="36" t="s">
        <v>132</v>
      </c>
      <c r="C50" s="192"/>
      <c r="D50" s="227">
        <v>1</v>
      </c>
      <c r="E50" s="227">
        <v>1</v>
      </c>
      <c r="F50" s="227">
        <v>1</v>
      </c>
      <c r="G50" s="203">
        <v>1</v>
      </c>
      <c r="H50" s="203">
        <v>1</v>
      </c>
      <c r="I50" s="727">
        <v>1</v>
      </c>
      <c r="J50" s="727">
        <v>1</v>
      </c>
      <c r="K50" s="754">
        <v>1</v>
      </c>
      <c r="L50" s="754">
        <v>1</v>
      </c>
      <c r="M50" s="754">
        <v>1</v>
      </c>
      <c r="N50" s="261">
        <v>1</v>
      </c>
      <c r="O50" s="316">
        <v>1</v>
      </c>
      <c r="P50" s="316">
        <v>1</v>
      </c>
      <c r="Q50" s="781">
        <v>1</v>
      </c>
      <c r="R50" s="781">
        <v>1</v>
      </c>
      <c r="S50" s="341">
        <v>1</v>
      </c>
      <c r="T50" s="341">
        <v>1</v>
      </c>
      <c r="U50" s="366">
        <v>1</v>
      </c>
      <c r="V50" s="366">
        <v>1</v>
      </c>
      <c r="W50" s="809">
        <v>1</v>
      </c>
      <c r="X50" s="809">
        <v>1</v>
      </c>
      <c r="Y50" s="425">
        <v>1</v>
      </c>
      <c r="Z50" s="425">
        <v>1</v>
      </c>
      <c r="AA50" s="19"/>
      <c r="AB50" s="19"/>
      <c r="AC50" s="19"/>
      <c r="AD50" s="19"/>
      <c r="AE50" s="19"/>
      <c r="AF50" s="19"/>
      <c r="AG50" s="19"/>
      <c r="AH50" s="19"/>
      <c r="AN50" s="19"/>
      <c r="AO50" s="17"/>
      <c r="AP50" s="17"/>
      <c r="AR50" s="17"/>
      <c r="AS50" s="21">
        <v>5</v>
      </c>
      <c r="AT50" s="27">
        <v>28.9</v>
      </c>
      <c r="AU50" s="27">
        <v>29.3</v>
      </c>
      <c r="AV50" s="28">
        <v>32</v>
      </c>
      <c r="AW50" s="28">
        <v>33.200000000000003</v>
      </c>
      <c r="AX50" s="27">
        <v>33.200000000000003</v>
      </c>
      <c r="AY50" s="27">
        <v>34.9</v>
      </c>
      <c r="AZ50" s="27">
        <v>39</v>
      </c>
      <c r="BA50" s="27">
        <v>38.200000000000003</v>
      </c>
      <c r="BB50" s="27">
        <v>39.5</v>
      </c>
      <c r="BC50" s="27">
        <v>45.9</v>
      </c>
      <c r="BD50" s="27">
        <v>41.1</v>
      </c>
      <c r="BE50" s="27">
        <v>42.3</v>
      </c>
      <c r="BH50" s="5">
        <f t="shared" si="37"/>
        <v>38.800000000000004</v>
      </c>
      <c r="BI50" s="70">
        <f t="shared" si="37"/>
        <v>32.6</v>
      </c>
      <c r="BJ50" s="21"/>
      <c r="BK50" s="1" t="s">
        <v>102</v>
      </c>
      <c r="BL50" s="2">
        <v>75199</v>
      </c>
      <c r="BM50" s="1">
        <v>105</v>
      </c>
      <c r="BN50" s="1">
        <v>106</v>
      </c>
      <c r="BO50" s="1">
        <v>0.8</v>
      </c>
      <c r="BP50" s="1">
        <v>1.1000000000000001</v>
      </c>
      <c r="BQ50" s="1">
        <v>0.7</v>
      </c>
      <c r="BR50" s="1">
        <v>0.7</v>
      </c>
      <c r="BS50" s="1">
        <v>0.8</v>
      </c>
      <c r="BT50" s="1">
        <v>0.5</v>
      </c>
      <c r="BV50" s="60">
        <v>3.4</v>
      </c>
      <c r="BW50" s="50">
        <v>30.24</v>
      </c>
      <c r="BX50" s="50">
        <v>28.29</v>
      </c>
      <c r="BY50" s="50">
        <v>27.3</v>
      </c>
      <c r="BZ50" s="50">
        <v>28.7</v>
      </c>
      <c r="CA50" s="61">
        <v>30.2</v>
      </c>
      <c r="FO50" s="1"/>
      <c r="FP50" s="1"/>
      <c r="FQ50" s="1"/>
    </row>
    <row r="51" spans="1:173" hidden="1" x14ac:dyDescent="0.2">
      <c r="A51" s="19"/>
      <c r="B51" s="36" t="s">
        <v>133</v>
      </c>
      <c r="C51" s="193"/>
      <c r="D51" s="227">
        <v>1</v>
      </c>
      <c r="E51" s="227">
        <v>1</v>
      </c>
      <c r="F51" s="227">
        <v>1</v>
      </c>
      <c r="G51" s="203">
        <v>1</v>
      </c>
      <c r="H51" s="203">
        <v>1</v>
      </c>
      <c r="I51" s="727">
        <v>1</v>
      </c>
      <c r="J51" s="727">
        <v>1</v>
      </c>
      <c r="K51" s="754">
        <v>1</v>
      </c>
      <c r="L51" s="754">
        <v>1</v>
      </c>
      <c r="M51" s="754">
        <v>1</v>
      </c>
      <c r="N51" s="261">
        <v>1</v>
      </c>
      <c r="O51" s="316">
        <v>1</v>
      </c>
      <c r="P51" s="316">
        <v>1</v>
      </c>
      <c r="Q51" s="781">
        <v>1</v>
      </c>
      <c r="R51" s="781">
        <v>1</v>
      </c>
      <c r="S51" s="341">
        <v>0.9</v>
      </c>
      <c r="T51" s="341">
        <v>1</v>
      </c>
      <c r="U51" s="366">
        <v>1</v>
      </c>
      <c r="V51" s="366">
        <v>1</v>
      </c>
      <c r="W51" s="809">
        <v>1</v>
      </c>
      <c r="X51" s="809">
        <v>1</v>
      </c>
      <c r="Y51" s="425">
        <v>1</v>
      </c>
      <c r="Z51" s="425">
        <v>1</v>
      </c>
      <c r="AA51" s="19"/>
      <c r="AB51" s="19"/>
      <c r="AC51" s="19"/>
      <c r="AD51" s="19"/>
      <c r="AE51" s="19"/>
      <c r="AF51" s="19"/>
      <c r="AG51" s="19"/>
      <c r="AH51" s="19"/>
      <c r="AN51" s="19"/>
      <c r="AO51" s="17"/>
      <c r="AP51" s="17"/>
      <c r="AQ51" s="17"/>
      <c r="AR51" s="17"/>
      <c r="AS51" s="17"/>
      <c r="AT51" s="17"/>
      <c r="AU51" s="17"/>
      <c r="AV51" s="19"/>
      <c r="AW51" s="19"/>
      <c r="AX51" s="17"/>
      <c r="AY51" s="17"/>
      <c r="AZ51" s="17"/>
      <c r="BA51" s="17"/>
      <c r="BB51" s="17"/>
      <c r="BC51" s="17"/>
      <c r="BD51" s="17"/>
      <c r="BE51" s="17"/>
      <c r="BI51"/>
      <c r="BJ51" s="17"/>
      <c r="BK51" s="1" t="s">
        <v>102</v>
      </c>
      <c r="BL51" s="2">
        <v>75211</v>
      </c>
      <c r="BM51" s="1">
        <v>170</v>
      </c>
      <c r="BN51" s="1">
        <v>104</v>
      </c>
      <c r="BO51" s="1">
        <v>0.8</v>
      </c>
      <c r="BP51" s="1">
        <v>1.1000000000000001</v>
      </c>
      <c r="BQ51" s="1">
        <v>0.7</v>
      </c>
      <c r="BR51" s="1">
        <v>0.7</v>
      </c>
      <c r="BS51" s="1">
        <v>0.8</v>
      </c>
      <c r="BT51" s="1">
        <v>0.5</v>
      </c>
      <c r="BV51" s="60">
        <v>3.5</v>
      </c>
      <c r="BW51" s="50">
        <v>30.24</v>
      </c>
      <c r="BX51" s="50">
        <v>28.29</v>
      </c>
      <c r="BY51" s="50">
        <v>27.3</v>
      </c>
      <c r="BZ51" s="50">
        <v>28.7</v>
      </c>
      <c r="CA51" s="61">
        <v>30.2</v>
      </c>
      <c r="FO51" s="1"/>
      <c r="FP51" s="1"/>
      <c r="FQ51" s="1"/>
    </row>
    <row r="52" spans="1:173" hidden="1" x14ac:dyDescent="0.2">
      <c r="A52" s="19"/>
      <c r="B52" s="166" t="s">
        <v>279</v>
      </c>
      <c r="C52" s="193"/>
      <c r="D52" s="227">
        <v>1</v>
      </c>
      <c r="E52" s="227">
        <v>1</v>
      </c>
      <c r="F52" s="227">
        <v>1</v>
      </c>
      <c r="G52" s="203">
        <v>1</v>
      </c>
      <c r="H52" s="203">
        <v>1</v>
      </c>
      <c r="I52" s="727">
        <v>1</v>
      </c>
      <c r="J52" s="727">
        <v>1</v>
      </c>
      <c r="K52" s="754">
        <v>1</v>
      </c>
      <c r="L52" s="754">
        <v>1</v>
      </c>
      <c r="M52" s="754">
        <v>1</v>
      </c>
      <c r="N52" s="261">
        <v>1</v>
      </c>
      <c r="O52" s="316">
        <v>1</v>
      </c>
      <c r="P52" s="316">
        <v>1</v>
      </c>
      <c r="Q52" s="781">
        <v>1</v>
      </c>
      <c r="R52" s="781">
        <v>1</v>
      </c>
      <c r="S52" s="341">
        <v>1</v>
      </c>
      <c r="T52" s="341">
        <v>1</v>
      </c>
      <c r="U52" s="366">
        <v>1</v>
      </c>
      <c r="V52" s="366">
        <v>1</v>
      </c>
      <c r="W52" s="809">
        <v>1</v>
      </c>
      <c r="X52" s="809">
        <v>1</v>
      </c>
      <c r="Y52" s="425">
        <v>1</v>
      </c>
      <c r="Z52" s="425">
        <v>1</v>
      </c>
      <c r="AA52" s="19"/>
      <c r="AB52" s="19"/>
      <c r="AC52" s="19"/>
      <c r="AD52" s="19"/>
      <c r="AE52" s="19"/>
      <c r="AF52" s="19"/>
      <c r="AG52" s="19"/>
      <c r="AH52" s="19"/>
      <c r="AN52" s="19"/>
      <c r="AO52" s="17"/>
      <c r="AP52" s="17"/>
      <c r="AQ52" s="18" t="s">
        <v>121</v>
      </c>
      <c r="AR52" s="17"/>
      <c r="AS52" s="21">
        <v>1</v>
      </c>
      <c r="AT52" s="29">
        <v>2.65</v>
      </c>
      <c r="AU52" s="29">
        <v>2.64</v>
      </c>
      <c r="AV52" s="30">
        <v>2.5</v>
      </c>
      <c r="AW52" s="30">
        <v>2.4</v>
      </c>
      <c r="AX52" s="29">
        <v>2.4</v>
      </c>
      <c r="AY52" s="29">
        <v>2.21</v>
      </c>
      <c r="AZ52" s="29">
        <v>2.0299999999999998</v>
      </c>
      <c r="BA52" s="29">
        <v>2.0699999999999998</v>
      </c>
      <c r="BB52" s="29">
        <v>1.98</v>
      </c>
      <c r="BC52" s="31">
        <v>1.74</v>
      </c>
      <c r="BD52" s="31">
        <v>1.9</v>
      </c>
      <c r="BE52" s="31">
        <v>1.72</v>
      </c>
      <c r="BH52" s="3">
        <v>2.0299999999999998</v>
      </c>
      <c r="BI52" s="43">
        <v>2.41</v>
      </c>
      <c r="BJ52" s="17"/>
      <c r="BK52" s="1" t="s">
        <v>102</v>
      </c>
      <c r="BL52" s="2">
        <v>75213</v>
      </c>
      <c r="BM52" s="1">
        <v>170</v>
      </c>
      <c r="BN52" s="1">
        <v>110</v>
      </c>
      <c r="BO52" s="1">
        <v>0.8</v>
      </c>
      <c r="BP52" s="1">
        <v>1.1000000000000001</v>
      </c>
      <c r="BQ52" s="1">
        <v>0.7</v>
      </c>
      <c r="BR52" s="1">
        <v>0.7</v>
      </c>
      <c r="BS52" s="1">
        <v>0.8</v>
      </c>
      <c r="BT52" s="1">
        <v>0.5</v>
      </c>
      <c r="BV52" s="60">
        <v>3.6</v>
      </c>
      <c r="BW52" s="50">
        <v>30.24</v>
      </c>
      <c r="BX52" s="50">
        <v>28.29</v>
      </c>
      <c r="BY52" s="50">
        <v>27.3</v>
      </c>
      <c r="BZ52" s="50">
        <v>30.1</v>
      </c>
      <c r="CA52" s="61">
        <v>31.9</v>
      </c>
      <c r="FO52" s="1"/>
      <c r="FP52" s="1"/>
      <c r="FQ52" s="1"/>
    </row>
    <row r="53" spans="1:173" hidden="1" x14ac:dyDescent="0.2">
      <c r="A53" s="19"/>
      <c r="B53" s="36" t="s">
        <v>134</v>
      </c>
      <c r="C53" s="193"/>
      <c r="D53" s="227">
        <v>0.95</v>
      </c>
      <c r="E53" s="227">
        <v>0.95</v>
      </c>
      <c r="F53" s="227">
        <v>0.95</v>
      </c>
      <c r="G53" s="203">
        <v>0.95</v>
      </c>
      <c r="H53" s="203">
        <v>0.95</v>
      </c>
      <c r="I53" s="727">
        <v>0.95</v>
      </c>
      <c r="J53" s="727">
        <v>0.95</v>
      </c>
      <c r="K53" s="754">
        <v>0.95</v>
      </c>
      <c r="L53" s="754">
        <v>0.95</v>
      </c>
      <c r="M53" s="754">
        <v>0.95</v>
      </c>
      <c r="N53" s="261">
        <v>0.95</v>
      </c>
      <c r="O53" s="316">
        <v>0.95</v>
      </c>
      <c r="P53" s="316">
        <v>0.95</v>
      </c>
      <c r="Q53" s="781">
        <v>0.95</v>
      </c>
      <c r="R53" s="781">
        <v>0.95</v>
      </c>
      <c r="S53" s="341">
        <v>0.95</v>
      </c>
      <c r="T53" s="341">
        <v>0.95</v>
      </c>
      <c r="U53" s="366">
        <v>0.95</v>
      </c>
      <c r="V53" s="366">
        <v>0.95</v>
      </c>
      <c r="W53" s="809">
        <v>0.95</v>
      </c>
      <c r="X53" s="809">
        <v>0.95</v>
      </c>
      <c r="Y53" s="425">
        <v>0.95</v>
      </c>
      <c r="Z53" s="425">
        <v>0.95</v>
      </c>
      <c r="AA53" s="19"/>
      <c r="AB53" s="19"/>
      <c r="AC53" s="19"/>
      <c r="AD53" s="19"/>
      <c r="AE53" s="19"/>
      <c r="AF53" s="19"/>
      <c r="AG53" s="19"/>
      <c r="AH53" s="19"/>
      <c r="AN53" s="19"/>
      <c r="AO53" s="17"/>
      <c r="AP53" s="17"/>
      <c r="AQ53" s="17"/>
      <c r="AR53" s="17"/>
      <c r="AS53" s="21">
        <v>2</v>
      </c>
      <c r="AT53" s="29">
        <v>2.42</v>
      </c>
      <c r="AU53" s="29">
        <v>2.41</v>
      </c>
      <c r="AV53" s="30">
        <v>2.2599999999999998</v>
      </c>
      <c r="AW53" s="30">
        <v>2.17</v>
      </c>
      <c r="AX53" s="29">
        <v>2.17</v>
      </c>
      <c r="AY53" s="29">
        <v>2.04</v>
      </c>
      <c r="AZ53" s="29">
        <v>1.83</v>
      </c>
      <c r="BA53" s="29">
        <v>1.87</v>
      </c>
      <c r="BB53" s="29">
        <v>1.8</v>
      </c>
      <c r="BC53" s="31">
        <v>1.55</v>
      </c>
      <c r="BD53" s="31">
        <v>1.72</v>
      </c>
      <c r="BE53" s="31">
        <v>1.6</v>
      </c>
      <c r="BH53" s="3">
        <v>1.85</v>
      </c>
      <c r="BI53" s="43">
        <v>2.23</v>
      </c>
      <c r="BJ53" s="17"/>
      <c r="BK53" s="1" t="s">
        <v>102</v>
      </c>
      <c r="BL53" s="2">
        <v>75214</v>
      </c>
      <c r="BM53" s="1">
        <v>180</v>
      </c>
      <c r="BN53" s="1">
        <v>109</v>
      </c>
      <c r="BO53" s="1">
        <v>0.8</v>
      </c>
      <c r="BP53" s="1">
        <v>1.1000000000000001</v>
      </c>
      <c r="BQ53" s="1">
        <v>0.7</v>
      </c>
      <c r="BR53" s="1">
        <v>0.7</v>
      </c>
      <c r="BS53" s="1">
        <v>0.8</v>
      </c>
      <c r="BT53" s="1">
        <v>0.5</v>
      </c>
      <c r="BV53" s="60">
        <v>3.7</v>
      </c>
      <c r="BW53" s="50">
        <v>30.24</v>
      </c>
      <c r="BX53" s="50">
        <v>28.29</v>
      </c>
      <c r="BY53" s="50">
        <v>27.3</v>
      </c>
      <c r="BZ53" s="50">
        <v>30.1</v>
      </c>
      <c r="CA53" s="61">
        <v>31.9</v>
      </c>
      <c r="FO53" s="1"/>
      <c r="FP53" s="1"/>
      <c r="FQ53" s="1"/>
    </row>
    <row r="54" spans="1:173" hidden="1" x14ac:dyDescent="0.2">
      <c r="A54" s="19"/>
      <c r="B54" s="36" t="s">
        <v>53</v>
      </c>
      <c r="C54" s="193"/>
      <c r="D54" s="227">
        <f>VLOOKUP(TRUNC(D56,0),$CF$30:$CG$47,2)</f>
        <v>1</v>
      </c>
      <c r="E54" s="227">
        <f>VLOOKUP(TRUNC(E56,0),$CF$30:$CG$47,2)</f>
        <v>1</v>
      </c>
      <c r="F54" s="227">
        <f>VLOOKUP(TRUNC(F56,0),$CF$30:$CG$47,2)</f>
        <v>1</v>
      </c>
      <c r="G54" s="203">
        <f>VLOOKUP(TRUNC(G56,0),$CF$30:$CG$47,2)</f>
        <v>1</v>
      </c>
      <c r="H54" s="203">
        <f>VLOOKUP(TRUNC(H56,0),$CF$30:$CG$47,2)</f>
        <v>1</v>
      </c>
      <c r="I54" s="727">
        <f>VLOOKUP(TRUNC(I56,0),$CF$30:$CG$47,2)</f>
        <v>1</v>
      </c>
      <c r="J54" s="727">
        <f>VLOOKUP(TRUNC(J56,0),$CF$30:$CG$47,2)</f>
        <v>1</v>
      </c>
      <c r="K54" s="754">
        <f>VLOOKUP(TRUNC(K56,0),$CF$30:$CG$47,2)</f>
        <v>1</v>
      </c>
      <c r="L54" s="754">
        <f>VLOOKUP(TRUNC(L56,0),$CF$30:$CG$47,2)</f>
        <v>1</v>
      </c>
      <c r="M54" s="754">
        <f>VLOOKUP(TRUNC(M56,0),$CF$30:$CG$47,2)</f>
        <v>1</v>
      </c>
      <c r="N54" s="261">
        <f>VLOOKUP(TRUNC(N56,0),$CF$30:$CG$47,2)</f>
        <v>1</v>
      </c>
      <c r="O54" s="316">
        <f>VLOOKUP(TRUNC(O56,0),$CF$30:$CG$47,2)</f>
        <v>1</v>
      </c>
      <c r="P54" s="316">
        <f>VLOOKUP(TRUNC(P56,0),$CF$30:$CG$47,2)</f>
        <v>1</v>
      </c>
      <c r="Q54" s="781">
        <f>VLOOKUP(TRUNC(Q56,0),$CF$30:$CG$47,2)</f>
        <v>1</v>
      </c>
      <c r="R54" s="781">
        <f>VLOOKUP(TRUNC(R56,0),$CF$30:$CG$47,2)</f>
        <v>1</v>
      </c>
      <c r="S54" s="341">
        <f>VLOOKUP(TRUNC(S56,0),$CF$30:$CG$47,2)</f>
        <v>1</v>
      </c>
      <c r="T54" s="341">
        <f>VLOOKUP(TRUNC(T56,0),$CF$30:$CG$47,2)</f>
        <v>1</v>
      </c>
      <c r="U54" s="366">
        <f>VLOOKUP(TRUNC(U56,0),$CF$30:$CG$47,2)</f>
        <v>1</v>
      </c>
      <c r="V54" s="366">
        <f>VLOOKUP(TRUNC(V56,0),$CF$30:$CG$47,2)</f>
        <v>1</v>
      </c>
      <c r="W54" s="809">
        <f>VLOOKUP(TRUNC(W56,0),$CF$30:$CG$47,2)</f>
        <v>1</v>
      </c>
      <c r="X54" s="809">
        <f>VLOOKUP(TRUNC(X56,0),$CF$30:$CG$47,2)</f>
        <v>1</v>
      </c>
      <c r="Y54" s="425">
        <f>VLOOKUP(TRUNC(Y56,0),$CF$30:$CG$47,2)</f>
        <v>1</v>
      </c>
      <c r="Z54" s="425">
        <f>VLOOKUP(TRUNC(Z56,0),$CF$30:$CG$47,2)</f>
        <v>1</v>
      </c>
      <c r="AA54" s="19"/>
      <c r="AB54" s="19"/>
      <c r="AC54" s="19"/>
      <c r="AD54" s="19"/>
      <c r="AE54" s="19"/>
      <c r="AF54" s="19"/>
      <c r="AG54" s="19"/>
      <c r="AH54" s="19"/>
      <c r="AN54" s="19"/>
      <c r="AO54" s="17"/>
      <c r="AP54" s="17"/>
      <c r="AQ54" s="17"/>
      <c r="AR54" s="17"/>
      <c r="AS54" s="21">
        <v>3</v>
      </c>
      <c r="AT54" s="29">
        <v>2.2799999999999998</v>
      </c>
      <c r="AU54" s="29">
        <v>2.2599999999999998</v>
      </c>
      <c r="AV54" s="30">
        <v>2.1</v>
      </c>
      <c r="AW54" s="30">
        <v>2.0099999999999998</v>
      </c>
      <c r="AX54" s="29">
        <v>2.0099999999999998</v>
      </c>
      <c r="AY54" s="29">
        <v>1.9</v>
      </c>
      <c r="AZ54" s="29">
        <v>1.69</v>
      </c>
      <c r="BA54" s="29">
        <v>1.73</v>
      </c>
      <c r="BB54" s="29">
        <v>1.67</v>
      </c>
      <c r="BC54" s="31">
        <v>1.42</v>
      </c>
      <c r="BD54" s="31">
        <v>1.6</v>
      </c>
      <c r="BE54" s="31">
        <v>1.5</v>
      </c>
      <c r="BH54" s="3">
        <v>1.69</v>
      </c>
      <c r="BI54" s="43">
        <v>2.0499999999999998</v>
      </c>
      <c r="BJ54" s="17"/>
      <c r="BK54" s="1" t="s">
        <v>102</v>
      </c>
      <c r="BL54" s="2">
        <v>75405</v>
      </c>
      <c r="BM54" s="1">
        <v>30</v>
      </c>
      <c r="BN54" s="1">
        <v>18.5</v>
      </c>
      <c r="BO54" s="1">
        <v>0.5</v>
      </c>
      <c r="BP54" s="1">
        <v>0.7</v>
      </c>
      <c r="BQ54" s="1">
        <v>0.6</v>
      </c>
      <c r="BR54" s="1">
        <v>0.6</v>
      </c>
      <c r="BS54" s="1">
        <v>0.8</v>
      </c>
      <c r="BT54" s="1">
        <v>0.4</v>
      </c>
      <c r="BV54" s="60">
        <v>3.8</v>
      </c>
      <c r="BW54" s="50">
        <v>31.94</v>
      </c>
      <c r="BX54" s="50">
        <v>29.81</v>
      </c>
      <c r="BY54" s="50">
        <v>28.73</v>
      </c>
      <c r="BZ54" s="50">
        <v>30.1</v>
      </c>
      <c r="CA54" s="61">
        <v>31.9</v>
      </c>
      <c r="FO54" s="1"/>
      <c r="FP54" s="1"/>
      <c r="FQ54" s="1"/>
    </row>
    <row r="55" spans="1:173" hidden="1" x14ac:dyDescent="0.2">
      <c r="A55" s="19"/>
      <c r="B55" s="36" t="s">
        <v>135</v>
      </c>
      <c r="C55" s="193"/>
      <c r="D55" s="226"/>
      <c r="E55" s="226"/>
      <c r="F55" s="226"/>
      <c r="G55" s="202"/>
      <c r="H55" s="202"/>
      <c r="I55" s="726"/>
      <c r="J55" s="726"/>
      <c r="K55" s="717"/>
      <c r="L55" s="717"/>
      <c r="M55" s="717"/>
      <c r="N55" s="260"/>
      <c r="O55" s="315"/>
      <c r="P55" s="315"/>
      <c r="Q55" s="718"/>
      <c r="R55" s="718"/>
      <c r="S55" s="340"/>
      <c r="T55" s="340"/>
      <c r="U55" s="365"/>
      <c r="V55" s="365"/>
      <c r="W55" s="808"/>
      <c r="X55" s="808"/>
      <c r="Y55" s="424"/>
      <c r="Z55" s="424"/>
      <c r="AA55" s="19"/>
      <c r="AB55" s="19"/>
      <c r="AC55" s="19"/>
      <c r="AD55" s="19"/>
      <c r="AE55" s="19"/>
      <c r="AF55" s="19"/>
      <c r="AG55" s="19"/>
      <c r="AH55" s="19"/>
      <c r="AN55" s="19"/>
      <c r="AO55" s="17"/>
      <c r="AP55" s="17"/>
      <c r="AQ55" s="17"/>
      <c r="AR55" s="17"/>
      <c r="AS55" s="21">
        <v>4</v>
      </c>
      <c r="AT55" s="29">
        <v>2.17</v>
      </c>
      <c r="AU55" s="29">
        <v>2.14</v>
      </c>
      <c r="AV55" s="30">
        <v>1.97</v>
      </c>
      <c r="AW55" s="30">
        <v>1.89</v>
      </c>
      <c r="AX55" s="29">
        <v>1.89</v>
      </c>
      <c r="AY55" s="29">
        <v>1.79</v>
      </c>
      <c r="AZ55" s="29">
        <v>1.59</v>
      </c>
      <c r="BA55" s="29">
        <v>1.63</v>
      </c>
      <c r="BB55" s="29">
        <v>1.57</v>
      </c>
      <c r="BC55" s="31">
        <v>1.35</v>
      </c>
      <c r="BD55" s="31">
        <v>1.51</v>
      </c>
      <c r="BE55" s="31">
        <v>1.42</v>
      </c>
      <c r="BH55" s="3">
        <v>1.6</v>
      </c>
      <c r="BI55" s="43">
        <v>1.95</v>
      </c>
      <c r="BJ55" s="17"/>
      <c r="BK55" s="1" t="s">
        <v>102</v>
      </c>
      <c r="BL55" s="2">
        <v>75485</v>
      </c>
      <c r="BM55" s="1">
        <v>42</v>
      </c>
      <c r="BN55" s="1">
        <v>26</v>
      </c>
      <c r="BO55" s="1">
        <v>0.5</v>
      </c>
      <c r="BP55" s="1">
        <v>0.7</v>
      </c>
      <c r="BQ55" s="1">
        <v>0.6</v>
      </c>
      <c r="BR55" s="1">
        <v>0.6</v>
      </c>
      <c r="BS55" s="1">
        <v>0.8</v>
      </c>
      <c r="BT55" s="1">
        <v>0.4</v>
      </c>
      <c r="BV55" s="60">
        <v>3.9</v>
      </c>
      <c r="BW55" s="50">
        <v>31.94</v>
      </c>
      <c r="BX55" s="50">
        <v>29.81</v>
      </c>
      <c r="BY55" s="50">
        <v>28.73</v>
      </c>
      <c r="BZ55" s="50">
        <v>30.1</v>
      </c>
      <c r="CA55" s="61">
        <v>31.9</v>
      </c>
      <c r="FO55" s="1"/>
      <c r="FP55" s="1"/>
      <c r="FQ55" s="1"/>
    </row>
    <row r="56" spans="1:173" hidden="1" x14ac:dyDescent="0.2">
      <c r="A56" s="19"/>
      <c r="B56" s="36" t="s">
        <v>135</v>
      </c>
      <c r="C56" s="194" t="s">
        <v>1</v>
      </c>
      <c r="D56" s="234"/>
      <c r="E56" s="234"/>
      <c r="F56" s="234"/>
      <c r="G56" s="210"/>
      <c r="H56" s="210"/>
      <c r="I56" s="734"/>
      <c r="J56" s="734"/>
      <c r="K56" s="761"/>
      <c r="L56" s="761"/>
      <c r="M56" s="761"/>
      <c r="N56" s="267"/>
      <c r="O56" s="322"/>
      <c r="P56" s="322"/>
      <c r="Q56" s="787"/>
      <c r="R56" s="787"/>
      <c r="S56" s="347"/>
      <c r="T56" s="347"/>
      <c r="U56" s="372"/>
      <c r="V56" s="372"/>
      <c r="W56" s="815"/>
      <c r="X56" s="815"/>
      <c r="Y56" s="431"/>
      <c r="Z56" s="431"/>
      <c r="AA56" s="19"/>
      <c r="AB56" s="19"/>
      <c r="AC56" s="19"/>
      <c r="AD56" s="19"/>
      <c r="AE56" s="19"/>
      <c r="AF56" s="19"/>
      <c r="AG56" s="19"/>
      <c r="AH56" s="19"/>
      <c r="AQ56" s="17"/>
      <c r="AR56" s="32"/>
      <c r="AS56" s="21">
        <v>5</v>
      </c>
      <c r="AT56" s="29">
        <v>2.08</v>
      </c>
      <c r="AU56" s="29">
        <v>2.0499999999999998</v>
      </c>
      <c r="AV56" s="30">
        <v>1.88</v>
      </c>
      <c r="AW56" s="30">
        <v>1.81</v>
      </c>
      <c r="AX56" s="29">
        <v>1.81</v>
      </c>
      <c r="AY56" s="29">
        <v>1.72</v>
      </c>
      <c r="AZ56" s="29">
        <v>1.54</v>
      </c>
      <c r="BA56" s="29">
        <v>1.57</v>
      </c>
      <c r="BB56" s="29">
        <v>1.52</v>
      </c>
      <c r="BC56" s="31">
        <v>1.31</v>
      </c>
      <c r="BD56" s="31">
        <v>1.46</v>
      </c>
      <c r="BE56" s="31">
        <v>1.42</v>
      </c>
      <c r="BH56" s="3">
        <v>1.55</v>
      </c>
      <c r="BI56" s="43">
        <v>1.84</v>
      </c>
      <c r="BJ56" s="17"/>
      <c r="BK56" s="1" t="s">
        <v>102</v>
      </c>
      <c r="BL56" s="2">
        <v>75489</v>
      </c>
      <c r="BM56" s="1">
        <v>42</v>
      </c>
      <c r="BN56" s="1">
        <v>40</v>
      </c>
      <c r="BO56" s="1">
        <v>0.5</v>
      </c>
      <c r="BP56" s="1">
        <v>0.7</v>
      </c>
      <c r="BQ56" s="1">
        <v>0.6</v>
      </c>
      <c r="BR56" s="1">
        <v>0.6</v>
      </c>
      <c r="BS56" s="1">
        <v>0.8</v>
      </c>
      <c r="BT56" s="1">
        <v>0.4</v>
      </c>
      <c r="BV56" s="60">
        <v>4</v>
      </c>
      <c r="BW56" s="50">
        <v>31.94</v>
      </c>
      <c r="BX56" s="50">
        <v>29.81</v>
      </c>
      <c r="BY56" s="50">
        <v>28.73</v>
      </c>
      <c r="BZ56" s="50">
        <v>30.1</v>
      </c>
      <c r="CA56" s="61">
        <v>31.9</v>
      </c>
      <c r="FO56" s="1"/>
      <c r="FP56" s="1"/>
      <c r="FQ56" s="1"/>
    </row>
    <row r="57" spans="1:173" ht="13.5" thickBot="1" x14ac:dyDescent="0.25">
      <c r="A57" s="19"/>
      <c r="B57" s="36" t="s">
        <v>136</v>
      </c>
      <c r="C57" s="194" t="s">
        <v>1</v>
      </c>
      <c r="D57" s="446">
        <f>Календарь!L149</f>
        <v>6.2</v>
      </c>
      <c r="E57" s="446">
        <f>Календарь!L148</f>
        <v>6.5</v>
      </c>
      <c r="F57" s="714">
        <f>E57</f>
        <v>6.5</v>
      </c>
      <c r="G57" s="714">
        <f>D57</f>
        <v>6.2</v>
      </c>
      <c r="H57" s="714">
        <f>E57</f>
        <v>6.5</v>
      </c>
      <c r="I57" s="714">
        <f>D57</f>
        <v>6.2</v>
      </c>
      <c r="J57" s="714">
        <f>E57</f>
        <v>6.5</v>
      </c>
      <c r="K57" s="714">
        <f>D57</f>
        <v>6.2</v>
      </c>
      <c r="L57" s="714">
        <f>E57</f>
        <v>6.5</v>
      </c>
      <c r="M57" s="714">
        <f>E57</f>
        <v>6.5</v>
      </c>
      <c r="N57" s="714">
        <f>E57</f>
        <v>6.5</v>
      </c>
      <c r="O57" s="714">
        <f>E57</f>
        <v>6.5</v>
      </c>
      <c r="P57" s="714">
        <f>E57</f>
        <v>6.5</v>
      </c>
      <c r="Q57" s="714">
        <f>E57</f>
        <v>6.5</v>
      </c>
      <c r="R57" s="714">
        <f>E57</f>
        <v>6.5</v>
      </c>
      <c r="S57" s="714">
        <f>E57</f>
        <v>6.5</v>
      </c>
      <c r="T57" s="714">
        <f>E57</f>
        <v>6.5</v>
      </c>
      <c r="U57" s="714">
        <f>E57</f>
        <v>6.5</v>
      </c>
      <c r="V57" s="714">
        <f>E57</f>
        <v>6.5</v>
      </c>
      <c r="W57" s="714">
        <f>E57</f>
        <v>6.5</v>
      </c>
      <c r="X57" s="714">
        <f>E57</f>
        <v>6.5</v>
      </c>
      <c r="Y57" s="714">
        <f>D57</f>
        <v>6.2</v>
      </c>
      <c r="Z57" s="714">
        <f>E57-3.4</f>
        <v>3.1</v>
      </c>
      <c r="AA57" s="19"/>
      <c r="AB57" s="19"/>
      <c r="AC57" s="19"/>
      <c r="AD57" s="19"/>
      <c r="AE57" s="19"/>
      <c r="AF57" s="19"/>
      <c r="AG57" s="19"/>
      <c r="AH57" s="19"/>
      <c r="AQ57" s="17"/>
      <c r="AR57" s="17"/>
      <c r="AS57" s="17"/>
      <c r="AT57" s="17"/>
      <c r="AU57" s="17"/>
      <c r="AV57" s="19"/>
      <c r="AW57" s="19"/>
      <c r="AX57" s="17"/>
      <c r="AY57" s="17"/>
      <c r="AZ57" s="17"/>
      <c r="BA57" s="17"/>
      <c r="BB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60">
        <v>4.0999999999999996</v>
      </c>
      <c r="BW57" s="50">
        <v>31.94</v>
      </c>
      <c r="BX57" s="50">
        <v>29.81</v>
      </c>
      <c r="BY57" s="50">
        <v>28.73</v>
      </c>
      <c r="BZ57" s="50">
        <v>30.1</v>
      </c>
      <c r="CA57" s="61">
        <v>31.9</v>
      </c>
      <c r="CB57" s="17"/>
      <c r="CC57" s="17"/>
      <c r="CD57" s="17"/>
      <c r="CE57" s="17"/>
      <c r="FO57" s="1"/>
      <c r="FP57" s="1"/>
      <c r="FQ57" s="1"/>
    </row>
    <row r="58" spans="1:173" ht="13.5" hidden="1" thickBot="1" x14ac:dyDescent="0.25">
      <c r="A58" s="19"/>
      <c r="B58" s="36" t="s">
        <v>137</v>
      </c>
      <c r="C58" s="194" t="s">
        <v>1</v>
      </c>
      <c r="D58" s="713">
        <v>0.12</v>
      </c>
      <c r="E58" s="713">
        <v>0.12</v>
      </c>
      <c r="F58" s="713">
        <v>0.12</v>
      </c>
      <c r="G58" s="713">
        <v>0.12</v>
      </c>
      <c r="H58" s="713">
        <v>0.12</v>
      </c>
      <c r="I58" s="713">
        <v>0.12</v>
      </c>
      <c r="J58" s="713">
        <v>0.12</v>
      </c>
      <c r="K58" s="713">
        <v>0.12</v>
      </c>
      <c r="L58" s="713">
        <v>0.12</v>
      </c>
      <c r="M58" s="713">
        <v>0.12</v>
      </c>
      <c r="N58" s="713">
        <v>0.09</v>
      </c>
      <c r="O58" s="713">
        <v>0.06</v>
      </c>
      <c r="P58" s="713">
        <v>0.09</v>
      </c>
      <c r="Q58" s="713">
        <v>0.06</v>
      </c>
      <c r="R58" s="713">
        <v>0.09</v>
      </c>
      <c r="S58" s="713">
        <v>0.03</v>
      </c>
      <c r="T58" s="713">
        <v>0.09</v>
      </c>
      <c r="U58" s="713">
        <v>0.03</v>
      </c>
      <c r="V58" s="713">
        <v>0.09</v>
      </c>
      <c r="W58" s="713">
        <v>0.03</v>
      </c>
      <c r="X58" s="713">
        <v>0.09</v>
      </c>
      <c r="Y58" s="713">
        <v>0.09</v>
      </c>
      <c r="Z58" s="713">
        <v>0.06</v>
      </c>
      <c r="AA58" s="19"/>
      <c r="AB58" s="19"/>
      <c r="AC58" s="19"/>
      <c r="AD58" s="19"/>
      <c r="AE58" s="19"/>
      <c r="AF58" s="19"/>
      <c r="AG58" s="19"/>
      <c r="AH58" s="19"/>
      <c r="AQ58" s="17"/>
      <c r="AS58" s="17"/>
      <c r="AT58" s="17"/>
      <c r="AU58" s="17"/>
      <c r="AV58" s="19"/>
      <c r="AW58" s="19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60">
        <v>4.2</v>
      </c>
      <c r="BW58" s="50">
        <v>31.94</v>
      </c>
      <c r="BX58" s="50">
        <v>29.81</v>
      </c>
      <c r="BY58" s="50">
        <v>28.73</v>
      </c>
      <c r="BZ58" s="50">
        <v>30.1</v>
      </c>
      <c r="CA58" s="61">
        <v>31.9</v>
      </c>
      <c r="CB58" s="17"/>
      <c r="CC58" s="17"/>
      <c r="CD58" s="17"/>
      <c r="CE58" s="17"/>
      <c r="FO58" s="1"/>
      <c r="FP58" s="1"/>
      <c r="FQ58" s="1"/>
    </row>
    <row r="59" spans="1:173" ht="13.5" hidden="1" thickBot="1" x14ac:dyDescent="0.25">
      <c r="B59" s="36" t="s">
        <v>138</v>
      </c>
      <c r="C59" s="194" t="s">
        <v>1</v>
      </c>
      <c r="D59" s="234">
        <v>0</v>
      </c>
      <c r="E59" s="234">
        <v>0</v>
      </c>
      <c r="F59" s="234">
        <v>0</v>
      </c>
      <c r="G59" s="210">
        <v>0</v>
      </c>
      <c r="H59" s="210">
        <v>0</v>
      </c>
      <c r="I59" s="734">
        <v>0</v>
      </c>
      <c r="J59" s="734">
        <v>0</v>
      </c>
      <c r="K59" s="761">
        <v>0</v>
      </c>
      <c r="L59" s="761">
        <v>0</v>
      </c>
      <c r="M59" s="761">
        <v>0</v>
      </c>
      <c r="N59" s="267">
        <v>0</v>
      </c>
      <c r="O59" s="322">
        <v>0</v>
      </c>
      <c r="P59" s="322">
        <v>0</v>
      </c>
      <c r="Q59" s="787">
        <v>0</v>
      </c>
      <c r="R59" s="787">
        <v>0</v>
      </c>
      <c r="S59" s="347">
        <v>0</v>
      </c>
      <c r="T59" s="347">
        <v>0</v>
      </c>
      <c r="U59" s="372">
        <v>0</v>
      </c>
      <c r="V59" s="372">
        <v>0</v>
      </c>
      <c r="W59" s="815">
        <v>0</v>
      </c>
      <c r="X59" s="815">
        <v>0</v>
      </c>
      <c r="Y59" s="431">
        <v>0</v>
      </c>
      <c r="Z59" s="431">
        <v>0</v>
      </c>
      <c r="BV59" s="60">
        <v>4.3</v>
      </c>
      <c r="BW59" s="50">
        <v>32.700000000000003</v>
      </c>
      <c r="BX59" s="50">
        <v>30.45</v>
      </c>
      <c r="BY59" s="50">
        <v>29.31</v>
      </c>
      <c r="BZ59" s="50">
        <v>30.1</v>
      </c>
      <c r="CA59" s="61">
        <v>31.9</v>
      </c>
      <c r="FO59" s="1"/>
      <c r="FP59" s="1"/>
      <c r="FQ59" s="1"/>
    </row>
    <row r="60" spans="1:173" ht="13.5" hidden="1" thickBot="1" x14ac:dyDescent="0.25">
      <c r="B60" s="36" t="s">
        <v>139</v>
      </c>
      <c r="C60" s="194" t="s">
        <v>43</v>
      </c>
      <c r="D60" s="713">
        <v>5</v>
      </c>
      <c r="E60" s="713">
        <v>5</v>
      </c>
      <c r="F60" s="713">
        <v>5</v>
      </c>
      <c r="G60" s="713">
        <v>5</v>
      </c>
      <c r="H60" s="713">
        <v>5</v>
      </c>
      <c r="I60" s="713">
        <v>5</v>
      </c>
      <c r="J60" s="713">
        <v>5</v>
      </c>
      <c r="K60" s="713">
        <v>5</v>
      </c>
      <c r="L60" s="713">
        <v>5</v>
      </c>
      <c r="M60" s="713">
        <v>5</v>
      </c>
      <c r="N60" s="713">
        <v>4</v>
      </c>
      <c r="O60" s="713">
        <v>2</v>
      </c>
      <c r="P60" s="713">
        <v>4</v>
      </c>
      <c r="Q60" s="713">
        <v>2</v>
      </c>
      <c r="R60" s="713">
        <v>4</v>
      </c>
      <c r="S60" s="713">
        <v>1</v>
      </c>
      <c r="T60" s="713">
        <v>4</v>
      </c>
      <c r="U60" s="713">
        <v>1</v>
      </c>
      <c r="V60" s="713">
        <v>4</v>
      </c>
      <c r="W60" s="713">
        <v>1</v>
      </c>
      <c r="X60" s="713">
        <v>4</v>
      </c>
      <c r="Y60" s="713">
        <v>2</v>
      </c>
      <c r="Z60" s="713">
        <v>1</v>
      </c>
      <c r="BV60" s="60">
        <v>4.4000000000000004</v>
      </c>
      <c r="BW60" s="50">
        <v>32.700000000000003</v>
      </c>
      <c r="BX60" s="50">
        <v>30.45</v>
      </c>
      <c r="BY60" s="50">
        <v>29.31</v>
      </c>
      <c r="BZ60" s="50">
        <v>30.1</v>
      </c>
      <c r="CA60" s="61">
        <v>31.9</v>
      </c>
      <c r="FO60" s="1"/>
      <c r="FP60" s="1"/>
      <c r="FQ60" s="1"/>
    </row>
    <row r="61" spans="1:173" ht="13.5" hidden="1" thickBot="1" x14ac:dyDescent="0.25">
      <c r="B61" s="36" t="s">
        <v>140</v>
      </c>
      <c r="C61" s="193"/>
      <c r="D61" s="228">
        <f t="shared" ref="D61:Y61" si="43">D62/D57</f>
        <v>0</v>
      </c>
      <c r="E61" s="228">
        <f t="shared" si="43"/>
        <v>0</v>
      </c>
      <c r="F61" s="228">
        <f t="shared" si="43"/>
        <v>0</v>
      </c>
      <c r="G61" s="204">
        <f t="shared" si="43"/>
        <v>0</v>
      </c>
      <c r="H61" s="204">
        <f t="shared" si="43"/>
        <v>0</v>
      </c>
      <c r="I61" s="728">
        <f t="shared" si="43"/>
        <v>0</v>
      </c>
      <c r="J61" s="728">
        <f t="shared" si="43"/>
        <v>0</v>
      </c>
      <c r="K61" s="755">
        <f t="shared" si="43"/>
        <v>0</v>
      </c>
      <c r="L61" s="755">
        <f t="shared" si="43"/>
        <v>0</v>
      </c>
      <c r="M61" s="755">
        <f t="shared" si="43"/>
        <v>0</v>
      </c>
      <c r="N61" s="262">
        <f t="shared" si="43"/>
        <v>0</v>
      </c>
      <c r="O61" s="317">
        <f t="shared" si="43"/>
        <v>0</v>
      </c>
      <c r="P61" s="317">
        <f t="shared" si="43"/>
        <v>0</v>
      </c>
      <c r="Q61" s="782">
        <f t="shared" si="43"/>
        <v>0</v>
      </c>
      <c r="R61" s="782">
        <f t="shared" si="43"/>
        <v>0</v>
      </c>
      <c r="S61" s="342">
        <f t="shared" si="43"/>
        <v>0</v>
      </c>
      <c r="T61" s="342">
        <f t="shared" si="43"/>
        <v>0</v>
      </c>
      <c r="U61" s="367">
        <f t="shared" si="43"/>
        <v>0</v>
      </c>
      <c r="V61" s="367">
        <f t="shared" si="43"/>
        <v>0</v>
      </c>
      <c r="W61" s="810">
        <f t="shared" si="43"/>
        <v>0</v>
      </c>
      <c r="X61" s="810">
        <f t="shared" si="43"/>
        <v>0</v>
      </c>
      <c r="Y61" s="426">
        <f t="shared" si="43"/>
        <v>0</v>
      </c>
      <c r="Z61" s="426">
        <f t="shared" ref="Z61" si="44">Z62/Z57</f>
        <v>0</v>
      </c>
      <c r="BV61" s="60">
        <v>4.5</v>
      </c>
      <c r="BW61" s="50">
        <v>32.700000000000003</v>
      </c>
      <c r="BX61" s="50">
        <v>30.45</v>
      </c>
      <c r="BY61" s="50">
        <v>29.31</v>
      </c>
      <c r="BZ61" s="50">
        <v>30.1</v>
      </c>
      <c r="CA61" s="61">
        <v>31.9</v>
      </c>
      <c r="FO61" s="1"/>
      <c r="FP61" s="1"/>
      <c r="FQ61" s="1"/>
    </row>
    <row r="62" spans="1:173" ht="13.5" hidden="1" thickBot="1" x14ac:dyDescent="0.25">
      <c r="B62" s="36" t="s">
        <v>141</v>
      </c>
      <c r="C62" s="194" t="s">
        <v>1</v>
      </c>
      <c r="D62" s="234"/>
      <c r="E62" s="234"/>
      <c r="F62" s="234"/>
      <c r="G62" s="210"/>
      <c r="H62" s="210"/>
      <c r="I62" s="734"/>
      <c r="J62" s="734"/>
      <c r="K62" s="761"/>
      <c r="L62" s="761"/>
      <c r="M62" s="761"/>
      <c r="N62" s="267"/>
      <c r="O62" s="322"/>
      <c r="P62" s="322"/>
      <c r="Q62" s="787"/>
      <c r="R62" s="787"/>
      <c r="S62" s="347"/>
      <c r="T62" s="347"/>
      <c r="U62" s="372"/>
      <c r="V62" s="372"/>
      <c r="W62" s="815"/>
      <c r="X62" s="815"/>
      <c r="Y62" s="431"/>
      <c r="Z62" s="431"/>
      <c r="BV62" s="60">
        <v>4.5999999999999996</v>
      </c>
      <c r="BW62" s="50">
        <v>32.700000000000003</v>
      </c>
      <c r="BX62" s="50">
        <v>30.45</v>
      </c>
      <c r="BY62" s="50">
        <v>29.31</v>
      </c>
      <c r="BZ62" s="50">
        <v>30.9</v>
      </c>
      <c r="CA62" s="61">
        <v>32.9</v>
      </c>
      <c r="FO62" s="1"/>
      <c r="FP62" s="1"/>
      <c r="FQ62" s="1"/>
    </row>
    <row r="63" spans="1:173" ht="13.5" hidden="1" thickBot="1" x14ac:dyDescent="0.25">
      <c r="B63" s="36" t="s">
        <v>142</v>
      </c>
      <c r="C63" s="193"/>
      <c r="D63" s="236">
        <f>HLOOKUP("высоты",$CD$28:$CE$33,IF(D57&lt;=1.5,3,IF(D57&lt;=3,4,IF(D57&lt;=5,5,6))))</f>
        <v>14</v>
      </c>
      <c r="E63" s="236">
        <f>HLOOKUP("высоты",$CD$28:$CE$33,IF(E57&lt;=1.5,3,IF(E57&lt;=3,4,IF(E57&lt;=5,5,6))))</f>
        <v>14</v>
      </c>
      <c r="F63" s="236">
        <f>HLOOKUP("высоты",$CD$28:$CE$33,IF(F57&lt;=1.5,3,IF(F57&lt;=3,4,IF(F57&lt;=5,5,6))))</f>
        <v>14</v>
      </c>
      <c r="G63" s="212">
        <f>HLOOKUP("высоты",$CD$28:$CE$33,IF(G57&lt;=1.5,3,IF(G57&lt;=3,4,IF(G57&lt;=5,5,6))))</f>
        <v>14</v>
      </c>
      <c r="H63" s="212">
        <f>HLOOKUP("высоты",$CD$28:$CE$33,IF(H57&lt;=1.5,3,IF(H57&lt;=3,4,IF(H57&lt;=5,5,6))))</f>
        <v>14</v>
      </c>
      <c r="I63" s="736">
        <f>HLOOKUP("высоты",$CD$28:$CE$33,IF(I57&lt;=1.5,3,IF(I57&lt;=3,4,IF(I57&lt;=5,5,6))))</f>
        <v>14</v>
      </c>
      <c r="J63" s="736">
        <f>HLOOKUP("высоты",$CD$28:$CE$33,IF(J57&lt;=1.5,3,IF(J57&lt;=3,4,IF(J57&lt;=5,5,6))))</f>
        <v>14</v>
      </c>
      <c r="K63" s="763">
        <f>HLOOKUP("высоты",$CD$28:$CE$33,IF(K57&lt;=1.5,3,IF(K57&lt;=3,4,IF(K57&lt;=5,5,6))))</f>
        <v>14</v>
      </c>
      <c r="L63" s="763">
        <f>HLOOKUP("высоты",$CD$28:$CE$33,IF(L57&lt;=1.5,3,IF(L57&lt;=3,4,IF(L57&lt;=5,5,6))))</f>
        <v>14</v>
      </c>
      <c r="M63" s="763">
        <f>HLOOKUP("высоты",$CD$28:$CE$33,IF(M57&lt;=1.5,3,IF(M57&lt;=3,4,IF(M57&lt;=5,5,6))))</f>
        <v>14</v>
      </c>
      <c r="N63" s="269">
        <f>HLOOKUP("высоты",$CD$28:$CE$33,IF(N57&lt;=1.5,3,IF(N57&lt;=3,4,IF(N57&lt;=5,5,6))))</f>
        <v>14</v>
      </c>
      <c r="O63" s="324">
        <f>HLOOKUP("высоты",$CD$28:$CE$33,IF(O57&lt;=1.5,3,IF(O57&lt;=3,4,IF(O57&lt;=5,5,6))))</f>
        <v>14</v>
      </c>
      <c r="P63" s="324">
        <f>HLOOKUP("высоты",$CD$28:$CE$33,IF(P57&lt;=1.5,3,IF(P57&lt;=3,4,IF(P57&lt;=5,5,6))))</f>
        <v>14</v>
      </c>
      <c r="Q63" s="789">
        <f>HLOOKUP("высоты",$CD$28:$CE$33,IF(Q57&lt;=1.5,3,IF(Q57&lt;=3,4,IF(Q57&lt;=5,5,6))))</f>
        <v>14</v>
      </c>
      <c r="R63" s="789">
        <f>HLOOKUP("высоты",$CD$28:$CE$33,IF(R57&lt;=1.5,3,IF(R57&lt;=3,4,IF(R57&lt;=5,5,6))))</f>
        <v>14</v>
      </c>
      <c r="S63" s="349">
        <f>HLOOKUP("высоты",$CD$28:$CE$33,IF(S57&lt;=1.5,3,IF(S57&lt;=3,4,IF(S57&lt;=5,5,6))))</f>
        <v>14</v>
      </c>
      <c r="T63" s="349">
        <f>HLOOKUP("высоты",$CD$28:$CE$33,IF(T57&lt;=1.5,3,IF(T57&lt;=3,4,IF(T57&lt;=5,5,6))))</f>
        <v>14</v>
      </c>
      <c r="U63" s="374">
        <f>HLOOKUP("высоты",$CD$28:$CE$33,IF(U57&lt;=1.5,3,IF(U57&lt;=3,4,IF(U57&lt;=5,5,6))))</f>
        <v>14</v>
      </c>
      <c r="V63" s="374">
        <f>HLOOKUP("высоты",$CD$28:$CE$33,IF(V57&lt;=1.5,3,IF(V57&lt;=3,4,IF(V57&lt;=5,5,6))))</f>
        <v>14</v>
      </c>
      <c r="W63" s="817">
        <f>HLOOKUP("высоты",$CD$28:$CE$33,IF(W57&lt;=1.5,3,IF(W57&lt;=3,4,IF(W57&lt;=5,5,6))))</f>
        <v>14</v>
      </c>
      <c r="X63" s="817">
        <f>HLOOKUP("высоты",$CD$28:$CE$33,IF(X57&lt;=1.5,3,IF(X57&lt;=3,4,IF(X57&lt;=5,5,6))))</f>
        <v>14</v>
      </c>
      <c r="Y63" s="433">
        <f>HLOOKUP("высоты",$CD$28:$CE$33,IF(Y57&lt;=1.5,3,IF(Y57&lt;=3,4,IF(Y57&lt;=5,5,6))))</f>
        <v>14</v>
      </c>
      <c r="Z63" s="433">
        <f>HLOOKUP("высоты",$CD$28:$CE$33,IF(Z57&lt;=1.5,3,IF(Z57&lt;=3,4,IF(Z57&lt;=5,5,6))))</f>
        <v>13</v>
      </c>
      <c r="BV63" s="60">
        <v>4.7</v>
      </c>
      <c r="BW63" s="50">
        <v>32.700000000000003</v>
      </c>
      <c r="BX63" s="50">
        <v>30.45</v>
      </c>
      <c r="BY63" s="50">
        <v>29.31</v>
      </c>
      <c r="BZ63" s="50">
        <v>30.9</v>
      </c>
      <c r="CA63" s="61">
        <v>32.9</v>
      </c>
      <c r="FO63" s="1"/>
      <c r="FP63" s="1"/>
      <c r="FQ63" s="1"/>
    </row>
    <row r="64" spans="1:173" ht="13.5" hidden="1" thickBot="1" x14ac:dyDescent="0.25">
      <c r="B64" s="44" t="s">
        <v>143</v>
      </c>
      <c r="C64" s="195"/>
      <c r="D64" s="236">
        <f>HLOOKUP("спуска ",$CD$28:$CE$33,IF(D57&lt;=1.5,3,IF(D57&lt;=3,4,IF(D57&lt;=5,5,6))))</f>
        <v>9.5</v>
      </c>
      <c r="E64" s="236">
        <f>HLOOKUP("спуска ",$CD$28:$CE$33,IF(E57&lt;=1.5,3,IF(E57&lt;=3,4,IF(E57&lt;=5,5,6))))</f>
        <v>9.5</v>
      </c>
      <c r="F64" s="236">
        <f>HLOOKUP("спуска ",$CD$28:$CE$33,IF(F57&lt;=1.5,3,IF(F57&lt;=3,4,IF(F57&lt;=5,5,6))))</f>
        <v>9.5</v>
      </c>
      <c r="G64" s="212">
        <f>HLOOKUP("спуска ",$CD$28:$CE$33,IF(G57&lt;=1.5,3,IF(G57&lt;=3,4,IF(G57&lt;=5,5,6))))</f>
        <v>9.5</v>
      </c>
      <c r="H64" s="212">
        <f>HLOOKUP("спуска ",$CD$28:$CE$33,IF(H57&lt;=1.5,3,IF(H57&lt;=3,4,IF(H57&lt;=5,5,6))))</f>
        <v>9.5</v>
      </c>
      <c r="I64" s="736">
        <f>HLOOKUP("спуска ",$CD$28:$CE$33,IF(I57&lt;=1.5,3,IF(I57&lt;=3,4,IF(I57&lt;=5,5,6))))</f>
        <v>9.5</v>
      </c>
      <c r="J64" s="736">
        <f>HLOOKUP("спуска ",$CD$28:$CE$33,IF(J57&lt;=1.5,3,IF(J57&lt;=3,4,IF(J57&lt;=5,5,6))))</f>
        <v>9.5</v>
      </c>
      <c r="K64" s="763">
        <f>HLOOKUP("спуска ",$CD$28:$CE$33,IF(K57&lt;=1.5,3,IF(K57&lt;=3,4,IF(K57&lt;=5,5,6))))</f>
        <v>9.5</v>
      </c>
      <c r="L64" s="763">
        <f>HLOOKUP("спуска ",$CD$28:$CE$33,IF(L57&lt;=1.5,3,IF(L57&lt;=3,4,IF(L57&lt;=5,5,6))))</f>
        <v>9.5</v>
      </c>
      <c r="M64" s="763">
        <f>HLOOKUP("спуска ",$CD$28:$CE$33,IF(M57&lt;=1.5,3,IF(M57&lt;=3,4,IF(M57&lt;=5,5,6))))</f>
        <v>9.5</v>
      </c>
      <c r="N64" s="269">
        <f>HLOOKUP("спуска ",$CD$28:$CE$33,IF(N57&lt;=1.5,3,IF(N57&lt;=3,4,IF(N57&lt;=5,5,6))))</f>
        <v>9.5</v>
      </c>
      <c r="O64" s="324">
        <f>HLOOKUP("спуска ",$CD$28:$CE$33,IF(O57&lt;=1.5,3,IF(O57&lt;=3,4,IF(O57&lt;=5,5,6))))</f>
        <v>9.5</v>
      </c>
      <c r="P64" s="324">
        <f>HLOOKUP("спуска ",$CD$28:$CE$33,IF(P57&lt;=1.5,3,IF(P57&lt;=3,4,IF(P57&lt;=5,5,6))))</f>
        <v>9.5</v>
      </c>
      <c r="Q64" s="789">
        <f>HLOOKUP("спуска ",$CD$28:$CE$33,IF(Q57&lt;=1.5,3,IF(Q57&lt;=3,4,IF(Q57&lt;=5,5,6))))</f>
        <v>9.5</v>
      </c>
      <c r="R64" s="789">
        <f>HLOOKUP("спуска ",$CD$28:$CE$33,IF(R57&lt;=1.5,3,IF(R57&lt;=3,4,IF(R57&lt;=5,5,6))))</f>
        <v>9.5</v>
      </c>
      <c r="S64" s="349">
        <f>HLOOKUP("спуска ",$CD$28:$CE$33,IF(S57&lt;=1.5,3,IF(S57&lt;=3,4,IF(S57&lt;=5,5,6))))</f>
        <v>9.5</v>
      </c>
      <c r="T64" s="349">
        <f>HLOOKUP("спуска ",$CD$28:$CE$33,IF(T57&lt;=1.5,3,IF(T57&lt;=3,4,IF(T57&lt;=5,5,6))))</f>
        <v>9.5</v>
      </c>
      <c r="U64" s="374">
        <f>HLOOKUP("спуска ",$CD$28:$CE$33,IF(U57&lt;=1.5,3,IF(U57&lt;=3,4,IF(U57&lt;=5,5,6))))</f>
        <v>9.5</v>
      </c>
      <c r="V64" s="374">
        <f>HLOOKUP("спуска ",$CD$28:$CE$33,IF(V57&lt;=1.5,3,IF(V57&lt;=3,4,IF(V57&lt;=5,5,6))))</f>
        <v>9.5</v>
      </c>
      <c r="W64" s="817">
        <f>HLOOKUP("спуска ",$CD$28:$CE$33,IF(W57&lt;=1.5,3,IF(W57&lt;=3,4,IF(W57&lt;=5,5,6))))</f>
        <v>9.5</v>
      </c>
      <c r="X64" s="817">
        <f>HLOOKUP("спуска ",$CD$28:$CE$33,IF(X57&lt;=1.5,3,IF(X57&lt;=3,4,IF(X57&lt;=5,5,6))))</f>
        <v>9.5</v>
      </c>
      <c r="Y64" s="433">
        <f>HLOOKUP("спуска ",$CD$28:$CE$33,IF(Y57&lt;=1.5,3,IF(Y57&lt;=3,4,IF(Y57&lt;=5,5,6))))</f>
        <v>9.5</v>
      </c>
      <c r="Z64" s="433">
        <f>HLOOKUP("спуска ",$CD$28:$CE$33,IF(Z57&lt;=1.5,3,IF(Z57&lt;=3,4,IF(Z57&lt;=5,5,6))))</f>
        <v>9</v>
      </c>
      <c r="BV64" s="60">
        <v>4.8</v>
      </c>
      <c r="BW64" s="50">
        <v>33.35</v>
      </c>
      <c r="BX64" s="50">
        <v>30.99</v>
      </c>
      <c r="BY64" s="50">
        <v>29.8</v>
      </c>
      <c r="BZ64" s="50">
        <v>30.9</v>
      </c>
      <c r="CA64" s="61">
        <v>32.9</v>
      </c>
      <c r="FO64" s="1"/>
      <c r="FP64" s="1"/>
      <c r="FQ64" s="1"/>
    </row>
    <row r="65" spans="2:173" ht="13.5" hidden="1" thickBot="1" x14ac:dyDescent="0.25">
      <c r="B65" s="36" t="s">
        <v>144</v>
      </c>
      <c r="C65" s="194" t="s">
        <v>1</v>
      </c>
      <c r="D65" s="228">
        <f t="shared" ref="D65:Y65" si="45">ROUND((D57+D63*D58+D64*D59)*(1-0.2*D61)+0.1*D60,1)</f>
        <v>8.4</v>
      </c>
      <c r="E65" s="228">
        <f t="shared" si="45"/>
        <v>8.6999999999999993</v>
      </c>
      <c r="F65" s="228">
        <f t="shared" si="45"/>
        <v>8.6999999999999993</v>
      </c>
      <c r="G65" s="204">
        <f t="shared" si="45"/>
        <v>8.4</v>
      </c>
      <c r="H65" s="204">
        <f t="shared" si="45"/>
        <v>8.6999999999999993</v>
      </c>
      <c r="I65" s="728">
        <f t="shared" si="45"/>
        <v>8.4</v>
      </c>
      <c r="J65" s="728">
        <f t="shared" si="45"/>
        <v>8.6999999999999993</v>
      </c>
      <c r="K65" s="755">
        <f t="shared" si="45"/>
        <v>8.4</v>
      </c>
      <c r="L65" s="755">
        <f t="shared" si="45"/>
        <v>8.6999999999999993</v>
      </c>
      <c r="M65" s="755">
        <f t="shared" si="45"/>
        <v>8.6999999999999993</v>
      </c>
      <c r="N65" s="262">
        <f t="shared" si="45"/>
        <v>8.1999999999999993</v>
      </c>
      <c r="O65" s="317">
        <f t="shared" si="45"/>
        <v>7.5</v>
      </c>
      <c r="P65" s="317">
        <f t="shared" si="45"/>
        <v>8.1999999999999993</v>
      </c>
      <c r="Q65" s="782">
        <f t="shared" si="45"/>
        <v>7.5</v>
      </c>
      <c r="R65" s="782">
        <f t="shared" si="45"/>
        <v>8.1999999999999993</v>
      </c>
      <c r="S65" s="342">
        <f t="shared" si="45"/>
        <v>7</v>
      </c>
      <c r="T65" s="342">
        <f t="shared" si="45"/>
        <v>8.1999999999999993</v>
      </c>
      <c r="U65" s="367">
        <f t="shared" si="45"/>
        <v>7</v>
      </c>
      <c r="V65" s="367">
        <f t="shared" si="45"/>
        <v>8.1999999999999993</v>
      </c>
      <c r="W65" s="810">
        <f t="shared" si="45"/>
        <v>7</v>
      </c>
      <c r="X65" s="810">
        <f t="shared" si="45"/>
        <v>8.1999999999999993</v>
      </c>
      <c r="Y65" s="426">
        <f t="shared" si="45"/>
        <v>7.7</v>
      </c>
      <c r="Z65" s="426">
        <f t="shared" ref="Z65" si="46">ROUND((Z57+Z63*Z58+Z64*Z59)*(1-0.2*Z61)+0.1*Z60,1)</f>
        <v>4</v>
      </c>
      <c r="BV65" s="60">
        <v>4.9000000000000004</v>
      </c>
      <c r="BW65" s="50">
        <v>33.35</v>
      </c>
      <c r="BX65" s="50">
        <v>30.99</v>
      </c>
      <c r="BY65" s="50">
        <v>29.8</v>
      </c>
      <c r="BZ65" s="50">
        <v>30.9</v>
      </c>
      <c r="CA65" s="61">
        <v>32.9</v>
      </c>
      <c r="FO65" s="1"/>
      <c r="FP65" s="1"/>
      <c r="FQ65" s="1"/>
    </row>
    <row r="66" spans="2:173" ht="13.5" hidden="1" thickBot="1" x14ac:dyDescent="0.25">
      <c r="B66" s="36" t="s">
        <v>145</v>
      </c>
      <c r="C66" s="194"/>
      <c r="D66" s="226"/>
      <c r="E66" s="226"/>
      <c r="F66" s="226"/>
      <c r="G66" s="202"/>
      <c r="H66" s="202"/>
      <c r="I66" s="726"/>
      <c r="J66" s="726"/>
      <c r="K66" s="717"/>
      <c r="L66" s="717"/>
      <c r="M66" s="717"/>
      <c r="N66" s="260"/>
      <c r="O66" s="315"/>
      <c r="P66" s="315"/>
      <c r="Q66" s="718"/>
      <c r="R66" s="718"/>
      <c r="S66" s="340"/>
      <c r="T66" s="340"/>
      <c r="U66" s="365"/>
      <c r="V66" s="365"/>
      <c r="W66" s="808"/>
      <c r="X66" s="808"/>
      <c r="Y66" s="424"/>
      <c r="Z66" s="424"/>
      <c r="BV66" s="60">
        <v>5</v>
      </c>
      <c r="BW66" s="50">
        <v>33.35</v>
      </c>
      <c r="BX66" s="50">
        <v>30.99</v>
      </c>
      <c r="BY66" s="50">
        <v>29.8</v>
      </c>
      <c r="BZ66" s="50">
        <v>30.9</v>
      </c>
      <c r="CA66" s="61">
        <v>32.9</v>
      </c>
      <c r="FO66" s="1"/>
      <c r="FP66" s="1"/>
      <c r="FQ66" s="1"/>
    </row>
    <row r="67" spans="2:173" ht="13.5" hidden="1" thickBot="1" x14ac:dyDescent="0.25">
      <c r="B67" s="38"/>
      <c r="C67" s="189"/>
      <c r="D67" s="232"/>
      <c r="E67" s="232"/>
      <c r="F67" s="232"/>
      <c r="G67" s="208"/>
      <c r="H67" s="208"/>
      <c r="I67" s="732"/>
      <c r="J67" s="732"/>
      <c r="K67" s="759"/>
      <c r="L67" s="759"/>
      <c r="M67" s="759"/>
      <c r="N67" s="265"/>
      <c r="O67" s="320"/>
      <c r="P67" s="320"/>
      <c r="Q67" s="785"/>
      <c r="R67" s="785"/>
      <c r="S67" s="345"/>
      <c r="T67" s="345"/>
      <c r="U67" s="370"/>
      <c r="V67" s="370"/>
      <c r="W67" s="813"/>
      <c r="X67" s="813"/>
      <c r="Y67" s="429"/>
      <c r="Z67" s="429"/>
      <c r="BV67" s="60">
        <v>5.0999999999999996</v>
      </c>
      <c r="BW67" s="50">
        <v>33.35</v>
      </c>
      <c r="BX67" s="50">
        <v>30.99</v>
      </c>
      <c r="BY67" s="50">
        <v>29.8</v>
      </c>
      <c r="BZ67" s="50">
        <v>30.9</v>
      </c>
      <c r="CA67" s="61">
        <v>32.9</v>
      </c>
      <c r="FO67" s="1"/>
      <c r="FP67" s="1"/>
      <c r="FQ67" s="1"/>
    </row>
    <row r="68" spans="2:173" ht="13.5" hidden="1" thickBot="1" x14ac:dyDescent="0.25">
      <c r="B68" s="36" t="s">
        <v>57</v>
      </c>
      <c r="C68" s="185" t="s">
        <v>58</v>
      </c>
      <c r="D68" s="237">
        <f t="shared" ref="D68:Y68" si="47">D69*D18</f>
        <v>1035.8599999999999</v>
      </c>
      <c r="E68" s="237">
        <f t="shared" si="47"/>
        <v>1336.0260000000001</v>
      </c>
      <c r="F68" s="237">
        <f t="shared" si="47"/>
        <v>1353.9360000000001</v>
      </c>
      <c r="G68" s="213">
        <f t="shared" si="47"/>
        <v>1268.1199999999999</v>
      </c>
      <c r="H68" s="213">
        <f t="shared" si="47"/>
        <v>1323.384</v>
      </c>
      <c r="I68" s="737">
        <f t="shared" si="47"/>
        <v>925.25999999999988</v>
      </c>
      <c r="J68" s="737">
        <f t="shared" si="47"/>
        <v>1222.6199999999999</v>
      </c>
      <c r="K68" s="764">
        <f t="shared" si="47"/>
        <v>1152.3399999999999</v>
      </c>
      <c r="L68" s="764">
        <f t="shared" si="47"/>
        <v>1607.856</v>
      </c>
      <c r="M68" s="764">
        <f t="shared" si="47"/>
        <v>1751.6480000000001</v>
      </c>
      <c r="N68" s="270">
        <f t="shared" si="47"/>
        <v>3375.9960000000005</v>
      </c>
      <c r="O68" s="325">
        <f t="shared" si="47"/>
        <v>3337.3360000000002</v>
      </c>
      <c r="P68" s="325">
        <f t="shared" si="47"/>
        <v>3375.9960000000005</v>
      </c>
      <c r="Q68" s="790">
        <f t="shared" si="47"/>
        <v>3133.48</v>
      </c>
      <c r="R68" s="790">
        <f t="shared" si="47"/>
        <v>3182.2320000000004</v>
      </c>
      <c r="S68" s="350">
        <f t="shared" si="47"/>
        <v>2558.9520000000002</v>
      </c>
      <c r="T68" s="350">
        <f t="shared" si="47"/>
        <v>2969.1720000000005</v>
      </c>
      <c r="U68" s="375">
        <f t="shared" si="47"/>
        <v>3086.36</v>
      </c>
      <c r="V68" s="375">
        <f t="shared" si="47"/>
        <v>2993.2920000000004</v>
      </c>
      <c r="W68" s="818">
        <f t="shared" si="47"/>
        <v>2996.3360000000002</v>
      </c>
      <c r="X68" s="818">
        <f t="shared" si="47"/>
        <v>2914.5</v>
      </c>
      <c r="Y68" s="434">
        <f t="shared" si="47"/>
        <v>1189.58</v>
      </c>
      <c r="Z68" s="434">
        <f t="shared" ref="Z68" si="48">Z69*Z18</f>
        <v>2759.328</v>
      </c>
      <c r="BV68" s="60">
        <v>5.2</v>
      </c>
      <c r="BW68" s="50">
        <v>33.35</v>
      </c>
      <c r="BX68" s="50">
        <v>30.99</v>
      </c>
      <c r="BY68" s="50">
        <v>29.8</v>
      </c>
      <c r="BZ68" s="50">
        <v>30.9</v>
      </c>
      <c r="CA68" s="61">
        <v>32.9</v>
      </c>
      <c r="FO68" s="1"/>
      <c r="FP68" s="1"/>
      <c r="FQ68" s="1"/>
    </row>
    <row r="69" spans="2:173" ht="13.5" hidden="1" thickBot="1" x14ac:dyDescent="0.25">
      <c r="B69" s="45" t="s">
        <v>146</v>
      </c>
      <c r="C69" s="185" t="s">
        <v>59</v>
      </c>
      <c r="D69" s="238">
        <f t="shared" ref="D69:Y69" si="49">ROUND((D40-D41-D42-D43)/(D32+D26+D38+D33+D34+D37)*D24*D46,1)</f>
        <v>739.9</v>
      </c>
      <c r="E69" s="238">
        <f t="shared" si="49"/>
        <v>543.1</v>
      </c>
      <c r="F69" s="238">
        <f t="shared" si="49"/>
        <v>505.2</v>
      </c>
      <c r="G69" s="214">
        <f t="shared" si="49"/>
        <v>905.8</v>
      </c>
      <c r="H69" s="214">
        <f t="shared" si="49"/>
        <v>493.8</v>
      </c>
      <c r="I69" s="738">
        <f t="shared" si="49"/>
        <v>660.9</v>
      </c>
      <c r="J69" s="738">
        <f t="shared" si="49"/>
        <v>497</v>
      </c>
      <c r="K69" s="765">
        <f t="shared" si="49"/>
        <v>823.1</v>
      </c>
      <c r="L69" s="765">
        <f t="shared" si="49"/>
        <v>653.6</v>
      </c>
      <c r="M69" s="765">
        <f t="shared" si="49"/>
        <v>653.6</v>
      </c>
      <c r="N69" s="271">
        <f t="shared" si="49"/>
        <v>1259.7</v>
      </c>
      <c r="O69" s="326">
        <f t="shared" si="49"/>
        <v>1345.7</v>
      </c>
      <c r="P69" s="326">
        <f t="shared" si="49"/>
        <v>1259.7</v>
      </c>
      <c r="Q69" s="791">
        <f t="shared" si="49"/>
        <v>1263.5</v>
      </c>
      <c r="R69" s="791">
        <f t="shared" si="49"/>
        <v>1187.4000000000001</v>
      </c>
      <c r="S69" s="351">
        <f t="shared" si="49"/>
        <v>1292.4000000000001</v>
      </c>
      <c r="T69" s="351">
        <f t="shared" si="49"/>
        <v>1107.9000000000001</v>
      </c>
      <c r="U69" s="376">
        <f t="shared" si="49"/>
        <v>1244.5</v>
      </c>
      <c r="V69" s="376">
        <f t="shared" si="49"/>
        <v>1116.9000000000001</v>
      </c>
      <c r="W69" s="819">
        <f t="shared" si="49"/>
        <v>1208.2</v>
      </c>
      <c r="X69" s="819">
        <f t="shared" si="49"/>
        <v>1087.5</v>
      </c>
      <c r="Y69" s="435">
        <f t="shared" si="49"/>
        <v>849.7</v>
      </c>
      <c r="Z69" s="435">
        <f t="shared" ref="Z69" si="50">ROUND((Z40-Z41-Z42-Z43)/(Z32+Z26+Z38+Z33+Z34+Z37)*Z24*Z46,1)</f>
        <v>1029.5999999999999</v>
      </c>
      <c r="BV69" s="60">
        <v>5.3</v>
      </c>
      <c r="BW69" s="50">
        <v>33.89</v>
      </c>
      <c r="BX69" s="50">
        <v>31.44</v>
      </c>
      <c r="BY69" s="50">
        <v>30.21</v>
      </c>
      <c r="BZ69" s="50">
        <v>30.9</v>
      </c>
      <c r="CA69" s="61">
        <v>32.9</v>
      </c>
      <c r="FO69" s="1"/>
      <c r="FP69" s="1"/>
      <c r="FQ69" s="1"/>
    </row>
    <row r="70" spans="2:173" ht="13.5" hidden="1" thickBot="1" x14ac:dyDescent="0.25">
      <c r="B70" s="36" t="s">
        <v>147</v>
      </c>
      <c r="C70" s="185" t="s">
        <v>43</v>
      </c>
      <c r="D70" s="239">
        <f t="shared" ref="D70:Y70" si="51">ROUND((D40-D41-D42-D43)/(D32+D26+D38+D33+D34+D37)*D46,0)</f>
        <v>15</v>
      </c>
      <c r="E70" s="239">
        <f t="shared" si="51"/>
        <v>15</v>
      </c>
      <c r="F70" s="239">
        <f t="shared" si="51"/>
        <v>15</v>
      </c>
      <c r="G70" s="215">
        <f t="shared" si="51"/>
        <v>16</v>
      </c>
      <c r="H70" s="215">
        <f t="shared" si="51"/>
        <v>10</v>
      </c>
      <c r="I70" s="739">
        <f t="shared" si="51"/>
        <v>14</v>
      </c>
      <c r="J70" s="739">
        <f t="shared" si="51"/>
        <v>13</v>
      </c>
      <c r="K70" s="766">
        <f t="shared" si="51"/>
        <v>14</v>
      </c>
      <c r="L70" s="766">
        <f t="shared" si="51"/>
        <v>14</v>
      </c>
      <c r="M70" s="766">
        <f t="shared" si="51"/>
        <v>14</v>
      </c>
      <c r="N70" s="272">
        <f t="shared" si="51"/>
        <v>17</v>
      </c>
      <c r="O70" s="327">
        <f t="shared" si="51"/>
        <v>18</v>
      </c>
      <c r="P70" s="327">
        <f t="shared" si="51"/>
        <v>17</v>
      </c>
      <c r="Q70" s="792">
        <f t="shared" si="51"/>
        <v>17</v>
      </c>
      <c r="R70" s="792">
        <f t="shared" si="51"/>
        <v>16</v>
      </c>
      <c r="S70" s="352">
        <f t="shared" si="51"/>
        <v>14</v>
      </c>
      <c r="T70" s="352">
        <f t="shared" si="51"/>
        <v>15</v>
      </c>
      <c r="U70" s="377">
        <f t="shared" si="51"/>
        <v>17</v>
      </c>
      <c r="V70" s="377">
        <f t="shared" si="51"/>
        <v>15</v>
      </c>
      <c r="W70" s="820">
        <f t="shared" si="51"/>
        <v>16</v>
      </c>
      <c r="X70" s="820">
        <f t="shared" si="51"/>
        <v>15</v>
      </c>
      <c r="Y70" s="436">
        <f t="shared" si="51"/>
        <v>15</v>
      </c>
      <c r="Z70" s="436">
        <f t="shared" ref="Z70" si="52">ROUND((Z40-Z41-Z42-Z43)/(Z32+Z26+Z38+Z33+Z34+Z37)*Z46,0)</f>
        <v>22</v>
      </c>
      <c r="BV70" s="60">
        <v>5.4</v>
      </c>
      <c r="BW70" s="50">
        <v>33.89</v>
      </c>
      <c r="BX70" s="50">
        <v>31.44</v>
      </c>
      <c r="BY70" s="50">
        <v>30.21</v>
      </c>
      <c r="BZ70" s="50">
        <v>30.9</v>
      </c>
      <c r="CA70" s="61">
        <v>32.9</v>
      </c>
      <c r="FO70" s="1"/>
      <c r="FP70" s="1"/>
      <c r="FQ70" s="1"/>
    </row>
    <row r="71" spans="2:173" ht="13.5" hidden="1" thickBot="1" x14ac:dyDescent="0.25">
      <c r="B71" s="36" t="s">
        <v>60</v>
      </c>
      <c r="C71" s="185" t="s">
        <v>62</v>
      </c>
      <c r="D71" s="238">
        <f t="shared" ref="D71:Y71" si="53">D72*D18</f>
        <v>2071.7199999999998</v>
      </c>
      <c r="E71" s="238">
        <f t="shared" si="53"/>
        <v>2672.0520000000001</v>
      </c>
      <c r="F71" s="238">
        <f t="shared" si="53"/>
        <v>2707.8720000000003</v>
      </c>
      <c r="G71" s="214">
        <f t="shared" si="53"/>
        <v>2536.2399999999998</v>
      </c>
      <c r="H71" s="214">
        <f t="shared" si="53"/>
        <v>2646.768</v>
      </c>
      <c r="I71" s="738">
        <f t="shared" si="53"/>
        <v>1850.5199999999998</v>
      </c>
      <c r="J71" s="738">
        <f t="shared" si="53"/>
        <v>2445.2399999999998</v>
      </c>
      <c r="K71" s="765">
        <f t="shared" si="53"/>
        <v>2304.6799999999998</v>
      </c>
      <c r="L71" s="765">
        <f t="shared" si="53"/>
        <v>3215.712</v>
      </c>
      <c r="M71" s="765">
        <f t="shared" si="53"/>
        <v>3503.2960000000003</v>
      </c>
      <c r="N71" s="271">
        <f t="shared" si="53"/>
        <v>6751.9920000000011</v>
      </c>
      <c r="O71" s="326">
        <f t="shared" si="53"/>
        <v>6674.6720000000005</v>
      </c>
      <c r="P71" s="326">
        <f t="shared" si="53"/>
        <v>6751.9920000000011</v>
      </c>
      <c r="Q71" s="791">
        <f t="shared" si="53"/>
        <v>6266.96</v>
      </c>
      <c r="R71" s="791">
        <f t="shared" si="53"/>
        <v>6364.4640000000009</v>
      </c>
      <c r="S71" s="351">
        <f t="shared" si="53"/>
        <v>5117.9040000000005</v>
      </c>
      <c r="T71" s="351">
        <f t="shared" si="53"/>
        <v>5938.344000000001</v>
      </c>
      <c r="U71" s="376">
        <f t="shared" si="53"/>
        <v>6172.72</v>
      </c>
      <c r="V71" s="376">
        <f t="shared" si="53"/>
        <v>5986.5840000000007</v>
      </c>
      <c r="W71" s="819">
        <f t="shared" si="53"/>
        <v>5992.6720000000005</v>
      </c>
      <c r="X71" s="819">
        <f t="shared" si="53"/>
        <v>5829</v>
      </c>
      <c r="Y71" s="435">
        <f t="shared" si="53"/>
        <v>2379.16</v>
      </c>
      <c r="Z71" s="435">
        <f t="shared" ref="Z71" si="54">Z72*Z18</f>
        <v>5518.6559999999999</v>
      </c>
      <c r="BV71" s="60">
        <v>5.5</v>
      </c>
      <c r="BW71" s="50">
        <v>33.89</v>
      </c>
      <c r="BX71" s="50">
        <v>31.44</v>
      </c>
      <c r="BY71" s="50">
        <v>30.21</v>
      </c>
      <c r="BZ71" s="50">
        <v>30.9</v>
      </c>
      <c r="CA71" s="61">
        <v>32.9</v>
      </c>
      <c r="FO71" s="1"/>
      <c r="FP71" s="1"/>
      <c r="FQ71" s="1"/>
    </row>
    <row r="72" spans="2:173" ht="13.5" hidden="1" thickBot="1" x14ac:dyDescent="0.25">
      <c r="B72" s="45" t="s">
        <v>61</v>
      </c>
      <c r="C72" s="185" t="s">
        <v>63</v>
      </c>
      <c r="D72" s="238">
        <f t="shared" ref="D72:Y72" si="55">ROUND(D69*D74,1)</f>
        <v>1479.8</v>
      </c>
      <c r="E72" s="238">
        <f t="shared" si="55"/>
        <v>1086.2</v>
      </c>
      <c r="F72" s="238">
        <f t="shared" si="55"/>
        <v>1010.4</v>
      </c>
      <c r="G72" s="214">
        <f t="shared" si="55"/>
        <v>1811.6</v>
      </c>
      <c r="H72" s="214">
        <f t="shared" si="55"/>
        <v>987.6</v>
      </c>
      <c r="I72" s="738">
        <f t="shared" si="55"/>
        <v>1321.8</v>
      </c>
      <c r="J72" s="738">
        <f t="shared" si="55"/>
        <v>994</v>
      </c>
      <c r="K72" s="765">
        <f t="shared" si="55"/>
        <v>1646.2</v>
      </c>
      <c r="L72" s="765">
        <f t="shared" si="55"/>
        <v>1307.2</v>
      </c>
      <c r="M72" s="765">
        <f t="shared" si="55"/>
        <v>1307.2</v>
      </c>
      <c r="N72" s="271">
        <f t="shared" si="55"/>
        <v>2519.4</v>
      </c>
      <c r="O72" s="326">
        <f t="shared" si="55"/>
        <v>2691.4</v>
      </c>
      <c r="P72" s="326">
        <f t="shared" si="55"/>
        <v>2519.4</v>
      </c>
      <c r="Q72" s="791">
        <f t="shared" si="55"/>
        <v>2527</v>
      </c>
      <c r="R72" s="791">
        <f t="shared" si="55"/>
        <v>2374.8000000000002</v>
      </c>
      <c r="S72" s="351">
        <f t="shared" si="55"/>
        <v>2584.8000000000002</v>
      </c>
      <c r="T72" s="351">
        <f t="shared" si="55"/>
        <v>2215.8000000000002</v>
      </c>
      <c r="U72" s="376">
        <f t="shared" si="55"/>
        <v>2489</v>
      </c>
      <c r="V72" s="376">
        <f t="shared" si="55"/>
        <v>2233.8000000000002</v>
      </c>
      <c r="W72" s="819">
        <f t="shared" si="55"/>
        <v>2416.4</v>
      </c>
      <c r="X72" s="819">
        <f t="shared" si="55"/>
        <v>2175</v>
      </c>
      <c r="Y72" s="435">
        <f t="shared" si="55"/>
        <v>1699.4</v>
      </c>
      <c r="Z72" s="435">
        <f t="shared" ref="Z72" si="56">ROUND(Z69*Z74,1)</f>
        <v>2059.1999999999998</v>
      </c>
      <c r="BV72" s="60">
        <v>5.6</v>
      </c>
      <c r="BW72" s="50">
        <v>33.89</v>
      </c>
      <c r="BX72" s="50">
        <v>31.44</v>
      </c>
      <c r="BY72" s="50">
        <v>30.21</v>
      </c>
      <c r="BZ72" s="50">
        <v>31.6</v>
      </c>
      <c r="CA72" s="61">
        <v>33.799999999999997</v>
      </c>
      <c r="FO72" s="1"/>
      <c r="FP72" s="1"/>
      <c r="FQ72" s="1"/>
    </row>
    <row r="73" spans="2:173" ht="13.5" hidden="1" thickBot="1" x14ac:dyDescent="0.25">
      <c r="B73" s="36" t="s">
        <v>61</v>
      </c>
      <c r="C73" s="185"/>
      <c r="D73" s="226"/>
      <c r="E73" s="226"/>
      <c r="F73" s="226"/>
      <c r="G73" s="202"/>
      <c r="H73" s="202"/>
      <c r="I73" s="726"/>
      <c r="J73" s="726"/>
      <c r="K73" s="717"/>
      <c r="L73" s="717"/>
      <c r="M73" s="717"/>
      <c r="N73" s="260"/>
      <c r="O73" s="315"/>
      <c r="P73" s="315"/>
      <c r="Q73" s="718"/>
      <c r="R73" s="718"/>
      <c r="S73" s="340"/>
      <c r="T73" s="340"/>
      <c r="U73" s="365"/>
      <c r="V73" s="365"/>
      <c r="W73" s="808"/>
      <c r="X73" s="808"/>
      <c r="Y73" s="424"/>
      <c r="Z73" s="424"/>
      <c r="BV73" s="60">
        <v>5.7</v>
      </c>
      <c r="BW73" s="50">
        <v>33.89</v>
      </c>
      <c r="BX73" s="50">
        <v>31.44</v>
      </c>
      <c r="BY73" s="50">
        <v>30.21</v>
      </c>
      <c r="BZ73" s="50">
        <v>31.6</v>
      </c>
      <c r="CA73" s="61">
        <v>33.799999999999997</v>
      </c>
      <c r="FO73" s="1"/>
      <c r="FP73" s="1"/>
      <c r="FQ73" s="1"/>
    </row>
    <row r="74" spans="2:173" ht="13.5" hidden="1" thickBot="1" x14ac:dyDescent="0.25">
      <c r="B74" s="36" t="s">
        <v>64</v>
      </c>
      <c r="C74" s="185" t="s">
        <v>43</v>
      </c>
      <c r="D74" s="240">
        <v>2</v>
      </c>
      <c r="E74" s="240">
        <v>2</v>
      </c>
      <c r="F74" s="240">
        <v>2</v>
      </c>
      <c r="G74" s="240">
        <v>2</v>
      </c>
      <c r="H74" s="240">
        <v>2</v>
      </c>
      <c r="I74" s="240">
        <v>2</v>
      </c>
      <c r="J74" s="240">
        <v>2</v>
      </c>
      <c r="K74" s="240">
        <v>2</v>
      </c>
      <c r="L74" s="240">
        <v>2</v>
      </c>
      <c r="M74" s="240">
        <v>2</v>
      </c>
      <c r="N74" s="240">
        <v>2</v>
      </c>
      <c r="O74" s="240">
        <v>2</v>
      </c>
      <c r="P74" s="240">
        <v>2</v>
      </c>
      <c r="Q74" s="240">
        <v>2</v>
      </c>
      <c r="R74" s="240">
        <v>2</v>
      </c>
      <c r="S74" s="240">
        <v>2</v>
      </c>
      <c r="T74" s="240">
        <v>2</v>
      </c>
      <c r="U74" s="240">
        <v>2</v>
      </c>
      <c r="V74" s="240">
        <v>2</v>
      </c>
      <c r="W74" s="240">
        <v>2</v>
      </c>
      <c r="X74" s="240">
        <v>2</v>
      </c>
      <c r="Y74" s="240">
        <v>2</v>
      </c>
      <c r="Z74" s="240">
        <v>2</v>
      </c>
      <c r="BV74" s="60">
        <v>5.8</v>
      </c>
      <c r="BW74" s="50">
        <v>34.36</v>
      </c>
      <c r="BX74" s="50">
        <v>31.82</v>
      </c>
      <c r="BY74" s="50">
        <v>30.56</v>
      </c>
      <c r="BZ74" s="50">
        <v>31.6</v>
      </c>
      <c r="CA74" s="61">
        <v>33.799999999999997</v>
      </c>
      <c r="FO74" s="1"/>
      <c r="FP74" s="1"/>
      <c r="FQ74" s="1"/>
    </row>
    <row r="75" spans="2:173" x14ac:dyDescent="0.2">
      <c r="B75" s="99" t="s">
        <v>327</v>
      </c>
      <c r="C75" s="171" t="s">
        <v>287</v>
      </c>
      <c r="D75" s="712">
        <f>Календарь!L158</f>
        <v>1700</v>
      </c>
      <c r="E75" s="712">
        <f>Календарь!L162</f>
        <v>50</v>
      </c>
      <c r="F75" s="712">
        <f>Календарь!L160</f>
        <v>800</v>
      </c>
      <c r="G75" s="711">
        <f>Календарь!L164</f>
        <v>1800</v>
      </c>
      <c r="H75" s="712">
        <f>Календарь!L166</f>
        <v>1600</v>
      </c>
      <c r="I75" s="712">
        <f>Календарь!L170</f>
        <v>600</v>
      </c>
      <c r="J75" s="712">
        <f>Календарь!L174</f>
        <v>384</v>
      </c>
      <c r="K75" s="712">
        <f>Календарь!L176</f>
        <v>900</v>
      </c>
      <c r="L75" s="712">
        <f>Календарь!L180</f>
        <v>400</v>
      </c>
      <c r="M75" s="712">
        <f>Календарь!L178</f>
        <v>0</v>
      </c>
      <c r="N75" s="712">
        <f>Календарь!L184</f>
        <v>17400</v>
      </c>
      <c r="O75" s="712">
        <f>Календарь!L191</f>
        <v>2000</v>
      </c>
      <c r="P75" s="712">
        <f>Календарь!L190</f>
        <v>4400</v>
      </c>
      <c r="Q75" s="712">
        <f>Календарь!L197</f>
        <v>200</v>
      </c>
      <c r="R75" s="712">
        <f>Календарь!L196</f>
        <v>4000</v>
      </c>
      <c r="S75" s="712">
        <f>Календарь!L201</f>
        <v>0</v>
      </c>
      <c r="T75" s="712">
        <f>Календарь!L202</f>
        <v>4000</v>
      </c>
      <c r="U75" s="712">
        <f>Календарь!L209</f>
        <v>0</v>
      </c>
      <c r="V75" s="712">
        <f>Календарь!L208</f>
        <v>5400</v>
      </c>
      <c r="W75" s="712">
        <f>Календарь!L215</f>
        <v>1000</v>
      </c>
      <c r="X75" s="712">
        <f>Календарь!L214</f>
        <v>1100</v>
      </c>
      <c r="Y75" s="712">
        <f>Календарь!L230</f>
        <v>0</v>
      </c>
      <c r="Z75" s="712">
        <f>Календарь!L232</f>
        <v>400</v>
      </c>
      <c r="BV75" s="60">
        <v>5.9</v>
      </c>
      <c r="BW75" s="50">
        <v>34.36</v>
      </c>
      <c r="BX75" s="50">
        <v>31.82</v>
      </c>
      <c r="BY75" s="50">
        <v>30.56</v>
      </c>
      <c r="BZ75" s="50">
        <v>31.6</v>
      </c>
      <c r="CA75" s="61">
        <v>33.799999999999997</v>
      </c>
      <c r="FO75" s="1"/>
      <c r="FP75" s="1"/>
      <c r="FQ75" s="1"/>
    </row>
    <row r="76" spans="2:173" hidden="1" x14ac:dyDescent="0.2">
      <c r="B76" s="166" t="s">
        <v>209</v>
      </c>
      <c r="C76" s="37" t="s">
        <v>148</v>
      </c>
      <c r="D76" s="234">
        <v>364</v>
      </c>
      <c r="E76" s="234">
        <v>364</v>
      </c>
      <c r="F76" s="234">
        <v>364</v>
      </c>
      <c r="G76" s="245">
        <v>364</v>
      </c>
      <c r="H76" s="210">
        <v>364</v>
      </c>
      <c r="I76" s="734">
        <v>364</v>
      </c>
      <c r="J76" s="734">
        <v>364</v>
      </c>
      <c r="K76" s="761">
        <v>364</v>
      </c>
      <c r="L76" s="761">
        <v>364</v>
      </c>
      <c r="M76" s="761">
        <v>364</v>
      </c>
      <c r="N76" s="267">
        <v>364</v>
      </c>
      <c r="O76" s="322">
        <v>364</v>
      </c>
      <c r="P76" s="322">
        <v>364</v>
      </c>
      <c r="Q76" s="787">
        <v>364</v>
      </c>
      <c r="R76" s="787">
        <v>364</v>
      </c>
      <c r="S76" s="347">
        <v>364</v>
      </c>
      <c r="T76" s="347">
        <v>364</v>
      </c>
      <c r="U76" s="372">
        <v>364</v>
      </c>
      <c r="V76" s="372">
        <v>364</v>
      </c>
      <c r="W76" s="815">
        <v>364</v>
      </c>
      <c r="X76" s="815">
        <v>364</v>
      </c>
      <c r="Y76" s="431">
        <v>364</v>
      </c>
      <c r="Z76" s="431">
        <v>364</v>
      </c>
      <c r="BV76" s="60">
        <v>6</v>
      </c>
      <c r="BW76" s="50">
        <v>34.36</v>
      </c>
      <c r="BX76" s="50">
        <v>31.82</v>
      </c>
      <c r="BY76" s="50">
        <v>30.56</v>
      </c>
      <c r="BZ76" s="50">
        <v>31.6</v>
      </c>
      <c r="CA76" s="61">
        <v>33.799999999999997</v>
      </c>
      <c r="FO76" s="1"/>
      <c r="FP76" s="1"/>
      <c r="FQ76" s="1"/>
    </row>
    <row r="77" spans="2:173" hidden="1" x14ac:dyDescent="0.2">
      <c r="B77" s="38" t="s">
        <v>149</v>
      </c>
      <c r="C77" s="37"/>
      <c r="D77" s="232">
        <f t="shared" ref="D77:Y77" si="57">ROUND(D75/D76*D78*1000,0)</f>
        <v>5137</v>
      </c>
      <c r="E77" s="232">
        <f t="shared" si="57"/>
        <v>151</v>
      </c>
      <c r="F77" s="232">
        <f t="shared" si="57"/>
        <v>2418</v>
      </c>
      <c r="G77" s="246">
        <f t="shared" si="57"/>
        <v>5440</v>
      </c>
      <c r="H77" s="208">
        <f t="shared" si="57"/>
        <v>4835</v>
      </c>
      <c r="I77" s="732">
        <f t="shared" si="57"/>
        <v>1813</v>
      </c>
      <c r="J77" s="732">
        <f t="shared" si="57"/>
        <v>1160</v>
      </c>
      <c r="K77" s="759">
        <f t="shared" si="57"/>
        <v>2720</v>
      </c>
      <c r="L77" s="759">
        <f t="shared" si="57"/>
        <v>1209</v>
      </c>
      <c r="M77" s="759">
        <f t="shared" si="57"/>
        <v>0</v>
      </c>
      <c r="N77" s="265">
        <f t="shared" si="57"/>
        <v>52582</v>
      </c>
      <c r="O77" s="320">
        <f t="shared" si="57"/>
        <v>6044</v>
      </c>
      <c r="P77" s="320">
        <f t="shared" si="57"/>
        <v>13297</v>
      </c>
      <c r="Q77" s="785">
        <f t="shared" si="57"/>
        <v>604</v>
      </c>
      <c r="R77" s="785">
        <f t="shared" si="57"/>
        <v>12088</v>
      </c>
      <c r="S77" s="345">
        <f t="shared" si="57"/>
        <v>0</v>
      </c>
      <c r="T77" s="345">
        <f t="shared" si="57"/>
        <v>12088</v>
      </c>
      <c r="U77" s="370">
        <f t="shared" si="57"/>
        <v>0</v>
      </c>
      <c r="V77" s="370">
        <f t="shared" si="57"/>
        <v>16319</v>
      </c>
      <c r="W77" s="813">
        <f t="shared" si="57"/>
        <v>3022</v>
      </c>
      <c r="X77" s="813">
        <f t="shared" si="57"/>
        <v>3324</v>
      </c>
      <c r="Y77" s="429">
        <f t="shared" si="57"/>
        <v>0</v>
      </c>
      <c r="Z77" s="429">
        <f t="shared" ref="Z77" si="58">ROUND(Z75/Z76*Z78*1000,0)</f>
        <v>1209</v>
      </c>
      <c r="BV77" s="60">
        <v>6.1</v>
      </c>
      <c r="BW77" s="50">
        <v>34.36</v>
      </c>
      <c r="BX77" s="50">
        <v>31.82</v>
      </c>
      <c r="BY77" s="50">
        <v>30.56</v>
      </c>
      <c r="BZ77" s="50">
        <v>31.6</v>
      </c>
      <c r="CA77" s="61">
        <v>33.799999999999997</v>
      </c>
      <c r="FO77" s="1"/>
      <c r="FP77" s="1"/>
      <c r="FQ77" s="1"/>
    </row>
    <row r="78" spans="2:173" hidden="1" x14ac:dyDescent="0.2">
      <c r="B78" s="38" t="s">
        <v>150</v>
      </c>
      <c r="C78" s="37"/>
      <c r="D78" s="232">
        <v>1.1000000000000001</v>
      </c>
      <c r="E78" s="232">
        <v>1.1000000000000001</v>
      </c>
      <c r="F78" s="232">
        <v>1.1000000000000001</v>
      </c>
      <c r="G78" s="246">
        <v>1.1000000000000001</v>
      </c>
      <c r="H78" s="208">
        <v>1.1000000000000001</v>
      </c>
      <c r="I78" s="732">
        <v>1.1000000000000001</v>
      </c>
      <c r="J78" s="732">
        <v>1.1000000000000001</v>
      </c>
      <c r="K78" s="759">
        <v>1.1000000000000001</v>
      </c>
      <c r="L78" s="759">
        <v>1.1000000000000001</v>
      </c>
      <c r="M78" s="759">
        <v>1.1000000000000001</v>
      </c>
      <c r="N78" s="265">
        <v>1.1000000000000001</v>
      </c>
      <c r="O78" s="320">
        <v>1.1000000000000001</v>
      </c>
      <c r="P78" s="320">
        <v>1.1000000000000001</v>
      </c>
      <c r="Q78" s="785">
        <v>1.1000000000000001</v>
      </c>
      <c r="R78" s="785">
        <v>1.1000000000000001</v>
      </c>
      <c r="S78" s="345">
        <v>1.1000000000000001</v>
      </c>
      <c r="T78" s="345">
        <v>1.1000000000000001</v>
      </c>
      <c r="U78" s="370">
        <v>1.1000000000000001</v>
      </c>
      <c r="V78" s="370">
        <v>1.1000000000000001</v>
      </c>
      <c r="W78" s="813">
        <v>1.1000000000000001</v>
      </c>
      <c r="X78" s="813">
        <v>1.1000000000000001</v>
      </c>
      <c r="Y78" s="429">
        <v>1.1000000000000001</v>
      </c>
      <c r="Z78" s="429">
        <v>1.1000000000000001</v>
      </c>
      <c r="BV78" s="60">
        <v>6.2</v>
      </c>
      <c r="BW78" s="50">
        <v>34.36</v>
      </c>
      <c r="BX78" s="50">
        <v>31.82</v>
      </c>
      <c r="BY78" s="50">
        <v>30.56</v>
      </c>
      <c r="BZ78" s="50">
        <v>31.6</v>
      </c>
      <c r="CA78" s="61">
        <v>33.799999999999997</v>
      </c>
      <c r="FO78" s="1"/>
      <c r="FP78" s="1"/>
      <c r="FQ78" s="1"/>
    </row>
    <row r="79" spans="2:173" x14ac:dyDescent="0.2">
      <c r="B79" s="38" t="s">
        <v>151</v>
      </c>
      <c r="C79" s="37" t="s">
        <v>43</v>
      </c>
      <c r="D79" s="232">
        <f>ROUND((IF(D4="добыча",D77/D71,D77/D72)),2)</f>
        <v>2.48</v>
      </c>
      <c r="E79" s="232">
        <f t="shared" ref="E79:F79" si="59">ROUND((IF(E4="добыча",E77/E71,E77/E72)),2)</f>
        <v>0.14000000000000001</v>
      </c>
      <c r="F79" s="232">
        <f t="shared" si="59"/>
        <v>2.39</v>
      </c>
      <c r="G79" s="246">
        <f>ROUND((IF(G4="добыча",G77/G71,G77/G72)),2)</f>
        <v>2.14</v>
      </c>
      <c r="H79" s="208">
        <f t="shared" ref="H79" si="60">ROUND((IF(H4="добыча",H77/H71,H77/H72)),2)</f>
        <v>4.9000000000000004</v>
      </c>
      <c r="I79" s="732">
        <f>ROUND((IF(I4="добыча",I77/I71,I77/I72)),2)</f>
        <v>0.98</v>
      </c>
      <c r="J79" s="732">
        <f t="shared" ref="J79" si="61">ROUND((IF(J4="добыча",J77/J71,J77/J72)),2)</f>
        <v>1.17</v>
      </c>
      <c r="K79" s="759">
        <f>ROUND((IF(K4="добыча",K77/K71,K77/K72)),2)</f>
        <v>1.18</v>
      </c>
      <c r="L79" s="759">
        <f t="shared" ref="L79:X79" si="62">ROUND((IF(L4="добыча",L77/L71,L77/L72)),2)</f>
        <v>0.92</v>
      </c>
      <c r="M79" s="759">
        <f t="shared" si="62"/>
        <v>0</v>
      </c>
      <c r="N79" s="265">
        <f t="shared" si="62"/>
        <v>20.87</v>
      </c>
      <c r="O79" s="320">
        <f t="shared" si="62"/>
        <v>2.25</v>
      </c>
      <c r="P79" s="320">
        <f t="shared" si="62"/>
        <v>5.28</v>
      </c>
      <c r="Q79" s="785">
        <f t="shared" si="62"/>
        <v>0.24</v>
      </c>
      <c r="R79" s="785">
        <f t="shared" si="62"/>
        <v>5.09</v>
      </c>
      <c r="S79" s="345">
        <f t="shared" si="62"/>
        <v>0</v>
      </c>
      <c r="T79" s="345">
        <f t="shared" si="62"/>
        <v>5.46</v>
      </c>
      <c r="U79" s="370">
        <f t="shared" si="62"/>
        <v>0</v>
      </c>
      <c r="V79" s="370">
        <f t="shared" si="62"/>
        <v>7.31</v>
      </c>
      <c r="W79" s="813">
        <f t="shared" si="62"/>
        <v>1.25</v>
      </c>
      <c r="X79" s="813">
        <f t="shared" si="62"/>
        <v>1.53</v>
      </c>
      <c r="Y79" s="429">
        <f>ROUND((IF(Y4="добыча",Y77/Y71,Y77/Y72)),2)</f>
        <v>0</v>
      </c>
      <c r="Z79" s="429">
        <f t="shared" ref="Z79" si="63">ROUND((IF(Z4="добыча",Z77/Z71,Z77/Z72)),2)</f>
        <v>0.59</v>
      </c>
      <c r="BV79" s="60">
        <v>6.3</v>
      </c>
      <c r="BW79" s="50">
        <v>34.76</v>
      </c>
      <c r="BX79" s="50">
        <v>32.159999999999997</v>
      </c>
      <c r="BY79" s="50">
        <v>30.86</v>
      </c>
      <c r="BZ79" s="50">
        <v>31.6</v>
      </c>
      <c r="CA79" s="61">
        <v>33.799999999999997</v>
      </c>
      <c r="FO79" s="1"/>
      <c r="FP79" s="1"/>
      <c r="FQ79" s="1"/>
    </row>
    <row r="80" spans="2:173" hidden="1" x14ac:dyDescent="0.2">
      <c r="B80" s="38" t="s">
        <v>152</v>
      </c>
      <c r="C80" s="37" t="s">
        <v>43</v>
      </c>
      <c r="D80" s="241"/>
      <c r="E80" s="241"/>
      <c r="F80" s="241"/>
      <c r="G80" s="247"/>
      <c r="H80" s="216"/>
      <c r="I80" s="740"/>
      <c r="J80" s="740"/>
      <c r="K80" s="767"/>
      <c r="L80" s="767"/>
      <c r="M80" s="767"/>
      <c r="N80" s="273"/>
      <c r="O80" s="328"/>
      <c r="P80" s="328"/>
      <c r="Q80" s="793"/>
      <c r="R80" s="793"/>
      <c r="S80" s="353"/>
      <c r="T80" s="353"/>
      <c r="U80" s="378"/>
      <c r="V80" s="378"/>
      <c r="W80" s="821"/>
      <c r="X80" s="821"/>
      <c r="Y80" s="437"/>
      <c r="Z80" s="437"/>
      <c r="BV80" s="60">
        <v>6.4</v>
      </c>
      <c r="BW80" s="50">
        <v>34.76</v>
      </c>
      <c r="BX80" s="50">
        <v>32.159999999999997</v>
      </c>
      <c r="BY80" s="50">
        <v>30.86</v>
      </c>
      <c r="BZ80" s="50">
        <v>31.6</v>
      </c>
      <c r="CA80" s="61">
        <v>33.799999999999997</v>
      </c>
      <c r="FO80" s="1"/>
      <c r="FP80" s="1"/>
      <c r="FQ80" s="1"/>
    </row>
    <row r="81" spans="2:173" hidden="1" x14ac:dyDescent="0.2">
      <c r="B81" s="46" t="s">
        <v>153</v>
      </c>
      <c r="C81" s="37" t="s">
        <v>43</v>
      </c>
      <c r="D81" s="233">
        <f t="shared" ref="D81:Y81" si="64">D79*D83</f>
        <v>2.976</v>
      </c>
      <c r="E81" s="233">
        <f t="shared" si="64"/>
        <v>0.16800000000000001</v>
      </c>
      <c r="F81" s="233">
        <f t="shared" si="64"/>
        <v>2.8679999999999999</v>
      </c>
      <c r="G81" s="248">
        <f t="shared" si="64"/>
        <v>2.5680000000000001</v>
      </c>
      <c r="H81" s="209">
        <f t="shared" si="64"/>
        <v>5.88</v>
      </c>
      <c r="I81" s="733">
        <f t="shared" si="64"/>
        <v>1.1759999999999999</v>
      </c>
      <c r="J81" s="733">
        <f t="shared" si="64"/>
        <v>1.4039999999999999</v>
      </c>
      <c r="K81" s="760">
        <f t="shared" si="64"/>
        <v>1.4159999999999999</v>
      </c>
      <c r="L81" s="760">
        <f t="shared" si="64"/>
        <v>1.1040000000000001</v>
      </c>
      <c r="M81" s="760">
        <f t="shared" si="64"/>
        <v>0</v>
      </c>
      <c r="N81" s="266">
        <f t="shared" si="64"/>
        <v>25.044</v>
      </c>
      <c r="O81" s="321">
        <f t="shared" si="64"/>
        <v>2.6999999999999997</v>
      </c>
      <c r="P81" s="321">
        <f t="shared" si="64"/>
        <v>6.3360000000000003</v>
      </c>
      <c r="Q81" s="786">
        <f t="shared" si="64"/>
        <v>0.28799999999999998</v>
      </c>
      <c r="R81" s="786">
        <f t="shared" si="64"/>
        <v>6.1079999999999997</v>
      </c>
      <c r="S81" s="346">
        <f t="shared" si="64"/>
        <v>0</v>
      </c>
      <c r="T81" s="346">
        <f t="shared" si="64"/>
        <v>6.5519999999999996</v>
      </c>
      <c r="U81" s="371">
        <f t="shared" si="64"/>
        <v>0</v>
      </c>
      <c r="V81" s="371">
        <f t="shared" si="64"/>
        <v>8.7719999999999985</v>
      </c>
      <c r="W81" s="814">
        <f t="shared" si="64"/>
        <v>1.5</v>
      </c>
      <c r="X81" s="814">
        <f t="shared" si="64"/>
        <v>1.8359999999999999</v>
      </c>
      <c r="Y81" s="430">
        <f t="shared" si="64"/>
        <v>0</v>
      </c>
      <c r="Z81" s="430">
        <f t="shared" ref="Z81" si="65">Z79*Z83</f>
        <v>0.70799999999999996</v>
      </c>
      <c r="BV81" s="60">
        <v>6.5</v>
      </c>
      <c r="BW81" s="50">
        <v>34.76</v>
      </c>
      <c r="BX81" s="50">
        <v>32.159999999999997</v>
      </c>
      <c r="BY81" s="50">
        <v>30.86</v>
      </c>
      <c r="BZ81" s="50">
        <v>31.6</v>
      </c>
      <c r="CA81" s="61">
        <v>33.799999999999997</v>
      </c>
      <c r="FO81" s="1"/>
      <c r="FP81" s="1"/>
      <c r="FQ81" s="1"/>
    </row>
    <row r="82" spans="2:173" ht="13.5" hidden="1" thickBot="1" x14ac:dyDescent="0.25">
      <c r="B82" s="282"/>
      <c r="C82" s="37"/>
      <c r="D82" s="250"/>
      <c r="E82" s="242"/>
      <c r="F82" s="242"/>
      <c r="G82" s="249"/>
      <c r="H82" s="217"/>
      <c r="I82" s="741"/>
      <c r="J82" s="742"/>
      <c r="K82" s="768"/>
      <c r="L82" s="769"/>
      <c r="M82" s="769"/>
      <c r="N82" s="274"/>
      <c r="O82" s="329"/>
      <c r="P82" s="329"/>
      <c r="Q82" s="794"/>
      <c r="R82" s="794"/>
      <c r="S82" s="354"/>
      <c r="T82" s="354"/>
      <c r="U82" s="379"/>
      <c r="V82" s="379"/>
      <c r="W82" s="822"/>
      <c r="X82" s="822"/>
      <c r="Y82" s="444"/>
      <c r="Z82" s="438"/>
      <c r="BV82" s="60">
        <v>6.6</v>
      </c>
      <c r="BW82" s="50">
        <v>34.76</v>
      </c>
      <c r="BX82" s="50">
        <v>32.159999999999997</v>
      </c>
      <c r="BY82" s="50">
        <v>30.86</v>
      </c>
      <c r="BZ82" s="50">
        <v>32</v>
      </c>
      <c r="CA82" s="61">
        <v>34.299999999999997</v>
      </c>
      <c r="FO82" s="1"/>
      <c r="FP82" s="1"/>
      <c r="FQ82" s="1"/>
    </row>
    <row r="83" spans="2:173" hidden="1" x14ac:dyDescent="0.2">
      <c r="B83" s="281" t="s">
        <v>154</v>
      </c>
      <c r="C83" s="47"/>
      <c r="D83" s="243">
        <v>1.2</v>
      </c>
      <c r="E83" s="243">
        <v>1.2</v>
      </c>
      <c r="F83" s="243">
        <v>1.2</v>
      </c>
      <c r="G83" s="251">
        <v>1.2</v>
      </c>
      <c r="H83" s="218">
        <v>1.2</v>
      </c>
      <c r="I83" s="743">
        <v>1.2</v>
      </c>
      <c r="J83" s="743">
        <v>1.2</v>
      </c>
      <c r="K83" s="770">
        <v>1.2</v>
      </c>
      <c r="L83" s="770">
        <v>1.2</v>
      </c>
      <c r="M83" s="770">
        <v>1.2</v>
      </c>
      <c r="N83" s="275">
        <v>1.2</v>
      </c>
      <c r="O83" s="330">
        <v>1.2</v>
      </c>
      <c r="P83" s="330">
        <v>1.2</v>
      </c>
      <c r="Q83" s="795">
        <v>1.2</v>
      </c>
      <c r="R83" s="795">
        <v>1.2</v>
      </c>
      <c r="S83" s="355">
        <v>1.2</v>
      </c>
      <c r="T83" s="355">
        <v>1.2</v>
      </c>
      <c r="U83" s="380">
        <v>1.2</v>
      </c>
      <c r="V83" s="380">
        <v>1.2</v>
      </c>
      <c r="W83" s="823">
        <v>1.2</v>
      </c>
      <c r="X83" s="823">
        <v>1.2</v>
      </c>
      <c r="Y83" s="439">
        <v>1.2</v>
      </c>
      <c r="Z83" s="439">
        <v>1.2</v>
      </c>
      <c r="BV83" s="60">
        <v>6.7</v>
      </c>
      <c r="BW83" s="50">
        <v>34.76</v>
      </c>
      <c r="BX83" s="50">
        <v>32.159999999999997</v>
      </c>
      <c r="BY83" s="50">
        <v>30.86</v>
      </c>
      <c r="BZ83" s="50">
        <v>32</v>
      </c>
      <c r="CA83" s="61">
        <v>34.299999999999997</v>
      </c>
      <c r="FO83" s="1"/>
      <c r="FP83" s="1"/>
      <c r="FQ83" s="1"/>
    </row>
    <row r="84" spans="2:173" ht="13.5" thickBot="1" x14ac:dyDescent="0.25">
      <c r="B84" s="39" t="s">
        <v>155</v>
      </c>
      <c r="C84" s="48" t="s">
        <v>7</v>
      </c>
      <c r="D84" s="254">
        <f>IF(D19&lt;=42,2,IF(D19&lt;=45,2.2,IF(D19&lt;=55,2.4,IF(D19&lt;=136,3.5,IF(D19&lt;=220,5,6.3)))))*D85/1000</f>
        <v>1097.915</v>
      </c>
      <c r="E84" s="254">
        <f>IF(E19&lt;=42,2,IF(E19&lt;=45,2.2,IF(E19&lt;=55,2.4,IF(E19&lt;=136,3.5,IF(E19&lt;=220,5,6.3)))))*E85/1000</f>
        <v>61.494999999999997</v>
      </c>
      <c r="F84" s="254">
        <f>IF(F19&lt;=42,2,IF(F19&lt;=45,2.2,IF(F19&lt;=55,2.4,IF(F19&lt;=136,3.5,IF(F19&lt;=220,5,6.3)))))*F85/1000</f>
        <v>1072.0150000000001</v>
      </c>
      <c r="G84" s="252">
        <f t="shared" ref="G84:H84" si="66">IF(G19&lt;=42,2,IF(G19&lt;=45,2.2,IF(G19&lt;=55,2.4,IF(G19&lt;=136,3.5,IF(G19&lt;=220,5,6.3)))))*G85/1000</f>
        <v>979.65</v>
      </c>
      <c r="H84" s="253">
        <f t="shared" si="66"/>
        <v>1533.7</v>
      </c>
      <c r="I84" s="744">
        <f>IF(I19&lt;=42,2,IF(I19&lt;=45,2.2,IF(I19&lt;=55,2.4,IF(I19&lt;=136,3.5,IF(I19&lt;=220,5,6.3)))))*I85/1000</f>
        <v>387.48500000000001</v>
      </c>
      <c r="J84" s="744">
        <f>IF(J19&lt;=42,2,IF(J19&lt;=45,2.2,IF(J19&lt;=55,2.4,IF(J19&lt;=136,3.5,IF(J19&lt;=220,5,6.3)))))*J85/1000</f>
        <v>472.32499999999999</v>
      </c>
      <c r="K84" s="771">
        <f>IF(K19&lt;=42,2,IF(K19&lt;=45,2.2,IF(K19&lt;=55,2.4,IF(K19&lt;=136,3.5,IF(K19&lt;=220,5,6.3)))))*K85/1000</f>
        <v>489.82499999999999</v>
      </c>
      <c r="L84" s="771">
        <f>IF(L19&lt;=42,2,IF(L19&lt;=45,2.2,IF(L19&lt;=55,2.4,IF(L19&lt;=136,3.5,IF(L19&lt;=220,5,6.3)))))*L85/1000</f>
        <v>383.42500000000001</v>
      </c>
      <c r="M84" s="771">
        <f>IF(M19&lt;=42,2,IF(M19&lt;=45,2.2,IF(M19&lt;=55,2.4,IF(M19&lt;=136,3.5,IF(M19&lt;=220,5,6.3)))))*M85/1000</f>
        <v>0</v>
      </c>
      <c r="N84" s="276">
        <f t="shared" ref="N84:Z84" si="67">IF(N19&lt;=42,2,IF(N19&lt;=45,2.2,IF(N19&lt;=55,2.4,IF(N19&lt;=136,3.5,IF(N19&lt;=220,5,6.3)))))*N85/1000</f>
        <v>15147.3</v>
      </c>
      <c r="O84" s="773">
        <f t="shared" si="67"/>
        <v>1741.05</v>
      </c>
      <c r="P84" s="331">
        <f t="shared" si="67"/>
        <v>3830.35</v>
      </c>
      <c r="Q84" s="796">
        <f t="shared" si="67"/>
        <v>174.1</v>
      </c>
      <c r="R84" s="797">
        <f t="shared" si="67"/>
        <v>3482.15</v>
      </c>
      <c r="S84" s="356">
        <f t="shared" si="67"/>
        <v>0</v>
      </c>
      <c r="T84" s="357">
        <f t="shared" si="67"/>
        <v>3482.15</v>
      </c>
      <c r="U84" s="800">
        <f t="shared" si="67"/>
        <v>0</v>
      </c>
      <c r="V84" s="381">
        <f t="shared" si="67"/>
        <v>4700.8999999999996</v>
      </c>
      <c r="W84" s="824">
        <f t="shared" si="67"/>
        <v>870.55</v>
      </c>
      <c r="X84" s="825">
        <f t="shared" si="67"/>
        <v>957.6</v>
      </c>
      <c r="Y84" s="445">
        <f t="shared" si="67"/>
        <v>0</v>
      </c>
      <c r="Z84" s="440">
        <f t="shared" si="67"/>
        <v>182.875</v>
      </c>
      <c r="BV84" s="60">
        <v>6.8</v>
      </c>
      <c r="BW84" s="50">
        <v>35.119999999999997</v>
      </c>
      <c r="BX84" s="50">
        <v>32.450000000000003</v>
      </c>
      <c r="BY84" s="50">
        <v>31.12</v>
      </c>
      <c r="BZ84" s="50">
        <v>32</v>
      </c>
      <c r="CA84" s="61">
        <v>34.299999999999997</v>
      </c>
      <c r="FO84" s="1"/>
      <c r="FP84" s="1"/>
      <c r="FQ84" s="1"/>
    </row>
    <row r="85" spans="2:173" ht="13.5" thickBot="1" x14ac:dyDescent="0.25">
      <c r="B85" s="172" t="s">
        <v>521</v>
      </c>
      <c r="C85" s="48" t="s">
        <v>1</v>
      </c>
      <c r="D85" s="244">
        <f t="shared" ref="D85:Y85" si="68">ROUND(IF(D4="добыча",(D75/D18/D24*D57*2*1000+D56*2*D76),(D75/D24*D57*2*1000+D56*2*D76)),-1)</f>
        <v>313690</v>
      </c>
      <c r="E85" s="244">
        <f t="shared" si="68"/>
        <v>17570</v>
      </c>
      <c r="F85" s="244">
        <f t="shared" si="68"/>
        <v>306290</v>
      </c>
      <c r="G85" s="219">
        <f t="shared" si="68"/>
        <v>279900</v>
      </c>
      <c r="H85" s="219">
        <f t="shared" si="68"/>
        <v>438200</v>
      </c>
      <c r="I85" s="745">
        <f t="shared" si="68"/>
        <v>110710</v>
      </c>
      <c r="J85" s="745">
        <f t="shared" si="68"/>
        <v>134950</v>
      </c>
      <c r="K85" s="772">
        <f t="shared" si="68"/>
        <v>139950</v>
      </c>
      <c r="L85" s="772">
        <f t="shared" si="68"/>
        <v>109550</v>
      </c>
      <c r="M85" s="772">
        <f t="shared" si="68"/>
        <v>0</v>
      </c>
      <c r="N85" s="277">
        <f t="shared" si="68"/>
        <v>3029460</v>
      </c>
      <c r="O85" s="332">
        <f t="shared" si="68"/>
        <v>348210</v>
      </c>
      <c r="P85" s="332">
        <f t="shared" si="68"/>
        <v>766070</v>
      </c>
      <c r="Q85" s="798">
        <f t="shared" si="68"/>
        <v>34820</v>
      </c>
      <c r="R85" s="798">
        <f t="shared" si="68"/>
        <v>696430</v>
      </c>
      <c r="S85" s="358">
        <f t="shared" si="68"/>
        <v>0</v>
      </c>
      <c r="T85" s="358">
        <f t="shared" si="68"/>
        <v>696430</v>
      </c>
      <c r="U85" s="382">
        <f t="shared" si="68"/>
        <v>0</v>
      </c>
      <c r="V85" s="382">
        <f t="shared" si="68"/>
        <v>940180</v>
      </c>
      <c r="W85" s="826">
        <f t="shared" si="68"/>
        <v>174110</v>
      </c>
      <c r="X85" s="826">
        <f t="shared" si="68"/>
        <v>191520</v>
      </c>
      <c r="Y85" s="441">
        <f t="shared" si="68"/>
        <v>0</v>
      </c>
      <c r="Z85" s="441">
        <f t="shared" ref="Z85" si="69">ROUND(IF(Z4="добыча",(Z75/Z18/Z24*Z57*2*1000+Z56*2*Z76),(Z75/Z24*Z57*2*1000+Z56*2*Z76)),-1)</f>
        <v>52250</v>
      </c>
      <c r="BV85" s="60">
        <v>6.9</v>
      </c>
      <c r="BW85" s="50">
        <v>35.119999999999997</v>
      </c>
      <c r="BX85" s="50">
        <v>32.450000000000003</v>
      </c>
      <c r="BY85" s="50">
        <v>31.12</v>
      </c>
      <c r="BZ85" s="50">
        <v>32</v>
      </c>
      <c r="CA85" s="61">
        <v>34.299999999999997</v>
      </c>
      <c r="FO85" s="1"/>
      <c r="FP85" s="1"/>
      <c r="FQ85" s="1"/>
    </row>
    <row r="86" spans="2:173" ht="13.5" thickBot="1" x14ac:dyDescent="0.25">
      <c r="BV86" s="60">
        <v>7</v>
      </c>
      <c r="BW86" s="50">
        <v>35.119999999999997</v>
      </c>
      <c r="BX86" s="50">
        <v>32.450000000000003</v>
      </c>
      <c r="BY86" s="50">
        <v>31.12</v>
      </c>
      <c r="BZ86" s="50">
        <v>32</v>
      </c>
      <c r="CA86" s="61">
        <v>34.299999999999997</v>
      </c>
      <c r="FO86" s="1"/>
      <c r="FP86" s="1"/>
      <c r="FQ86" s="1"/>
    </row>
    <row r="87" spans="2:173" ht="16.5" thickBot="1" x14ac:dyDescent="0.3">
      <c r="B87" s="301" t="s">
        <v>166</v>
      </c>
      <c r="C87" s="34"/>
      <c r="D87" s="383"/>
      <c r="E87" s="383"/>
      <c r="F87" s="383"/>
      <c r="G87" s="383"/>
      <c r="H87" s="383"/>
      <c r="I87" s="383"/>
      <c r="J87" s="383"/>
      <c r="K87" s="383"/>
      <c r="L87" s="383"/>
      <c r="M87" s="383"/>
      <c r="N87" s="383"/>
      <c r="O87" s="383"/>
      <c r="P87" s="383"/>
      <c r="Q87" s="383"/>
      <c r="R87" s="383"/>
      <c r="S87" s="383"/>
      <c r="T87" s="383"/>
      <c r="U87" s="383"/>
      <c r="V87" s="383"/>
      <c r="W87" s="383"/>
      <c r="X87" s="383"/>
      <c r="Y87" s="383"/>
      <c r="Z87" s="383"/>
      <c r="AA87" s="383"/>
      <c r="AB87" s="383"/>
      <c r="AC87" s="383"/>
      <c r="AD87" s="383"/>
      <c r="AE87" s="383"/>
      <c r="AF87" s="383"/>
      <c r="AG87" s="383"/>
      <c r="AH87" s="383"/>
      <c r="AI87" s="383"/>
      <c r="AJ87" s="383"/>
      <c r="AK87" s="383"/>
      <c r="AL87" s="383"/>
      <c r="AM87" s="383"/>
      <c r="AN87" s="383"/>
      <c r="AO87" s="383"/>
      <c r="AP87" s="383"/>
      <c r="AQ87" s="383"/>
      <c r="AR87" s="383"/>
      <c r="BV87" s="60">
        <v>7.1</v>
      </c>
      <c r="BW87" s="50">
        <v>35.119999999999997</v>
      </c>
      <c r="BX87" s="50">
        <v>32.450000000000003</v>
      </c>
      <c r="BY87" s="50">
        <v>31.12</v>
      </c>
      <c r="BZ87" s="50">
        <v>32</v>
      </c>
      <c r="CA87" s="61">
        <v>34.299999999999997</v>
      </c>
      <c r="FO87" s="1"/>
      <c r="FP87" s="1"/>
      <c r="FQ87" s="1"/>
    </row>
    <row r="88" spans="2:173" x14ac:dyDescent="0.2">
      <c r="B88" s="308" t="s">
        <v>384</v>
      </c>
      <c r="C88" s="283"/>
      <c r="D88" s="383"/>
      <c r="E88" s="383"/>
      <c r="F88" s="383"/>
      <c r="G88" s="383"/>
      <c r="H88" s="383"/>
      <c r="I88" s="383"/>
      <c r="J88" s="383"/>
      <c r="K88" s="383"/>
      <c r="L88" s="383"/>
      <c r="M88" s="383"/>
      <c r="N88" s="383"/>
      <c r="O88" s="383"/>
      <c r="P88" s="383"/>
      <c r="Q88" s="383"/>
      <c r="R88" s="383"/>
      <c r="S88" s="383"/>
      <c r="T88" s="383"/>
      <c r="U88" s="383"/>
      <c r="V88" s="383"/>
      <c r="W88" s="383"/>
      <c r="X88" s="383"/>
      <c r="Y88" s="383"/>
      <c r="Z88" s="383"/>
      <c r="AA88" s="88"/>
      <c r="AB88" s="88"/>
      <c r="AC88" s="88"/>
      <c r="AD88" s="88"/>
      <c r="AE88" s="88"/>
      <c r="AF88" s="88"/>
      <c r="AG88" s="88"/>
      <c r="AH88" s="88"/>
      <c r="AI88" s="88"/>
      <c r="AJ88" s="88"/>
      <c r="AK88" s="88"/>
      <c r="AL88" s="88"/>
      <c r="AM88" s="88"/>
      <c r="AN88" s="88"/>
      <c r="AO88" s="50"/>
      <c r="AP88" s="50"/>
      <c r="AQ88" s="50"/>
      <c r="AR88" s="50"/>
      <c r="BV88" s="60">
        <v>7.2</v>
      </c>
      <c r="BW88" s="50">
        <v>35.119999999999997</v>
      </c>
      <c r="BX88" s="50">
        <v>32.450000000000003</v>
      </c>
      <c r="BY88" s="50">
        <v>31.12</v>
      </c>
      <c r="BZ88" s="50">
        <v>32</v>
      </c>
      <c r="CA88" s="61">
        <v>34.299999999999997</v>
      </c>
      <c r="FO88" s="1"/>
      <c r="FP88" s="1"/>
      <c r="FQ88" s="1"/>
    </row>
    <row r="89" spans="2:173" ht="16.5" thickBot="1" x14ac:dyDescent="0.25">
      <c r="B89" s="300" t="s">
        <v>346</v>
      </c>
      <c r="C89" s="34"/>
      <c r="D89" s="827">
        <f>N79+O79+P79+Q79+R79+S79+T79+U79+V79+W79+X79</f>
        <v>49.280000000000008</v>
      </c>
      <c r="E89" s="88"/>
      <c r="F89" s="221"/>
      <c r="G89" s="221" t="s">
        <v>381</v>
      </c>
      <c r="H89" s="384"/>
      <c r="I89" s="197">
        <v>75131</v>
      </c>
      <c r="J89" s="748"/>
      <c r="K89" s="299"/>
      <c r="L89" s="256">
        <v>75306</v>
      </c>
      <c r="M89" s="256">
        <v>75306</v>
      </c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385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50"/>
      <c r="AP89" s="50"/>
      <c r="AQ89" s="50"/>
      <c r="AR89" s="50"/>
      <c r="BV89" s="60">
        <v>7.3</v>
      </c>
      <c r="BW89" s="50">
        <v>35.43</v>
      </c>
      <c r="BX89" s="50">
        <v>32.71</v>
      </c>
      <c r="BY89" s="50">
        <v>31.35</v>
      </c>
      <c r="BZ89" s="50">
        <v>32</v>
      </c>
      <c r="CA89" s="61">
        <v>34.299999999999997</v>
      </c>
      <c r="FO89" s="1"/>
      <c r="FP89" s="1"/>
      <c r="FQ89" s="1"/>
    </row>
    <row r="90" spans="2:173" ht="26.25" thickBot="1" x14ac:dyDescent="0.25">
      <c r="B90" s="300" t="s">
        <v>347</v>
      </c>
      <c r="C90" s="283"/>
      <c r="D90" s="827">
        <f>N81+O81+P81+Q81+R81+S81+T81+U81+V81+W81+X81</f>
        <v>59.135999999999989</v>
      </c>
      <c r="F90" s="715"/>
      <c r="G90" s="223" t="s">
        <v>278</v>
      </c>
      <c r="H90" s="34"/>
      <c r="I90" s="199" t="s">
        <v>278</v>
      </c>
      <c r="J90" s="750"/>
      <c r="K90" s="384"/>
      <c r="L90" s="312" t="s">
        <v>6</v>
      </c>
      <c r="M90" s="257" t="s">
        <v>278</v>
      </c>
      <c r="BV90" s="60">
        <v>7.6</v>
      </c>
      <c r="BW90" s="50">
        <v>35.43</v>
      </c>
      <c r="BX90" s="50">
        <v>32.71</v>
      </c>
      <c r="BY90" s="50">
        <v>31.35</v>
      </c>
      <c r="BZ90" s="50">
        <v>32.4</v>
      </c>
      <c r="CA90" s="61">
        <v>34.799999999999997</v>
      </c>
      <c r="FO90" s="1"/>
      <c r="FP90" s="1"/>
      <c r="FQ90" s="1"/>
    </row>
    <row r="91" spans="2:173" x14ac:dyDescent="0.2">
      <c r="B91" s="308" t="s">
        <v>385</v>
      </c>
      <c r="C91" s="34"/>
      <c r="G91" s="302">
        <v>800</v>
      </c>
      <c r="H91" s="287"/>
      <c r="I91" s="34">
        <v>2000</v>
      </c>
      <c r="K91" s="34"/>
      <c r="L91" s="302">
        <v>3200</v>
      </c>
      <c r="M91" s="302">
        <v>36300</v>
      </c>
      <c r="Y91" s="286"/>
      <c r="BV91" s="60">
        <v>7.7</v>
      </c>
      <c r="BW91" s="50">
        <v>35.43</v>
      </c>
      <c r="BX91" s="50">
        <v>32.71</v>
      </c>
      <c r="BY91" s="50">
        <v>31.35</v>
      </c>
      <c r="BZ91" s="50">
        <v>32.4</v>
      </c>
      <c r="CA91" s="61">
        <v>34.799999999999997</v>
      </c>
      <c r="FO91" s="1"/>
      <c r="FP91" s="1"/>
      <c r="FQ91" s="1"/>
    </row>
    <row r="92" spans="2:173" x14ac:dyDescent="0.2">
      <c r="B92" s="300" t="s">
        <v>346</v>
      </c>
      <c r="C92" s="283"/>
      <c r="D92" s="828">
        <f>H79+L79+M79+Z79</f>
        <v>6.41</v>
      </c>
      <c r="H92" s="34"/>
      <c r="I92" s="287"/>
      <c r="K92" s="287"/>
      <c r="BV92" s="60">
        <v>7.8</v>
      </c>
      <c r="BW92" s="50">
        <v>35.71</v>
      </c>
      <c r="BX92" s="50">
        <v>32.94</v>
      </c>
      <c r="BY92" s="50">
        <v>31.56</v>
      </c>
      <c r="BZ92" s="50">
        <v>32.4</v>
      </c>
      <c r="CA92" s="61">
        <v>34.799999999999997</v>
      </c>
      <c r="FO92" s="1"/>
      <c r="FP92" s="1"/>
      <c r="FQ92" s="1"/>
    </row>
    <row r="93" spans="2:173" ht="13.5" thickBot="1" x14ac:dyDescent="0.25">
      <c r="B93" s="300" t="s">
        <v>347</v>
      </c>
      <c r="C93" s="34"/>
      <c r="D93" s="828">
        <f>H81+L81+M81+Z81</f>
        <v>7.6920000000000002</v>
      </c>
      <c r="H93" s="287"/>
      <c r="I93" s="287"/>
      <c r="K93" s="287"/>
      <c r="Y93" s="286"/>
      <c r="BV93" s="60">
        <v>7.9</v>
      </c>
      <c r="BW93" s="50">
        <v>35.71</v>
      </c>
      <c r="BX93" s="50">
        <v>32.94</v>
      </c>
      <c r="BY93" s="50">
        <v>31.56</v>
      </c>
      <c r="BZ93" s="50">
        <v>32.4</v>
      </c>
      <c r="CA93" s="61">
        <v>34.799999999999997</v>
      </c>
      <c r="FO93" s="1"/>
      <c r="FP93" s="1"/>
      <c r="FQ93" s="1"/>
    </row>
    <row r="94" spans="2:173" s="302" customFormat="1" x14ac:dyDescent="0.2">
      <c r="B94" s="308" t="s">
        <v>426</v>
      </c>
      <c r="C94" s="283"/>
      <c r="H94" s="34"/>
      <c r="I94" s="285"/>
      <c r="K94" s="285"/>
      <c r="AO94" s="303"/>
      <c r="AP94" s="303"/>
      <c r="AQ94" s="303"/>
      <c r="AR94" s="303"/>
      <c r="AS94" s="303"/>
      <c r="AT94" s="303"/>
      <c r="AU94" s="303"/>
      <c r="AX94" s="303"/>
      <c r="AY94" s="303"/>
      <c r="AZ94" s="303"/>
      <c r="BA94" s="303"/>
      <c r="BB94" s="303"/>
      <c r="BC94" s="303"/>
      <c r="BD94" s="303"/>
      <c r="BE94" s="303"/>
      <c r="BF94" s="303"/>
      <c r="BG94" s="303"/>
      <c r="BH94" s="303"/>
      <c r="BI94" s="303"/>
      <c r="BJ94" s="303"/>
      <c r="BK94" s="303"/>
      <c r="BL94" s="303"/>
      <c r="BM94" s="303"/>
      <c r="BN94" s="303"/>
      <c r="BO94" s="303"/>
      <c r="BP94" s="303"/>
      <c r="BQ94" s="303"/>
      <c r="BR94" s="303"/>
      <c r="BS94" s="303"/>
      <c r="BT94" s="303"/>
      <c r="BU94" s="303"/>
      <c r="BV94" s="60">
        <v>8</v>
      </c>
      <c r="BW94" s="50">
        <v>35.71</v>
      </c>
      <c r="BX94" s="50">
        <v>32.94</v>
      </c>
      <c r="BY94" s="50">
        <v>31.56</v>
      </c>
      <c r="BZ94" s="50">
        <v>32.4</v>
      </c>
      <c r="CA94" s="61">
        <v>34.799999999999997</v>
      </c>
      <c r="CB94" s="303"/>
      <c r="CC94" s="303"/>
      <c r="CD94" s="303"/>
      <c r="CE94" s="303"/>
      <c r="CF94" s="303"/>
      <c r="CG94" s="303"/>
      <c r="CH94" s="303"/>
      <c r="CI94" s="303"/>
      <c r="CJ94" s="303"/>
      <c r="CK94" s="303"/>
      <c r="CL94" s="303"/>
      <c r="CM94" s="303"/>
      <c r="CN94" s="303"/>
      <c r="CO94" s="303"/>
      <c r="CP94" s="303"/>
      <c r="CQ94" s="303"/>
      <c r="CR94" s="303"/>
      <c r="CS94" s="303"/>
      <c r="CT94" s="303"/>
      <c r="CU94" s="303"/>
      <c r="CV94" s="303"/>
      <c r="CW94" s="303"/>
      <c r="CX94" s="303"/>
      <c r="CY94" s="303"/>
      <c r="CZ94" s="303"/>
      <c r="DA94" s="303"/>
      <c r="DB94" s="303"/>
      <c r="DC94" s="303"/>
      <c r="DD94" s="303"/>
      <c r="DE94" s="303"/>
      <c r="DF94" s="303"/>
      <c r="DG94" s="303"/>
      <c r="DH94" s="303"/>
      <c r="DI94" s="303"/>
      <c r="DJ94" s="303"/>
      <c r="DK94" s="303"/>
      <c r="DL94" s="303"/>
      <c r="DM94" s="303"/>
      <c r="DN94" s="303"/>
      <c r="DO94" s="303"/>
      <c r="DP94" s="303"/>
      <c r="DQ94" s="303"/>
      <c r="DR94" s="303"/>
      <c r="DS94" s="303"/>
      <c r="DT94" s="303"/>
      <c r="DU94" s="303"/>
      <c r="DV94" s="303"/>
      <c r="DW94" s="303"/>
      <c r="DX94" s="303"/>
      <c r="DY94" s="303"/>
      <c r="DZ94" s="303"/>
      <c r="EA94" s="303"/>
      <c r="EB94" s="303"/>
      <c r="EC94" s="303"/>
      <c r="ED94" s="303"/>
      <c r="EE94" s="303"/>
      <c r="EF94" s="303"/>
      <c r="EG94" s="303"/>
      <c r="EH94" s="303"/>
      <c r="EI94" s="303"/>
      <c r="EJ94" s="303"/>
      <c r="EK94" s="303"/>
      <c r="EL94" s="303"/>
      <c r="EM94" s="303"/>
      <c r="EN94" s="303"/>
      <c r="EO94" s="303"/>
      <c r="EP94" s="303"/>
      <c r="EQ94" s="303"/>
      <c r="ER94" s="303"/>
      <c r="ES94" s="303"/>
      <c r="ET94" s="303"/>
      <c r="EU94" s="303"/>
      <c r="EV94" s="303"/>
      <c r="EW94" s="303"/>
      <c r="EX94" s="303"/>
      <c r="EY94" s="303"/>
      <c r="EZ94" s="303"/>
      <c r="FA94" s="303"/>
      <c r="FB94" s="303"/>
      <c r="FC94" s="303"/>
      <c r="FD94" s="303"/>
      <c r="FE94" s="303"/>
      <c r="FF94" s="303"/>
      <c r="FG94" s="303"/>
      <c r="FH94" s="303"/>
      <c r="FI94" s="303"/>
      <c r="FJ94" s="303"/>
      <c r="FK94" s="303"/>
      <c r="FL94" s="303"/>
      <c r="FM94" s="303"/>
      <c r="FN94" s="303"/>
      <c r="FO94" s="303"/>
      <c r="FP94" s="303"/>
      <c r="FQ94" s="303"/>
    </row>
    <row r="95" spans="2:173" s="302" customFormat="1" x14ac:dyDescent="0.2">
      <c r="B95" s="300" t="s">
        <v>346</v>
      </c>
      <c r="C95" s="34"/>
      <c r="D95" s="828">
        <f>G79+K79+Y79</f>
        <v>3.3200000000000003</v>
      </c>
      <c r="H95" s="287"/>
      <c r="I95" s="34"/>
      <c r="K95" s="34"/>
      <c r="Y95" s="286"/>
      <c r="AO95" s="303"/>
      <c r="AP95" s="303"/>
      <c r="AQ95" s="303"/>
      <c r="AR95" s="303"/>
      <c r="AS95" s="303"/>
      <c r="AT95" s="303"/>
      <c r="AU95" s="303"/>
      <c r="AX95" s="303"/>
      <c r="AY95" s="303"/>
      <c r="AZ95" s="303"/>
      <c r="BA95" s="303"/>
      <c r="BB95" s="303"/>
      <c r="BC95" s="303"/>
      <c r="BD95" s="303"/>
      <c r="BE95" s="303"/>
      <c r="BF95" s="303"/>
      <c r="BG95" s="303"/>
      <c r="BH95" s="303"/>
      <c r="BI95" s="303"/>
      <c r="BJ95" s="303"/>
      <c r="BK95" s="303"/>
      <c r="BL95" s="303"/>
      <c r="BM95" s="303"/>
      <c r="BN95" s="303"/>
      <c r="BO95" s="303"/>
      <c r="BP95" s="303"/>
      <c r="BQ95" s="303"/>
      <c r="BR95" s="303"/>
      <c r="BS95" s="303"/>
      <c r="BT95" s="303"/>
      <c r="BU95" s="303"/>
      <c r="BV95" s="60">
        <v>8.1</v>
      </c>
      <c r="BW95" s="50">
        <v>35.71</v>
      </c>
      <c r="BX95" s="50">
        <v>32.94</v>
      </c>
      <c r="BY95" s="50">
        <v>31.56</v>
      </c>
      <c r="BZ95" s="50">
        <v>32.4</v>
      </c>
      <c r="CA95" s="61">
        <v>34.799999999999997</v>
      </c>
      <c r="CB95" s="303"/>
      <c r="CC95" s="303"/>
      <c r="CD95" s="303"/>
      <c r="CE95" s="303"/>
      <c r="CF95" s="303"/>
      <c r="CG95" s="303"/>
      <c r="CH95" s="303"/>
      <c r="CI95" s="303"/>
      <c r="CJ95" s="303"/>
      <c r="CK95" s="303"/>
      <c r="CL95" s="303"/>
      <c r="CM95" s="303"/>
      <c r="CN95" s="303"/>
      <c r="CO95" s="303"/>
      <c r="CP95" s="303"/>
      <c r="CQ95" s="303"/>
      <c r="CR95" s="303"/>
      <c r="CS95" s="303"/>
      <c r="CT95" s="303"/>
      <c r="CU95" s="303"/>
      <c r="CV95" s="303"/>
      <c r="CW95" s="303"/>
      <c r="CX95" s="303"/>
      <c r="CY95" s="303"/>
      <c r="CZ95" s="303"/>
      <c r="DA95" s="303"/>
      <c r="DB95" s="303"/>
      <c r="DC95" s="303"/>
      <c r="DD95" s="303"/>
      <c r="DE95" s="303"/>
      <c r="DF95" s="303"/>
      <c r="DG95" s="303"/>
      <c r="DH95" s="303"/>
      <c r="DI95" s="303"/>
      <c r="DJ95" s="303"/>
      <c r="DK95" s="303"/>
      <c r="DL95" s="303"/>
      <c r="DM95" s="303"/>
      <c r="DN95" s="303"/>
      <c r="DO95" s="303"/>
      <c r="DP95" s="303"/>
      <c r="DQ95" s="303"/>
      <c r="DR95" s="303"/>
      <c r="DS95" s="303"/>
      <c r="DT95" s="303"/>
      <c r="DU95" s="303"/>
      <c r="DV95" s="303"/>
      <c r="DW95" s="303"/>
      <c r="DX95" s="303"/>
      <c r="DY95" s="303"/>
      <c r="DZ95" s="303"/>
      <c r="EA95" s="303"/>
      <c r="EB95" s="303"/>
      <c r="EC95" s="303"/>
      <c r="ED95" s="303"/>
      <c r="EE95" s="303"/>
      <c r="EF95" s="303"/>
      <c r="EG95" s="303"/>
      <c r="EH95" s="303"/>
      <c r="EI95" s="303"/>
      <c r="EJ95" s="303"/>
      <c r="EK95" s="303"/>
      <c r="EL95" s="303"/>
      <c r="EM95" s="303"/>
      <c r="EN95" s="303"/>
      <c r="EO95" s="303"/>
      <c r="EP95" s="303"/>
      <c r="EQ95" s="303"/>
      <c r="ER95" s="303"/>
      <c r="ES95" s="303"/>
      <c r="ET95" s="303"/>
      <c r="EU95" s="303"/>
      <c r="EV95" s="303"/>
      <c r="EW95" s="303"/>
      <c r="EX95" s="303"/>
      <c r="EY95" s="303"/>
      <c r="EZ95" s="303"/>
      <c r="FA95" s="303"/>
      <c r="FB95" s="303"/>
      <c r="FC95" s="303"/>
      <c r="FD95" s="303"/>
      <c r="FE95" s="303"/>
      <c r="FF95" s="303"/>
      <c r="FG95" s="303"/>
      <c r="FH95" s="303"/>
      <c r="FI95" s="303"/>
      <c r="FJ95" s="303"/>
      <c r="FK95" s="303"/>
      <c r="FL95" s="303"/>
      <c r="FM95" s="303"/>
      <c r="FN95" s="303"/>
      <c r="FO95" s="303"/>
      <c r="FP95" s="303"/>
      <c r="FQ95" s="303"/>
    </row>
    <row r="96" spans="2:173" s="302" customFormat="1" x14ac:dyDescent="0.2">
      <c r="B96" s="300" t="s">
        <v>347</v>
      </c>
      <c r="C96" s="283"/>
      <c r="D96" s="828">
        <f>G81+K81+Y81</f>
        <v>3.984</v>
      </c>
      <c r="H96" s="34"/>
      <c r="I96" s="285"/>
      <c r="K96" s="285"/>
      <c r="AO96" s="303"/>
      <c r="AP96" s="303"/>
      <c r="AQ96" s="303"/>
      <c r="AR96" s="303"/>
      <c r="AS96" s="303"/>
      <c r="AT96" s="303"/>
      <c r="AU96" s="303"/>
      <c r="AX96" s="303"/>
      <c r="AY96" s="303"/>
      <c r="AZ96" s="303"/>
      <c r="BA96" s="303"/>
      <c r="BB96" s="303"/>
      <c r="BC96" s="303"/>
      <c r="BD96" s="303"/>
      <c r="BE96" s="303"/>
      <c r="BF96" s="303"/>
      <c r="BG96" s="303"/>
      <c r="BH96" s="303"/>
      <c r="BI96" s="303"/>
      <c r="BJ96" s="303"/>
      <c r="BK96" s="303"/>
      <c r="BL96" s="303"/>
      <c r="BM96" s="303"/>
      <c r="BN96" s="303"/>
      <c r="BO96" s="303"/>
      <c r="BP96" s="303"/>
      <c r="BQ96" s="303"/>
      <c r="BR96" s="303"/>
      <c r="BS96" s="303"/>
      <c r="BT96" s="303"/>
      <c r="BU96" s="303"/>
      <c r="BV96" s="60">
        <v>8.1999999999999993</v>
      </c>
      <c r="BW96" s="50">
        <v>35.71</v>
      </c>
      <c r="BX96" s="50">
        <v>32.94</v>
      </c>
      <c r="BY96" s="50">
        <v>31.56</v>
      </c>
      <c r="BZ96" s="50">
        <v>32.4</v>
      </c>
      <c r="CA96" s="61">
        <v>34.799999999999997</v>
      </c>
      <c r="CB96" s="303"/>
      <c r="CC96" s="303"/>
      <c r="CD96" s="303"/>
      <c r="CE96" s="303"/>
      <c r="CF96" s="303"/>
      <c r="CG96" s="303"/>
      <c r="CH96" s="303"/>
      <c r="CI96" s="303"/>
      <c r="CJ96" s="303"/>
      <c r="CK96" s="303"/>
      <c r="CL96" s="303"/>
      <c r="CM96" s="303"/>
      <c r="CN96" s="303"/>
      <c r="CO96" s="303"/>
      <c r="CP96" s="303"/>
      <c r="CQ96" s="303"/>
      <c r="CR96" s="303"/>
      <c r="CS96" s="303"/>
      <c r="CT96" s="303"/>
      <c r="CU96" s="303"/>
      <c r="CV96" s="303"/>
      <c r="CW96" s="303"/>
      <c r="CX96" s="303"/>
      <c r="CY96" s="303"/>
      <c r="CZ96" s="303"/>
      <c r="DA96" s="303"/>
      <c r="DB96" s="303"/>
      <c r="DC96" s="303"/>
      <c r="DD96" s="303"/>
      <c r="DE96" s="303"/>
      <c r="DF96" s="303"/>
      <c r="DG96" s="303"/>
      <c r="DH96" s="303"/>
      <c r="DI96" s="303"/>
      <c r="DJ96" s="303"/>
      <c r="DK96" s="303"/>
      <c r="DL96" s="303"/>
      <c r="DM96" s="303"/>
      <c r="DN96" s="303"/>
      <c r="DO96" s="303"/>
      <c r="DP96" s="303"/>
      <c r="DQ96" s="303"/>
      <c r="DR96" s="303"/>
      <c r="DS96" s="303"/>
      <c r="DT96" s="303"/>
      <c r="DU96" s="303"/>
      <c r="DV96" s="303"/>
      <c r="DW96" s="303"/>
      <c r="DX96" s="303"/>
      <c r="DY96" s="303"/>
      <c r="DZ96" s="303"/>
      <c r="EA96" s="303"/>
      <c r="EB96" s="303"/>
      <c r="EC96" s="303"/>
      <c r="ED96" s="303"/>
      <c r="EE96" s="303"/>
      <c r="EF96" s="303"/>
      <c r="EG96" s="303"/>
      <c r="EH96" s="303"/>
      <c r="EI96" s="303"/>
      <c r="EJ96" s="303"/>
      <c r="EK96" s="303"/>
      <c r="EL96" s="303"/>
      <c r="EM96" s="303"/>
      <c r="EN96" s="303"/>
      <c r="EO96" s="303"/>
      <c r="EP96" s="303"/>
      <c r="EQ96" s="303"/>
      <c r="ER96" s="303"/>
      <c r="ES96" s="303"/>
      <c r="ET96" s="303"/>
      <c r="EU96" s="303"/>
      <c r="EV96" s="303"/>
      <c r="EW96" s="303"/>
      <c r="EX96" s="303"/>
      <c r="EY96" s="303"/>
      <c r="EZ96" s="303"/>
      <c r="FA96" s="303"/>
      <c r="FB96" s="303"/>
      <c r="FC96" s="303"/>
      <c r="FD96" s="303"/>
      <c r="FE96" s="303"/>
      <c r="FF96" s="303"/>
      <c r="FG96" s="303"/>
      <c r="FH96" s="303"/>
      <c r="FI96" s="303"/>
      <c r="FJ96" s="303"/>
      <c r="FK96" s="303"/>
      <c r="FL96" s="303"/>
      <c r="FM96" s="303"/>
      <c r="FN96" s="303"/>
      <c r="FO96" s="303"/>
      <c r="FP96" s="303"/>
      <c r="FQ96" s="303"/>
    </row>
    <row r="97" spans="2:173" x14ac:dyDescent="0.2">
      <c r="B97" s="309" t="s">
        <v>387</v>
      </c>
      <c r="C97" s="283"/>
      <c r="H97" s="34"/>
      <c r="I97" s="285"/>
      <c r="K97" s="285"/>
      <c r="BV97" s="60">
        <v>8</v>
      </c>
      <c r="BW97" s="50">
        <v>35.71</v>
      </c>
      <c r="BX97" s="50">
        <v>32.94</v>
      </c>
      <c r="BY97" s="50">
        <v>31.56</v>
      </c>
      <c r="BZ97" s="50">
        <v>32.4</v>
      </c>
      <c r="CA97" s="61">
        <v>34.799999999999997</v>
      </c>
      <c r="FO97" s="1"/>
      <c r="FP97" s="1"/>
      <c r="FQ97" s="1"/>
    </row>
    <row r="98" spans="2:173" x14ac:dyDescent="0.2">
      <c r="B98" s="300" t="s">
        <v>346</v>
      </c>
      <c r="C98" s="34"/>
      <c r="D98" s="285">
        <f>D79+E79+F79+I79+J79</f>
        <v>7.16</v>
      </c>
      <c r="H98" s="287"/>
      <c r="I98" s="285"/>
      <c r="K98" s="285"/>
      <c r="Y98" s="286"/>
      <c r="BV98" s="60">
        <v>8.1</v>
      </c>
      <c r="BW98" s="50">
        <v>35.71</v>
      </c>
      <c r="BX98" s="50">
        <v>32.94</v>
      </c>
      <c r="BY98" s="50">
        <v>31.56</v>
      </c>
      <c r="BZ98" s="50">
        <v>32.4</v>
      </c>
      <c r="CA98" s="61">
        <v>34.799999999999997</v>
      </c>
      <c r="FO98" s="1"/>
      <c r="FP98" s="1"/>
      <c r="FQ98" s="1"/>
    </row>
    <row r="99" spans="2:173" ht="13.5" thickBot="1" x14ac:dyDescent="0.25">
      <c r="B99" s="300" t="s">
        <v>347</v>
      </c>
      <c r="C99" s="283"/>
      <c r="D99" s="285">
        <f>D81+E81+F81+I81+J81</f>
        <v>8.5920000000000005</v>
      </c>
      <c r="H99" s="34"/>
      <c r="I99" s="285"/>
      <c r="K99" s="285"/>
      <c r="BV99" s="60">
        <v>8.1999999999999993</v>
      </c>
      <c r="BW99" s="50">
        <v>35.71</v>
      </c>
      <c r="BX99" s="50">
        <v>32.94</v>
      </c>
      <c r="BY99" s="50">
        <v>31.56</v>
      </c>
      <c r="BZ99" s="50">
        <v>32.4</v>
      </c>
      <c r="CA99" s="61">
        <v>34.799999999999997</v>
      </c>
      <c r="FO99" s="1"/>
      <c r="FP99" s="1"/>
      <c r="FQ99" s="1"/>
    </row>
    <row r="100" spans="2:173" ht="16.5" thickBot="1" x14ac:dyDescent="0.3">
      <c r="B100" s="301" t="s">
        <v>353</v>
      </c>
      <c r="C100" s="34"/>
      <c r="H100" s="287"/>
      <c r="I100" s="34"/>
      <c r="K100" s="34"/>
      <c r="Y100" s="286"/>
      <c r="BV100" s="60">
        <v>8.3000000000000007</v>
      </c>
      <c r="BW100" s="50">
        <v>35.96</v>
      </c>
      <c r="BX100" s="50">
        <v>33.14</v>
      </c>
      <c r="BY100" s="50">
        <v>31.74</v>
      </c>
      <c r="BZ100" s="50">
        <v>32.4</v>
      </c>
      <c r="CA100" s="61">
        <v>34.799999999999997</v>
      </c>
      <c r="FO100" s="1"/>
      <c r="FP100" s="1"/>
      <c r="FQ100" s="1"/>
    </row>
    <row r="101" spans="2:173" ht="13.5" thickBot="1" x14ac:dyDescent="0.25">
      <c r="B101" s="308" t="s">
        <v>384</v>
      </c>
      <c r="C101" s="283"/>
      <c r="D101" s="384">
        <f>N84+O84+P84+Q84+R84+S84+T84+U84+V84+W84+X84</f>
        <v>34386.15</v>
      </c>
      <c r="H101" s="34"/>
      <c r="I101" s="287"/>
      <c r="K101" s="287"/>
      <c r="BV101" s="60">
        <v>8.4</v>
      </c>
      <c r="BW101" s="50">
        <v>35.96</v>
      </c>
      <c r="BX101" s="50">
        <v>33.14</v>
      </c>
      <c r="BY101" s="50">
        <v>31.74</v>
      </c>
      <c r="BZ101" s="50">
        <v>32.4</v>
      </c>
      <c r="CA101" s="61">
        <v>34.799999999999997</v>
      </c>
      <c r="FO101" s="1"/>
      <c r="FP101" s="1"/>
      <c r="FQ101" s="1"/>
    </row>
    <row r="102" spans="2:173" ht="13.5" thickBot="1" x14ac:dyDescent="0.25">
      <c r="B102" s="308" t="s">
        <v>385</v>
      </c>
      <c r="D102" s="287">
        <f>H84+L84+M84+Z84</f>
        <v>2100</v>
      </c>
      <c r="I102" s="386"/>
      <c r="K102" s="386"/>
      <c r="BV102" s="60">
        <v>8.5</v>
      </c>
      <c r="BW102" s="50">
        <v>35.96</v>
      </c>
      <c r="BX102" s="50">
        <v>33.14</v>
      </c>
      <c r="BY102" s="50">
        <v>31.74</v>
      </c>
      <c r="BZ102" s="50">
        <v>32.4</v>
      </c>
      <c r="CA102" s="61">
        <v>34.799999999999997</v>
      </c>
      <c r="FO102" s="1"/>
      <c r="FP102" s="1"/>
      <c r="FQ102" s="1"/>
    </row>
    <row r="103" spans="2:173" s="302" customFormat="1" x14ac:dyDescent="0.2">
      <c r="B103" s="308" t="s">
        <v>426</v>
      </c>
      <c r="D103" s="287">
        <f>G84+K84+Y84</f>
        <v>1469.4749999999999</v>
      </c>
      <c r="I103" s="386"/>
      <c r="K103" s="386"/>
      <c r="AO103" s="303"/>
      <c r="AP103" s="303"/>
      <c r="AQ103" s="303"/>
      <c r="AR103" s="303"/>
      <c r="AS103" s="303"/>
      <c r="AT103" s="303"/>
      <c r="AU103" s="303"/>
      <c r="AX103" s="303"/>
      <c r="AY103" s="303"/>
      <c r="AZ103" s="303"/>
      <c r="BA103" s="303"/>
      <c r="BB103" s="303"/>
      <c r="BC103" s="303"/>
      <c r="BD103" s="303"/>
      <c r="BE103" s="303"/>
      <c r="BF103" s="303"/>
      <c r="BG103" s="303"/>
      <c r="BH103" s="303"/>
      <c r="BI103" s="303"/>
      <c r="BJ103" s="303"/>
      <c r="BK103" s="303"/>
      <c r="BL103" s="303"/>
      <c r="BM103" s="303"/>
      <c r="BN103" s="303"/>
      <c r="BO103" s="303"/>
      <c r="BP103" s="303"/>
      <c r="BQ103" s="303"/>
      <c r="BR103" s="303"/>
      <c r="BS103" s="303"/>
      <c r="BT103" s="303"/>
      <c r="BU103" s="303"/>
      <c r="BV103" s="60"/>
      <c r="BW103" s="50"/>
      <c r="BX103" s="50"/>
      <c r="BY103" s="50"/>
      <c r="BZ103" s="50"/>
      <c r="CA103" s="61"/>
      <c r="CB103" s="303"/>
      <c r="CC103" s="303"/>
      <c r="CD103" s="303"/>
      <c r="CE103" s="303"/>
      <c r="CF103" s="303"/>
      <c r="CG103" s="303"/>
      <c r="CH103" s="303"/>
      <c r="CI103" s="303"/>
      <c r="CJ103" s="303"/>
      <c r="CK103" s="303"/>
      <c r="CL103" s="303"/>
      <c r="CM103" s="303"/>
      <c r="CN103" s="303"/>
      <c r="CO103" s="303"/>
      <c r="CP103" s="303"/>
      <c r="CQ103" s="303"/>
      <c r="CR103" s="303"/>
      <c r="CS103" s="303"/>
      <c r="CT103" s="303"/>
      <c r="CU103" s="303"/>
      <c r="CV103" s="303"/>
      <c r="CW103" s="303"/>
      <c r="CX103" s="303"/>
      <c r="CY103" s="303"/>
      <c r="CZ103" s="303"/>
      <c r="DA103" s="303"/>
      <c r="DB103" s="303"/>
      <c r="DC103" s="303"/>
      <c r="DD103" s="303"/>
      <c r="DE103" s="303"/>
      <c r="DF103" s="303"/>
      <c r="DG103" s="303"/>
      <c r="DH103" s="303"/>
      <c r="DI103" s="303"/>
      <c r="DJ103" s="303"/>
      <c r="DK103" s="303"/>
      <c r="DL103" s="303"/>
      <c r="DM103" s="303"/>
      <c r="DN103" s="303"/>
      <c r="DO103" s="303"/>
      <c r="DP103" s="303"/>
      <c r="DQ103" s="303"/>
      <c r="DR103" s="303"/>
      <c r="DS103" s="303"/>
      <c r="DT103" s="303"/>
      <c r="DU103" s="303"/>
      <c r="DV103" s="303"/>
      <c r="DW103" s="303"/>
      <c r="DX103" s="303"/>
      <c r="DY103" s="303"/>
      <c r="DZ103" s="303"/>
      <c r="EA103" s="303"/>
      <c r="EB103" s="303"/>
      <c r="EC103" s="303"/>
      <c r="ED103" s="303"/>
      <c r="EE103" s="303"/>
      <c r="EF103" s="303"/>
      <c r="EG103" s="303"/>
      <c r="EH103" s="303"/>
      <c r="EI103" s="303"/>
      <c r="EJ103" s="303"/>
      <c r="EK103" s="303"/>
      <c r="EL103" s="303"/>
      <c r="EM103" s="303"/>
      <c r="EN103" s="303"/>
      <c r="EO103" s="303"/>
      <c r="EP103" s="303"/>
      <c r="EQ103" s="303"/>
      <c r="ER103" s="303"/>
      <c r="ES103" s="303"/>
      <c r="ET103" s="303"/>
      <c r="EU103" s="303"/>
      <c r="EV103" s="303"/>
      <c r="EW103" s="303"/>
      <c r="EX103" s="303"/>
      <c r="EY103" s="303"/>
      <c r="EZ103" s="303"/>
      <c r="FA103" s="303"/>
      <c r="FB103" s="303"/>
      <c r="FC103" s="303"/>
      <c r="FD103" s="303"/>
      <c r="FE103" s="303"/>
      <c r="FF103" s="303"/>
      <c r="FG103" s="303"/>
      <c r="FH103" s="303"/>
      <c r="FI103" s="303"/>
      <c r="FJ103" s="303"/>
      <c r="FK103" s="303"/>
      <c r="FL103" s="303"/>
      <c r="FM103" s="303"/>
      <c r="FN103" s="303"/>
      <c r="FO103" s="303"/>
      <c r="FP103" s="303"/>
      <c r="FQ103" s="303"/>
    </row>
    <row r="104" spans="2:173" ht="13.5" thickBot="1" x14ac:dyDescent="0.25">
      <c r="B104" s="309" t="s">
        <v>386</v>
      </c>
      <c r="D104" s="287">
        <f>D84+E84+F84+I84+J84</f>
        <v>3091.2350000000001</v>
      </c>
      <c r="I104" s="287"/>
      <c r="K104" s="287"/>
      <c r="BV104" s="60">
        <v>8.6</v>
      </c>
      <c r="BW104" s="50">
        <v>35.96</v>
      </c>
      <c r="BX104" s="50">
        <v>33.14</v>
      </c>
      <c r="BY104" s="50">
        <v>31.74</v>
      </c>
      <c r="BZ104" s="50">
        <v>32.6</v>
      </c>
      <c r="CA104" s="61">
        <v>35.1</v>
      </c>
      <c r="FO104" s="1"/>
      <c r="FP104" s="1"/>
      <c r="FQ104" s="1"/>
    </row>
    <row r="105" spans="2:173" ht="16.5" thickBot="1" x14ac:dyDescent="0.3">
      <c r="B105" s="301" t="s">
        <v>354</v>
      </c>
      <c r="BV105" s="60">
        <v>8.6999999999999993</v>
      </c>
      <c r="BW105" s="50">
        <v>35.96</v>
      </c>
      <c r="BX105" s="50">
        <v>33.14</v>
      </c>
      <c r="BY105" s="50">
        <v>31.74</v>
      </c>
      <c r="BZ105" s="50">
        <v>32.6</v>
      </c>
      <c r="CA105" s="61">
        <v>35.1</v>
      </c>
      <c r="FO105" s="1"/>
      <c r="FP105" s="1"/>
      <c r="FQ105" s="1"/>
    </row>
    <row r="106" spans="2:173" ht="13.5" thickBot="1" x14ac:dyDescent="0.25">
      <c r="B106" s="308" t="s">
        <v>384</v>
      </c>
      <c r="D106" s="384">
        <f>N85+O85+P85+Q85+R85+S85+T85+U85+V85+W85+X85</f>
        <v>6877230</v>
      </c>
      <c r="I106" s="386"/>
      <c r="K106" s="386"/>
      <c r="BV106" s="60">
        <v>8.8000000000000007</v>
      </c>
      <c r="BW106" s="50">
        <v>36.19</v>
      </c>
      <c r="BX106" s="50">
        <v>33.33</v>
      </c>
      <c r="BY106" s="50">
        <v>31.91</v>
      </c>
      <c r="BZ106" s="50">
        <v>32.6</v>
      </c>
      <c r="CA106" s="61">
        <v>35.1</v>
      </c>
      <c r="FO106" s="1"/>
      <c r="FP106" s="1"/>
      <c r="FQ106" s="1"/>
    </row>
    <row r="107" spans="2:173" ht="13.5" thickBot="1" x14ac:dyDescent="0.25">
      <c r="B107" s="308" t="s">
        <v>385</v>
      </c>
      <c r="D107" s="287">
        <f>H85+L85+M85+Z85</f>
        <v>600000</v>
      </c>
      <c r="I107" s="386"/>
      <c r="K107" s="386"/>
      <c r="BV107" s="60">
        <v>8.9</v>
      </c>
      <c r="BW107" s="50">
        <v>36.19</v>
      </c>
      <c r="BX107" s="50">
        <v>33.33</v>
      </c>
      <c r="BY107" s="50">
        <v>31.91</v>
      </c>
      <c r="BZ107" s="50">
        <v>32.6</v>
      </c>
      <c r="CA107" s="61">
        <v>35.1</v>
      </c>
      <c r="FO107" s="1"/>
      <c r="FP107" s="1"/>
      <c r="FQ107" s="1"/>
    </row>
    <row r="108" spans="2:173" s="302" customFormat="1" x14ac:dyDescent="0.2">
      <c r="B108" s="308" t="s">
        <v>426</v>
      </c>
      <c r="D108" s="287">
        <f>G85+K85+Y85</f>
        <v>419850</v>
      </c>
      <c r="I108" s="386"/>
      <c r="K108" s="386"/>
      <c r="AO108" s="303"/>
      <c r="AP108" s="303"/>
      <c r="AQ108" s="303"/>
      <c r="AR108" s="303"/>
      <c r="AS108" s="303"/>
      <c r="AT108" s="303"/>
      <c r="AU108" s="303"/>
      <c r="AX108" s="303"/>
      <c r="AY108" s="303"/>
      <c r="AZ108" s="303"/>
      <c r="BA108" s="303"/>
      <c r="BB108" s="303"/>
      <c r="BC108" s="303"/>
      <c r="BD108" s="303"/>
      <c r="BE108" s="303"/>
      <c r="BF108" s="303"/>
      <c r="BG108" s="303"/>
      <c r="BH108" s="303"/>
      <c r="BI108" s="303"/>
      <c r="BJ108" s="303"/>
      <c r="BK108" s="303"/>
      <c r="BL108" s="303"/>
      <c r="BM108" s="303"/>
      <c r="BN108" s="303"/>
      <c r="BO108" s="303"/>
      <c r="BP108" s="303"/>
      <c r="BQ108" s="303"/>
      <c r="BR108" s="303"/>
      <c r="BS108" s="303"/>
      <c r="BT108" s="303"/>
      <c r="BU108" s="303"/>
      <c r="BV108" s="60"/>
      <c r="BW108" s="50"/>
      <c r="BX108" s="50"/>
      <c r="BY108" s="50"/>
      <c r="BZ108" s="50"/>
      <c r="CA108" s="61"/>
      <c r="CB108" s="303"/>
      <c r="CC108" s="303"/>
      <c r="CD108" s="303"/>
      <c r="CE108" s="303"/>
      <c r="CF108" s="303"/>
      <c r="CG108" s="303"/>
      <c r="CH108" s="303"/>
      <c r="CI108" s="303"/>
      <c r="CJ108" s="303"/>
      <c r="CK108" s="303"/>
      <c r="CL108" s="303"/>
      <c r="CM108" s="303"/>
      <c r="CN108" s="303"/>
      <c r="CO108" s="303"/>
      <c r="CP108" s="303"/>
      <c r="CQ108" s="303"/>
      <c r="CR108" s="303"/>
      <c r="CS108" s="303"/>
      <c r="CT108" s="303"/>
      <c r="CU108" s="303"/>
      <c r="CV108" s="303"/>
      <c r="CW108" s="303"/>
      <c r="CX108" s="303"/>
      <c r="CY108" s="303"/>
      <c r="CZ108" s="303"/>
      <c r="DA108" s="303"/>
      <c r="DB108" s="303"/>
      <c r="DC108" s="303"/>
      <c r="DD108" s="303"/>
      <c r="DE108" s="303"/>
      <c r="DF108" s="303"/>
      <c r="DG108" s="303"/>
      <c r="DH108" s="303"/>
      <c r="DI108" s="303"/>
      <c r="DJ108" s="303"/>
      <c r="DK108" s="303"/>
      <c r="DL108" s="303"/>
      <c r="DM108" s="303"/>
      <c r="DN108" s="303"/>
      <c r="DO108" s="303"/>
      <c r="DP108" s="303"/>
      <c r="DQ108" s="303"/>
      <c r="DR108" s="303"/>
      <c r="DS108" s="303"/>
      <c r="DT108" s="303"/>
      <c r="DU108" s="303"/>
      <c r="DV108" s="303"/>
      <c r="DW108" s="303"/>
      <c r="DX108" s="303"/>
      <c r="DY108" s="303"/>
      <c r="DZ108" s="303"/>
      <c r="EA108" s="303"/>
      <c r="EB108" s="303"/>
      <c r="EC108" s="303"/>
      <c r="ED108" s="303"/>
      <c r="EE108" s="303"/>
      <c r="EF108" s="303"/>
      <c r="EG108" s="303"/>
      <c r="EH108" s="303"/>
      <c r="EI108" s="303"/>
      <c r="EJ108" s="303"/>
      <c r="EK108" s="303"/>
      <c r="EL108" s="303"/>
      <c r="EM108" s="303"/>
      <c r="EN108" s="303"/>
      <c r="EO108" s="303"/>
      <c r="EP108" s="303"/>
      <c r="EQ108" s="303"/>
      <c r="ER108" s="303"/>
      <c r="ES108" s="303"/>
      <c r="ET108" s="303"/>
      <c r="EU108" s="303"/>
      <c r="EV108" s="303"/>
      <c r="EW108" s="303"/>
      <c r="EX108" s="303"/>
      <c r="EY108" s="303"/>
      <c r="EZ108" s="303"/>
      <c r="FA108" s="303"/>
      <c r="FB108" s="303"/>
      <c r="FC108" s="303"/>
      <c r="FD108" s="303"/>
      <c r="FE108" s="303"/>
      <c r="FF108" s="303"/>
      <c r="FG108" s="303"/>
      <c r="FH108" s="303"/>
      <c r="FI108" s="303"/>
      <c r="FJ108" s="303"/>
      <c r="FK108" s="303"/>
      <c r="FL108" s="303"/>
      <c r="FM108" s="303"/>
      <c r="FN108" s="303"/>
      <c r="FO108" s="303"/>
      <c r="FP108" s="303"/>
      <c r="FQ108" s="303"/>
    </row>
    <row r="109" spans="2:173" x14ac:dyDescent="0.2">
      <c r="B109" s="309" t="s">
        <v>386</v>
      </c>
      <c r="D109" s="287">
        <f>D85+E85+F85+I85+J85</f>
        <v>883210</v>
      </c>
      <c r="I109" s="386"/>
      <c r="K109" s="386"/>
      <c r="BV109" s="60">
        <v>9</v>
      </c>
      <c r="BW109" s="50">
        <v>36.19</v>
      </c>
      <c r="BX109" s="50">
        <v>33.33</v>
      </c>
      <c r="BY109" s="50">
        <v>31.91</v>
      </c>
      <c r="BZ109" s="50">
        <v>32.6</v>
      </c>
      <c r="CA109" s="61">
        <v>35.1</v>
      </c>
      <c r="FO109" s="1"/>
      <c r="FP109" s="1"/>
      <c r="FQ109" s="1"/>
    </row>
    <row r="110" spans="2:173" x14ac:dyDescent="0.2">
      <c r="B110" s="284"/>
      <c r="BV110" s="60">
        <v>9.1</v>
      </c>
      <c r="BW110" s="50">
        <v>36.19</v>
      </c>
      <c r="BX110" s="50">
        <v>33.33</v>
      </c>
      <c r="BY110" s="50">
        <v>31.91</v>
      </c>
      <c r="BZ110" s="50">
        <v>32.6</v>
      </c>
      <c r="CA110" s="61">
        <v>35.1</v>
      </c>
      <c r="FO110" s="1"/>
      <c r="FP110" s="1"/>
      <c r="FQ110" s="1"/>
    </row>
    <row r="111" spans="2:173" x14ac:dyDescent="0.2">
      <c r="B111" s="284"/>
      <c r="BV111" s="60">
        <v>9.1999999999999993</v>
      </c>
      <c r="BW111" s="50">
        <v>36.19</v>
      </c>
      <c r="BX111" s="50">
        <v>33.33</v>
      </c>
      <c r="BY111" s="50">
        <v>31.91</v>
      </c>
      <c r="BZ111" s="50">
        <v>32.6</v>
      </c>
      <c r="CA111" s="61">
        <v>35.1</v>
      </c>
      <c r="FO111" s="1"/>
      <c r="FP111" s="1"/>
      <c r="FQ111" s="1"/>
    </row>
    <row r="112" spans="2:173" x14ac:dyDescent="0.2">
      <c r="B112" s="284"/>
      <c r="BV112" s="60">
        <v>9.3000000000000007</v>
      </c>
      <c r="BW112" s="50">
        <v>36.39</v>
      </c>
      <c r="BX112" s="50">
        <v>33.49</v>
      </c>
      <c r="BY112" s="50">
        <v>32.06</v>
      </c>
      <c r="BZ112" s="50">
        <v>32.6</v>
      </c>
      <c r="CA112" s="61">
        <v>35.1</v>
      </c>
      <c r="FO112" s="1"/>
      <c r="FP112" s="1"/>
      <c r="FQ112" s="1"/>
    </row>
    <row r="113" spans="2:173" x14ac:dyDescent="0.2">
      <c r="B113" s="284"/>
      <c r="BV113" s="60">
        <v>9.4</v>
      </c>
      <c r="BW113" s="50">
        <v>36.39</v>
      </c>
      <c r="BX113" s="50">
        <v>33.49</v>
      </c>
      <c r="BY113" s="50">
        <v>32.06</v>
      </c>
      <c r="BZ113" s="50">
        <v>32.6</v>
      </c>
      <c r="CA113" s="61">
        <v>35.1</v>
      </c>
      <c r="FO113" s="1"/>
      <c r="FP113" s="1"/>
      <c r="FQ113" s="1"/>
    </row>
    <row r="114" spans="2:173" x14ac:dyDescent="0.2">
      <c r="B114" s="284"/>
      <c r="BV114" s="60">
        <v>9.5</v>
      </c>
      <c r="BW114" s="50">
        <v>36.39</v>
      </c>
      <c r="BX114" s="50">
        <v>33.49</v>
      </c>
      <c r="BY114" s="50">
        <v>32.06</v>
      </c>
      <c r="BZ114" s="50">
        <v>32.6</v>
      </c>
      <c r="CA114" s="61">
        <v>35.1</v>
      </c>
      <c r="FO114" s="1"/>
      <c r="FP114" s="1"/>
      <c r="FQ114" s="1"/>
    </row>
    <row r="115" spans="2:173" x14ac:dyDescent="0.2">
      <c r="B115" s="284"/>
      <c r="BV115" s="60">
        <v>9.6</v>
      </c>
      <c r="BW115" s="50">
        <v>36.39</v>
      </c>
      <c r="BX115" s="50">
        <v>33.49</v>
      </c>
      <c r="BY115" s="50">
        <v>32.06</v>
      </c>
      <c r="BZ115" s="50">
        <v>32.9</v>
      </c>
      <c r="CA115" s="61">
        <v>35.4</v>
      </c>
      <c r="FO115" s="1"/>
      <c r="FP115" s="1"/>
      <c r="FQ115" s="1"/>
    </row>
    <row r="116" spans="2:173" x14ac:dyDescent="0.2">
      <c r="B116" s="284"/>
      <c r="BV116" s="60">
        <v>9.6999999999999993</v>
      </c>
      <c r="BW116" s="50">
        <v>36.39</v>
      </c>
      <c r="BX116" s="50">
        <v>33.49</v>
      </c>
      <c r="BY116" s="50">
        <v>32.06</v>
      </c>
      <c r="BZ116" s="50">
        <v>32.9</v>
      </c>
      <c r="CA116" s="61">
        <v>35.4</v>
      </c>
      <c r="FO116" s="1"/>
      <c r="FP116" s="1"/>
      <c r="FQ116" s="1"/>
    </row>
    <row r="117" spans="2:173" x14ac:dyDescent="0.2">
      <c r="B117" s="284"/>
      <c r="BV117" s="60">
        <v>9.8000000000000007</v>
      </c>
      <c r="BW117" s="50">
        <v>36.58</v>
      </c>
      <c r="BX117" s="50">
        <v>33.64</v>
      </c>
      <c r="BY117" s="50">
        <v>32.19</v>
      </c>
      <c r="BZ117" s="50">
        <v>32.9</v>
      </c>
      <c r="CA117" s="61">
        <v>35.4</v>
      </c>
      <c r="FO117" s="1"/>
      <c r="FP117" s="1"/>
      <c r="FQ117" s="1"/>
    </row>
    <row r="118" spans="2:173" x14ac:dyDescent="0.2">
      <c r="B118" s="284"/>
      <c r="BV118" s="60">
        <v>9.9</v>
      </c>
      <c r="BW118" s="50">
        <v>36.58</v>
      </c>
      <c r="BX118" s="50">
        <v>33.64</v>
      </c>
      <c r="BY118" s="50">
        <v>32.19</v>
      </c>
      <c r="BZ118" s="50">
        <v>32.9</v>
      </c>
      <c r="CA118" s="61">
        <v>35.4</v>
      </c>
      <c r="FO118" s="1"/>
      <c r="FP118" s="1"/>
      <c r="FQ118" s="1"/>
    </row>
    <row r="119" spans="2:173" x14ac:dyDescent="0.2">
      <c r="B119" s="284"/>
      <c r="BV119" s="65">
        <v>10</v>
      </c>
      <c r="BW119" s="66">
        <v>36.58</v>
      </c>
      <c r="BX119" s="66">
        <v>33.64</v>
      </c>
      <c r="BY119" s="66">
        <v>32.19</v>
      </c>
      <c r="BZ119" s="66">
        <v>32.9</v>
      </c>
      <c r="CA119" s="67">
        <v>35.4</v>
      </c>
      <c r="FO119" s="1"/>
      <c r="FP119" s="1"/>
      <c r="FQ119" s="1"/>
    </row>
    <row r="120" spans="2:173" x14ac:dyDescent="0.2">
      <c r="B120" s="284"/>
      <c r="FO120" s="1"/>
      <c r="FP120" s="1"/>
      <c r="FQ120" s="1"/>
    </row>
    <row r="121" spans="2:173" x14ac:dyDescent="0.2">
      <c r="B121" s="284"/>
      <c r="FO121" s="1"/>
      <c r="FP121" s="1"/>
      <c r="FQ121" s="1"/>
    </row>
    <row r="122" spans="2:173" x14ac:dyDescent="0.2">
      <c r="B122" s="284"/>
      <c r="FO122" s="1"/>
      <c r="FP122" s="1"/>
      <c r="FQ122" s="1"/>
    </row>
    <row r="123" spans="2:173" x14ac:dyDescent="0.2">
      <c r="B123" s="284"/>
      <c r="FO123" s="1"/>
      <c r="FP123" s="1"/>
      <c r="FQ123" s="1"/>
    </row>
    <row r="124" spans="2:173" x14ac:dyDescent="0.2">
      <c r="B124" s="284"/>
      <c r="FO124" s="1"/>
      <c r="FP124" s="1"/>
      <c r="FQ124" s="1"/>
    </row>
    <row r="125" spans="2:173" x14ac:dyDescent="0.2">
      <c r="B125" s="284"/>
      <c r="FO125" s="1"/>
      <c r="FP125" s="1"/>
      <c r="FQ125" s="1"/>
    </row>
    <row r="126" spans="2:173" x14ac:dyDescent="0.2">
      <c r="B126" s="284"/>
      <c r="FO126" s="1"/>
      <c r="FP126" s="1"/>
      <c r="FQ126" s="1"/>
    </row>
    <row r="127" spans="2:173" x14ac:dyDescent="0.2">
      <c r="B127" s="284"/>
      <c r="FO127" s="1"/>
      <c r="FP127" s="1"/>
      <c r="FQ127" s="1"/>
    </row>
    <row r="128" spans="2:173" x14ac:dyDescent="0.2">
      <c r="B128" s="284"/>
      <c r="FO128" s="1"/>
      <c r="FP128" s="1"/>
      <c r="FQ128" s="1"/>
    </row>
    <row r="129" spans="2:173" x14ac:dyDescent="0.2">
      <c r="B129" s="284"/>
      <c r="FO129" s="1"/>
      <c r="FP129" s="1"/>
      <c r="FQ129" s="1"/>
    </row>
    <row r="130" spans="2:173" x14ac:dyDescent="0.2">
      <c r="B130" s="284"/>
    </row>
    <row r="131" spans="2:173" x14ac:dyDescent="0.2">
      <c r="B131" s="284"/>
    </row>
    <row r="132" spans="2:173" x14ac:dyDescent="0.2">
      <c r="B132" s="284"/>
    </row>
    <row r="133" spans="2:173" x14ac:dyDescent="0.2">
      <c r="B133" s="284"/>
    </row>
    <row r="134" spans="2:173" x14ac:dyDescent="0.2">
      <c r="B134" s="284"/>
    </row>
  </sheetData>
  <mergeCells count="1">
    <mergeCell ref="D2:Z2"/>
  </mergeCells>
  <printOptions horizontalCentered="1"/>
  <pageMargins left="0.70866141732283472" right="0.70866141732283472" top="0.74803149606299213" bottom="0.74803149606299213" header="0.31496062992125984" footer="0.31496062992125984"/>
  <pageSetup paperSize="8" scale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3:Y68"/>
  <sheetViews>
    <sheetView workbookViewId="0">
      <selection activeCell="V31" sqref="V31"/>
    </sheetView>
  </sheetViews>
  <sheetFormatPr defaultRowHeight="12.75" x14ac:dyDescent="0.2"/>
  <cols>
    <col min="1" max="1" width="9.140625" style="71"/>
    <col min="2" max="2" width="47.85546875" style="71" customWidth="1"/>
    <col min="3" max="3" width="13.85546875" style="71" customWidth="1"/>
    <col min="4" max="7" width="16.28515625" style="71" customWidth="1"/>
    <col min="8" max="12" width="9.140625" style="71"/>
    <col min="13" max="13" width="11.42578125" style="71" customWidth="1"/>
    <col min="14" max="15" width="9.140625" style="71"/>
    <col min="16" max="16" width="11.140625" style="71" customWidth="1"/>
    <col min="17" max="251" width="9.140625" style="71"/>
    <col min="252" max="252" width="5.7109375" style="71" customWidth="1"/>
    <col min="253" max="253" width="45.85546875" style="71" customWidth="1"/>
    <col min="254" max="254" width="9.140625" style="71"/>
    <col min="255" max="258" width="11.42578125" style="71" customWidth="1"/>
    <col min="259" max="265" width="0" style="71" hidden="1" customWidth="1"/>
    <col min="266" max="268" width="9.140625" style="71"/>
    <col min="269" max="269" width="14.7109375" style="71" customWidth="1"/>
    <col min="270" max="271" width="9.140625" style="71"/>
    <col min="272" max="272" width="11.140625" style="71" customWidth="1"/>
    <col min="273" max="507" width="9.140625" style="71"/>
    <col min="508" max="508" width="5.7109375" style="71" customWidth="1"/>
    <col min="509" max="509" width="45.85546875" style="71" customWidth="1"/>
    <col min="510" max="510" width="9.140625" style="71"/>
    <col min="511" max="514" width="11.42578125" style="71" customWidth="1"/>
    <col min="515" max="521" width="0" style="71" hidden="1" customWidth="1"/>
    <col min="522" max="524" width="9.140625" style="71"/>
    <col min="525" max="525" width="14.7109375" style="71" customWidth="1"/>
    <col min="526" max="527" width="9.140625" style="71"/>
    <col min="528" max="528" width="11.140625" style="71" customWidth="1"/>
    <col min="529" max="763" width="9.140625" style="71"/>
    <col min="764" max="764" width="5.7109375" style="71" customWidth="1"/>
    <col min="765" max="765" width="45.85546875" style="71" customWidth="1"/>
    <col min="766" max="766" width="9.140625" style="71"/>
    <col min="767" max="770" width="11.42578125" style="71" customWidth="1"/>
    <col min="771" max="777" width="0" style="71" hidden="1" customWidth="1"/>
    <col min="778" max="780" width="9.140625" style="71"/>
    <col min="781" max="781" width="14.7109375" style="71" customWidth="1"/>
    <col min="782" max="783" width="9.140625" style="71"/>
    <col min="784" max="784" width="11.140625" style="71" customWidth="1"/>
    <col min="785" max="1019" width="9.140625" style="71"/>
    <col min="1020" max="1020" width="5.7109375" style="71" customWidth="1"/>
    <col min="1021" max="1021" width="45.85546875" style="71" customWidth="1"/>
    <col min="1022" max="1022" width="9.140625" style="71"/>
    <col min="1023" max="1026" width="11.42578125" style="71" customWidth="1"/>
    <col min="1027" max="1033" width="0" style="71" hidden="1" customWidth="1"/>
    <col min="1034" max="1036" width="9.140625" style="71"/>
    <col min="1037" max="1037" width="14.7109375" style="71" customWidth="1"/>
    <col min="1038" max="1039" width="9.140625" style="71"/>
    <col min="1040" max="1040" width="11.140625" style="71" customWidth="1"/>
    <col min="1041" max="1275" width="9.140625" style="71"/>
    <col min="1276" max="1276" width="5.7109375" style="71" customWidth="1"/>
    <col min="1277" max="1277" width="45.85546875" style="71" customWidth="1"/>
    <col min="1278" max="1278" width="9.140625" style="71"/>
    <col min="1279" max="1282" width="11.42578125" style="71" customWidth="1"/>
    <col min="1283" max="1289" width="0" style="71" hidden="1" customWidth="1"/>
    <col min="1290" max="1292" width="9.140625" style="71"/>
    <col min="1293" max="1293" width="14.7109375" style="71" customWidth="1"/>
    <col min="1294" max="1295" width="9.140625" style="71"/>
    <col min="1296" max="1296" width="11.140625" style="71" customWidth="1"/>
    <col min="1297" max="1531" width="9.140625" style="71"/>
    <col min="1532" max="1532" width="5.7109375" style="71" customWidth="1"/>
    <col min="1533" max="1533" width="45.85546875" style="71" customWidth="1"/>
    <col min="1534" max="1534" width="9.140625" style="71"/>
    <col min="1535" max="1538" width="11.42578125" style="71" customWidth="1"/>
    <col min="1539" max="1545" width="0" style="71" hidden="1" customWidth="1"/>
    <col min="1546" max="1548" width="9.140625" style="71"/>
    <col min="1549" max="1549" width="14.7109375" style="71" customWidth="1"/>
    <col min="1550" max="1551" width="9.140625" style="71"/>
    <col min="1552" max="1552" width="11.140625" style="71" customWidth="1"/>
    <col min="1553" max="1787" width="9.140625" style="71"/>
    <col min="1788" max="1788" width="5.7109375" style="71" customWidth="1"/>
    <col min="1789" max="1789" width="45.85546875" style="71" customWidth="1"/>
    <col min="1790" max="1790" width="9.140625" style="71"/>
    <col min="1791" max="1794" width="11.42578125" style="71" customWidth="1"/>
    <col min="1795" max="1801" width="0" style="71" hidden="1" customWidth="1"/>
    <col min="1802" max="1804" width="9.140625" style="71"/>
    <col min="1805" max="1805" width="14.7109375" style="71" customWidth="1"/>
    <col min="1806" max="1807" width="9.140625" style="71"/>
    <col min="1808" max="1808" width="11.140625" style="71" customWidth="1"/>
    <col min="1809" max="2043" width="9.140625" style="71"/>
    <col min="2044" max="2044" width="5.7109375" style="71" customWidth="1"/>
    <col min="2045" max="2045" width="45.85546875" style="71" customWidth="1"/>
    <col min="2046" max="2046" width="9.140625" style="71"/>
    <col min="2047" max="2050" width="11.42578125" style="71" customWidth="1"/>
    <col min="2051" max="2057" width="0" style="71" hidden="1" customWidth="1"/>
    <col min="2058" max="2060" width="9.140625" style="71"/>
    <col min="2061" max="2061" width="14.7109375" style="71" customWidth="1"/>
    <col min="2062" max="2063" width="9.140625" style="71"/>
    <col min="2064" max="2064" width="11.140625" style="71" customWidth="1"/>
    <col min="2065" max="2299" width="9.140625" style="71"/>
    <col min="2300" max="2300" width="5.7109375" style="71" customWidth="1"/>
    <col min="2301" max="2301" width="45.85546875" style="71" customWidth="1"/>
    <col min="2302" max="2302" width="9.140625" style="71"/>
    <col min="2303" max="2306" width="11.42578125" style="71" customWidth="1"/>
    <col min="2307" max="2313" width="0" style="71" hidden="1" customWidth="1"/>
    <col min="2314" max="2316" width="9.140625" style="71"/>
    <col min="2317" max="2317" width="14.7109375" style="71" customWidth="1"/>
    <col min="2318" max="2319" width="9.140625" style="71"/>
    <col min="2320" max="2320" width="11.140625" style="71" customWidth="1"/>
    <col min="2321" max="2555" width="9.140625" style="71"/>
    <col min="2556" max="2556" width="5.7109375" style="71" customWidth="1"/>
    <col min="2557" max="2557" width="45.85546875" style="71" customWidth="1"/>
    <col min="2558" max="2558" width="9.140625" style="71"/>
    <col min="2559" max="2562" width="11.42578125" style="71" customWidth="1"/>
    <col min="2563" max="2569" width="0" style="71" hidden="1" customWidth="1"/>
    <col min="2570" max="2572" width="9.140625" style="71"/>
    <col min="2573" max="2573" width="14.7109375" style="71" customWidth="1"/>
    <col min="2574" max="2575" width="9.140625" style="71"/>
    <col min="2576" max="2576" width="11.140625" style="71" customWidth="1"/>
    <col min="2577" max="2811" width="9.140625" style="71"/>
    <col min="2812" max="2812" width="5.7109375" style="71" customWidth="1"/>
    <col min="2813" max="2813" width="45.85546875" style="71" customWidth="1"/>
    <col min="2814" max="2814" width="9.140625" style="71"/>
    <col min="2815" max="2818" width="11.42578125" style="71" customWidth="1"/>
    <col min="2819" max="2825" width="0" style="71" hidden="1" customWidth="1"/>
    <col min="2826" max="2828" width="9.140625" style="71"/>
    <col min="2829" max="2829" width="14.7109375" style="71" customWidth="1"/>
    <col min="2830" max="2831" width="9.140625" style="71"/>
    <col min="2832" max="2832" width="11.140625" style="71" customWidth="1"/>
    <col min="2833" max="3067" width="9.140625" style="71"/>
    <col min="3068" max="3068" width="5.7109375" style="71" customWidth="1"/>
    <col min="3069" max="3069" width="45.85546875" style="71" customWidth="1"/>
    <col min="3070" max="3070" width="9.140625" style="71"/>
    <col min="3071" max="3074" width="11.42578125" style="71" customWidth="1"/>
    <col min="3075" max="3081" width="0" style="71" hidden="1" customWidth="1"/>
    <col min="3082" max="3084" width="9.140625" style="71"/>
    <col min="3085" max="3085" width="14.7109375" style="71" customWidth="1"/>
    <col min="3086" max="3087" width="9.140625" style="71"/>
    <col min="3088" max="3088" width="11.140625" style="71" customWidth="1"/>
    <col min="3089" max="3323" width="9.140625" style="71"/>
    <col min="3324" max="3324" width="5.7109375" style="71" customWidth="1"/>
    <col min="3325" max="3325" width="45.85546875" style="71" customWidth="1"/>
    <col min="3326" max="3326" width="9.140625" style="71"/>
    <col min="3327" max="3330" width="11.42578125" style="71" customWidth="1"/>
    <col min="3331" max="3337" width="0" style="71" hidden="1" customWidth="1"/>
    <col min="3338" max="3340" width="9.140625" style="71"/>
    <col min="3341" max="3341" width="14.7109375" style="71" customWidth="1"/>
    <col min="3342" max="3343" width="9.140625" style="71"/>
    <col min="3344" max="3344" width="11.140625" style="71" customWidth="1"/>
    <col min="3345" max="3579" width="9.140625" style="71"/>
    <col min="3580" max="3580" width="5.7109375" style="71" customWidth="1"/>
    <col min="3581" max="3581" width="45.85546875" style="71" customWidth="1"/>
    <col min="3582" max="3582" width="9.140625" style="71"/>
    <col min="3583" max="3586" width="11.42578125" style="71" customWidth="1"/>
    <col min="3587" max="3593" width="0" style="71" hidden="1" customWidth="1"/>
    <col min="3594" max="3596" width="9.140625" style="71"/>
    <col min="3597" max="3597" width="14.7109375" style="71" customWidth="1"/>
    <col min="3598" max="3599" width="9.140625" style="71"/>
    <col min="3600" max="3600" width="11.140625" style="71" customWidth="1"/>
    <col min="3601" max="3835" width="9.140625" style="71"/>
    <col min="3836" max="3836" width="5.7109375" style="71" customWidth="1"/>
    <col min="3837" max="3837" width="45.85546875" style="71" customWidth="1"/>
    <col min="3838" max="3838" width="9.140625" style="71"/>
    <col min="3839" max="3842" width="11.42578125" style="71" customWidth="1"/>
    <col min="3843" max="3849" width="0" style="71" hidden="1" customWidth="1"/>
    <col min="3850" max="3852" width="9.140625" style="71"/>
    <col min="3853" max="3853" width="14.7109375" style="71" customWidth="1"/>
    <col min="3854" max="3855" width="9.140625" style="71"/>
    <col min="3856" max="3856" width="11.140625" style="71" customWidth="1"/>
    <col min="3857" max="4091" width="9.140625" style="71"/>
    <col min="4092" max="4092" width="5.7109375" style="71" customWidth="1"/>
    <col min="4093" max="4093" width="45.85546875" style="71" customWidth="1"/>
    <col min="4094" max="4094" width="9.140625" style="71"/>
    <col min="4095" max="4098" width="11.42578125" style="71" customWidth="1"/>
    <col min="4099" max="4105" width="0" style="71" hidden="1" customWidth="1"/>
    <col min="4106" max="4108" width="9.140625" style="71"/>
    <col min="4109" max="4109" width="14.7109375" style="71" customWidth="1"/>
    <col min="4110" max="4111" width="9.140625" style="71"/>
    <col min="4112" max="4112" width="11.140625" style="71" customWidth="1"/>
    <col min="4113" max="4347" width="9.140625" style="71"/>
    <col min="4348" max="4348" width="5.7109375" style="71" customWidth="1"/>
    <col min="4349" max="4349" width="45.85546875" style="71" customWidth="1"/>
    <col min="4350" max="4350" width="9.140625" style="71"/>
    <col min="4351" max="4354" width="11.42578125" style="71" customWidth="1"/>
    <col min="4355" max="4361" width="0" style="71" hidden="1" customWidth="1"/>
    <col min="4362" max="4364" width="9.140625" style="71"/>
    <col min="4365" max="4365" width="14.7109375" style="71" customWidth="1"/>
    <col min="4366" max="4367" width="9.140625" style="71"/>
    <col min="4368" max="4368" width="11.140625" style="71" customWidth="1"/>
    <col min="4369" max="4603" width="9.140625" style="71"/>
    <col min="4604" max="4604" width="5.7109375" style="71" customWidth="1"/>
    <col min="4605" max="4605" width="45.85546875" style="71" customWidth="1"/>
    <col min="4606" max="4606" width="9.140625" style="71"/>
    <col min="4607" max="4610" width="11.42578125" style="71" customWidth="1"/>
    <col min="4611" max="4617" width="0" style="71" hidden="1" customWidth="1"/>
    <col min="4618" max="4620" width="9.140625" style="71"/>
    <col min="4621" max="4621" width="14.7109375" style="71" customWidth="1"/>
    <col min="4622" max="4623" width="9.140625" style="71"/>
    <col min="4624" max="4624" width="11.140625" style="71" customWidth="1"/>
    <col min="4625" max="4859" width="9.140625" style="71"/>
    <col min="4860" max="4860" width="5.7109375" style="71" customWidth="1"/>
    <col min="4861" max="4861" width="45.85546875" style="71" customWidth="1"/>
    <col min="4862" max="4862" width="9.140625" style="71"/>
    <col min="4863" max="4866" width="11.42578125" style="71" customWidth="1"/>
    <col min="4867" max="4873" width="0" style="71" hidden="1" customWidth="1"/>
    <col min="4874" max="4876" width="9.140625" style="71"/>
    <col min="4877" max="4877" width="14.7109375" style="71" customWidth="1"/>
    <col min="4878" max="4879" width="9.140625" style="71"/>
    <col min="4880" max="4880" width="11.140625" style="71" customWidth="1"/>
    <col min="4881" max="5115" width="9.140625" style="71"/>
    <col min="5116" max="5116" width="5.7109375" style="71" customWidth="1"/>
    <col min="5117" max="5117" width="45.85546875" style="71" customWidth="1"/>
    <col min="5118" max="5118" width="9.140625" style="71"/>
    <col min="5119" max="5122" width="11.42578125" style="71" customWidth="1"/>
    <col min="5123" max="5129" width="0" style="71" hidden="1" customWidth="1"/>
    <col min="5130" max="5132" width="9.140625" style="71"/>
    <col min="5133" max="5133" width="14.7109375" style="71" customWidth="1"/>
    <col min="5134" max="5135" width="9.140625" style="71"/>
    <col min="5136" max="5136" width="11.140625" style="71" customWidth="1"/>
    <col min="5137" max="5371" width="9.140625" style="71"/>
    <col min="5372" max="5372" width="5.7109375" style="71" customWidth="1"/>
    <col min="5373" max="5373" width="45.85546875" style="71" customWidth="1"/>
    <col min="5374" max="5374" width="9.140625" style="71"/>
    <col min="5375" max="5378" width="11.42578125" style="71" customWidth="1"/>
    <col min="5379" max="5385" width="0" style="71" hidden="1" customWidth="1"/>
    <col min="5386" max="5388" width="9.140625" style="71"/>
    <col min="5389" max="5389" width="14.7109375" style="71" customWidth="1"/>
    <col min="5390" max="5391" width="9.140625" style="71"/>
    <col min="5392" max="5392" width="11.140625" style="71" customWidth="1"/>
    <col min="5393" max="5627" width="9.140625" style="71"/>
    <col min="5628" max="5628" width="5.7109375" style="71" customWidth="1"/>
    <col min="5629" max="5629" width="45.85546875" style="71" customWidth="1"/>
    <col min="5630" max="5630" width="9.140625" style="71"/>
    <col min="5631" max="5634" width="11.42578125" style="71" customWidth="1"/>
    <col min="5635" max="5641" width="0" style="71" hidden="1" customWidth="1"/>
    <col min="5642" max="5644" width="9.140625" style="71"/>
    <col min="5645" max="5645" width="14.7109375" style="71" customWidth="1"/>
    <col min="5646" max="5647" width="9.140625" style="71"/>
    <col min="5648" max="5648" width="11.140625" style="71" customWidth="1"/>
    <col min="5649" max="5883" width="9.140625" style="71"/>
    <col min="5884" max="5884" width="5.7109375" style="71" customWidth="1"/>
    <col min="5885" max="5885" width="45.85546875" style="71" customWidth="1"/>
    <col min="5886" max="5886" width="9.140625" style="71"/>
    <col min="5887" max="5890" width="11.42578125" style="71" customWidth="1"/>
    <col min="5891" max="5897" width="0" style="71" hidden="1" customWidth="1"/>
    <col min="5898" max="5900" width="9.140625" style="71"/>
    <col min="5901" max="5901" width="14.7109375" style="71" customWidth="1"/>
    <col min="5902" max="5903" width="9.140625" style="71"/>
    <col min="5904" max="5904" width="11.140625" style="71" customWidth="1"/>
    <col min="5905" max="6139" width="9.140625" style="71"/>
    <col min="6140" max="6140" width="5.7109375" style="71" customWidth="1"/>
    <col min="6141" max="6141" width="45.85546875" style="71" customWidth="1"/>
    <col min="6142" max="6142" width="9.140625" style="71"/>
    <col min="6143" max="6146" width="11.42578125" style="71" customWidth="1"/>
    <col min="6147" max="6153" width="0" style="71" hidden="1" customWidth="1"/>
    <col min="6154" max="6156" width="9.140625" style="71"/>
    <col min="6157" max="6157" width="14.7109375" style="71" customWidth="1"/>
    <col min="6158" max="6159" width="9.140625" style="71"/>
    <col min="6160" max="6160" width="11.140625" style="71" customWidth="1"/>
    <col min="6161" max="6395" width="9.140625" style="71"/>
    <col min="6396" max="6396" width="5.7109375" style="71" customWidth="1"/>
    <col min="6397" max="6397" width="45.85546875" style="71" customWidth="1"/>
    <col min="6398" max="6398" width="9.140625" style="71"/>
    <col min="6399" max="6402" width="11.42578125" style="71" customWidth="1"/>
    <col min="6403" max="6409" width="0" style="71" hidden="1" customWidth="1"/>
    <col min="6410" max="6412" width="9.140625" style="71"/>
    <col min="6413" max="6413" width="14.7109375" style="71" customWidth="1"/>
    <col min="6414" max="6415" width="9.140625" style="71"/>
    <col min="6416" max="6416" width="11.140625" style="71" customWidth="1"/>
    <col min="6417" max="6651" width="9.140625" style="71"/>
    <col min="6652" max="6652" width="5.7109375" style="71" customWidth="1"/>
    <col min="6653" max="6653" width="45.85546875" style="71" customWidth="1"/>
    <col min="6654" max="6654" width="9.140625" style="71"/>
    <col min="6655" max="6658" width="11.42578125" style="71" customWidth="1"/>
    <col min="6659" max="6665" width="0" style="71" hidden="1" customWidth="1"/>
    <col min="6666" max="6668" width="9.140625" style="71"/>
    <col min="6669" max="6669" width="14.7109375" style="71" customWidth="1"/>
    <col min="6670" max="6671" width="9.140625" style="71"/>
    <col min="6672" max="6672" width="11.140625" style="71" customWidth="1"/>
    <col min="6673" max="6907" width="9.140625" style="71"/>
    <col min="6908" max="6908" width="5.7109375" style="71" customWidth="1"/>
    <col min="6909" max="6909" width="45.85546875" style="71" customWidth="1"/>
    <col min="6910" max="6910" width="9.140625" style="71"/>
    <col min="6911" max="6914" width="11.42578125" style="71" customWidth="1"/>
    <col min="6915" max="6921" width="0" style="71" hidden="1" customWidth="1"/>
    <col min="6922" max="6924" width="9.140625" style="71"/>
    <col min="6925" max="6925" width="14.7109375" style="71" customWidth="1"/>
    <col min="6926" max="6927" width="9.140625" style="71"/>
    <col min="6928" max="6928" width="11.140625" style="71" customWidth="1"/>
    <col min="6929" max="7163" width="9.140625" style="71"/>
    <col min="7164" max="7164" width="5.7109375" style="71" customWidth="1"/>
    <col min="7165" max="7165" width="45.85546875" style="71" customWidth="1"/>
    <col min="7166" max="7166" width="9.140625" style="71"/>
    <col min="7167" max="7170" width="11.42578125" style="71" customWidth="1"/>
    <col min="7171" max="7177" width="0" style="71" hidden="1" customWidth="1"/>
    <col min="7178" max="7180" width="9.140625" style="71"/>
    <col min="7181" max="7181" width="14.7109375" style="71" customWidth="1"/>
    <col min="7182" max="7183" width="9.140625" style="71"/>
    <col min="7184" max="7184" width="11.140625" style="71" customWidth="1"/>
    <col min="7185" max="7419" width="9.140625" style="71"/>
    <col min="7420" max="7420" width="5.7109375" style="71" customWidth="1"/>
    <col min="7421" max="7421" width="45.85546875" style="71" customWidth="1"/>
    <col min="7422" max="7422" width="9.140625" style="71"/>
    <col min="7423" max="7426" width="11.42578125" style="71" customWidth="1"/>
    <col min="7427" max="7433" width="0" style="71" hidden="1" customWidth="1"/>
    <col min="7434" max="7436" width="9.140625" style="71"/>
    <col min="7437" max="7437" width="14.7109375" style="71" customWidth="1"/>
    <col min="7438" max="7439" width="9.140625" style="71"/>
    <col min="7440" max="7440" width="11.140625" style="71" customWidth="1"/>
    <col min="7441" max="7675" width="9.140625" style="71"/>
    <col min="7676" max="7676" width="5.7109375" style="71" customWidth="1"/>
    <col min="7677" max="7677" width="45.85546875" style="71" customWidth="1"/>
    <col min="7678" max="7678" width="9.140625" style="71"/>
    <col min="7679" max="7682" width="11.42578125" style="71" customWidth="1"/>
    <col min="7683" max="7689" width="0" style="71" hidden="1" customWidth="1"/>
    <col min="7690" max="7692" width="9.140625" style="71"/>
    <col min="7693" max="7693" width="14.7109375" style="71" customWidth="1"/>
    <col min="7694" max="7695" width="9.140625" style="71"/>
    <col min="7696" max="7696" width="11.140625" style="71" customWidth="1"/>
    <col min="7697" max="7931" width="9.140625" style="71"/>
    <col min="7932" max="7932" width="5.7109375" style="71" customWidth="1"/>
    <col min="7933" max="7933" width="45.85546875" style="71" customWidth="1"/>
    <col min="7934" max="7934" width="9.140625" style="71"/>
    <col min="7935" max="7938" width="11.42578125" style="71" customWidth="1"/>
    <col min="7939" max="7945" width="0" style="71" hidden="1" customWidth="1"/>
    <col min="7946" max="7948" width="9.140625" style="71"/>
    <col min="7949" max="7949" width="14.7109375" style="71" customWidth="1"/>
    <col min="7950" max="7951" width="9.140625" style="71"/>
    <col min="7952" max="7952" width="11.140625" style="71" customWidth="1"/>
    <col min="7953" max="8187" width="9.140625" style="71"/>
    <col min="8188" max="8188" width="5.7109375" style="71" customWidth="1"/>
    <col min="8189" max="8189" width="45.85546875" style="71" customWidth="1"/>
    <col min="8190" max="8190" width="9.140625" style="71"/>
    <col min="8191" max="8194" width="11.42578125" style="71" customWidth="1"/>
    <col min="8195" max="8201" width="0" style="71" hidden="1" customWidth="1"/>
    <col min="8202" max="8204" width="9.140625" style="71"/>
    <col min="8205" max="8205" width="14.7109375" style="71" customWidth="1"/>
    <col min="8206" max="8207" width="9.140625" style="71"/>
    <col min="8208" max="8208" width="11.140625" style="71" customWidth="1"/>
    <col min="8209" max="8443" width="9.140625" style="71"/>
    <col min="8444" max="8444" width="5.7109375" style="71" customWidth="1"/>
    <col min="8445" max="8445" width="45.85546875" style="71" customWidth="1"/>
    <col min="8446" max="8446" width="9.140625" style="71"/>
    <col min="8447" max="8450" width="11.42578125" style="71" customWidth="1"/>
    <col min="8451" max="8457" width="0" style="71" hidden="1" customWidth="1"/>
    <col min="8458" max="8460" width="9.140625" style="71"/>
    <col min="8461" max="8461" width="14.7109375" style="71" customWidth="1"/>
    <col min="8462" max="8463" width="9.140625" style="71"/>
    <col min="8464" max="8464" width="11.140625" style="71" customWidth="1"/>
    <col min="8465" max="8699" width="9.140625" style="71"/>
    <col min="8700" max="8700" width="5.7109375" style="71" customWidth="1"/>
    <col min="8701" max="8701" width="45.85546875" style="71" customWidth="1"/>
    <col min="8702" max="8702" width="9.140625" style="71"/>
    <col min="8703" max="8706" width="11.42578125" style="71" customWidth="1"/>
    <col min="8707" max="8713" width="0" style="71" hidden="1" customWidth="1"/>
    <col min="8714" max="8716" width="9.140625" style="71"/>
    <col min="8717" max="8717" width="14.7109375" style="71" customWidth="1"/>
    <col min="8718" max="8719" width="9.140625" style="71"/>
    <col min="8720" max="8720" width="11.140625" style="71" customWidth="1"/>
    <col min="8721" max="8955" width="9.140625" style="71"/>
    <col min="8956" max="8956" width="5.7109375" style="71" customWidth="1"/>
    <col min="8957" max="8957" width="45.85546875" style="71" customWidth="1"/>
    <col min="8958" max="8958" width="9.140625" style="71"/>
    <col min="8959" max="8962" width="11.42578125" style="71" customWidth="1"/>
    <col min="8963" max="8969" width="0" style="71" hidden="1" customWidth="1"/>
    <col min="8970" max="8972" width="9.140625" style="71"/>
    <col min="8973" max="8973" width="14.7109375" style="71" customWidth="1"/>
    <col min="8974" max="8975" width="9.140625" style="71"/>
    <col min="8976" max="8976" width="11.140625" style="71" customWidth="1"/>
    <col min="8977" max="9211" width="9.140625" style="71"/>
    <col min="9212" max="9212" width="5.7109375" style="71" customWidth="1"/>
    <col min="9213" max="9213" width="45.85546875" style="71" customWidth="1"/>
    <col min="9214" max="9214" width="9.140625" style="71"/>
    <col min="9215" max="9218" width="11.42578125" style="71" customWidth="1"/>
    <col min="9219" max="9225" width="0" style="71" hidden="1" customWidth="1"/>
    <col min="9226" max="9228" width="9.140625" style="71"/>
    <col min="9229" max="9229" width="14.7109375" style="71" customWidth="1"/>
    <col min="9230" max="9231" width="9.140625" style="71"/>
    <col min="9232" max="9232" width="11.140625" style="71" customWidth="1"/>
    <col min="9233" max="9467" width="9.140625" style="71"/>
    <col min="9468" max="9468" width="5.7109375" style="71" customWidth="1"/>
    <col min="9469" max="9469" width="45.85546875" style="71" customWidth="1"/>
    <col min="9470" max="9470" width="9.140625" style="71"/>
    <col min="9471" max="9474" width="11.42578125" style="71" customWidth="1"/>
    <col min="9475" max="9481" width="0" style="71" hidden="1" customWidth="1"/>
    <col min="9482" max="9484" width="9.140625" style="71"/>
    <col min="9485" max="9485" width="14.7109375" style="71" customWidth="1"/>
    <col min="9486" max="9487" width="9.140625" style="71"/>
    <col min="9488" max="9488" width="11.140625" style="71" customWidth="1"/>
    <col min="9489" max="9723" width="9.140625" style="71"/>
    <col min="9724" max="9724" width="5.7109375" style="71" customWidth="1"/>
    <col min="9725" max="9725" width="45.85546875" style="71" customWidth="1"/>
    <col min="9726" max="9726" width="9.140625" style="71"/>
    <col min="9727" max="9730" width="11.42578125" style="71" customWidth="1"/>
    <col min="9731" max="9737" width="0" style="71" hidden="1" customWidth="1"/>
    <col min="9738" max="9740" width="9.140625" style="71"/>
    <col min="9741" max="9741" width="14.7109375" style="71" customWidth="1"/>
    <col min="9742" max="9743" width="9.140625" style="71"/>
    <col min="9744" max="9744" width="11.140625" style="71" customWidth="1"/>
    <col min="9745" max="9979" width="9.140625" style="71"/>
    <col min="9980" max="9980" width="5.7109375" style="71" customWidth="1"/>
    <col min="9981" max="9981" width="45.85546875" style="71" customWidth="1"/>
    <col min="9982" max="9982" width="9.140625" style="71"/>
    <col min="9983" max="9986" width="11.42578125" style="71" customWidth="1"/>
    <col min="9987" max="9993" width="0" style="71" hidden="1" customWidth="1"/>
    <col min="9994" max="9996" width="9.140625" style="71"/>
    <col min="9997" max="9997" width="14.7109375" style="71" customWidth="1"/>
    <col min="9998" max="9999" width="9.140625" style="71"/>
    <col min="10000" max="10000" width="11.140625" style="71" customWidth="1"/>
    <col min="10001" max="10235" width="9.140625" style="71"/>
    <col min="10236" max="10236" width="5.7109375" style="71" customWidth="1"/>
    <col min="10237" max="10237" width="45.85546875" style="71" customWidth="1"/>
    <col min="10238" max="10238" width="9.140625" style="71"/>
    <col min="10239" max="10242" width="11.42578125" style="71" customWidth="1"/>
    <col min="10243" max="10249" width="0" style="71" hidden="1" customWidth="1"/>
    <col min="10250" max="10252" width="9.140625" style="71"/>
    <col min="10253" max="10253" width="14.7109375" style="71" customWidth="1"/>
    <col min="10254" max="10255" width="9.140625" style="71"/>
    <col min="10256" max="10256" width="11.140625" style="71" customWidth="1"/>
    <col min="10257" max="10491" width="9.140625" style="71"/>
    <col min="10492" max="10492" width="5.7109375" style="71" customWidth="1"/>
    <col min="10493" max="10493" width="45.85546875" style="71" customWidth="1"/>
    <col min="10494" max="10494" width="9.140625" style="71"/>
    <col min="10495" max="10498" width="11.42578125" style="71" customWidth="1"/>
    <col min="10499" max="10505" width="0" style="71" hidden="1" customWidth="1"/>
    <col min="10506" max="10508" width="9.140625" style="71"/>
    <col min="10509" max="10509" width="14.7109375" style="71" customWidth="1"/>
    <col min="10510" max="10511" width="9.140625" style="71"/>
    <col min="10512" max="10512" width="11.140625" style="71" customWidth="1"/>
    <col min="10513" max="10747" width="9.140625" style="71"/>
    <col min="10748" max="10748" width="5.7109375" style="71" customWidth="1"/>
    <col min="10749" max="10749" width="45.85546875" style="71" customWidth="1"/>
    <col min="10750" max="10750" width="9.140625" style="71"/>
    <col min="10751" max="10754" width="11.42578125" style="71" customWidth="1"/>
    <col min="10755" max="10761" width="0" style="71" hidden="1" customWidth="1"/>
    <col min="10762" max="10764" width="9.140625" style="71"/>
    <col min="10765" max="10765" width="14.7109375" style="71" customWidth="1"/>
    <col min="10766" max="10767" width="9.140625" style="71"/>
    <col min="10768" max="10768" width="11.140625" style="71" customWidth="1"/>
    <col min="10769" max="11003" width="9.140625" style="71"/>
    <col min="11004" max="11004" width="5.7109375" style="71" customWidth="1"/>
    <col min="11005" max="11005" width="45.85546875" style="71" customWidth="1"/>
    <col min="11006" max="11006" width="9.140625" style="71"/>
    <col min="11007" max="11010" width="11.42578125" style="71" customWidth="1"/>
    <col min="11011" max="11017" width="0" style="71" hidden="1" customWidth="1"/>
    <col min="11018" max="11020" width="9.140625" style="71"/>
    <col min="11021" max="11021" width="14.7109375" style="71" customWidth="1"/>
    <col min="11022" max="11023" width="9.140625" style="71"/>
    <col min="11024" max="11024" width="11.140625" style="71" customWidth="1"/>
    <col min="11025" max="11259" width="9.140625" style="71"/>
    <col min="11260" max="11260" width="5.7109375" style="71" customWidth="1"/>
    <col min="11261" max="11261" width="45.85546875" style="71" customWidth="1"/>
    <col min="11262" max="11262" width="9.140625" style="71"/>
    <col min="11263" max="11266" width="11.42578125" style="71" customWidth="1"/>
    <col min="11267" max="11273" width="0" style="71" hidden="1" customWidth="1"/>
    <col min="11274" max="11276" width="9.140625" style="71"/>
    <col min="11277" max="11277" width="14.7109375" style="71" customWidth="1"/>
    <col min="11278" max="11279" width="9.140625" style="71"/>
    <col min="11280" max="11280" width="11.140625" style="71" customWidth="1"/>
    <col min="11281" max="11515" width="9.140625" style="71"/>
    <col min="11516" max="11516" width="5.7109375" style="71" customWidth="1"/>
    <col min="11517" max="11517" width="45.85546875" style="71" customWidth="1"/>
    <col min="11518" max="11518" width="9.140625" style="71"/>
    <col min="11519" max="11522" width="11.42578125" style="71" customWidth="1"/>
    <col min="11523" max="11529" width="0" style="71" hidden="1" customWidth="1"/>
    <col min="11530" max="11532" width="9.140625" style="71"/>
    <col min="11533" max="11533" width="14.7109375" style="71" customWidth="1"/>
    <col min="11534" max="11535" width="9.140625" style="71"/>
    <col min="11536" max="11536" width="11.140625" style="71" customWidth="1"/>
    <col min="11537" max="11771" width="9.140625" style="71"/>
    <col min="11772" max="11772" width="5.7109375" style="71" customWidth="1"/>
    <col min="11773" max="11773" width="45.85546875" style="71" customWidth="1"/>
    <col min="11774" max="11774" width="9.140625" style="71"/>
    <col min="11775" max="11778" width="11.42578125" style="71" customWidth="1"/>
    <col min="11779" max="11785" width="0" style="71" hidden="1" customWidth="1"/>
    <col min="11786" max="11788" width="9.140625" style="71"/>
    <col min="11789" max="11789" width="14.7109375" style="71" customWidth="1"/>
    <col min="11790" max="11791" width="9.140625" style="71"/>
    <col min="11792" max="11792" width="11.140625" style="71" customWidth="1"/>
    <col min="11793" max="12027" width="9.140625" style="71"/>
    <col min="12028" max="12028" width="5.7109375" style="71" customWidth="1"/>
    <col min="12029" max="12029" width="45.85546875" style="71" customWidth="1"/>
    <col min="12030" max="12030" width="9.140625" style="71"/>
    <col min="12031" max="12034" width="11.42578125" style="71" customWidth="1"/>
    <col min="12035" max="12041" width="0" style="71" hidden="1" customWidth="1"/>
    <col min="12042" max="12044" width="9.140625" style="71"/>
    <col min="12045" max="12045" width="14.7109375" style="71" customWidth="1"/>
    <col min="12046" max="12047" width="9.140625" style="71"/>
    <col min="12048" max="12048" width="11.140625" style="71" customWidth="1"/>
    <col min="12049" max="12283" width="9.140625" style="71"/>
    <col min="12284" max="12284" width="5.7109375" style="71" customWidth="1"/>
    <col min="12285" max="12285" width="45.85546875" style="71" customWidth="1"/>
    <col min="12286" max="12286" width="9.140625" style="71"/>
    <col min="12287" max="12290" width="11.42578125" style="71" customWidth="1"/>
    <col min="12291" max="12297" width="0" style="71" hidden="1" customWidth="1"/>
    <col min="12298" max="12300" width="9.140625" style="71"/>
    <col min="12301" max="12301" width="14.7109375" style="71" customWidth="1"/>
    <col min="12302" max="12303" width="9.140625" style="71"/>
    <col min="12304" max="12304" width="11.140625" style="71" customWidth="1"/>
    <col min="12305" max="12539" width="9.140625" style="71"/>
    <col min="12540" max="12540" width="5.7109375" style="71" customWidth="1"/>
    <col min="12541" max="12541" width="45.85546875" style="71" customWidth="1"/>
    <col min="12542" max="12542" width="9.140625" style="71"/>
    <col min="12543" max="12546" width="11.42578125" style="71" customWidth="1"/>
    <col min="12547" max="12553" width="0" style="71" hidden="1" customWidth="1"/>
    <col min="12554" max="12556" width="9.140625" style="71"/>
    <col min="12557" max="12557" width="14.7109375" style="71" customWidth="1"/>
    <col min="12558" max="12559" width="9.140625" style="71"/>
    <col min="12560" max="12560" width="11.140625" style="71" customWidth="1"/>
    <col min="12561" max="12795" width="9.140625" style="71"/>
    <col min="12796" max="12796" width="5.7109375" style="71" customWidth="1"/>
    <col min="12797" max="12797" width="45.85546875" style="71" customWidth="1"/>
    <col min="12798" max="12798" width="9.140625" style="71"/>
    <col min="12799" max="12802" width="11.42578125" style="71" customWidth="1"/>
    <col min="12803" max="12809" width="0" style="71" hidden="1" customWidth="1"/>
    <col min="12810" max="12812" width="9.140625" style="71"/>
    <col min="12813" max="12813" width="14.7109375" style="71" customWidth="1"/>
    <col min="12814" max="12815" width="9.140625" style="71"/>
    <col min="12816" max="12816" width="11.140625" style="71" customWidth="1"/>
    <col min="12817" max="13051" width="9.140625" style="71"/>
    <col min="13052" max="13052" width="5.7109375" style="71" customWidth="1"/>
    <col min="13053" max="13053" width="45.85546875" style="71" customWidth="1"/>
    <col min="13054" max="13054" width="9.140625" style="71"/>
    <col min="13055" max="13058" width="11.42578125" style="71" customWidth="1"/>
    <col min="13059" max="13065" width="0" style="71" hidden="1" customWidth="1"/>
    <col min="13066" max="13068" width="9.140625" style="71"/>
    <col min="13069" max="13069" width="14.7109375" style="71" customWidth="1"/>
    <col min="13070" max="13071" width="9.140625" style="71"/>
    <col min="13072" max="13072" width="11.140625" style="71" customWidth="1"/>
    <col min="13073" max="13307" width="9.140625" style="71"/>
    <col min="13308" max="13308" width="5.7109375" style="71" customWidth="1"/>
    <col min="13309" max="13309" width="45.85546875" style="71" customWidth="1"/>
    <col min="13310" max="13310" width="9.140625" style="71"/>
    <col min="13311" max="13314" width="11.42578125" style="71" customWidth="1"/>
    <col min="13315" max="13321" width="0" style="71" hidden="1" customWidth="1"/>
    <col min="13322" max="13324" width="9.140625" style="71"/>
    <col min="13325" max="13325" width="14.7109375" style="71" customWidth="1"/>
    <col min="13326" max="13327" width="9.140625" style="71"/>
    <col min="13328" max="13328" width="11.140625" style="71" customWidth="1"/>
    <col min="13329" max="13563" width="9.140625" style="71"/>
    <col min="13564" max="13564" width="5.7109375" style="71" customWidth="1"/>
    <col min="13565" max="13565" width="45.85546875" style="71" customWidth="1"/>
    <col min="13566" max="13566" width="9.140625" style="71"/>
    <col min="13567" max="13570" width="11.42578125" style="71" customWidth="1"/>
    <col min="13571" max="13577" width="0" style="71" hidden="1" customWidth="1"/>
    <col min="13578" max="13580" width="9.140625" style="71"/>
    <col min="13581" max="13581" width="14.7109375" style="71" customWidth="1"/>
    <col min="13582" max="13583" width="9.140625" style="71"/>
    <col min="13584" max="13584" width="11.140625" style="71" customWidth="1"/>
    <col min="13585" max="13819" width="9.140625" style="71"/>
    <col min="13820" max="13820" width="5.7109375" style="71" customWidth="1"/>
    <col min="13821" max="13821" width="45.85546875" style="71" customWidth="1"/>
    <col min="13822" max="13822" width="9.140625" style="71"/>
    <col min="13823" max="13826" width="11.42578125" style="71" customWidth="1"/>
    <col min="13827" max="13833" width="0" style="71" hidden="1" customWidth="1"/>
    <col min="13834" max="13836" width="9.140625" style="71"/>
    <col min="13837" max="13837" width="14.7109375" style="71" customWidth="1"/>
    <col min="13838" max="13839" width="9.140625" style="71"/>
    <col min="13840" max="13840" width="11.140625" style="71" customWidth="1"/>
    <col min="13841" max="14075" width="9.140625" style="71"/>
    <col min="14076" max="14076" width="5.7109375" style="71" customWidth="1"/>
    <col min="14077" max="14077" width="45.85546875" style="71" customWidth="1"/>
    <col min="14078" max="14078" width="9.140625" style="71"/>
    <col min="14079" max="14082" width="11.42578125" style="71" customWidth="1"/>
    <col min="14083" max="14089" width="0" style="71" hidden="1" customWidth="1"/>
    <col min="14090" max="14092" width="9.140625" style="71"/>
    <col min="14093" max="14093" width="14.7109375" style="71" customWidth="1"/>
    <col min="14094" max="14095" width="9.140625" style="71"/>
    <col min="14096" max="14096" width="11.140625" style="71" customWidth="1"/>
    <col min="14097" max="14331" width="9.140625" style="71"/>
    <col min="14332" max="14332" width="5.7109375" style="71" customWidth="1"/>
    <col min="14333" max="14333" width="45.85546875" style="71" customWidth="1"/>
    <col min="14334" max="14334" width="9.140625" style="71"/>
    <col min="14335" max="14338" width="11.42578125" style="71" customWidth="1"/>
    <col min="14339" max="14345" width="0" style="71" hidden="1" customWidth="1"/>
    <col min="14346" max="14348" width="9.140625" style="71"/>
    <col min="14349" max="14349" width="14.7109375" style="71" customWidth="1"/>
    <col min="14350" max="14351" width="9.140625" style="71"/>
    <col min="14352" max="14352" width="11.140625" style="71" customWidth="1"/>
    <col min="14353" max="14587" width="9.140625" style="71"/>
    <col min="14588" max="14588" width="5.7109375" style="71" customWidth="1"/>
    <col min="14589" max="14589" width="45.85546875" style="71" customWidth="1"/>
    <col min="14590" max="14590" width="9.140625" style="71"/>
    <col min="14591" max="14594" width="11.42578125" style="71" customWidth="1"/>
    <col min="14595" max="14601" width="0" style="71" hidden="1" customWidth="1"/>
    <col min="14602" max="14604" width="9.140625" style="71"/>
    <col min="14605" max="14605" width="14.7109375" style="71" customWidth="1"/>
    <col min="14606" max="14607" width="9.140625" style="71"/>
    <col min="14608" max="14608" width="11.140625" style="71" customWidth="1"/>
    <col min="14609" max="14843" width="9.140625" style="71"/>
    <col min="14844" max="14844" width="5.7109375" style="71" customWidth="1"/>
    <col min="14845" max="14845" width="45.85546875" style="71" customWidth="1"/>
    <col min="14846" max="14846" width="9.140625" style="71"/>
    <col min="14847" max="14850" width="11.42578125" style="71" customWidth="1"/>
    <col min="14851" max="14857" width="0" style="71" hidden="1" customWidth="1"/>
    <col min="14858" max="14860" width="9.140625" style="71"/>
    <col min="14861" max="14861" width="14.7109375" style="71" customWidth="1"/>
    <col min="14862" max="14863" width="9.140625" style="71"/>
    <col min="14864" max="14864" width="11.140625" style="71" customWidth="1"/>
    <col min="14865" max="15099" width="9.140625" style="71"/>
    <col min="15100" max="15100" width="5.7109375" style="71" customWidth="1"/>
    <col min="15101" max="15101" width="45.85546875" style="71" customWidth="1"/>
    <col min="15102" max="15102" width="9.140625" style="71"/>
    <col min="15103" max="15106" width="11.42578125" style="71" customWidth="1"/>
    <col min="15107" max="15113" width="0" style="71" hidden="1" customWidth="1"/>
    <col min="15114" max="15116" width="9.140625" style="71"/>
    <col min="15117" max="15117" width="14.7109375" style="71" customWidth="1"/>
    <col min="15118" max="15119" width="9.140625" style="71"/>
    <col min="15120" max="15120" width="11.140625" style="71" customWidth="1"/>
    <col min="15121" max="15355" width="9.140625" style="71"/>
    <col min="15356" max="15356" width="5.7109375" style="71" customWidth="1"/>
    <col min="15357" max="15357" width="45.85546875" style="71" customWidth="1"/>
    <col min="15358" max="15358" width="9.140625" style="71"/>
    <col min="15359" max="15362" width="11.42578125" style="71" customWidth="1"/>
    <col min="15363" max="15369" width="0" style="71" hidden="1" customWidth="1"/>
    <col min="15370" max="15372" width="9.140625" style="71"/>
    <col min="15373" max="15373" width="14.7109375" style="71" customWidth="1"/>
    <col min="15374" max="15375" width="9.140625" style="71"/>
    <col min="15376" max="15376" width="11.140625" style="71" customWidth="1"/>
    <col min="15377" max="15611" width="9.140625" style="71"/>
    <col min="15612" max="15612" width="5.7109375" style="71" customWidth="1"/>
    <col min="15613" max="15613" width="45.85546875" style="71" customWidth="1"/>
    <col min="15614" max="15614" width="9.140625" style="71"/>
    <col min="15615" max="15618" width="11.42578125" style="71" customWidth="1"/>
    <col min="15619" max="15625" width="0" style="71" hidden="1" customWidth="1"/>
    <col min="15626" max="15628" width="9.140625" style="71"/>
    <col min="15629" max="15629" width="14.7109375" style="71" customWidth="1"/>
    <col min="15630" max="15631" width="9.140625" style="71"/>
    <col min="15632" max="15632" width="11.140625" style="71" customWidth="1"/>
    <col min="15633" max="15867" width="9.140625" style="71"/>
    <col min="15868" max="15868" width="5.7109375" style="71" customWidth="1"/>
    <col min="15869" max="15869" width="45.85546875" style="71" customWidth="1"/>
    <col min="15870" max="15870" width="9.140625" style="71"/>
    <col min="15871" max="15874" width="11.42578125" style="71" customWidth="1"/>
    <col min="15875" max="15881" width="0" style="71" hidden="1" customWidth="1"/>
    <col min="15882" max="15884" width="9.140625" style="71"/>
    <col min="15885" max="15885" width="14.7109375" style="71" customWidth="1"/>
    <col min="15886" max="15887" width="9.140625" style="71"/>
    <col min="15888" max="15888" width="11.140625" style="71" customWidth="1"/>
    <col min="15889" max="16123" width="9.140625" style="71"/>
    <col min="16124" max="16124" width="5.7109375" style="71" customWidth="1"/>
    <col min="16125" max="16125" width="45.85546875" style="71" customWidth="1"/>
    <col min="16126" max="16126" width="9.140625" style="71"/>
    <col min="16127" max="16130" width="11.42578125" style="71" customWidth="1"/>
    <col min="16131" max="16137" width="0" style="71" hidden="1" customWidth="1"/>
    <col min="16138" max="16140" width="9.140625" style="71"/>
    <col min="16141" max="16141" width="14.7109375" style="71" customWidth="1"/>
    <col min="16142" max="16143" width="9.140625" style="71"/>
    <col min="16144" max="16144" width="11.140625" style="71" customWidth="1"/>
    <col min="16145" max="16384" width="9.140625" style="71"/>
  </cols>
  <sheetData>
    <row r="3" spans="2:25" ht="13.5" thickBot="1" x14ac:dyDescent="0.25">
      <c r="M3" s="90"/>
    </row>
    <row r="4" spans="2:25" ht="15" thickBot="1" x14ac:dyDescent="0.25">
      <c r="B4" s="632" t="s">
        <v>193</v>
      </c>
      <c r="C4" s="633" t="s">
        <v>194</v>
      </c>
      <c r="D4" s="634" t="s">
        <v>195</v>
      </c>
      <c r="E4" s="634" t="s">
        <v>195</v>
      </c>
      <c r="F4" s="634" t="s">
        <v>195</v>
      </c>
      <c r="G4" s="634" t="s">
        <v>195</v>
      </c>
      <c r="M4" s="170"/>
      <c r="N4" s="118"/>
      <c r="P4" s="72" t="s">
        <v>196</v>
      </c>
      <c r="Q4" s="73" t="s">
        <v>197</v>
      </c>
      <c r="R4" s="73"/>
      <c r="S4" s="73"/>
      <c r="T4" s="73" t="s">
        <v>198</v>
      </c>
      <c r="U4" s="73"/>
      <c r="V4" s="74"/>
    </row>
    <row r="5" spans="2:25" ht="13.5" thickBot="1" x14ac:dyDescent="0.25">
      <c r="B5" s="635">
        <v>2</v>
      </c>
      <c r="C5" s="636">
        <v>3</v>
      </c>
      <c r="D5" s="637">
        <v>4</v>
      </c>
      <c r="E5" s="637">
        <v>4</v>
      </c>
      <c r="F5" s="637">
        <v>4</v>
      </c>
      <c r="G5" s="637">
        <v>4</v>
      </c>
      <c r="M5" s="118"/>
      <c r="N5" s="118"/>
      <c r="P5" s="72"/>
      <c r="Q5" s="75" t="s">
        <v>199</v>
      </c>
      <c r="R5" s="75" t="s">
        <v>200</v>
      </c>
      <c r="S5" s="75" t="s">
        <v>201</v>
      </c>
      <c r="T5" s="75" t="s">
        <v>199</v>
      </c>
      <c r="U5" s="75" t="s">
        <v>200</v>
      </c>
      <c r="V5" s="74" t="s">
        <v>201</v>
      </c>
    </row>
    <row r="6" spans="2:25" ht="29.25" thickBot="1" x14ac:dyDescent="0.25">
      <c r="B6" s="638" t="s">
        <v>202</v>
      </c>
      <c r="C6" s="639" t="s">
        <v>51</v>
      </c>
      <c r="D6" s="667" t="s">
        <v>518</v>
      </c>
      <c r="E6" s="640" t="s">
        <v>494</v>
      </c>
      <c r="F6" s="667" t="s">
        <v>516</v>
      </c>
      <c r="G6" s="667" t="s">
        <v>517</v>
      </c>
      <c r="M6" s="118"/>
      <c r="N6" s="118"/>
      <c r="P6" s="76">
        <v>1</v>
      </c>
      <c r="Q6" s="77">
        <v>2</v>
      </c>
      <c r="R6" s="77">
        <v>3</v>
      </c>
      <c r="S6" s="77">
        <v>4</v>
      </c>
      <c r="T6" s="77">
        <v>5</v>
      </c>
      <c r="U6" s="77">
        <v>6</v>
      </c>
      <c r="V6" s="78">
        <v>7</v>
      </c>
    </row>
    <row r="7" spans="2:25" ht="14.25" x14ac:dyDescent="0.2">
      <c r="B7" s="641" t="s">
        <v>477</v>
      </c>
      <c r="C7" s="642" t="s">
        <v>33</v>
      </c>
      <c r="D7" s="643">
        <v>0.27</v>
      </c>
      <c r="E7" s="643">
        <v>0.216</v>
      </c>
      <c r="F7" s="643">
        <v>0.216</v>
      </c>
      <c r="G7" s="643">
        <v>0.216</v>
      </c>
      <c r="M7" s="118"/>
      <c r="N7" s="118"/>
      <c r="P7" s="79" t="s">
        <v>204</v>
      </c>
      <c r="Q7" s="80">
        <v>24000</v>
      </c>
      <c r="R7" s="80" t="s">
        <v>51</v>
      </c>
      <c r="S7" s="80">
        <v>6000</v>
      </c>
      <c r="T7" s="80">
        <v>17</v>
      </c>
      <c r="U7" s="80"/>
      <c r="V7" s="81">
        <v>6</v>
      </c>
      <c r="W7">
        <f>Q7/Q7*T7+(Q7/S7-1)*V7</f>
        <v>35</v>
      </c>
      <c r="X7" s="43" t="e">
        <f>(Q7+W7*#REF!*#REF!)/((#REF!-#REF!)*#REF!*#REF!)</f>
        <v>#REF!</v>
      </c>
      <c r="Y7" t="e">
        <f>ROUND(W7/X7+12*1,)</f>
        <v>#REF!</v>
      </c>
    </row>
    <row r="8" spans="2:25" ht="16.5" x14ac:dyDescent="0.2">
      <c r="B8" s="641" t="s">
        <v>478</v>
      </c>
      <c r="C8" s="642" t="s">
        <v>479</v>
      </c>
      <c r="D8" s="644">
        <v>800</v>
      </c>
      <c r="E8" s="644">
        <v>800</v>
      </c>
      <c r="F8" s="644">
        <v>800</v>
      </c>
      <c r="G8" s="644">
        <v>800</v>
      </c>
      <c r="M8" s="119"/>
      <c r="N8" s="119"/>
      <c r="P8" s="79" t="s">
        <v>205</v>
      </c>
      <c r="Q8" s="80">
        <v>24000</v>
      </c>
      <c r="R8" s="80" t="s">
        <v>51</v>
      </c>
      <c r="S8" s="80">
        <v>6000</v>
      </c>
      <c r="T8" s="80">
        <v>17</v>
      </c>
      <c r="U8" s="80"/>
      <c r="V8" s="81">
        <v>6</v>
      </c>
      <c r="W8">
        <f>Q8/Q8*T8+(Q8/S8-1)*V8</f>
        <v>35</v>
      </c>
      <c r="X8" s="43" t="e">
        <f>(Q8+W8*#REF!*#REF!)/((#REF!-#REF!)*#REF!*#REF!)</f>
        <v>#REF!</v>
      </c>
      <c r="Y8" t="e">
        <f>ROUND(W8/X9+12*1,)</f>
        <v>#REF!</v>
      </c>
    </row>
    <row r="9" spans="2:25" ht="14.25" x14ac:dyDescent="0.2">
      <c r="B9" s="641" t="s">
        <v>478</v>
      </c>
      <c r="C9" s="642" t="s">
        <v>480</v>
      </c>
      <c r="D9" s="645">
        <f>0.0980665*D8</f>
        <v>78.453199999999995</v>
      </c>
      <c r="E9" s="645">
        <f>0.0980665*E8</f>
        <v>78.453199999999995</v>
      </c>
      <c r="F9" s="645">
        <f>0.0980665*F8</f>
        <v>78.453199999999995</v>
      </c>
      <c r="G9" s="645">
        <f>0.0980665*G8</f>
        <v>78.453199999999995</v>
      </c>
      <c r="M9" s="118"/>
      <c r="N9" s="118"/>
      <c r="P9" s="79" t="s">
        <v>206</v>
      </c>
      <c r="Q9" s="80">
        <v>24000</v>
      </c>
      <c r="R9" s="80" t="s">
        <v>51</v>
      </c>
      <c r="S9" s="80">
        <v>6000</v>
      </c>
      <c r="T9" s="80">
        <v>20</v>
      </c>
      <c r="U9" s="80"/>
      <c r="V9" s="81">
        <v>7</v>
      </c>
      <c r="W9">
        <f>Q9/Q9*T9+(Q9/S9-1)*V9</f>
        <v>41</v>
      </c>
      <c r="X9" s="43" t="e">
        <f>(Q9+W9*#REF!*#REF!)/((#REF!-#REF!)*#REF!*#REF!)</f>
        <v>#REF!</v>
      </c>
      <c r="Y9" t="e">
        <f>ROUND(W9/X9+12*1,)</f>
        <v>#REF!</v>
      </c>
    </row>
    <row r="10" spans="2:25" ht="14.25" customHeight="1" x14ac:dyDescent="0.2">
      <c r="B10" s="641" t="s">
        <v>481</v>
      </c>
      <c r="C10" s="642" t="s">
        <v>51</v>
      </c>
      <c r="D10" s="646" t="s">
        <v>482</v>
      </c>
      <c r="E10" s="646" t="s">
        <v>482</v>
      </c>
      <c r="F10" s="646" t="s">
        <v>482</v>
      </c>
      <c r="G10" s="646" t="s">
        <v>482</v>
      </c>
      <c r="M10" s="118"/>
      <c r="N10" s="120"/>
      <c r="P10" s="79" t="s">
        <v>207</v>
      </c>
      <c r="Q10" s="80">
        <v>24000</v>
      </c>
      <c r="R10" s="80">
        <v>12000</v>
      </c>
      <c r="S10" s="80">
        <v>6000</v>
      </c>
      <c r="T10" s="80">
        <v>25</v>
      </c>
      <c r="U10" s="80">
        <v>15</v>
      </c>
      <c r="V10" s="81">
        <v>8</v>
      </c>
      <c r="W10">
        <f>Q9/Q9*T10+(Q10/R10-1)*U10+(Q11/S11-2)*10</f>
        <v>60</v>
      </c>
      <c r="X10" s="43" t="e">
        <f>(Q10+W10*#REF!*#REF!)/((#REF!-#REF!)*#REF!*#REF!)</f>
        <v>#REF!</v>
      </c>
      <c r="Y10" t="e">
        <f>ROUND(W10/X10+12*2,)</f>
        <v>#REF!</v>
      </c>
    </row>
    <row r="11" spans="2:25" ht="14.25" customHeight="1" x14ac:dyDescent="0.2">
      <c r="B11" s="647" t="s">
        <v>483</v>
      </c>
      <c r="C11" s="648" t="s">
        <v>484</v>
      </c>
      <c r="D11" s="649">
        <v>321</v>
      </c>
      <c r="E11" s="649">
        <v>145</v>
      </c>
      <c r="F11" s="649">
        <v>131</v>
      </c>
      <c r="G11" s="649">
        <v>145</v>
      </c>
      <c r="M11" s="123"/>
      <c r="N11" s="120"/>
      <c r="P11" s="79" t="s">
        <v>203</v>
      </c>
      <c r="Q11" s="80">
        <v>24000</v>
      </c>
      <c r="R11" s="80">
        <v>12000</v>
      </c>
      <c r="S11" s="80">
        <v>6000</v>
      </c>
      <c r="T11" s="80">
        <v>30</v>
      </c>
      <c r="U11" s="80">
        <v>17</v>
      </c>
      <c r="V11" s="81">
        <v>10</v>
      </c>
      <c r="W11">
        <f>Q10/Q10*T11+(Q11/R11-1)*U11+(Q12/S12-2)*10</f>
        <v>67</v>
      </c>
      <c r="X11" s="43" t="e">
        <f>(Q11+W11*#REF!*#REF!)/((#REF!-#REF!)*#REF!*#REF!)</f>
        <v>#REF!</v>
      </c>
      <c r="Y11" t="e">
        <f>ROUND(W11/X11+12*2,)</f>
        <v>#REF!</v>
      </c>
    </row>
    <row r="12" spans="2:25" ht="14.25" customHeight="1" thickBot="1" x14ac:dyDescent="0.25">
      <c r="B12" s="647" t="s">
        <v>485</v>
      </c>
      <c r="C12" s="648" t="s">
        <v>51</v>
      </c>
      <c r="D12" s="650">
        <v>0.7</v>
      </c>
      <c r="E12" s="650">
        <v>0.7</v>
      </c>
      <c r="F12" s="650">
        <v>0.7</v>
      </c>
      <c r="G12" s="650">
        <v>0.7</v>
      </c>
      <c r="M12" s="118"/>
      <c r="N12" s="118"/>
      <c r="P12" s="76" t="s">
        <v>208</v>
      </c>
      <c r="Q12" s="82">
        <v>24000</v>
      </c>
      <c r="R12" s="82">
        <v>12000</v>
      </c>
      <c r="S12" s="82">
        <v>6000</v>
      </c>
      <c r="T12" s="82">
        <v>30</v>
      </c>
      <c r="U12" s="82">
        <v>17</v>
      </c>
      <c r="V12" s="83">
        <v>10</v>
      </c>
      <c r="W12">
        <f>Q12/Q12*T12+(Q12/R12-1)*U12+(Q12/S12-2)*V12</f>
        <v>67</v>
      </c>
      <c r="X12" s="43" t="e">
        <f>(Q12+W12*#REF!*#REF!)/((#REF!-#REF!)*#REF!*#REF!)</f>
        <v>#REF!</v>
      </c>
      <c r="Y12" t="e">
        <f>ROUND(W12/X12+12*2,0)</f>
        <v>#REF!</v>
      </c>
    </row>
    <row r="13" spans="2:25" ht="14.25" x14ac:dyDescent="0.2">
      <c r="B13" s="651" t="s">
        <v>122</v>
      </c>
      <c r="C13" s="652" t="s">
        <v>486</v>
      </c>
      <c r="D13" s="653">
        <f>ROUND(0.1*D11*D12/(2.73^(0.017*D9)*D7^2),1)</f>
        <v>80.8</v>
      </c>
      <c r="E13" s="653">
        <f>ROUND(0.1*E11*E12/(2.73^(0.017*E9)*E7^2),1)</f>
        <v>57</v>
      </c>
      <c r="F13" s="653">
        <f>ROUND(0.1*F11*F12/(2.73^(0.017*F9)*F7^2),1)</f>
        <v>51.5</v>
      </c>
      <c r="G13" s="653">
        <f>ROUND(0.1*G11*G12/(2.73^(0.017*G9)*G7^2),1)</f>
        <v>57</v>
      </c>
      <c r="M13" s="118"/>
      <c r="N13" s="118"/>
      <c r="P13"/>
      <c r="Q13"/>
      <c r="R13"/>
      <c r="S13"/>
      <c r="T13"/>
      <c r="U13"/>
      <c r="V13"/>
    </row>
    <row r="14" spans="2:25" ht="15" thickBot="1" x14ac:dyDescent="0.25">
      <c r="B14" s="647" t="s">
        <v>487</v>
      </c>
      <c r="C14" s="648" t="s">
        <v>51</v>
      </c>
      <c r="D14" s="654">
        <v>0.5</v>
      </c>
      <c r="E14" s="654">
        <v>0.5</v>
      </c>
      <c r="F14" s="654">
        <v>0.5</v>
      </c>
      <c r="G14" s="654">
        <v>0.5</v>
      </c>
      <c r="M14" s="118"/>
      <c r="N14" s="118"/>
      <c r="P14"/>
      <c r="Q14"/>
      <c r="R14"/>
      <c r="S14"/>
      <c r="T14"/>
      <c r="U14"/>
      <c r="V14"/>
    </row>
    <row r="15" spans="2:25" ht="15" thickBot="1" x14ac:dyDescent="0.25">
      <c r="B15" s="647" t="s">
        <v>213</v>
      </c>
      <c r="C15" s="648" t="s">
        <v>488</v>
      </c>
      <c r="D15" s="654">
        <v>12</v>
      </c>
      <c r="E15" s="654">
        <v>12</v>
      </c>
      <c r="F15" s="654">
        <v>12</v>
      </c>
      <c r="G15" s="654">
        <v>12</v>
      </c>
      <c r="M15" s="118"/>
      <c r="N15" s="118"/>
      <c r="P15" s="84" t="s">
        <v>196</v>
      </c>
      <c r="Q15" s="73" t="s">
        <v>215</v>
      </c>
      <c r="R15" s="73" t="s">
        <v>216</v>
      </c>
      <c r="S15" s="73" t="s">
        <v>217</v>
      </c>
      <c r="T15" s="73" t="s">
        <v>218</v>
      </c>
      <c r="U15" s="74" t="s">
        <v>219</v>
      </c>
      <c r="V15"/>
    </row>
    <row r="16" spans="2:25" ht="15" thickBot="1" x14ac:dyDescent="0.25">
      <c r="B16" s="651" t="s">
        <v>238</v>
      </c>
      <c r="C16" s="652" t="s">
        <v>489</v>
      </c>
      <c r="D16" s="655">
        <f>ROUND(D13*D14*D15,1)</f>
        <v>484.8</v>
      </c>
      <c r="E16" s="655">
        <f>ROUND(E13*E14*E15,1)</f>
        <v>342</v>
      </c>
      <c r="F16" s="655">
        <f>ROUND(F13*F14*F15,1)</f>
        <v>309</v>
      </c>
      <c r="G16" s="655">
        <f>ROUND(G13*G14*G15,1)</f>
        <v>342</v>
      </c>
      <c r="M16" s="118"/>
      <c r="N16" s="118"/>
      <c r="P16" s="85">
        <v>1</v>
      </c>
      <c r="Q16" s="86">
        <v>2</v>
      </c>
      <c r="R16" s="86">
        <v>3</v>
      </c>
      <c r="S16" s="86">
        <v>4</v>
      </c>
      <c r="T16" s="86">
        <v>5</v>
      </c>
      <c r="U16" s="78">
        <v>6</v>
      </c>
      <c r="V16"/>
    </row>
    <row r="17" spans="2:22" ht="14.25" x14ac:dyDescent="0.2">
      <c r="B17" s="656" t="s">
        <v>211</v>
      </c>
      <c r="C17" s="657" t="s">
        <v>212</v>
      </c>
      <c r="D17" s="646">
        <v>2</v>
      </c>
      <c r="E17" s="646">
        <v>2</v>
      </c>
      <c r="F17" s="646">
        <v>2</v>
      </c>
      <c r="G17" s="646">
        <v>2</v>
      </c>
      <c r="M17" s="118"/>
      <c r="N17" s="118"/>
      <c r="P17" s="87" t="s">
        <v>220</v>
      </c>
      <c r="Q17" s="88"/>
      <c r="R17" s="88"/>
      <c r="S17" s="88"/>
      <c r="T17" s="88"/>
      <c r="U17" s="89"/>
      <c r="V17"/>
    </row>
    <row r="18" spans="2:22" ht="14.25" x14ac:dyDescent="0.2">
      <c r="B18" s="658" t="s">
        <v>227</v>
      </c>
      <c r="C18" s="659" t="s">
        <v>490</v>
      </c>
      <c r="D18" s="655">
        <f>D16*D17</f>
        <v>969.6</v>
      </c>
      <c r="E18" s="655">
        <f>E16*E17</f>
        <v>684</v>
      </c>
      <c r="F18" s="655">
        <f>F16*F17</f>
        <v>618</v>
      </c>
      <c r="G18" s="655">
        <f>G16*G17</f>
        <v>684</v>
      </c>
      <c r="M18" s="118"/>
      <c r="N18" s="118"/>
      <c r="P18" s="87" t="s">
        <v>221</v>
      </c>
      <c r="Q18" s="88">
        <v>0.75</v>
      </c>
      <c r="R18" s="88">
        <v>1.3</v>
      </c>
      <c r="S18" s="88">
        <v>1</v>
      </c>
      <c r="T18" s="88"/>
      <c r="U18" s="89"/>
      <c r="V18"/>
    </row>
    <row r="19" spans="2:22" ht="14.25" x14ac:dyDescent="0.2">
      <c r="B19" s="641" t="s">
        <v>209</v>
      </c>
      <c r="C19" s="642" t="s">
        <v>210</v>
      </c>
      <c r="D19" s="654">
        <v>364</v>
      </c>
      <c r="E19" s="654">
        <v>364</v>
      </c>
      <c r="F19" s="654">
        <v>364</v>
      </c>
      <c r="G19" s="654">
        <v>364</v>
      </c>
      <c r="M19" s="118"/>
      <c r="N19" s="118"/>
      <c r="P19" s="87"/>
      <c r="Q19" s="88"/>
      <c r="R19" s="88"/>
      <c r="S19" s="88"/>
      <c r="T19" s="88"/>
      <c r="U19" s="89"/>
      <c r="V19"/>
    </row>
    <row r="20" spans="2:22" ht="14.25" x14ac:dyDescent="0.2">
      <c r="B20" s="641" t="s">
        <v>225</v>
      </c>
      <c r="C20" s="642" t="s">
        <v>210</v>
      </c>
      <c r="D20" s="654">
        <v>30</v>
      </c>
      <c r="E20" s="654">
        <v>30</v>
      </c>
      <c r="F20" s="654">
        <v>30</v>
      </c>
      <c r="G20" s="654">
        <v>30</v>
      </c>
      <c r="M20" s="118"/>
      <c r="N20" s="118"/>
      <c r="P20" s="87" t="s">
        <v>222</v>
      </c>
      <c r="Q20" s="88"/>
      <c r="R20" s="88"/>
      <c r="S20" s="88"/>
      <c r="T20" s="88"/>
      <c r="U20" s="89"/>
      <c r="V20"/>
    </row>
    <row r="21" spans="2:22" ht="14.25" x14ac:dyDescent="0.2">
      <c r="B21" s="660" t="s">
        <v>491</v>
      </c>
      <c r="C21" s="642" t="s">
        <v>210</v>
      </c>
      <c r="D21" s="654">
        <v>7</v>
      </c>
      <c r="E21" s="654">
        <v>7</v>
      </c>
      <c r="F21" s="654">
        <v>7</v>
      </c>
      <c r="G21" s="654">
        <v>7</v>
      </c>
      <c r="M21" s="120"/>
      <c r="N21" s="120"/>
      <c r="P21" s="87" t="s">
        <v>223</v>
      </c>
      <c r="Q21" s="88"/>
      <c r="R21" s="88"/>
      <c r="S21" s="88"/>
      <c r="T21" s="88"/>
      <c r="U21" s="89"/>
      <c r="V21"/>
    </row>
    <row r="22" spans="2:22" ht="15" thickBot="1" x14ac:dyDescent="0.25">
      <c r="B22" s="641" t="s">
        <v>226</v>
      </c>
      <c r="C22" s="642" t="s">
        <v>210</v>
      </c>
      <c r="D22" s="654">
        <v>0</v>
      </c>
      <c r="E22" s="654">
        <v>0</v>
      </c>
      <c r="F22" s="654">
        <v>0</v>
      </c>
      <c r="G22" s="654">
        <v>0</v>
      </c>
      <c r="M22" s="118"/>
      <c r="N22" s="118"/>
      <c r="P22" s="85" t="s">
        <v>224</v>
      </c>
      <c r="Q22" s="86">
        <v>0.75</v>
      </c>
      <c r="R22" s="86">
        <v>1.3</v>
      </c>
      <c r="S22" s="86">
        <v>1</v>
      </c>
      <c r="T22" s="86">
        <v>1.2</v>
      </c>
      <c r="U22" s="78">
        <v>1.4</v>
      </c>
      <c r="V22"/>
    </row>
    <row r="23" spans="2:22" ht="14.25" x14ac:dyDescent="0.2">
      <c r="B23" s="647" t="s">
        <v>492</v>
      </c>
      <c r="C23" s="642" t="s">
        <v>210</v>
      </c>
      <c r="D23" s="661">
        <f>D19-D20-D21-D22</f>
        <v>327</v>
      </c>
      <c r="E23" s="661">
        <f>E19-E20-E21-E22</f>
        <v>327</v>
      </c>
      <c r="F23" s="661">
        <f>F19-F20-F21-F22</f>
        <v>327</v>
      </c>
      <c r="G23" s="661">
        <f>G19-G20-G21-G22</f>
        <v>327</v>
      </c>
      <c r="M23" s="118"/>
      <c r="N23" s="118"/>
    </row>
    <row r="24" spans="2:22" ht="15.75" thickBot="1" x14ac:dyDescent="0.3">
      <c r="B24" s="662" t="s">
        <v>228</v>
      </c>
      <c r="C24" s="663" t="s">
        <v>493</v>
      </c>
      <c r="D24" s="664">
        <f>D18*D23/1000</f>
        <v>317.05920000000003</v>
      </c>
      <c r="E24" s="664">
        <f>E18*E23/1000</f>
        <v>223.66800000000001</v>
      </c>
      <c r="F24" s="664">
        <f>F18*F23/1000</f>
        <v>202.08600000000001</v>
      </c>
      <c r="G24" s="664">
        <f>G18*G23/1000</f>
        <v>223.66800000000001</v>
      </c>
      <c r="M24" s="118"/>
      <c r="N24" s="118"/>
    </row>
    <row r="25" spans="2:22" x14ac:dyDescent="0.2">
      <c r="M25" s="118"/>
      <c r="N25" s="118"/>
    </row>
    <row r="26" spans="2:22" x14ac:dyDescent="0.2">
      <c r="M26" s="121"/>
      <c r="N26" s="121"/>
    </row>
    <row r="27" spans="2:22" x14ac:dyDescent="0.2">
      <c r="M27" s="121"/>
      <c r="N27" s="121"/>
    </row>
    <row r="28" spans="2:22" x14ac:dyDescent="0.2">
      <c r="M28" s="122"/>
      <c r="N28" s="122"/>
    </row>
    <row r="29" spans="2:22" x14ac:dyDescent="0.2">
      <c r="M29" s="123"/>
      <c r="N29" s="123"/>
    </row>
    <row r="30" spans="2:22" x14ac:dyDescent="0.2">
      <c r="M30" s="120"/>
      <c r="N30" s="118"/>
    </row>
    <row r="31" spans="2:22" x14ac:dyDescent="0.2">
      <c r="M31" s="118"/>
      <c r="N31" s="118"/>
    </row>
    <row r="32" spans="2:22" x14ac:dyDescent="0.2">
      <c r="M32" s="118"/>
      <c r="N32" s="118"/>
    </row>
    <row r="33" spans="13:14" x14ac:dyDescent="0.2">
      <c r="M33" s="118"/>
      <c r="N33" s="124"/>
    </row>
    <row r="34" spans="13:14" x14ac:dyDescent="0.2">
      <c r="M34" s="118"/>
      <c r="N34" s="118"/>
    </row>
    <row r="35" spans="13:14" x14ac:dyDescent="0.2">
      <c r="M35" s="118"/>
      <c r="N35" s="118"/>
    </row>
    <row r="36" spans="13:14" x14ac:dyDescent="0.2">
      <c r="M36" s="118"/>
      <c r="N36" s="118"/>
    </row>
    <row r="37" spans="13:14" x14ac:dyDescent="0.2">
      <c r="M37" s="123"/>
      <c r="N37" s="123"/>
    </row>
    <row r="38" spans="13:14" x14ac:dyDescent="0.2">
      <c r="M38" s="123"/>
      <c r="N38" s="123"/>
    </row>
    <row r="39" spans="13:14" x14ac:dyDescent="0.2">
      <c r="M39" s="124"/>
      <c r="N39" s="124"/>
    </row>
    <row r="40" spans="13:14" x14ac:dyDescent="0.2">
      <c r="M40" s="124"/>
      <c r="N40" s="124"/>
    </row>
    <row r="41" spans="13:14" x14ac:dyDescent="0.2">
      <c r="M41" s="90"/>
      <c r="N41" s="91"/>
    </row>
    <row r="42" spans="13:14" x14ac:dyDescent="0.2">
      <c r="M42" s="123"/>
      <c r="N42" s="91"/>
    </row>
    <row r="43" spans="13:14" x14ac:dyDescent="0.2">
      <c r="M43" s="118"/>
      <c r="N43" s="90"/>
    </row>
    <row r="44" spans="13:14" x14ac:dyDescent="0.2">
      <c r="M44" s="123"/>
      <c r="N44" s="90"/>
    </row>
    <row r="45" spans="13:14" x14ac:dyDescent="0.2">
      <c r="M45" s="125"/>
    </row>
    <row r="46" spans="13:14" x14ac:dyDescent="0.2">
      <c r="M46" s="127"/>
      <c r="N46" s="92"/>
    </row>
    <row r="47" spans="13:14" x14ac:dyDescent="0.2">
      <c r="M47" s="126"/>
      <c r="N47" s="93"/>
    </row>
    <row r="51" spans="13:13" x14ac:dyDescent="0.2">
      <c r="M51"/>
    </row>
    <row r="52" spans="13:13" x14ac:dyDescent="0.2">
      <c r="M52"/>
    </row>
    <row r="53" spans="13:13" x14ac:dyDescent="0.2">
      <c r="M53"/>
    </row>
    <row r="60" spans="13:13" x14ac:dyDescent="0.2">
      <c r="M60"/>
    </row>
    <row r="61" spans="13:13" x14ac:dyDescent="0.2">
      <c r="M61"/>
    </row>
    <row r="62" spans="13:13" x14ac:dyDescent="0.2">
      <c r="M62"/>
    </row>
    <row r="63" spans="13:13" x14ac:dyDescent="0.2">
      <c r="M63"/>
    </row>
    <row r="64" spans="13:13" x14ac:dyDescent="0.2">
      <c r="M64"/>
    </row>
    <row r="65" spans="13:13" x14ac:dyDescent="0.2">
      <c r="M65"/>
    </row>
    <row r="66" spans="13:13" x14ac:dyDescent="0.2">
      <c r="M66"/>
    </row>
    <row r="67" spans="13:13" x14ac:dyDescent="0.2">
      <c r="M67"/>
    </row>
    <row r="68" spans="13:13" x14ac:dyDescent="0.2">
      <c r="M68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25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3:N33"/>
  <sheetViews>
    <sheetView workbookViewId="0">
      <selection activeCell="B24" sqref="B24"/>
    </sheetView>
  </sheetViews>
  <sheetFormatPr defaultRowHeight="12.75" x14ac:dyDescent="0.2"/>
  <cols>
    <col min="1" max="1" width="9.140625" style="17"/>
    <col min="2" max="2" width="33.5703125" style="17" customWidth="1"/>
    <col min="3" max="3" width="16.5703125" style="17" customWidth="1"/>
    <col min="4" max="4" width="16.85546875" style="17" customWidth="1"/>
    <col min="5" max="6" width="18.85546875" style="17" customWidth="1"/>
    <col min="7" max="249" width="9.140625" style="17"/>
    <col min="250" max="250" width="38.28515625" style="17" customWidth="1"/>
    <col min="251" max="251" width="9.140625" style="17"/>
    <col min="252" max="252" width="9.5703125" style="17" customWidth="1"/>
    <col min="253" max="253" width="0" style="17" hidden="1" customWidth="1"/>
    <col min="254" max="254" width="12.5703125" style="17" customWidth="1"/>
    <col min="255" max="257" width="0" style="17" hidden="1" customWidth="1"/>
    <col min="258" max="261" width="9.140625" style="17"/>
    <col min="262" max="262" width="26.5703125" style="17" customWidth="1"/>
    <col min="263" max="505" width="9.140625" style="17"/>
    <col min="506" max="506" width="38.28515625" style="17" customWidth="1"/>
    <col min="507" max="507" width="9.140625" style="17"/>
    <col min="508" max="508" width="9.5703125" style="17" customWidth="1"/>
    <col min="509" max="509" width="0" style="17" hidden="1" customWidth="1"/>
    <col min="510" max="510" width="12.5703125" style="17" customWidth="1"/>
    <col min="511" max="513" width="0" style="17" hidden="1" customWidth="1"/>
    <col min="514" max="517" width="9.140625" style="17"/>
    <col min="518" max="518" width="26.5703125" style="17" customWidth="1"/>
    <col min="519" max="761" width="9.140625" style="17"/>
    <col min="762" max="762" width="38.28515625" style="17" customWidth="1"/>
    <col min="763" max="763" width="9.140625" style="17"/>
    <col min="764" max="764" width="9.5703125" style="17" customWidth="1"/>
    <col min="765" max="765" width="0" style="17" hidden="1" customWidth="1"/>
    <col min="766" max="766" width="12.5703125" style="17" customWidth="1"/>
    <col min="767" max="769" width="0" style="17" hidden="1" customWidth="1"/>
    <col min="770" max="773" width="9.140625" style="17"/>
    <col min="774" max="774" width="26.5703125" style="17" customWidth="1"/>
    <col min="775" max="1017" width="9.140625" style="17"/>
    <col min="1018" max="1018" width="38.28515625" style="17" customWidth="1"/>
    <col min="1019" max="1019" width="9.140625" style="17"/>
    <col min="1020" max="1020" width="9.5703125" style="17" customWidth="1"/>
    <col min="1021" max="1021" width="0" style="17" hidden="1" customWidth="1"/>
    <col min="1022" max="1022" width="12.5703125" style="17" customWidth="1"/>
    <col min="1023" max="1025" width="0" style="17" hidden="1" customWidth="1"/>
    <col min="1026" max="1029" width="9.140625" style="17"/>
    <col min="1030" max="1030" width="26.5703125" style="17" customWidth="1"/>
    <col min="1031" max="1273" width="9.140625" style="17"/>
    <col min="1274" max="1274" width="38.28515625" style="17" customWidth="1"/>
    <col min="1275" max="1275" width="9.140625" style="17"/>
    <col min="1276" max="1276" width="9.5703125" style="17" customWidth="1"/>
    <col min="1277" max="1277" width="0" style="17" hidden="1" customWidth="1"/>
    <col min="1278" max="1278" width="12.5703125" style="17" customWidth="1"/>
    <col min="1279" max="1281" width="0" style="17" hidden="1" customWidth="1"/>
    <col min="1282" max="1285" width="9.140625" style="17"/>
    <col min="1286" max="1286" width="26.5703125" style="17" customWidth="1"/>
    <col min="1287" max="1529" width="9.140625" style="17"/>
    <col min="1530" max="1530" width="38.28515625" style="17" customWidth="1"/>
    <col min="1531" max="1531" width="9.140625" style="17"/>
    <col min="1532" max="1532" width="9.5703125" style="17" customWidth="1"/>
    <col min="1533" max="1533" width="0" style="17" hidden="1" customWidth="1"/>
    <col min="1534" max="1534" width="12.5703125" style="17" customWidth="1"/>
    <col min="1535" max="1537" width="0" style="17" hidden="1" customWidth="1"/>
    <col min="1538" max="1541" width="9.140625" style="17"/>
    <col min="1542" max="1542" width="26.5703125" style="17" customWidth="1"/>
    <col min="1543" max="1785" width="9.140625" style="17"/>
    <col min="1786" max="1786" width="38.28515625" style="17" customWidth="1"/>
    <col min="1787" max="1787" width="9.140625" style="17"/>
    <col min="1788" max="1788" width="9.5703125" style="17" customWidth="1"/>
    <col min="1789" max="1789" width="0" style="17" hidden="1" customWidth="1"/>
    <col min="1790" max="1790" width="12.5703125" style="17" customWidth="1"/>
    <col min="1791" max="1793" width="0" style="17" hidden="1" customWidth="1"/>
    <col min="1794" max="1797" width="9.140625" style="17"/>
    <col min="1798" max="1798" width="26.5703125" style="17" customWidth="1"/>
    <col min="1799" max="2041" width="9.140625" style="17"/>
    <col min="2042" max="2042" width="38.28515625" style="17" customWidth="1"/>
    <col min="2043" max="2043" width="9.140625" style="17"/>
    <col min="2044" max="2044" width="9.5703125" style="17" customWidth="1"/>
    <col min="2045" max="2045" width="0" style="17" hidden="1" customWidth="1"/>
    <col min="2046" max="2046" width="12.5703125" style="17" customWidth="1"/>
    <col min="2047" max="2049" width="0" style="17" hidden="1" customWidth="1"/>
    <col min="2050" max="2053" width="9.140625" style="17"/>
    <col min="2054" max="2054" width="26.5703125" style="17" customWidth="1"/>
    <col min="2055" max="2297" width="9.140625" style="17"/>
    <col min="2298" max="2298" width="38.28515625" style="17" customWidth="1"/>
    <col min="2299" max="2299" width="9.140625" style="17"/>
    <col min="2300" max="2300" width="9.5703125" style="17" customWidth="1"/>
    <col min="2301" max="2301" width="0" style="17" hidden="1" customWidth="1"/>
    <col min="2302" max="2302" width="12.5703125" style="17" customWidth="1"/>
    <col min="2303" max="2305" width="0" style="17" hidden="1" customWidth="1"/>
    <col min="2306" max="2309" width="9.140625" style="17"/>
    <col min="2310" max="2310" width="26.5703125" style="17" customWidth="1"/>
    <col min="2311" max="2553" width="9.140625" style="17"/>
    <col min="2554" max="2554" width="38.28515625" style="17" customWidth="1"/>
    <col min="2555" max="2555" width="9.140625" style="17"/>
    <col min="2556" max="2556" width="9.5703125" style="17" customWidth="1"/>
    <col min="2557" max="2557" width="0" style="17" hidden="1" customWidth="1"/>
    <col min="2558" max="2558" width="12.5703125" style="17" customWidth="1"/>
    <col min="2559" max="2561" width="0" style="17" hidden="1" customWidth="1"/>
    <col min="2562" max="2565" width="9.140625" style="17"/>
    <col min="2566" max="2566" width="26.5703125" style="17" customWidth="1"/>
    <col min="2567" max="2809" width="9.140625" style="17"/>
    <col min="2810" max="2810" width="38.28515625" style="17" customWidth="1"/>
    <col min="2811" max="2811" width="9.140625" style="17"/>
    <col min="2812" max="2812" width="9.5703125" style="17" customWidth="1"/>
    <col min="2813" max="2813" width="0" style="17" hidden="1" customWidth="1"/>
    <col min="2814" max="2814" width="12.5703125" style="17" customWidth="1"/>
    <col min="2815" max="2817" width="0" style="17" hidden="1" customWidth="1"/>
    <col min="2818" max="2821" width="9.140625" style="17"/>
    <col min="2822" max="2822" width="26.5703125" style="17" customWidth="1"/>
    <col min="2823" max="3065" width="9.140625" style="17"/>
    <col min="3066" max="3066" width="38.28515625" style="17" customWidth="1"/>
    <col min="3067" max="3067" width="9.140625" style="17"/>
    <col min="3068" max="3068" width="9.5703125" style="17" customWidth="1"/>
    <col min="3069" max="3069" width="0" style="17" hidden="1" customWidth="1"/>
    <col min="3070" max="3070" width="12.5703125" style="17" customWidth="1"/>
    <col min="3071" max="3073" width="0" style="17" hidden="1" customWidth="1"/>
    <col min="3074" max="3077" width="9.140625" style="17"/>
    <col min="3078" max="3078" width="26.5703125" style="17" customWidth="1"/>
    <col min="3079" max="3321" width="9.140625" style="17"/>
    <col min="3322" max="3322" width="38.28515625" style="17" customWidth="1"/>
    <col min="3323" max="3323" width="9.140625" style="17"/>
    <col min="3324" max="3324" width="9.5703125" style="17" customWidth="1"/>
    <col min="3325" max="3325" width="0" style="17" hidden="1" customWidth="1"/>
    <col min="3326" max="3326" width="12.5703125" style="17" customWidth="1"/>
    <col min="3327" max="3329" width="0" style="17" hidden="1" customWidth="1"/>
    <col min="3330" max="3333" width="9.140625" style="17"/>
    <col min="3334" max="3334" width="26.5703125" style="17" customWidth="1"/>
    <col min="3335" max="3577" width="9.140625" style="17"/>
    <col min="3578" max="3578" width="38.28515625" style="17" customWidth="1"/>
    <col min="3579" max="3579" width="9.140625" style="17"/>
    <col min="3580" max="3580" width="9.5703125" style="17" customWidth="1"/>
    <col min="3581" max="3581" width="0" style="17" hidden="1" customWidth="1"/>
    <col min="3582" max="3582" width="12.5703125" style="17" customWidth="1"/>
    <col min="3583" max="3585" width="0" style="17" hidden="1" customWidth="1"/>
    <col min="3586" max="3589" width="9.140625" style="17"/>
    <col min="3590" max="3590" width="26.5703125" style="17" customWidth="1"/>
    <col min="3591" max="3833" width="9.140625" style="17"/>
    <col min="3834" max="3834" width="38.28515625" style="17" customWidth="1"/>
    <col min="3835" max="3835" width="9.140625" style="17"/>
    <col min="3836" max="3836" width="9.5703125" style="17" customWidth="1"/>
    <col min="3837" max="3837" width="0" style="17" hidden="1" customWidth="1"/>
    <col min="3838" max="3838" width="12.5703125" style="17" customWidth="1"/>
    <col min="3839" max="3841" width="0" style="17" hidden="1" customWidth="1"/>
    <col min="3842" max="3845" width="9.140625" style="17"/>
    <col min="3846" max="3846" width="26.5703125" style="17" customWidth="1"/>
    <col min="3847" max="4089" width="9.140625" style="17"/>
    <col min="4090" max="4090" width="38.28515625" style="17" customWidth="1"/>
    <col min="4091" max="4091" width="9.140625" style="17"/>
    <col min="4092" max="4092" width="9.5703125" style="17" customWidth="1"/>
    <col min="4093" max="4093" width="0" style="17" hidden="1" customWidth="1"/>
    <col min="4094" max="4094" width="12.5703125" style="17" customWidth="1"/>
    <col min="4095" max="4097" width="0" style="17" hidden="1" customWidth="1"/>
    <col min="4098" max="4101" width="9.140625" style="17"/>
    <col min="4102" max="4102" width="26.5703125" style="17" customWidth="1"/>
    <col min="4103" max="4345" width="9.140625" style="17"/>
    <col min="4346" max="4346" width="38.28515625" style="17" customWidth="1"/>
    <col min="4347" max="4347" width="9.140625" style="17"/>
    <col min="4348" max="4348" width="9.5703125" style="17" customWidth="1"/>
    <col min="4349" max="4349" width="0" style="17" hidden="1" customWidth="1"/>
    <col min="4350" max="4350" width="12.5703125" style="17" customWidth="1"/>
    <col min="4351" max="4353" width="0" style="17" hidden="1" customWidth="1"/>
    <col min="4354" max="4357" width="9.140625" style="17"/>
    <col min="4358" max="4358" width="26.5703125" style="17" customWidth="1"/>
    <col min="4359" max="4601" width="9.140625" style="17"/>
    <col min="4602" max="4602" width="38.28515625" style="17" customWidth="1"/>
    <col min="4603" max="4603" width="9.140625" style="17"/>
    <col min="4604" max="4604" width="9.5703125" style="17" customWidth="1"/>
    <col min="4605" max="4605" width="0" style="17" hidden="1" customWidth="1"/>
    <col min="4606" max="4606" width="12.5703125" style="17" customWidth="1"/>
    <col min="4607" max="4609" width="0" style="17" hidden="1" customWidth="1"/>
    <col min="4610" max="4613" width="9.140625" style="17"/>
    <col min="4614" max="4614" width="26.5703125" style="17" customWidth="1"/>
    <col min="4615" max="4857" width="9.140625" style="17"/>
    <col min="4858" max="4858" width="38.28515625" style="17" customWidth="1"/>
    <col min="4859" max="4859" width="9.140625" style="17"/>
    <col min="4860" max="4860" width="9.5703125" style="17" customWidth="1"/>
    <col min="4861" max="4861" width="0" style="17" hidden="1" customWidth="1"/>
    <col min="4862" max="4862" width="12.5703125" style="17" customWidth="1"/>
    <col min="4863" max="4865" width="0" style="17" hidden="1" customWidth="1"/>
    <col min="4866" max="4869" width="9.140625" style="17"/>
    <col min="4870" max="4870" width="26.5703125" style="17" customWidth="1"/>
    <col min="4871" max="5113" width="9.140625" style="17"/>
    <col min="5114" max="5114" width="38.28515625" style="17" customWidth="1"/>
    <col min="5115" max="5115" width="9.140625" style="17"/>
    <col min="5116" max="5116" width="9.5703125" style="17" customWidth="1"/>
    <col min="5117" max="5117" width="0" style="17" hidden="1" customWidth="1"/>
    <col min="5118" max="5118" width="12.5703125" style="17" customWidth="1"/>
    <col min="5119" max="5121" width="0" style="17" hidden="1" customWidth="1"/>
    <col min="5122" max="5125" width="9.140625" style="17"/>
    <col min="5126" max="5126" width="26.5703125" style="17" customWidth="1"/>
    <col min="5127" max="5369" width="9.140625" style="17"/>
    <col min="5370" max="5370" width="38.28515625" style="17" customWidth="1"/>
    <col min="5371" max="5371" width="9.140625" style="17"/>
    <col min="5372" max="5372" width="9.5703125" style="17" customWidth="1"/>
    <col min="5373" max="5373" width="0" style="17" hidden="1" customWidth="1"/>
    <col min="5374" max="5374" width="12.5703125" style="17" customWidth="1"/>
    <col min="5375" max="5377" width="0" style="17" hidden="1" customWidth="1"/>
    <col min="5378" max="5381" width="9.140625" style="17"/>
    <col min="5382" max="5382" width="26.5703125" style="17" customWidth="1"/>
    <col min="5383" max="5625" width="9.140625" style="17"/>
    <col min="5626" max="5626" width="38.28515625" style="17" customWidth="1"/>
    <col min="5627" max="5627" width="9.140625" style="17"/>
    <col min="5628" max="5628" width="9.5703125" style="17" customWidth="1"/>
    <col min="5629" max="5629" width="0" style="17" hidden="1" customWidth="1"/>
    <col min="5630" max="5630" width="12.5703125" style="17" customWidth="1"/>
    <col min="5631" max="5633" width="0" style="17" hidden="1" customWidth="1"/>
    <col min="5634" max="5637" width="9.140625" style="17"/>
    <col min="5638" max="5638" width="26.5703125" style="17" customWidth="1"/>
    <col min="5639" max="5881" width="9.140625" style="17"/>
    <col min="5882" max="5882" width="38.28515625" style="17" customWidth="1"/>
    <col min="5883" max="5883" width="9.140625" style="17"/>
    <col min="5884" max="5884" width="9.5703125" style="17" customWidth="1"/>
    <col min="5885" max="5885" width="0" style="17" hidden="1" customWidth="1"/>
    <col min="5886" max="5886" width="12.5703125" style="17" customWidth="1"/>
    <col min="5887" max="5889" width="0" style="17" hidden="1" customWidth="1"/>
    <col min="5890" max="5893" width="9.140625" style="17"/>
    <col min="5894" max="5894" width="26.5703125" style="17" customWidth="1"/>
    <col min="5895" max="6137" width="9.140625" style="17"/>
    <col min="6138" max="6138" width="38.28515625" style="17" customWidth="1"/>
    <col min="6139" max="6139" width="9.140625" style="17"/>
    <col min="6140" max="6140" width="9.5703125" style="17" customWidth="1"/>
    <col min="6141" max="6141" width="0" style="17" hidden="1" customWidth="1"/>
    <col min="6142" max="6142" width="12.5703125" style="17" customWidth="1"/>
    <col min="6143" max="6145" width="0" style="17" hidden="1" customWidth="1"/>
    <col min="6146" max="6149" width="9.140625" style="17"/>
    <col min="6150" max="6150" width="26.5703125" style="17" customWidth="1"/>
    <col min="6151" max="6393" width="9.140625" style="17"/>
    <col min="6394" max="6394" width="38.28515625" style="17" customWidth="1"/>
    <col min="6395" max="6395" width="9.140625" style="17"/>
    <col min="6396" max="6396" width="9.5703125" style="17" customWidth="1"/>
    <col min="6397" max="6397" width="0" style="17" hidden="1" customWidth="1"/>
    <col min="6398" max="6398" width="12.5703125" style="17" customWidth="1"/>
    <col min="6399" max="6401" width="0" style="17" hidden="1" customWidth="1"/>
    <col min="6402" max="6405" width="9.140625" style="17"/>
    <col min="6406" max="6406" width="26.5703125" style="17" customWidth="1"/>
    <col min="6407" max="6649" width="9.140625" style="17"/>
    <col min="6650" max="6650" width="38.28515625" style="17" customWidth="1"/>
    <col min="6651" max="6651" width="9.140625" style="17"/>
    <col min="6652" max="6652" width="9.5703125" style="17" customWidth="1"/>
    <col min="6653" max="6653" width="0" style="17" hidden="1" customWidth="1"/>
    <col min="6654" max="6654" width="12.5703125" style="17" customWidth="1"/>
    <col min="6655" max="6657" width="0" style="17" hidden="1" customWidth="1"/>
    <col min="6658" max="6661" width="9.140625" style="17"/>
    <col min="6662" max="6662" width="26.5703125" style="17" customWidth="1"/>
    <col min="6663" max="6905" width="9.140625" style="17"/>
    <col min="6906" max="6906" width="38.28515625" style="17" customWidth="1"/>
    <col min="6907" max="6907" width="9.140625" style="17"/>
    <col min="6908" max="6908" width="9.5703125" style="17" customWidth="1"/>
    <col min="6909" max="6909" width="0" style="17" hidden="1" customWidth="1"/>
    <col min="6910" max="6910" width="12.5703125" style="17" customWidth="1"/>
    <col min="6911" max="6913" width="0" style="17" hidden="1" customWidth="1"/>
    <col min="6914" max="6917" width="9.140625" style="17"/>
    <col min="6918" max="6918" width="26.5703125" style="17" customWidth="1"/>
    <col min="6919" max="7161" width="9.140625" style="17"/>
    <col min="7162" max="7162" width="38.28515625" style="17" customWidth="1"/>
    <col min="7163" max="7163" width="9.140625" style="17"/>
    <col min="7164" max="7164" width="9.5703125" style="17" customWidth="1"/>
    <col min="7165" max="7165" width="0" style="17" hidden="1" customWidth="1"/>
    <col min="7166" max="7166" width="12.5703125" style="17" customWidth="1"/>
    <col min="7167" max="7169" width="0" style="17" hidden="1" customWidth="1"/>
    <col min="7170" max="7173" width="9.140625" style="17"/>
    <col min="7174" max="7174" width="26.5703125" style="17" customWidth="1"/>
    <col min="7175" max="7417" width="9.140625" style="17"/>
    <col min="7418" max="7418" width="38.28515625" style="17" customWidth="1"/>
    <col min="7419" max="7419" width="9.140625" style="17"/>
    <col min="7420" max="7420" width="9.5703125" style="17" customWidth="1"/>
    <col min="7421" max="7421" width="0" style="17" hidden="1" customWidth="1"/>
    <col min="7422" max="7422" width="12.5703125" style="17" customWidth="1"/>
    <col min="7423" max="7425" width="0" style="17" hidden="1" customWidth="1"/>
    <col min="7426" max="7429" width="9.140625" style="17"/>
    <col min="7430" max="7430" width="26.5703125" style="17" customWidth="1"/>
    <col min="7431" max="7673" width="9.140625" style="17"/>
    <col min="7674" max="7674" width="38.28515625" style="17" customWidth="1"/>
    <col min="7675" max="7675" width="9.140625" style="17"/>
    <col min="7676" max="7676" width="9.5703125" style="17" customWidth="1"/>
    <col min="7677" max="7677" width="0" style="17" hidden="1" customWidth="1"/>
    <col min="7678" max="7678" width="12.5703125" style="17" customWidth="1"/>
    <col min="7679" max="7681" width="0" style="17" hidden="1" customWidth="1"/>
    <col min="7682" max="7685" width="9.140625" style="17"/>
    <col min="7686" max="7686" width="26.5703125" style="17" customWidth="1"/>
    <col min="7687" max="7929" width="9.140625" style="17"/>
    <col min="7930" max="7930" width="38.28515625" style="17" customWidth="1"/>
    <col min="7931" max="7931" width="9.140625" style="17"/>
    <col min="7932" max="7932" width="9.5703125" style="17" customWidth="1"/>
    <col min="7933" max="7933" width="0" style="17" hidden="1" customWidth="1"/>
    <col min="7934" max="7934" width="12.5703125" style="17" customWidth="1"/>
    <col min="7935" max="7937" width="0" style="17" hidden="1" customWidth="1"/>
    <col min="7938" max="7941" width="9.140625" style="17"/>
    <col min="7942" max="7942" width="26.5703125" style="17" customWidth="1"/>
    <col min="7943" max="8185" width="9.140625" style="17"/>
    <col min="8186" max="8186" width="38.28515625" style="17" customWidth="1"/>
    <col min="8187" max="8187" width="9.140625" style="17"/>
    <col min="8188" max="8188" width="9.5703125" style="17" customWidth="1"/>
    <col min="8189" max="8189" width="0" style="17" hidden="1" customWidth="1"/>
    <col min="8190" max="8190" width="12.5703125" style="17" customWidth="1"/>
    <col min="8191" max="8193" width="0" style="17" hidden="1" customWidth="1"/>
    <col min="8194" max="8197" width="9.140625" style="17"/>
    <col min="8198" max="8198" width="26.5703125" style="17" customWidth="1"/>
    <col min="8199" max="8441" width="9.140625" style="17"/>
    <col min="8442" max="8442" width="38.28515625" style="17" customWidth="1"/>
    <col min="8443" max="8443" width="9.140625" style="17"/>
    <col min="8444" max="8444" width="9.5703125" style="17" customWidth="1"/>
    <col min="8445" max="8445" width="0" style="17" hidden="1" customWidth="1"/>
    <col min="8446" max="8446" width="12.5703125" style="17" customWidth="1"/>
    <col min="8447" max="8449" width="0" style="17" hidden="1" customWidth="1"/>
    <col min="8450" max="8453" width="9.140625" style="17"/>
    <col min="8454" max="8454" width="26.5703125" style="17" customWidth="1"/>
    <col min="8455" max="8697" width="9.140625" style="17"/>
    <col min="8698" max="8698" width="38.28515625" style="17" customWidth="1"/>
    <col min="8699" max="8699" width="9.140625" style="17"/>
    <col min="8700" max="8700" width="9.5703125" style="17" customWidth="1"/>
    <col min="8701" max="8701" width="0" style="17" hidden="1" customWidth="1"/>
    <col min="8702" max="8702" width="12.5703125" style="17" customWidth="1"/>
    <col min="8703" max="8705" width="0" style="17" hidden="1" customWidth="1"/>
    <col min="8706" max="8709" width="9.140625" style="17"/>
    <col min="8710" max="8710" width="26.5703125" style="17" customWidth="1"/>
    <col min="8711" max="8953" width="9.140625" style="17"/>
    <col min="8954" max="8954" width="38.28515625" style="17" customWidth="1"/>
    <col min="8955" max="8955" width="9.140625" style="17"/>
    <col min="8956" max="8956" width="9.5703125" style="17" customWidth="1"/>
    <col min="8957" max="8957" width="0" style="17" hidden="1" customWidth="1"/>
    <col min="8958" max="8958" width="12.5703125" style="17" customWidth="1"/>
    <col min="8959" max="8961" width="0" style="17" hidden="1" customWidth="1"/>
    <col min="8962" max="8965" width="9.140625" style="17"/>
    <col min="8966" max="8966" width="26.5703125" style="17" customWidth="1"/>
    <col min="8967" max="9209" width="9.140625" style="17"/>
    <col min="9210" max="9210" width="38.28515625" style="17" customWidth="1"/>
    <col min="9211" max="9211" width="9.140625" style="17"/>
    <col min="9212" max="9212" width="9.5703125" style="17" customWidth="1"/>
    <col min="9213" max="9213" width="0" style="17" hidden="1" customWidth="1"/>
    <col min="9214" max="9214" width="12.5703125" style="17" customWidth="1"/>
    <col min="9215" max="9217" width="0" style="17" hidden="1" customWidth="1"/>
    <col min="9218" max="9221" width="9.140625" style="17"/>
    <col min="9222" max="9222" width="26.5703125" style="17" customWidth="1"/>
    <col min="9223" max="9465" width="9.140625" style="17"/>
    <col min="9466" max="9466" width="38.28515625" style="17" customWidth="1"/>
    <col min="9467" max="9467" width="9.140625" style="17"/>
    <col min="9468" max="9468" width="9.5703125" style="17" customWidth="1"/>
    <col min="9469" max="9469" width="0" style="17" hidden="1" customWidth="1"/>
    <col min="9470" max="9470" width="12.5703125" style="17" customWidth="1"/>
    <col min="9471" max="9473" width="0" style="17" hidden="1" customWidth="1"/>
    <col min="9474" max="9477" width="9.140625" style="17"/>
    <col min="9478" max="9478" width="26.5703125" style="17" customWidth="1"/>
    <col min="9479" max="9721" width="9.140625" style="17"/>
    <col min="9722" max="9722" width="38.28515625" style="17" customWidth="1"/>
    <col min="9723" max="9723" width="9.140625" style="17"/>
    <col min="9724" max="9724" width="9.5703125" style="17" customWidth="1"/>
    <col min="9725" max="9725" width="0" style="17" hidden="1" customWidth="1"/>
    <col min="9726" max="9726" width="12.5703125" style="17" customWidth="1"/>
    <col min="9727" max="9729" width="0" style="17" hidden="1" customWidth="1"/>
    <col min="9730" max="9733" width="9.140625" style="17"/>
    <col min="9734" max="9734" width="26.5703125" style="17" customWidth="1"/>
    <col min="9735" max="9977" width="9.140625" style="17"/>
    <col min="9978" max="9978" width="38.28515625" style="17" customWidth="1"/>
    <col min="9979" max="9979" width="9.140625" style="17"/>
    <col min="9980" max="9980" width="9.5703125" style="17" customWidth="1"/>
    <col min="9981" max="9981" width="0" style="17" hidden="1" customWidth="1"/>
    <col min="9982" max="9982" width="12.5703125" style="17" customWidth="1"/>
    <col min="9983" max="9985" width="0" style="17" hidden="1" customWidth="1"/>
    <col min="9986" max="9989" width="9.140625" style="17"/>
    <col min="9990" max="9990" width="26.5703125" style="17" customWidth="1"/>
    <col min="9991" max="10233" width="9.140625" style="17"/>
    <col min="10234" max="10234" width="38.28515625" style="17" customWidth="1"/>
    <col min="10235" max="10235" width="9.140625" style="17"/>
    <col min="10236" max="10236" width="9.5703125" style="17" customWidth="1"/>
    <col min="10237" max="10237" width="0" style="17" hidden="1" customWidth="1"/>
    <col min="10238" max="10238" width="12.5703125" style="17" customWidth="1"/>
    <col min="10239" max="10241" width="0" style="17" hidden="1" customWidth="1"/>
    <col min="10242" max="10245" width="9.140625" style="17"/>
    <col min="10246" max="10246" width="26.5703125" style="17" customWidth="1"/>
    <col min="10247" max="10489" width="9.140625" style="17"/>
    <col min="10490" max="10490" width="38.28515625" style="17" customWidth="1"/>
    <col min="10491" max="10491" width="9.140625" style="17"/>
    <col min="10492" max="10492" width="9.5703125" style="17" customWidth="1"/>
    <col min="10493" max="10493" width="0" style="17" hidden="1" customWidth="1"/>
    <col min="10494" max="10494" width="12.5703125" style="17" customWidth="1"/>
    <col min="10495" max="10497" width="0" style="17" hidden="1" customWidth="1"/>
    <col min="10498" max="10501" width="9.140625" style="17"/>
    <col min="10502" max="10502" width="26.5703125" style="17" customWidth="1"/>
    <col min="10503" max="10745" width="9.140625" style="17"/>
    <col min="10746" max="10746" width="38.28515625" style="17" customWidth="1"/>
    <col min="10747" max="10747" width="9.140625" style="17"/>
    <col min="10748" max="10748" width="9.5703125" style="17" customWidth="1"/>
    <col min="10749" max="10749" width="0" style="17" hidden="1" customWidth="1"/>
    <col min="10750" max="10750" width="12.5703125" style="17" customWidth="1"/>
    <col min="10751" max="10753" width="0" style="17" hidden="1" customWidth="1"/>
    <col min="10754" max="10757" width="9.140625" style="17"/>
    <col min="10758" max="10758" width="26.5703125" style="17" customWidth="1"/>
    <col min="10759" max="11001" width="9.140625" style="17"/>
    <col min="11002" max="11002" width="38.28515625" style="17" customWidth="1"/>
    <col min="11003" max="11003" width="9.140625" style="17"/>
    <col min="11004" max="11004" width="9.5703125" style="17" customWidth="1"/>
    <col min="11005" max="11005" width="0" style="17" hidden="1" customWidth="1"/>
    <col min="11006" max="11006" width="12.5703125" style="17" customWidth="1"/>
    <col min="11007" max="11009" width="0" style="17" hidden="1" customWidth="1"/>
    <col min="11010" max="11013" width="9.140625" style="17"/>
    <col min="11014" max="11014" width="26.5703125" style="17" customWidth="1"/>
    <col min="11015" max="11257" width="9.140625" style="17"/>
    <col min="11258" max="11258" width="38.28515625" style="17" customWidth="1"/>
    <col min="11259" max="11259" width="9.140625" style="17"/>
    <col min="11260" max="11260" width="9.5703125" style="17" customWidth="1"/>
    <col min="11261" max="11261" width="0" style="17" hidden="1" customWidth="1"/>
    <col min="11262" max="11262" width="12.5703125" style="17" customWidth="1"/>
    <col min="11263" max="11265" width="0" style="17" hidden="1" customWidth="1"/>
    <col min="11266" max="11269" width="9.140625" style="17"/>
    <col min="11270" max="11270" width="26.5703125" style="17" customWidth="1"/>
    <col min="11271" max="11513" width="9.140625" style="17"/>
    <col min="11514" max="11514" width="38.28515625" style="17" customWidth="1"/>
    <col min="11515" max="11515" width="9.140625" style="17"/>
    <col min="11516" max="11516" width="9.5703125" style="17" customWidth="1"/>
    <col min="11517" max="11517" width="0" style="17" hidden="1" customWidth="1"/>
    <col min="11518" max="11518" width="12.5703125" style="17" customWidth="1"/>
    <col min="11519" max="11521" width="0" style="17" hidden="1" customWidth="1"/>
    <col min="11522" max="11525" width="9.140625" style="17"/>
    <col min="11526" max="11526" width="26.5703125" style="17" customWidth="1"/>
    <col min="11527" max="11769" width="9.140625" style="17"/>
    <col min="11770" max="11770" width="38.28515625" style="17" customWidth="1"/>
    <col min="11771" max="11771" width="9.140625" style="17"/>
    <col min="11772" max="11772" width="9.5703125" style="17" customWidth="1"/>
    <col min="11773" max="11773" width="0" style="17" hidden="1" customWidth="1"/>
    <col min="11774" max="11774" width="12.5703125" style="17" customWidth="1"/>
    <col min="11775" max="11777" width="0" style="17" hidden="1" customWidth="1"/>
    <col min="11778" max="11781" width="9.140625" style="17"/>
    <col min="11782" max="11782" width="26.5703125" style="17" customWidth="1"/>
    <col min="11783" max="12025" width="9.140625" style="17"/>
    <col min="12026" max="12026" width="38.28515625" style="17" customWidth="1"/>
    <col min="12027" max="12027" width="9.140625" style="17"/>
    <col min="12028" max="12028" width="9.5703125" style="17" customWidth="1"/>
    <col min="12029" max="12029" width="0" style="17" hidden="1" customWidth="1"/>
    <col min="12030" max="12030" width="12.5703125" style="17" customWidth="1"/>
    <col min="12031" max="12033" width="0" style="17" hidden="1" customWidth="1"/>
    <col min="12034" max="12037" width="9.140625" style="17"/>
    <col min="12038" max="12038" width="26.5703125" style="17" customWidth="1"/>
    <col min="12039" max="12281" width="9.140625" style="17"/>
    <col min="12282" max="12282" width="38.28515625" style="17" customWidth="1"/>
    <col min="12283" max="12283" width="9.140625" style="17"/>
    <col min="12284" max="12284" width="9.5703125" style="17" customWidth="1"/>
    <col min="12285" max="12285" width="0" style="17" hidden="1" customWidth="1"/>
    <col min="12286" max="12286" width="12.5703125" style="17" customWidth="1"/>
    <col min="12287" max="12289" width="0" style="17" hidden="1" customWidth="1"/>
    <col min="12290" max="12293" width="9.140625" style="17"/>
    <col min="12294" max="12294" width="26.5703125" style="17" customWidth="1"/>
    <col min="12295" max="12537" width="9.140625" style="17"/>
    <col min="12538" max="12538" width="38.28515625" style="17" customWidth="1"/>
    <col min="12539" max="12539" width="9.140625" style="17"/>
    <col min="12540" max="12540" width="9.5703125" style="17" customWidth="1"/>
    <col min="12541" max="12541" width="0" style="17" hidden="1" customWidth="1"/>
    <col min="12542" max="12542" width="12.5703125" style="17" customWidth="1"/>
    <col min="12543" max="12545" width="0" style="17" hidden="1" customWidth="1"/>
    <col min="12546" max="12549" width="9.140625" style="17"/>
    <col min="12550" max="12550" width="26.5703125" style="17" customWidth="1"/>
    <col min="12551" max="12793" width="9.140625" style="17"/>
    <col min="12794" max="12794" width="38.28515625" style="17" customWidth="1"/>
    <col min="12795" max="12795" width="9.140625" style="17"/>
    <col min="12796" max="12796" width="9.5703125" style="17" customWidth="1"/>
    <col min="12797" max="12797" width="0" style="17" hidden="1" customWidth="1"/>
    <col min="12798" max="12798" width="12.5703125" style="17" customWidth="1"/>
    <col min="12799" max="12801" width="0" style="17" hidden="1" customWidth="1"/>
    <col min="12802" max="12805" width="9.140625" style="17"/>
    <col min="12806" max="12806" width="26.5703125" style="17" customWidth="1"/>
    <col min="12807" max="13049" width="9.140625" style="17"/>
    <col min="13050" max="13050" width="38.28515625" style="17" customWidth="1"/>
    <col min="13051" max="13051" width="9.140625" style="17"/>
    <col min="13052" max="13052" width="9.5703125" style="17" customWidth="1"/>
    <col min="13053" max="13053" width="0" style="17" hidden="1" customWidth="1"/>
    <col min="13054" max="13054" width="12.5703125" style="17" customWidth="1"/>
    <col min="13055" max="13057" width="0" style="17" hidden="1" customWidth="1"/>
    <col min="13058" max="13061" width="9.140625" style="17"/>
    <col min="13062" max="13062" width="26.5703125" style="17" customWidth="1"/>
    <col min="13063" max="13305" width="9.140625" style="17"/>
    <col min="13306" max="13306" width="38.28515625" style="17" customWidth="1"/>
    <col min="13307" max="13307" width="9.140625" style="17"/>
    <col min="13308" max="13308" width="9.5703125" style="17" customWidth="1"/>
    <col min="13309" max="13309" width="0" style="17" hidden="1" customWidth="1"/>
    <col min="13310" max="13310" width="12.5703125" style="17" customWidth="1"/>
    <col min="13311" max="13313" width="0" style="17" hidden="1" customWidth="1"/>
    <col min="13314" max="13317" width="9.140625" style="17"/>
    <col min="13318" max="13318" width="26.5703125" style="17" customWidth="1"/>
    <col min="13319" max="13561" width="9.140625" style="17"/>
    <col min="13562" max="13562" width="38.28515625" style="17" customWidth="1"/>
    <col min="13563" max="13563" width="9.140625" style="17"/>
    <col min="13564" max="13564" width="9.5703125" style="17" customWidth="1"/>
    <col min="13565" max="13565" width="0" style="17" hidden="1" customWidth="1"/>
    <col min="13566" max="13566" width="12.5703125" style="17" customWidth="1"/>
    <col min="13567" max="13569" width="0" style="17" hidden="1" customWidth="1"/>
    <col min="13570" max="13573" width="9.140625" style="17"/>
    <col min="13574" max="13574" width="26.5703125" style="17" customWidth="1"/>
    <col min="13575" max="13817" width="9.140625" style="17"/>
    <col min="13818" max="13818" width="38.28515625" style="17" customWidth="1"/>
    <col min="13819" max="13819" width="9.140625" style="17"/>
    <col min="13820" max="13820" width="9.5703125" style="17" customWidth="1"/>
    <col min="13821" max="13821" width="0" style="17" hidden="1" customWidth="1"/>
    <col min="13822" max="13822" width="12.5703125" style="17" customWidth="1"/>
    <col min="13823" max="13825" width="0" style="17" hidden="1" customWidth="1"/>
    <col min="13826" max="13829" width="9.140625" style="17"/>
    <col min="13830" max="13830" width="26.5703125" style="17" customWidth="1"/>
    <col min="13831" max="14073" width="9.140625" style="17"/>
    <col min="14074" max="14074" width="38.28515625" style="17" customWidth="1"/>
    <col min="14075" max="14075" width="9.140625" style="17"/>
    <col min="14076" max="14076" width="9.5703125" style="17" customWidth="1"/>
    <col min="14077" max="14077" width="0" style="17" hidden="1" customWidth="1"/>
    <col min="14078" max="14078" width="12.5703125" style="17" customWidth="1"/>
    <col min="14079" max="14081" width="0" style="17" hidden="1" customWidth="1"/>
    <col min="14082" max="14085" width="9.140625" style="17"/>
    <col min="14086" max="14086" width="26.5703125" style="17" customWidth="1"/>
    <col min="14087" max="14329" width="9.140625" style="17"/>
    <col min="14330" max="14330" width="38.28515625" style="17" customWidth="1"/>
    <col min="14331" max="14331" width="9.140625" style="17"/>
    <col min="14332" max="14332" width="9.5703125" style="17" customWidth="1"/>
    <col min="14333" max="14333" width="0" style="17" hidden="1" customWidth="1"/>
    <col min="14334" max="14334" width="12.5703125" style="17" customWidth="1"/>
    <col min="14335" max="14337" width="0" style="17" hidden="1" customWidth="1"/>
    <col min="14338" max="14341" width="9.140625" style="17"/>
    <col min="14342" max="14342" width="26.5703125" style="17" customWidth="1"/>
    <col min="14343" max="14585" width="9.140625" style="17"/>
    <col min="14586" max="14586" width="38.28515625" style="17" customWidth="1"/>
    <col min="14587" max="14587" width="9.140625" style="17"/>
    <col min="14588" max="14588" width="9.5703125" style="17" customWidth="1"/>
    <col min="14589" max="14589" width="0" style="17" hidden="1" customWidth="1"/>
    <col min="14590" max="14590" width="12.5703125" style="17" customWidth="1"/>
    <col min="14591" max="14593" width="0" style="17" hidden="1" customWidth="1"/>
    <col min="14594" max="14597" width="9.140625" style="17"/>
    <col min="14598" max="14598" width="26.5703125" style="17" customWidth="1"/>
    <col min="14599" max="14841" width="9.140625" style="17"/>
    <col min="14842" max="14842" width="38.28515625" style="17" customWidth="1"/>
    <col min="14843" max="14843" width="9.140625" style="17"/>
    <col min="14844" max="14844" width="9.5703125" style="17" customWidth="1"/>
    <col min="14845" max="14845" width="0" style="17" hidden="1" customWidth="1"/>
    <col min="14846" max="14846" width="12.5703125" style="17" customWidth="1"/>
    <col min="14847" max="14849" width="0" style="17" hidden="1" customWidth="1"/>
    <col min="14850" max="14853" width="9.140625" style="17"/>
    <col min="14854" max="14854" width="26.5703125" style="17" customWidth="1"/>
    <col min="14855" max="15097" width="9.140625" style="17"/>
    <col min="15098" max="15098" width="38.28515625" style="17" customWidth="1"/>
    <col min="15099" max="15099" width="9.140625" style="17"/>
    <col min="15100" max="15100" width="9.5703125" style="17" customWidth="1"/>
    <col min="15101" max="15101" width="0" style="17" hidden="1" customWidth="1"/>
    <col min="15102" max="15102" width="12.5703125" style="17" customWidth="1"/>
    <col min="15103" max="15105" width="0" style="17" hidden="1" customWidth="1"/>
    <col min="15106" max="15109" width="9.140625" style="17"/>
    <col min="15110" max="15110" width="26.5703125" style="17" customWidth="1"/>
    <col min="15111" max="15353" width="9.140625" style="17"/>
    <col min="15354" max="15354" width="38.28515625" style="17" customWidth="1"/>
    <col min="15355" max="15355" width="9.140625" style="17"/>
    <col min="15356" max="15356" width="9.5703125" style="17" customWidth="1"/>
    <col min="15357" max="15357" width="0" style="17" hidden="1" customWidth="1"/>
    <col min="15358" max="15358" width="12.5703125" style="17" customWidth="1"/>
    <col min="15359" max="15361" width="0" style="17" hidden="1" customWidth="1"/>
    <col min="15362" max="15365" width="9.140625" style="17"/>
    <col min="15366" max="15366" width="26.5703125" style="17" customWidth="1"/>
    <col min="15367" max="15609" width="9.140625" style="17"/>
    <col min="15610" max="15610" width="38.28515625" style="17" customWidth="1"/>
    <col min="15611" max="15611" width="9.140625" style="17"/>
    <col min="15612" max="15612" width="9.5703125" style="17" customWidth="1"/>
    <col min="15613" max="15613" width="0" style="17" hidden="1" customWidth="1"/>
    <col min="15614" max="15614" width="12.5703125" style="17" customWidth="1"/>
    <col min="15615" max="15617" width="0" style="17" hidden="1" customWidth="1"/>
    <col min="15618" max="15621" width="9.140625" style="17"/>
    <col min="15622" max="15622" width="26.5703125" style="17" customWidth="1"/>
    <col min="15623" max="15865" width="9.140625" style="17"/>
    <col min="15866" max="15866" width="38.28515625" style="17" customWidth="1"/>
    <col min="15867" max="15867" width="9.140625" style="17"/>
    <col min="15868" max="15868" width="9.5703125" style="17" customWidth="1"/>
    <col min="15869" max="15869" width="0" style="17" hidden="1" customWidth="1"/>
    <col min="15870" max="15870" width="12.5703125" style="17" customWidth="1"/>
    <col min="15871" max="15873" width="0" style="17" hidden="1" customWidth="1"/>
    <col min="15874" max="15877" width="9.140625" style="17"/>
    <col min="15878" max="15878" width="26.5703125" style="17" customWidth="1"/>
    <col min="15879" max="16121" width="9.140625" style="17"/>
    <col min="16122" max="16122" width="38.28515625" style="17" customWidth="1"/>
    <col min="16123" max="16123" width="9.140625" style="17"/>
    <col min="16124" max="16124" width="9.5703125" style="17" customWidth="1"/>
    <col min="16125" max="16125" width="0" style="17" hidden="1" customWidth="1"/>
    <col min="16126" max="16126" width="12.5703125" style="17" customWidth="1"/>
    <col min="16127" max="16129" width="0" style="17" hidden="1" customWidth="1"/>
    <col min="16130" max="16133" width="9.140625" style="17"/>
    <col min="16134" max="16134" width="26.5703125" style="17" customWidth="1"/>
    <col min="16135" max="16384" width="9.140625" style="17"/>
  </cols>
  <sheetData>
    <row r="3" spans="2:14" x14ac:dyDescent="0.2">
      <c r="B3" s="687" t="s">
        <v>230</v>
      </c>
      <c r="C3" s="688"/>
      <c r="D3" s="689"/>
      <c r="E3" s="689"/>
      <c r="F3" s="689"/>
    </row>
    <row r="4" spans="2:14" ht="12.75" customHeight="1" x14ac:dyDescent="0.2">
      <c r="B4" s="690" t="s">
        <v>231</v>
      </c>
      <c r="C4" s="690" t="s">
        <v>232</v>
      </c>
      <c r="D4" s="304" t="s">
        <v>377</v>
      </c>
      <c r="E4" s="304" t="s">
        <v>192</v>
      </c>
      <c r="F4" s="304" t="s">
        <v>351</v>
      </c>
    </row>
    <row r="5" spans="2:14" x14ac:dyDescent="0.2">
      <c r="B5" s="691" t="s">
        <v>316</v>
      </c>
      <c r="C5" s="692" t="s">
        <v>210</v>
      </c>
      <c r="D5" s="692">
        <v>364</v>
      </c>
      <c r="E5" s="692">
        <v>364</v>
      </c>
      <c r="F5" s="692">
        <v>364</v>
      </c>
      <c r="K5" s="95"/>
      <c r="L5" s="95"/>
      <c r="M5" s="95"/>
      <c r="N5" s="95"/>
    </row>
    <row r="6" spans="2:14" x14ac:dyDescent="0.2">
      <c r="B6" s="691" t="s">
        <v>233</v>
      </c>
      <c r="C6" s="692" t="s">
        <v>308</v>
      </c>
      <c r="D6" s="693">
        <v>2</v>
      </c>
      <c r="E6" s="692">
        <v>2</v>
      </c>
      <c r="F6" s="692">
        <v>2</v>
      </c>
      <c r="K6" s="95"/>
      <c r="L6" s="95"/>
      <c r="M6" s="95"/>
      <c r="N6" s="95"/>
    </row>
    <row r="7" spans="2:14" x14ac:dyDescent="0.2">
      <c r="B7" s="691" t="s">
        <v>213</v>
      </c>
      <c r="C7" s="692" t="s">
        <v>214</v>
      </c>
      <c r="D7" s="694">
        <v>12</v>
      </c>
      <c r="E7" s="695">
        <v>12</v>
      </c>
      <c r="F7" s="695">
        <v>12</v>
      </c>
      <c r="K7" s="95"/>
      <c r="L7" s="95"/>
      <c r="M7" s="95"/>
      <c r="N7" s="95"/>
    </row>
    <row r="8" spans="2:14" x14ac:dyDescent="0.2">
      <c r="B8" s="696" t="s">
        <v>495</v>
      </c>
      <c r="C8" s="330" t="s">
        <v>22</v>
      </c>
      <c r="D8" s="697">
        <f>ROUND(0.8*D9^2*D10,1)</f>
        <v>12.9</v>
      </c>
      <c r="E8" s="697">
        <f>ROUND(0.8*E9^2*E10,1)</f>
        <v>17.5</v>
      </c>
      <c r="F8" s="697">
        <f>ROUND(0.8*F9^2*F10,1)</f>
        <v>19.3</v>
      </c>
      <c r="K8" s="95"/>
      <c r="L8" s="95"/>
      <c r="M8" s="95"/>
      <c r="N8" s="95"/>
    </row>
    <row r="9" spans="2:14" x14ac:dyDescent="0.2">
      <c r="B9" s="691" t="s">
        <v>496</v>
      </c>
      <c r="C9" s="692" t="s">
        <v>33</v>
      </c>
      <c r="D9" s="693">
        <v>1.9339999999999999</v>
      </c>
      <c r="E9" s="692">
        <v>2.12</v>
      </c>
      <c r="F9" s="692">
        <v>2.2650000000000001</v>
      </c>
      <c r="K9" s="95"/>
      <c r="L9" s="95"/>
      <c r="M9" s="95"/>
      <c r="N9" s="95"/>
    </row>
    <row r="10" spans="2:14" x14ac:dyDescent="0.2">
      <c r="B10" s="698" t="s">
        <v>497</v>
      </c>
      <c r="C10" s="692" t="s">
        <v>33</v>
      </c>
      <c r="D10" s="693">
        <v>4.3099999999999996</v>
      </c>
      <c r="E10" s="692">
        <v>4.8600000000000003</v>
      </c>
      <c r="F10" s="692">
        <v>4.6950000000000003</v>
      </c>
      <c r="K10" s="95"/>
      <c r="L10" s="95"/>
      <c r="M10" s="95"/>
      <c r="N10" s="95"/>
    </row>
    <row r="11" spans="2:14" x14ac:dyDescent="0.2">
      <c r="B11" s="696" t="s">
        <v>234</v>
      </c>
      <c r="C11" s="330" t="s">
        <v>235</v>
      </c>
      <c r="D11" s="697">
        <f>ROUND(D12/D16+D13/D17+(D12+D13)/D18+D19,1)</f>
        <v>53.8</v>
      </c>
      <c r="E11" s="697">
        <f>ROUND(E12/E16+E13/E17+(E12+E13)/E18+E19,1)</f>
        <v>51.8</v>
      </c>
      <c r="F11" s="697">
        <f>ROUND(F12/F16+F13/F17+(F12+F13)/F18+F19,1)</f>
        <v>53.5</v>
      </c>
      <c r="K11" s="95"/>
      <c r="L11" s="95"/>
      <c r="M11" s="95"/>
      <c r="N11" s="95"/>
    </row>
    <row r="12" spans="2:14" x14ac:dyDescent="0.2">
      <c r="B12" s="691" t="s">
        <v>498</v>
      </c>
      <c r="C12" s="692" t="s">
        <v>33</v>
      </c>
      <c r="D12" s="693">
        <v>4</v>
      </c>
      <c r="E12" s="692">
        <v>4</v>
      </c>
      <c r="F12" s="692">
        <v>4</v>
      </c>
      <c r="K12" s="95"/>
      <c r="L12" s="95"/>
      <c r="M12" s="95"/>
      <c r="N12" s="95"/>
    </row>
    <row r="13" spans="2:14" x14ac:dyDescent="0.2">
      <c r="B13" s="691" t="s">
        <v>499</v>
      </c>
      <c r="C13" s="692" t="s">
        <v>33</v>
      </c>
      <c r="D13" s="693">
        <v>20</v>
      </c>
      <c r="E13" s="692">
        <v>20</v>
      </c>
      <c r="F13" s="692">
        <v>20</v>
      </c>
      <c r="K13" s="95"/>
      <c r="L13" s="95"/>
      <c r="M13" s="95"/>
      <c r="N13" s="95"/>
    </row>
    <row r="14" spans="2:14" x14ac:dyDescent="0.2">
      <c r="B14" s="691" t="s">
        <v>500</v>
      </c>
      <c r="C14" s="692" t="s">
        <v>501</v>
      </c>
      <c r="D14" s="693">
        <v>3.9</v>
      </c>
      <c r="E14" s="692">
        <v>4</v>
      </c>
      <c r="F14" s="692">
        <v>3.8</v>
      </c>
      <c r="K14" s="95"/>
      <c r="L14" s="95"/>
      <c r="M14" s="95"/>
      <c r="N14" s="95"/>
    </row>
    <row r="15" spans="2:14" x14ac:dyDescent="0.2">
      <c r="B15" s="691" t="s">
        <v>502</v>
      </c>
      <c r="C15" s="692" t="s">
        <v>501</v>
      </c>
      <c r="D15" s="693">
        <v>4.8</v>
      </c>
      <c r="E15" s="692">
        <v>5.2</v>
      </c>
      <c r="F15" s="692">
        <v>5.0999999999999996</v>
      </c>
      <c r="K15" s="95"/>
      <c r="L15" s="95"/>
      <c r="M15" s="95"/>
      <c r="N15" s="95"/>
    </row>
    <row r="16" spans="2:14" x14ac:dyDescent="0.2">
      <c r="B16" s="696" t="s">
        <v>503</v>
      </c>
      <c r="C16" s="330" t="s">
        <v>236</v>
      </c>
      <c r="D16" s="699">
        <f>D14/3.6/2</f>
        <v>0.54166666666666663</v>
      </c>
      <c r="E16" s="699">
        <f>E14/3.6/2</f>
        <v>0.55555555555555558</v>
      </c>
      <c r="F16" s="699">
        <f>F14/3.6/2</f>
        <v>0.52777777777777779</v>
      </c>
      <c r="K16" s="95"/>
      <c r="L16" s="95"/>
      <c r="M16" s="95"/>
      <c r="N16" s="95"/>
    </row>
    <row r="17" spans="2:14" x14ac:dyDescent="0.2">
      <c r="B17" s="696" t="s">
        <v>504</v>
      </c>
      <c r="C17" s="330" t="s">
        <v>236</v>
      </c>
      <c r="D17" s="699">
        <f t="shared" ref="D17:F18" si="0">D14/3.6</f>
        <v>1.0833333333333333</v>
      </c>
      <c r="E17" s="699">
        <f t="shared" si="0"/>
        <v>1.1111111111111112</v>
      </c>
      <c r="F17" s="699">
        <f t="shared" si="0"/>
        <v>1.0555555555555556</v>
      </c>
      <c r="K17" s="95"/>
      <c r="L17" s="95"/>
      <c r="M17" s="95"/>
      <c r="N17" s="95"/>
    </row>
    <row r="18" spans="2:14" x14ac:dyDescent="0.2">
      <c r="B18" s="696" t="s">
        <v>505</v>
      </c>
      <c r="C18" s="330" t="s">
        <v>236</v>
      </c>
      <c r="D18" s="699">
        <f t="shared" si="0"/>
        <v>1.3333333333333333</v>
      </c>
      <c r="E18" s="699">
        <f t="shared" si="0"/>
        <v>1.4444444444444444</v>
      </c>
      <c r="F18" s="699">
        <f t="shared" si="0"/>
        <v>1.4166666666666665</v>
      </c>
      <c r="K18" s="95"/>
      <c r="L18" s="95"/>
      <c r="M18" s="95"/>
      <c r="N18" s="95"/>
    </row>
    <row r="19" spans="2:14" x14ac:dyDescent="0.2">
      <c r="B19" s="691" t="s">
        <v>506</v>
      </c>
      <c r="C19" s="692" t="s">
        <v>235</v>
      </c>
      <c r="D19" s="693">
        <v>10</v>
      </c>
      <c r="E19" s="692">
        <v>10</v>
      </c>
      <c r="F19" s="692">
        <v>10</v>
      </c>
      <c r="K19" s="95"/>
      <c r="L19" s="95"/>
      <c r="M19" s="95"/>
      <c r="N19" s="95"/>
    </row>
    <row r="20" spans="2:14" x14ac:dyDescent="0.2">
      <c r="B20" s="691" t="s">
        <v>237</v>
      </c>
      <c r="C20" s="692"/>
      <c r="D20" s="693">
        <v>1.35</v>
      </c>
      <c r="E20" s="692">
        <v>1.35</v>
      </c>
      <c r="F20" s="692">
        <v>1.35</v>
      </c>
      <c r="K20" s="95"/>
      <c r="L20" s="95"/>
      <c r="M20" s="95"/>
      <c r="N20" s="95"/>
    </row>
    <row r="21" spans="2:14" x14ac:dyDescent="0.2">
      <c r="B21" s="691" t="s">
        <v>320</v>
      </c>
      <c r="C21" s="692"/>
      <c r="D21" s="693">
        <v>0.8</v>
      </c>
      <c r="E21" s="692">
        <v>0.8</v>
      </c>
      <c r="F21" s="692">
        <v>0.8</v>
      </c>
      <c r="K21" s="95"/>
      <c r="L21" s="95"/>
      <c r="M21" s="95"/>
      <c r="N21" s="95"/>
    </row>
    <row r="22" spans="2:14" x14ac:dyDescent="0.2">
      <c r="B22" s="691" t="s">
        <v>491</v>
      </c>
      <c r="C22" s="692" t="s">
        <v>210</v>
      </c>
      <c r="D22" s="693">
        <v>7</v>
      </c>
      <c r="E22" s="692">
        <v>7</v>
      </c>
      <c r="F22" s="692">
        <v>7</v>
      </c>
      <c r="K22" s="95"/>
      <c r="L22" s="95"/>
      <c r="M22" s="95"/>
      <c r="N22" s="95"/>
    </row>
    <row r="23" spans="2:14" x14ac:dyDescent="0.2">
      <c r="B23" s="691" t="s">
        <v>507</v>
      </c>
      <c r="C23" s="692" t="s">
        <v>210</v>
      </c>
      <c r="D23" s="693">
        <v>30</v>
      </c>
      <c r="E23" s="692">
        <v>30</v>
      </c>
      <c r="F23" s="692">
        <v>30</v>
      </c>
      <c r="K23" s="95"/>
      <c r="L23" s="95"/>
      <c r="M23" s="95"/>
      <c r="N23" s="95"/>
    </row>
    <row r="24" spans="2:14" x14ac:dyDescent="0.2">
      <c r="B24" s="696" t="s">
        <v>238</v>
      </c>
      <c r="C24" s="330" t="s">
        <v>59</v>
      </c>
      <c r="D24" s="700">
        <f>3600*D7*D8*D21/(D11*D20)</f>
        <v>6138.289962825279</v>
      </c>
      <c r="E24" s="700">
        <f>3600*E7*E8*E21/(E11*E20)</f>
        <v>8648.6486486486483</v>
      </c>
      <c r="F24" s="700">
        <f>3600*F7*F8*F21/(F11*F20)</f>
        <v>9235.1401869158872</v>
      </c>
      <c r="K24" s="95"/>
      <c r="L24" s="95"/>
      <c r="M24" s="95"/>
      <c r="N24" s="95"/>
    </row>
    <row r="25" spans="2:14" x14ac:dyDescent="0.2">
      <c r="B25" s="696" t="s">
        <v>227</v>
      </c>
      <c r="C25" s="330" t="s">
        <v>63</v>
      </c>
      <c r="D25" s="700">
        <f>D24*D6</f>
        <v>12276.579925650558</v>
      </c>
      <c r="E25" s="700">
        <f>E24*E6</f>
        <v>17297.297297297297</v>
      </c>
      <c r="F25" s="700">
        <f>F24*F6</f>
        <v>18470.280373831774</v>
      </c>
      <c r="K25" s="95"/>
      <c r="L25" s="95"/>
      <c r="M25" s="95"/>
      <c r="N25" s="95"/>
    </row>
    <row r="26" spans="2:14" x14ac:dyDescent="0.2">
      <c r="B26" s="696" t="s">
        <v>228</v>
      </c>
      <c r="C26" s="330" t="s">
        <v>65</v>
      </c>
      <c r="D26" s="700">
        <f>D25*(D5-D22-D23)/1000</f>
        <v>4014.4416356877327</v>
      </c>
      <c r="E26" s="700">
        <f>E25*(E5-E22-E23)/1000</f>
        <v>5656.2162162162158</v>
      </c>
      <c r="F26" s="700">
        <f>F25*(F5-F22-F23)/1000</f>
        <v>6039.7816822429904</v>
      </c>
      <c r="K26" s="95"/>
      <c r="L26" s="95"/>
      <c r="M26" s="95"/>
      <c r="N26" s="95"/>
    </row>
    <row r="27" spans="2:14" x14ac:dyDescent="0.2">
      <c r="K27" s="95"/>
      <c r="L27" s="95"/>
      <c r="M27" s="95"/>
      <c r="N27" s="95"/>
    </row>
    <row r="28" spans="2:14" x14ac:dyDescent="0.2">
      <c r="K28" s="95"/>
      <c r="L28" s="95"/>
      <c r="M28" s="95"/>
      <c r="N28" s="95"/>
    </row>
    <row r="29" spans="2:14" x14ac:dyDescent="0.2">
      <c r="K29" s="95"/>
      <c r="L29" s="95"/>
      <c r="M29" s="95"/>
      <c r="N29" s="95"/>
    </row>
    <row r="30" spans="2:14" x14ac:dyDescent="0.2">
      <c r="K30" s="95"/>
      <c r="L30" s="95"/>
      <c r="M30" s="95"/>
      <c r="N30" s="95"/>
    </row>
    <row r="31" spans="2:14" x14ac:dyDescent="0.2">
      <c r="K31" s="95"/>
      <c r="L31" s="95"/>
      <c r="M31" s="95"/>
      <c r="N31" s="95"/>
    </row>
    <row r="32" spans="2:14" x14ac:dyDescent="0.2">
      <c r="K32" s="95"/>
      <c r="L32" s="95"/>
      <c r="M32" s="95"/>
      <c r="N32" s="95"/>
    </row>
    <row r="33" spans="11:11" x14ac:dyDescent="0.2">
      <c r="K33" s="95"/>
    </row>
  </sheetData>
  <pageMargins left="0.7" right="0.7" top="0.75" bottom="0.75" header="0.3" footer="0.3"/>
  <pageSetup paperSize="9" scale="56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55"/>
  <sheetViews>
    <sheetView workbookViewId="0">
      <selection activeCell="D20" sqref="D20"/>
    </sheetView>
  </sheetViews>
  <sheetFormatPr defaultRowHeight="15" x14ac:dyDescent="0.25"/>
  <cols>
    <col min="1" max="2" width="9.140625" style="486"/>
    <col min="3" max="3" width="32.140625" style="486" customWidth="1"/>
    <col min="4" max="4" width="19.140625" style="486" customWidth="1"/>
    <col min="5" max="5" width="33.7109375" style="486" customWidth="1"/>
    <col min="6" max="6" width="11.5703125" style="486" customWidth="1"/>
    <col min="7" max="7" width="56.140625" style="486" customWidth="1"/>
    <col min="8" max="8" width="9.140625" style="514" customWidth="1"/>
    <col min="9" max="13" width="9.140625" style="486"/>
    <col min="14" max="14" width="11.28515625" style="486" customWidth="1"/>
    <col min="15" max="16384" width="9.140625" style="486"/>
  </cols>
  <sheetData>
    <row r="1" spans="3:14" ht="15.75" x14ac:dyDescent="0.25">
      <c r="C1" s="1013" t="s">
        <v>399</v>
      </c>
      <c r="D1" s="1013"/>
      <c r="E1" s="1013"/>
    </row>
    <row r="2" spans="3:14" ht="36" customHeight="1" x14ac:dyDescent="0.25">
      <c r="C2" s="487" t="s">
        <v>400</v>
      </c>
      <c r="D2" s="487" t="s">
        <v>401</v>
      </c>
      <c r="E2" s="488" t="s">
        <v>402</v>
      </c>
      <c r="H2" s="515" t="s">
        <v>102</v>
      </c>
      <c r="I2" s="515" t="s">
        <v>102</v>
      </c>
      <c r="J2" s="515" t="s">
        <v>380</v>
      </c>
      <c r="K2" s="515" t="s">
        <v>380</v>
      </c>
      <c r="L2" s="515" t="s">
        <v>380</v>
      </c>
      <c r="M2" s="608" t="s">
        <v>473</v>
      </c>
      <c r="N2" s="608" t="s">
        <v>475</v>
      </c>
    </row>
    <row r="3" spans="3:14" ht="15.75" x14ac:dyDescent="0.25">
      <c r="C3" s="489" t="s">
        <v>403</v>
      </c>
      <c r="D3" s="490">
        <v>33.6</v>
      </c>
      <c r="E3" s="490" t="s">
        <v>159</v>
      </c>
      <c r="H3" s="514">
        <v>7530</v>
      </c>
      <c r="I3" s="500">
        <v>7513</v>
      </c>
      <c r="J3" s="534" t="s">
        <v>445</v>
      </c>
      <c r="K3" s="534" t="s">
        <v>446</v>
      </c>
      <c r="L3" s="604" t="s">
        <v>472</v>
      </c>
      <c r="M3" s="604" t="s">
        <v>474</v>
      </c>
      <c r="N3" s="607" t="s">
        <v>476</v>
      </c>
    </row>
    <row r="4" spans="3:14" ht="15.75" x14ac:dyDescent="0.25">
      <c r="C4" s="489" t="s">
        <v>342</v>
      </c>
      <c r="D4" s="490">
        <v>35</v>
      </c>
      <c r="E4" s="490" t="s">
        <v>159</v>
      </c>
      <c r="I4" s="500"/>
      <c r="J4" s="500"/>
      <c r="K4" s="500"/>
      <c r="L4" s="500"/>
    </row>
    <row r="5" spans="3:14" ht="15.75" x14ac:dyDescent="0.25">
      <c r="C5" s="489" t="s">
        <v>404</v>
      </c>
      <c r="D5" s="490">
        <v>18</v>
      </c>
      <c r="E5" s="490" t="s">
        <v>159</v>
      </c>
      <c r="G5" s="486" t="s">
        <v>435</v>
      </c>
      <c r="H5" s="514">
        <v>220</v>
      </c>
      <c r="I5" s="500">
        <v>130</v>
      </c>
      <c r="J5" s="500">
        <v>320</v>
      </c>
      <c r="K5" s="500">
        <v>231</v>
      </c>
      <c r="L5" s="500">
        <v>91</v>
      </c>
      <c r="M5" s="601">
        <v>91</v>
      </c>
      <c r="N5" s="514">
        <v>105</v>
      </c>
    </row>
    <row r="6" spans="3:14" ht="15.75" x14ac:dyDescent="0.25">
      <c r="C6" s="489" t="s">
        <v>16</v>
      </c>
      <c r="D6" s="490">
        <v>15</v>
      </c>
      <c r="E6" s="490" t="s">
        <v>159</v>
      </c>
      <c r="G6" s="486" t="s">
        <v>436</v>
      </c>
      <c r="H6" s="514">
        <v>112</v>
      </c>
      <c r="I6" s="500">
        <v>71.2</v>
      </c>
      <c r="J6" s="500">
        <v>211</v>
      </c>
      <c r="K6" s="500">
        <v>147</v>
      </c>
      <c r="L6" s="500">
        <v>60</v>
      </c>
      <c r="M6" s="601">
        <v>57</v>
      </c>
      <c r="N6" s="514">
        <v>50</v>
      </c>
    </row>
    <row r="7" spans="3:14" ht="15.75" x14ac:dyDescent="0.25">
      <c r="C7" s="489" t="s">
        <v>245</v>
      </c>
      <c r="D7" s="490">
        <v>12</v>
      </c>
      <c r="E7" s="490" t="s">
        <v>159</v>
      </c>
      <c r="I7" s="500"/>
      <c r="J7" s="500"/>
      <c r="K7" s="500"/>
      <c r="L7" s="500"/>
    </row>
    <row r="8" spans="3:14" ht="15.75" x14ac:dyDescent="0.25">
      <c r="C8" s="489" t="s">
        <v>471</v>
      </c>
      <c r="D8" s="490">
        <v>35</v>
      </c>
      <c r="E8" s="490" t="s">
        <v>159</v>
      </c>
      <c r="I8" s="601"/>
      <c r="J8" s="601"/>
      <c r="K8" s="601"/>
      <c r="L8" s="601"/>
    </row>
    <row r="9" spans="3:14" ht="15.75" x14ac:dyDescent="0.25">
      <c r="C9" s="489" t="s">
        <v>15</v>
      </c>
      <c r="D9" s="490">
        <v>10</v>
      </c>
      <c r="E9" s="490" t="s">
        <v>159</v>
      </c>
      <c r="I9" s="500"/>
      <c r="J9" s="500"/>
      <c r="K9" s="500"/>
      <c r="L9" s="500"/>
    </row>
    <row r="10" spans="3:14" ht="15.75" x14ac:dyDescent="0.25">
      <c r="C10" s="489" t="s">
        <v>405</v>
      </c>
      <c r="D10" s="490">
        <v>6.3</v>
      </c>
      <c r="E10" s="490" t="s">
        <v>159</v>
      </c>
      <c r="I10" s="500"/>
      <c r="J10" s="500"/>
      <c r="K10" s="500"/>
      <c r="L10" s="500"/>
    </row>
    <row r="11" spans="3:14" ht="15.75" x14ac:dyDescent="0.25">
      <c r="C11" s="489" t="s">
        <v>406</v>
      </c>
      <c r="D11" s="490">
        <v>8</v>
      </c>
      <c r="E11" s="490" t="s">
        <v>159</v>
      </c>
      <c r="I11" s="500"/>
      <c r="J11" s="500"/>
      <c r="K11" s="500"/>
      <c r="L11" s="500"/>
    </row>
    <row r="12" spans="3:14" ht="15.75" x14ac:dyDescent="0.25">
      <c r="C12" s="489" t="s">
        <v>407</v>
      </c>
      <c r="D12" s="490">
        <v>15.3</v>
      </c>
      <c r="E12" s="490" t="s">
        <v>408</v>
      </c>
      <c r="I12" s="500"/>
      <c r="J12" s="500"/>
      <c r="K12" s="500"/>
      <c r="L12" s="500"/>
    </row>
    <row r="13" spans="3:14" ht="15.75" x14ac:dyDescent="0.25">
      <c r="C13" s="489" t="s">
        <v>363</v>
      </c>
      <c r="D13" s="490">
        <v>13</v>
      </c>
      <c r="E13" s="490" t="s">
        <v>408</v>
      </c>
      <c r="I13" s="500"/>
      <c r="J13" s="500"/>
      <c r="K13" s="500"/>
      <c r="L13" s="500"/>
    </row>
    <row r="14" spans="3:14" ht="15.75" x14ac:dyDescent="0.25">
      <c r="C14" s="489" t="s">
        <v>409</v>
      </c>
      <c r="D14" s="490">
        <v>6.7</v>
      </c>
      <c r="E14" s="490" t="s">
        <v>408</v>
      </c>
      <c r="I14" s="500"/>
      <c r="J14" s="500"/>
      <c r="K14" s="500"/>
      <c r="L14" s="500"/>
    </row>
    <row r="15" spans="3:14" ht="15.75" x14ac:dyDescent="0.25">
      <c r="C15" s="489" t="s">
        <v>410</v>
      </c>
      <c r="D15" s="490">
        <v>15</v>
      </c>
      <c r="E15" s="490" t="s">
        <v>408</v>
      </c>
      <c r="I15" s="500"/>
      <c r="J15" s="500"/>
      <c r="K15" s="500"/>
      <c r="L15" s="500"/>
    </row>
    <row r="16" spans="3:14" ht="15.75" x14ac:dyDescent="0.25">
      <c r="C16" s="489" t="s">
        <v>411</v>
      </c>
      <c r="D16" s="490">
        <v>13.6</v>
      </c>
      <c r="E16" s="490" t="s">
        <v>408</v>
      </c>
      <c r="I16" s="500"/>
      <c r="J16" s="500"/>
      <c r="K16" s="500"/>
      <c r="L16" s="500"/>
    </row>
    <row r="17" spans="2:12" ht="15.75" x14ac:dyDescent="0.25">
      <c r="C17" s="491" t="s">
        <v>392</v>
      </c>
      <c r="D17" s="490">
        <v>10</v>
      </c>
      <c r="E17" s="490" t="s">
        <v>90</v>
      </c>
      <c r="I17" s="500"/>
      <c r="J17" s="500"/>
      <c r="K17" s="500"/>
      <c r="L17" s="500"/>
    </row>
    <row r="18" spans="2:12" ht="15.75" x14ac:dyDescent="0.25">
      <c r="C18" s="491" t="s">
        <v>256</v>
      </c>
      <c r="D18" s="490">
        <v>10</v>
      </c>
      <c r="E18" s="490" t="s">
        <v>90</v>
      </c>
      <c r="I18" s="500"/>
      <c r="J18" s="500"/>
      <c r="K18" s="500"/>
      <c r="L18" s="500"/>
    </row>
    <row r="19" spans="2:12" ht="15.75" x14ac:dyDescent="0.25">
      <c r="C19" s="491" t="s">
        <v>412</v>
      </c>
      <c r="D19" s="490">
        <v>6.3</v>
      </c>
      <c r="E19" s="492" t="s">
        <v>413</v>
      </c>
      <c r="I19" s="500"/>
      <c r="J19" s="500"/>
      <c r="K19" s="500"/>
      <c r="L19" s="500"/>
    </row>
    <row r="20" spans="2:12" ht="15.75" x14ac:dyDescent="0.25">
      <c r="C20" s="491" t="s">
        <v>414</v>
      </c>
      <c r="D20" s="490">
        <v>10.7</v>
      </c>
      <c r="E20" s="492" t="s">
        <v>413</v>
      </c>
      <c r="I20" s="500"/>
      <c r="J20" s="500"/>
      <c r="K20" s="500"/>
      <c r="L20" s="500"/>
    </row>
    <row r="21" spans="2:12" ht="15.75" x14ac:dyDescent="0.25">
      <c r="C21" s="492" t="s">
        <v>415</v>
      </c>
      <c r="D21" s="490">
        <v>7</v>
      </c>
      <c r="E21" s="492" t="s">
        <v>413</v>
      </c>
      <c r="I21" s="500"/>
      <c r="J21" s="500"/>
      <c r="K21" s="500"/>
      <c r="L21" s="500"/>
    </row>
    <row r="22" spans="2:12" ht="15.75" x14ac:dyDescent="0.25">
      <c r="C22" s="493"/>
      <c r="I22" s="500"/>
      <c r="J22" s="500"/>
      <c r="K22" s="500"/>
      <c r="L22" s="500"/>
    </row>
    <row r="23" spans="2:12" x14ac:dyDescent="0.25">
      <c r="C23" s="1011" t="s">
        <v>416</v>
      </c>
      <c r="D23" s="1011"/>
      <c r="E23" s="1011"/>
      <c r="I23" s="500"/>
      <c r="J23" s="500"/>
      <c r="K23" s="500"/>
      <c r="L23" s="500"/>
    </row>
    <row r="24" spans="2:12" ht="31.5" customHeight="1" x14ac:dyDescent="0.25">
      <c r="C24" s="494" t="s">
        <v>417</v>
      </c>
      <c r="D24" s="495" t="s">
        <v>418</v>
      </c>
      <c r="E24" s="496" t="s">
        <v>419</v>
      </c>
      <c r="I24" s="500"/>
      <c r="J24" s="500"/>
      <c r="K24" s="500"/>
      <c r="L24" s="500"/>
    </row>
    <row r="25" spans="2:12" x14ac:dyDescent="0.25">
      <c r="C25" s="497" t="s">
        <v>420</v>
      </c>
      <c r="D25" s="498" t="s">
        <v>5</v>
      </c>
      <c r="E25" s="498">
        <v>211</v>
      </c>
      <c r="I25" s="500"/>
      <c r="J25" s="500"/>
      <c r="K25" s="500"/>
      <c r="L25" s="500"/>
    </row>
    <row r="26" spans="2:12" x14ac:dyDescent="0.25">
      <c r="C26" s="497" t="s">
        <v>421</v>
      </c>
      <c r="D26" s="498" t="s">
        <v>5</v>
      </c>
      <c r="E26" s="498">
        <v>147</v>
      </c>
      <c r="I26" s="500"/>
      <c r="J26" s="500"/>
      <c r="K26" s="500"/>
      <c r="L26" s="500"/>
    </row>
    <row r="27" spans="2:12" ht="15.75" x14ac:dyDescent="0.25">
      <c r="C27" s="489" t="s">
        <v>422</v>
      </c>
      <c r="D27" s="498" t="s">
        <v>423</v>
      </c>
      <c r="E27" s="498">
        <v>60</v>
      </c>
      <c r="I27" s="500"/>
      <c r="J27" s="500"/>
      <c r="K27" s="500"/>
      <c r="L27" s="500"/>
    </row>
    <row r="28" spans="2:12" ht="15.75" x14ac:dyDescent="0.25">
      <c r="C28" s="489" t="s">
        <v>424</v>
      </c>
      <c r="D28" s="498" t="s">
        <v>423</v>
      </c>
      <c r="E28" s="498">
        <v>57</v>
      </c>
      <c r="I28" s="500"/>
      <c r="J28" s="500"/>
      <c r="K28" s="500"/>
      <c r="L28" s="500"/>
    </row>
    <row r="29" spans="2:12" ht="15.75" x14ac:dyDescent="0.25">
      <c r="C29" s="489" t="s">
        <v>425</v>
      </c>
      <c r="D29" s="498" t="s">
        <v>4</v>
      </c>
      <c r="E29" s="498">
        <v>57.9</v>
      </c>
      <c r="I29" s="500"/>
      <c r="J29" s="500"/>
      <c r="K29" s="500"/>
      <c r="L29" s="500"/>
    </row>
    <row r="30" spans="2:12" ht="15.75" x14ac:dyDescent="0.25">
      <c r="C30" s="489" t="s">
        <v>426</v>
      </c>
      <c r="D30" s="498" t="s">
        <v>4</v>
      </c>
      <c r="E30" s="498">
        <v>71.2</v>
      </c>
    </row>
    <row r="31" spans="2:12" ht="15.75" x14ac:dyDescent="0.25">
      <c r="C31" s="489" t="s">
        <v>385</v>
      </c>
      <c r="D31" s="498" t="s">
        <v>5</v>
      </c>
      <c r="E31" s="498">
        <v>71.2</v>
      </c>
    </row>
    <row r="32" spans="2:12" ht="15.75" x14ac:dyDescent="0.25">
      <c r="B32" s="499"/>
      <c r="C32" s="489" t="s">
        <v>384</v>
      </c>
      <c r="D32" s="498" t="s">
        <v>5</v>
      </c>
      <c r="E32" s="498">
        <v>112</v>
      </c>
    </row>
    <row r="33" spans="2:5" ht="15.75" x14ac:dyDescent="0.25">
      <c r="B33" s="499"/>
      <c r="C33" s="489" t="s">
        <v>427</v>
      </c>
      <c r="D33" s="498" t="s">
        <v>5</v>
      </c>
      <c r="E33" s="498">
        <v>50</v>
      </c>
    </row>
    <row r="34" spans="2:5" x14ac:dyDescent="0.25">
      <c r="B34" s="499"/>
    </row>
    <row r="35" spans="2:5" x14ac:dyDescent="0.25">
      <c r="B35" s="499"/>
      <c r="C35" s="1012" t="s">
        <v>428</v>
      </c>
      <c r="D35" s="1012"/>
      <c r="E35" s="1012"/>
    </row>
    <row r="36" spans="2:5" x14ac:dyDescent="0.25">
      <c r="B36" s="499"/>
      <c r="C36" s="494" t="s">
        <v>417</v>
      </c>
      <c r="D36" s="495" t="s">
        <v>429</v>
      </c>
      <c r="E36" s="495" t="s">
        <v>430</v>
      </c>
    </row>
    <row r="37" spans="2:5" x14ac:dyDescent="0.25">
      <c r="B37" s="499"/>
      <c r="C37" s="501" t="s">
        <v>8</v>
      </c>
      <c r="D37" s="498" t="s">
        <v>431</v>
      </c>
      <c r="E37" s="498">
        <v>0.216</v>
      </c>
    </row>
    <row r="38" spans="2:5" x14ac:dyDescent="0.25">
      <c r="B38" s="499"/>
      <c r="C38" s="501" t="s">
        <v>257</v>
      </c>
      <c r="D38" s="498" t="s">
        <v>431</v>
      </c>
      <c r="E38" s="498">
        <v>0.216</v>
      </c>
    </row>
    <row r="39" spans="2:5" x14ac:dyDescent="0.25">
      <c r="B39" s="499"/>
      <c r="C39" s="501" t="s">
        <v>258</v>
      </c>
      <c r="D39" s="498" t="s">
        <v>431</v>
      </c>
      <c r="E39" s="502">
        <v>0.27</v>
      </c>
    </row>
    <row r="40" spans="2:5" x14ac:dyDescent="0.25">
      <c r="B40" s="499"/>
      <c r="C40" s="501" t="s">
        <v>432</v>
      </c>
      <c r="D40" s="498" t="s">
        <v>431</v>
      </c>
      <c r="E40" s="498">
        <v>0.216</v>
      </c>
    </row>
    <row r="41" spans="2:5" x14ac:dyDescent="0.25">
      <c r="B41" s="499"/>
    </row>
    <row r="42" spans="2:5" x14ac:dyDescent="0.25">
      <c r="B42" s="499"/>
    </row>
    <row r="43" spans="2:5" x14ac:dyDescent="0.25">
      <c r="B43" s="499"/>
    </row>
    <row r="46" spans="2:5" x14ac:dyDescent="0.25">
      <c r="C46" s="503"/>
    </row>
    <row r="47" spans="2:5" x14ac:dyDescent="0.25">
      <c r="C47" s="503"/>
    </row>
    <row r="48" spans="2:5" x14ac:dyDescent="0.25">
      <c r="C48" s="503"/>
    </row>
    <row r="49" spans="3:3" x14ac:dyDescent="0.25">
      <c r="C49" s="503"/>
    </row>
    <row r="50" spans="3:3" x14ac:dyDescent="0.25">
      <c r="C50" s="503"/>
    </row>
    <row r="51" spans="3:3" x14ac:dyDescent="0.25">
      <c r="C51" s="503"/>
    </row>
    <row r="52" spans="3:3" x14ac:dyDescent="0.25">
      <c r="C52" s="503"/>
    </row>
    <row r="53" spans="3:3" x14ac:dyDescent="0.25">
      <c r="C53" s="503"/>
    </row>
    <row r="54" spans="3:3" x14ac:dyDescent="0.25">
      <c r="C54" s="503"/>
    </row>
    <row r="55" spans="3:3" x14ac:dyDescent="0.25">
      <c r="C55" s="503"/>
    </row>
  </sheetData>
  <mergeCells count="3">
    <mergeCell ref="C23:E23"/>
    <mergeCell ref="C35:E35"/>
    <mergeCell ref="C1:E1"/>
  </mergeCells>
  <pageMargins left="0.70866141732283472" right="0.70866141732283472" top="0.74803149606299213" bottom="0.74803149606299213" header="0.31496062992125984" footer="0.31496062992125984"/>
  <pageSetup paperSize="9" scale="7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Q277"/>
  <sheetViews>
    <sheetView zoomScale="85" zoomScaleNormal="85" zoomScaleSheetLayoutView="85" workbookViewId="0">
      <pane xSplit="4" ySplit="5" topLeftCell="AK51" activePane="bottomRight" state="frozen"/>
      <selection pane="topRight" activeCell="E1" sqref="E1"/>
      <selection pane="bottomLeft" activeCell="A6" sqref="A6"/>
      <selection pane="bottomRight" activeCell="AK10" sqref="AK10"/>
    </sheetView>
  </sheetViews>
  <sheetFormatPr defaultRowHeight="15.75" x14ac:dyDescent="0.25"/>
  <cols>
    <col min="1" max="1" width="4" style="6" customWidth="1"/>
    <col min="2" max="2" width="64.28515625" style="6" customWidth="1"/>
    <col min="3" max="3" width="9.140625" style="6" customWidth="1"/>
    <col min="4" max="4" width="12" style="6" customWidth="1"/>
    <col min="5" max="5" width="19.5703125" style="6" customWidth="1" collapsed="1"/>
    <col min="6" max="6" width="18.85546875" style="6" customWidth="1"/>
    <col min="7" max="7" width="18.42578125" style="6" customWidth="1"/>
    <col min="8" max="8" width="18.28515625" style="6" customWidth="1"/>
    <col min="9" max="9" width="19.5703125" style="6" customWidth="1" collapsed="1"/>
    <col min="10" max="10" width="18.85546875" style="6" customWidth="1"/>
    <col min="11" max="11" width="18.42578125" style="6" customWidth="1"/>
    <col min="12" max="12" width="18.28515625" style="6" customWidth="1"/>
    <col min="13" max="13" width="19.5703125" style="6" customWidth="1" collapsed="1"/>
    <col min="14" max="14" width="18.85546875" style="6" customWidth="1"/>
    <col min="15" max="15" width="18.42578125" style="6" customWidth="1"/>
    <col min="16" max="16" width="18.28515625" style="6" customWidth="1"/>
    <col min="17" max="17" width="19.5703125" style="6" customWidth="1" collapsed="1"/>
    <col min="18" max="18" width="18.85546875" style="6" customWidth="1"/>
    <col min="19" max="19" width="18.42578125" style="6" customWidth="1"/>
    <col min="20" max="20" width="18.28515625" style="6" customWidth="1"/>
    <col min="21" max="21" width="16.140625" style="6" customWidth="1"/>
    <col min="22" max="22" width="15.5703125" style="6" customWidth="1"/>
    <col min="23" max="23" width="16.140625" style="6" customWidth="1" collapsed="1"/>
    <col min="24" max="24" width="15.5703125" style="6" customWidth="1"/>
    <col min="25" max="25" width="16.140625" style="6" customWidth="1"/>
    <col min="26" max="26" width="15.5703125" style="6" customWidth="1"/>
    <col min="27" max="27" width="16.140625" style="6" customWidth="1"/>
    <col min="28" max="28" width="15.5703125" style="6" customWidth="1"/>
    <col min="29" max="29" width="16.140625" style="6" customWidth="1"/>
    <col min="30" max="30" width="15.5703125" style="6" customWidth="1"/>
    <col min="31" max="31" width="16.140625" style="6" customWidth="1"/>
    <col min="32" max="32" width="15.5703125" style="6" customWidth="1"/>
    <col min="33" max="33" width="16.140625" style="6" customWidth="1"/>
    <col min="34" max="34" width="15.5703125" style="6" customWidth="1"/>
    <col min="35" max="35" width="17.42578125" style="6" customWidth="1"/>
    <col min="36" max="36" width="14.140625" style="6" customWidth="1"/>
    <col min="37" max="37" width="19.5703125" style="6" customWidth="1" collapsed="1"/>
    <col min="38" max="38" width="18.85546875" style="6" customWidth="1"/>
    <col min="39" max="39" width="18.42578125" style="6" customWidth="1"/>
    <col min="40" max="40" width="18.28515625" style="6" customWidth="1"/>
    <col min="41" max="41" width="18.42578125" style="6" customWidth="1"/>
    <col min="42" max="42" width="18.28515625" style="6" customWidth="1"/>
    <col min="43" max="45" width="9.140625" style="6" customWidth="1"/>
    <col min="46" max="46" width="8.42578125" style="6" customWidth="1"/>
    <col min="47" max="47" width="48" style="6" customWidth="1"/>
    <col min="48" max="48" width="13.28515625" style="6" customWidth="1"/>
    <col min="49" max="77" width="10" style="6" customWidth="1"/>
    <col min="78" max="98" width="9.7109375" style="6" customWidth="1"/>
    <col min="99" max="100" width="10" style="6" customWidth="1"/>
    <col min="101" max="101" width="11" style="6" customWidth="1"/>
    <col min="102" max="102" width="10.85546875" style="6" customWidth="1"/>
    <col min="103" max="103" width="9.7109375" style="6" customWidth="1"/>
    <col min="104" max="109" width="9.5703125" style="6" bestFit="1" customWidth="1"/>
    <col min="110" max="16384" width="9.140625" style="6"/>
  </cols>
  <sheetData>
    <row r="1" spans="2:51" x14ac:dyDescent="0.25"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V1" s="8"/>
      <c r="AW1" s="8"/>
      <c r="AX1" s="8"/>
      <c r="AY1" s="8"/>
    </row>
    <row r="2" spans="2:51" x14ac:dyDescent="0.25">
      <c r="B2" s="1015" t="s">
        <v>193</v>
      </c>
      <c r="C2" s="1019" t="s">
        <v>444</v>
      </c>
      <c r="D2" s="1017" t="s">
        <v>285</v>
      </c>
      <c r="E2" s="602" t="s">
        <v>4</v>
      </c>
      <c r="F2" s="602" t="s">
        <v>305</v>
      </c>
      <c r="G2" s="602" t="s">
        <v>305</v>
      </c>
      <c r="H2" s="602" t="s">
        <v>305</v>
      </c>
      <c r="I2" s="602" t="s">
        <v>4</v>
      </c>
      <c r="J2" s="602" t="s">
        <v>305</v>
      </c>
      <c r="K2" s="602" t="s">
        <v>305</v>
      </c>
      <c r="L2" s="602" t="s">
        <v>305</v>
      </c>
      <c r="M2" s="602" t="s">
        <v>4</v>
      </c>
      <c r="N2" s="602" t="s">
        <v>305</v>
      </c>
      <c r="O2" s="602" t="s">
        <v>305</v>
      </c>
      <c r="P2" s="602" t="s">
        <v>305</v>
      </c>
      <c r="Q2" s="602" t="s">
        <v>4</v>
      </c>
      <c r="R2" s="602" t="s">
        <v>305</v>
      </c>
      <c r="S2" s="602" t="s">
        <v>305</v>
      </c>
      <c r="T2" s="602" t="s">
        <v>305</v>
      </c>
      <c r="U2" s="511" t="s">
        <v>305</v>
      </c>
      <c r="V2" s="511" t="s">
        <v>305</v>
      </c>
      <c r="W2" s="555" t="s">
        <v>305</v>
      </c>
      <c r="X2" s="555" t="s">
        <v>305</v>
      </c>
      <c r="Y2" s="602" t="s">
        <v>305</v>
      </c>
      <c r="Z2" s="602" t="s">
        <v>305</v>
      </c>
      <c r="AA2" s="555" t="s">
        <v>305</v>
      </c>
      <c r="AB2" s="555" t="s">
        <v>305</v>
      </c>
      <c r="AC2" s="592" t="s">
        <v>305</v>
      </c>
      <c r="AD2" s="592" t="s">
        <v>305</v>
      </c>
      <c r="AE2" s="592" t="s">
        <v>305</v>
      </c>
      <c r="AF2" s="592" t="s">
        <v>305</v>
      </c>
      <c r="AG2" s="602" t="s">
        <v>305</v>
      </c>
      <c r="AH2" s="602" t="s">
        <v>305</v>
      </c>
      <c r="AI2" s="602" t="s">
        <v>305</v>
      </c>
      <c r="AJ2" s="602" t="s">
        <v>305</v>
      </c>
      <c r="AK2" s="602" t="s">
        <v>4</v>
      </c>
      <c r="AL2" s="602" t="s">
        <v>4</v>
      </c>
      <c r="AM2" s="602" t="s">
        <v>305</v>
      </c>
      <c r="AN2" s="602" t="s">
        <v>305</v>
      </c>
      <c r="AO2" s="602" t="s">
        <v>305</v>
      </c>
      <c r="AP2" s="602" t="s">
        <v>305</v>
      </c>
      <c r="AQ2" s="117"/>
      <c r="AR2" s="117"/>
    </row>
    <row r="3" spans="2:51" x14ac:dyDescent="0.25">
      <c r="B3" s="1015"/>
      <c r="C3" s="1019"/>
      <c r="D3" s="1017"/>
      <c r="E3" s="606" t="str">
        <f>Оборудование!C14</f>
        <v>Komatsu PC 1250</v>
      </c>
      <c r="F3" s="606" t="str">
        <f>E3</f>
        <v>Komatsu PC 1250</v>
      </c>
      <c r="G3" s="606" t="str">
        <f>E3</f>
        <v>Komatsu PC 1250</v>
      </c>
      <c r="H3" s="606" t="str">
        <f>E3</f>
        <v>Komatsu PC 1250</v>
      </c>
      <c r="I3" s="612" t="str">
        <f>Оборудование!C13</f>
        <v>Liebherr R994</v>
      </c>
      <c r="J3" s="612" t="str">
        <f>I3</f>
        <v>Liebherr R994</v>
      </c>
      <c r="K3" s="612" t="str">
        <f>I3</f>
        <v>Liebherr R994</v>
      </c>
      <c r="L3" s="612" t="str">
        <f>I3</f>
        <v>Liebherr R994</v>
      </c>
      <c r="M3" s="615" t="str">
        <f>Оборудование!C19</f>
        <v>CAT 988Н</v>
      </c>
      <c r="N3" s="615" t="str">
        <f>M3</f>
        <v>CAT 988Н</v>
      </c>
      <c r="O3" s="615" t="str">
        <f>M3</f>
        <v>CAT 988Н</v>
      </c>
      <c r="P3" s="615" t="str">
        <f>M3</f>
        <v>CAT 988Н</v>
      </c>
      <c r="Q3" s="618" t="str">
        <f>Оборудование!C20</f>
        <v>CAT 992K</v>
      </c>
      <c r="R3" s="618" t="str">
        <f>Q3</f>
        <v>CAT 992K</v>
      </c>
      <c r="S3" s="618" t="str">
        <f>Q3</f>
        <v>CAT 992K</v>
      </c>
      <c r="T3" s="618" t="str">
        <f>Q3</f>
        <v>CAT 992K</v>
      </c>
      <c r="U3" s="619" t="str">
        <f>Оборудование!$C$3</f>
        <v>Р&amp;Н-2800</v>
      </c>
      <c r="V3" s="619" t="str">
        <f>Оборудование!$C$3</f>
        <v>Р&amp;Н-2800</v>
      </c>
      <c r="W3" s="586" t="str">
        <f>Оборудование!C4</f>
        <v>WK-35</v>
      </c>
      <c r="X3" s="586" t="str">
        <f>W3</f>
        <v>WK-35</v>
      </c>
      <c r="Y3" s="590" t="str">
        <f>Оборудование!C8</f>
        <v>ЭКГ-32</v>
      </c>
      <c r="Z3" s="590" t="str">
        <f>Y3</f>
        <v>ЭКГ-32</v>
      </c>
      <c r="AA3" s="606" t="str">
        <f>Оборудование!C5</f>
        <v>ЭКГ-18Р</v>
      </c>
      <c r="AB3" s="606" t="str">
        <f>AA3</f>
        <v>ЭКГ-18Р</v>
      </c>
      <c r="AC3" s="620" t="str">
        <f>Оборудование!C6</f>
        <v>ЭКГ-15</v>
      </c>
      <c r="AD3" s="620" t="str">
        <f>AC3</f>
        <v>ЭКГ-15</v>
      </c>
      <c r="AE3" s="590" t="str">
        <f>Оборудование!C7</f>
        <v>ЭКГ-12</v>
      </c>
      <c r="AF3" s="590" t="str">
        <f>AE3</f>
        <v>ЭКГ-12</v>
      </c>
      <c r="AG3" s="621" t="str">
        <f>Оборудование!C9</f>
        <v>ЭКГ-10</v>
      </c>
      <c r="AH3" s="621" t="str">
        <f>AG3</f>
        <v>ЭКГ-10</v>
      </c>
      <c r="AI3" s="622" t="str">
        <f>Оборудование!C10</f>
        <v>ЭКГ-6,3у (ж/д)</v>
      </c>
      <c r="AJ3" s="605" t="str">
        <f>Оборудование!C11</f>
        <v>ЭКГ-8у (ж/д)</v>
      </c>
      <c r="AK3" s="618" t="str">
        <f>Оборудование!C17</f>
        <v>ЭШ-10/50</v>
      </c>
      <c r="AL3" s="618" t="str">
        <f>AK3</f>
        <v>ЭШ-10/50</v>
      </c>
      <c r="AM3" s="618" t="str">
        <f>AK3</f>
        <v>ЭШ-10/50</v>
      </c>
      <c r="AN3" s="618" t="str">
        <f>AK3</f>
        <v>ЭШ-10/50</v>
      </c>
      <c r="AO3" s="606" t="str">
        <f>Оборудование!C18</f>
        <v>ЭШ-10/70</v>
      </c>
      <c r="AP3" s="606" t="str">
        <f>Оборудование!C9</f>
        <v>ЭКГ-10</v>
      </c>
      <c r="AQ3" s="117"/>
      <c r="AR3" s="117"/>
    </row>
    <row r="4" spans="2:51" x14ac:dyDescent="0.25">
      <c r="B4" s="1015"/>
      <c r="C4" s="1019"/>
      <c r="D4" s="1017"/>
      <c r="E4" s="587" t="str">
        <f>Оборудование!L2</f>
        <v>Komatsu</v>
      </c>
      <c r="F4" s="587" t="str">
        <f>Оборудование!L2</f>
        <v>Komatsu</v>
      </c>
      <c r="G4" s="587" t="str">
        <f>Оборудование!M2</f>
        <v>Terex</v>
      </c>
      <c r="H4" s="587" t="str">
        <f>Оборудование!I2</f>
        <v>БелАЗ</v>
      </c>
      <c r="I4" s="587" t="str">
        <f>Оборудование!I2</f>
        <v>БелАЗ</v>
      </c>
      <c r="J4" s="587" t="str">
        <f>Оборудование!L2</f>
        <v>Komatsu</v>
      </c>
      <c r="K4" s="587" t="str">
        <f>Оборудование!I2</f>
        <v>БелАЗ</v>
      </c>
      <c r="L4" s="587" t="str">
        <f>Оборудование!H2</f>
        <v>БелАЗ</v>
      </c>
      <c r="M4" s="587" t="str">
        <f>Оборудование!L2</f>
        <v>Komatsu</v>
      </c>
      <c r="N4" s="587" t="str">
        <f>Оборудование!L2</f>
        <v>Komatsu</v>
      </c>
      <c r="O4" s="587" t="str">
        <f>Оборудование!M2</f>
        <v>Terex</v>
      </c>
      <c r="P4" s="587" t="str">
        <f>Оборудование!I2</f>
        <v>БелАЗ</v>
      </c>
      <c r="Q4" s="587" t="str">
        <f>Оборудование!L2</f>
        <v>Komatsu</v>
      </c>
      <c r="R4" s="587" t="str">
        <f>Оборудование!L2</f>
        <v>Komatsu</v>
      </c>
      <c r="S4" s="587" t="str">
        <f>Оборудование!M2</f>
        <v>Terex</v>
      </c>
      <c r="T4" s="587" t="str">
        <f>Оборудование!I2</f>
        <v>БелАЗ</v>
      </c>
      <c r="U4" s="587" t="str">
        <f>Оборудование!$H$2</f>
        <v>БелАЗ</v>
      </c>
      <c r="V4" s="587" t="str">
        <f>Оборудование!$I$2</f>
        <v>БелАЗ</v>
      </c>
      <c r="W4" s="587" t="str">
        <f>Оборудование!$H$2</f>
        <v>БелАЗ</v>
      </c>
      <c r="X4" s="587" t="str">
        <f>Оборудование!$I$2</f>
        <v>БелАЗ</v>
      </c>
      <c r="Y4" s="587" t="str">
        <f>Оборудование!$H$2</f>
        <v>БелАЗ</v>
      </c>
      <c r="Z4" s="587" t="str">
        <f>Оборудование!$I$2</f>
        <v>БелАЗ</v>
      </c>
      <c r="AA4" s="587" t="str">
        <f>Оборудование!$H$2</f>
        <v>БелАЗ</v>
      </c>
      <c r="AB4" s="587" t="str">
        <f>Оборудование!$I$2</f>
        <v>БелАЗ</v>
      </c>
      <c r="AC4" s="587" t="str">
        <f>Оборудование!$H$2</f>
        <v>БелАЗ</v>
      </c>
      <c r="AD4" s="587" t="str">
        <f>Оборудование!$I$2</f>
        <v>БелАЗ</v>
      </c>
      <c r="AE4" s="587" t="str">
        <f>Оборудование!$H$2</f>
        <v>БелАЗ</v>
      </c>
      <c r="AF4" s="587" t="str">
        <f>Оборудование!$I$2</f>
        <v>БелАЗ</v>
      </c>
      <c r="AG4" s="587" t="str">
        <f>Оборудование!L2</f>
        <v>Komatsu</v>
      </c>
      <c r="AH4" s="587" t="str">
        <f>Оборудование!$I$2</f>
        <v>БелАЗ</v>
      </c>
      <c r="AI4" s="587" t="str">
        <f>Оборудование!N2</f>
        <v>Думпкары</v>
      </c>
      <c r="AJ4" s="587" t="str">
        <f>Оборудование!N2</f>
        <v>Думпкары</v>
      </c>
      <c r="AK4" s="587" t="str">
        <f>Оборудование!L2</f>
        <v>Komatsu</v>
      </c>
      <c r="AL4" s="587" t="str">
        <f>Оборудование!I2</f>
        <v>БелАЗ</v>
      </c>
      <c r="AM4" s="587" t="str">
        <f>Оборудование!L2</f>
        <v>Komatsu</v>
      </c>
      <c r="AN4" s="587" t="str">
        <f>Оборудование!I2</f>
        <v>БелАЗ</v>
      </c>
      <c r="AO4" s="587"/>
      <c r="AP4" s="587"/>
      <c r="AQ4" s="117"/>
      <c r="AR4" s="117"/>
    </row>
    <row r="5" spans="2:51" x14ac:dyDescent="0.25">
      <c r="B5" s="1015"/>
      <c r="C5" s="1019"/>
      <c r="D5" s="1017"/>
      <c r="E5" s="588" t="str">
        <f>Оборудование!L3</f>
        <v>HD 785-5</v>
      </c>
      <c r="F5" s="588" t="str">
        <f>Оборудование!L3</f>
        <v>HD 785-5</v>
      </c>
      <c r="G5" s="588" t="str">
        <f>Оборудование!M3</f>
        <v>TR100</v>
      </c>
      <c r="H5" s="588">
        <f>Оборудование!I3</f>
        <v>7513</v>
      </c>
      <c r="I5" s="587">
        <f>Оборудование!I3</f>
        <v>7513</v>
      </c>
      <c r="J5" s="588" t="str">
        <f>Оборудование!L3</f>
        <v>HD 785-5</v>
      </c>
      <c r="K5" s="588">
        <f>Оборудование!I3</f>
        <v>7513</v>
      </c>
      <c r="L5" s="588">
        <f>Оборудование!H3</f>
        <v>7530</v>
      </c>
      <c r="M5" s="588" t="str">
        <f>Оборудование!L3</f>
        <v>HD 785-5</v>
      </c>
      <c r="N5" s="588" t="str">
        <f>Оборудование!L3</f>
        <v>HD 785-5</v>
      </c>
      <c r="O5" s="588" t="str">
        <f>Оборудование!M3</f>
        <v>TR100</v>
      </c>
      <c r="P5" s="588">
        <f>Оборудование!I3</f>
        <v>7513</v>
      </c>
      <c r="Q5" s="588" t="str">
        <f>Оборудование!L3</f>
        <v>HD 785-5</v>
      </c>
      <c r="R5" s="588" t="str">
        <f>Оборудование!L3</f>
        <v>HD 785-5</v>
      </c>
      <c r="S5" s="587" t="str">
        <f>Оборудование!M3</f>
        <v>TR100</v>
      </c>
      <c r="T5" s="587">
        <f>Оборудование!I3</f>
        <v>7513</v>
      </c>
      <c r="U5" s="588">
        <f>Оборудование!$H$3</f>
        <v>7530</v>
      </c>
      <c r="V5" s="588">
        <f>Оборудование!$I$3</f>
        <v>7513</v>
      </c>
      <c r="W5" s="588">
        <f>Оборудование!$H$3</f>
        <v>7530</v>
      </c>
      <c r="X5" s="588">
        <f>Оборудование!$I$3</f>
        <v>7513</v>
      </c>
      <c r="Y5" s="588">
        <f>Оборудование!$H$3</f>
        <v>7530</v>
      </c>
      <c r="Z5" s="588">
        <f>Оборудование!$I$3</f>
        <v>7513</v>
      </c>
      <c r="AA5" s="588">
        <f>Оборудование!$H$3</f>
        <v>7530</v>
      </c>
      <c r="AB5" s="588">
        <f>Оборудование!$I$3</f>
        <v>7513</v>
      </c>
      <c r="AC5" s="588">
        <f>Оборудование!$H$3</f>
        <v>7530</v>
      </c>
      <c r="AD5" s="588">
        <f>Оборудование!$I$3</f>
        <v>7513</v>
      </c>
      <c r="AE5" s="588">
        <f>Оборудование!$H$3</f>
        <v>7530</v>
      </c>
      <c r="AF5" s="588">
        <f>Оборудование!$I$3</f>
        <v>7513</v>
      </c>
      <c r="AG5" s="587" t="str">
        <f>Оборудование!L3</f>
        <v>HD 785-5</v>
      </c>
      <c r="AH5" s="588">
        <f>Оборудование!$I$3</f>
        <v>7513</v>
      </c>
      <c r="AI5" s="587" t="str">
        <f>Оборудование!N3</f>
        <v xml:space="preserve">2ВС-105 </v>
      </c>
      <c r="AJ5" s="587" t="str">
        <f>Оборудование!N3</f>
        <v xml:space="preserve">2ВС-105 </v>
      </c>
      <c r="AK5" s="587" t="str">
        <f>Оборудование!L3</f>
        <v>HD 785-5</v>
      </c>
      <c r="AL5" s="587">
        <f>Оборудование!I3</f>
        <v>7513</v>
      </c>
      <c r="AM5" s="587" t="str">
        <f>Оборудование!L3</f>
        <v>HD 785-5</v>
      </c>
      <c r="AN5" s="587">
        <f>Оборудование!I3</f>
        <v>7513</v>
      </c>
      <c r="AO5" s="606" t="s">
        <v>324</v>
      </c>
      <c r="AP5" s="606" t="s">
        <v>324</v>
      </c>
      <c r="AQ5" s="117"/>
      <c r="AR5" s="117"/>
    </row>
    <row r="6" spans="2:51" ht="18.75" x14ac:dyDescent="0.25">
      <c r="B6" s="532" t="s">
        <v>286</v>
      </c>
      <c r="C6" s="533" t="s">
        <v>433</v>
      </c>
      <c r="D6" s="533"/>
      <c r="E6" s="504">
        <f>Оборудование!D14</f>
        <v>6.7</v>
      </c>
      <c r="F6" s="504">
        <f>E6</f>
        <v>6.7</v>
      </c>
      <c r="G6" s="504">
        <f>E6</f>
        <v>6.7</v>
      </c>
      <c r="H6" s="504">
        <f>E6</f>
        <v>6.7</v>
      </c>
      <c r="I6" s="504">
        <f>Оборудование!D13</f>
        <v>13</v>
      </c>
      <c r="J6" s="504">
        <f>I6</f>
        <v>13</v>
      </c>
      <c r="K6" s="504">
        <f>I6</f>
        <v>13</v>
      </c>
      <c r="L6" s="504">
        <f>I6</f>
        <v>13</v>
      </c>
      <c r="M6" s="504">
        <f>Оборудование!D19</f>
        <v>6.3</v>
      </c>
      <c r="N6" s="504">
        <f>M6</f>
        <v>6.3</v>
      </c>
      <c r="O6" s="504">
        <f>M6</f>
        <v>6.3</v>
      </c>
      <c r="P6" s="504">
        <f>M6</f>
        <v>6.3</v>
      </c>
      <c r="Q6" s="504">
        <f>Оборудование!D20</f>
        <v>10.7</v>
      </c>
      <c r="R6" s="504">
        <f>Q6</f>
        <v>10.7</v>
      </c>
      <c r="S6" s="504">
        <f>Q6</f>
        <v>10.7</v>
      </c>
      <c r="T6" s="504">
        <f>Q6</f>
        <v>10.7</v>
      </c>
      <c r="U6" s="504">
        <f>Оборудование!$D$3</f>
        <v>33.6</v>
      </c>
      <c r="V6" s="504">
        <f>Оборудование!$D$3</f>
        <v>33.6</v>
      </c>
      <c r="W6" s="504">
        <f>Оборудование!D4</f>
        <v>35</v>
      </c>
      <c r="X6" s="504">
        <f>W6</f>
        <v>35</v>
      </c>
      <c r="Y6" s="504">
        <f>Оборудование!D8</f>
        <v>35</v>
      </c>
      <c r="Z6" s="504">
        <f>Y6</f>
        <v>35</v>
      </c>
      <c r="AA6" s="504">
        <f>Оборудование!D5</f>
        <v>18</v>
      </c>
      <c r="AB6" s="504">
        <f>AA6</f>
        <v>18</v>
      </c>
      <c r="AC6" s="504">
        <f>Оборудование!D6</f>
        <v>15</v>
      </c>
      <c r="AD6" s="504">
        <f>AC6</f>
        <v>15</v>
      </c>
      <c r="AE6" s="504">
        <f>Оборудование!D7</f>
        <v>12</v>
      </c>
      <c r="AF6" s="504">
        <f>AE6</f>
        <v>12</v>
      </c>
      <c r="AG6" s="504">
        <f>Оборудование!D9</f>
        <v>10</v>
      </c>
      <c r="AH6" s="504">
        <f>AG6</f>
        <v>10</v>
      </c>
      <c r="AI6" s="504">
        <f>Оборудование!D10</f>
        <v>6.3</v>
      </c>
      <c r="AJ6" s="504">
        <f>Оборудование!D11</f>
        <v>8</v>
      </c>
      <c r="AK6" s="504">
        <f>Оборудование!D17</f>
        <v>10</v>
      </c>
      <c r="AL6" s="504">
        <f>AK6</f>
        <v>10</v>
      </c>
      <c r="AM6" s="504">
        <f>AK6</f>
        <v>10</v>
      </c>
      <c r="AN6" s="504">
        <f>AK6</f>
        <v>10</v>
      </c>
      <c r="AO6" s="504">
        <f>Оборудование!D18</f>
        <v>10</v>
      </c>
      <c r="AP6" s="504">
        <f>Оборудование!D9</f>
        <v>10</v>
      </c>
      <c r="AQ6" s="11"/>
      <c r="AR6" s="11"/>
    </row>
    <row r="7" spans="2:51" x14ac:dyDescent="0.25">
      <c r="B7" s="1016" t="s">
        <v>23</v>
      </c>
      <c r="C7" s="1018"/>
      <c r="D7" s="505" t="s">
        <v>281</v>
      </c>
      <c r="E7" s="506">
        <v>1.25</v>
      </c>
      <c r="F7" s="506">
        <v>1.25</v>
      </c>
      <c r="G7" s="506">
        <v>1.25</v>
      </c>
      <c r="H7" s="506">
        <v>1.25</v>
      </c>
      <c r="I7" s="506">
        <v>1.25</v>
      </c>
      <c r="J7" s="506">
        <v>1.25</v>
      </c>
      <c r="K7" s="506">
        <v>1.25</v>
      </c>
      <c r="L7" s="506">
        <v>1.25</v>
      </c>
      <c r="M7" s="506">
        <v>1.25</v>
      </c>
      <c r="N7" s="506">
        <v>1.25</v>
      </c>
      <c r="O7" s="506">
        <v>1.25</v>
      </c>
      <c r="P7" s="506">
        <v>1.25</v>
      </c>
      <c r="Q7" s="506">
        <v>1.25</v>
      </c>
      <c r="R7" s="506">
        <v>1.25</v>
      </c>
      <c r="S7" s="506">
        <v>1.25</v>
      </c>
      <c r="T7" s="506">
        <v>1.25</v>
      </c>
      <c r="U7" s="506">
        <v>1.25</v>
      </c>
      <c r="V7" s="506">
        <v>1.25</v>
      </c>
      <c r="W7" s="506">
        <v>1.25</v>
      </c>
      <c r="X7" s="506">
        <v>1.25</v>
      </c>
      <c r="Y7" s="506">
        <v>1.25</v>
      </c>
      <c r="Z7" s="506">
        <v>1.25</v>
      </c>
      <c r="AA7" s="506">
        <v>1.25</v>
      </c>
      <c r="AB7" s="506">
        <v>1.25</v>
      </c>
      <c r="AC7" s="506">
        <v>1.25</v>
      </c>
      <c r="AD7" s="506">
        <v>1.25</v>
      </c>
      <c r="AE7" s="506">
        <v>1.25</v>
      </c>
      <c r="AF7" s="506">
        <v>1.25</v>
      </c>
      <c r="AG7" s="506">
        <v>1.25</v>
      </c>
      <c r="AH7" s="506">
        <v>1.25</v>
      </c>
      <c r="AI7" s="506">
        <v>1.25</v>
      </c>
      <c r="AJ7" s="506">
        <v>1.25</v>
      </c>
      <c r="AK7" s="506">
        <v>1.25</v>
      </c>
      <c r="AL7" s="506">
        <v>1.25</v>
      </c>
      <c r="AM7" s="506">
        <v>1.25</v>
      </c>
      <c r="AN7" s="506">
        <v>1.25</v>
      </c>
      <c r="AO7" s="506">
        <v>1.25</v>
      </c>
      <c r="AP7" s="506">
        <v>1.25</v>
      </c>
      <c r="AQ7" s="9"/>
      <c r="AR7" s="9"/>
    </row>
    <row r="8" spans="2:51" x14ac:dyDescent="0.25">
      <c r="B8" s="1016"/>
      <c r="C8" s="1018"/>
      <c r="D8" s="505" t="s">
        <v>261</v>
      </c>
      <c r="E8" s="506">
        <v>1.35</v>
      </c>
      <c r="F8" s="506">
        <v>1.35</v>
      </c>
      <c r="G8" s="506">
        <v>1.35</v>
      </c>
      <c r="H8" s="506">
        <v>1.35</v>
      </c>
      <c r="I8" s="506">
        <v>1.35</v>
      </c>
      <c r="J8" s="506">
        <v>1.35</v>
      </c>
      <c r="K8" s="506">
        <v>1.35</v>
      </c>
      <c r="L8" s="506">
        <v>1.35</v>
      </c>
      <c r="M8" s="506">
        <v>1.35</v>
      </c>
      <c r="N8" s="506">
        <v>1.35</v>
      </c>
      <c r="O8" s="506">
        <v>1.35</v>
      </c>
      <c r="P8" s="506">
        <v>1.35</v>
      </c>
      <c r="Q8" s="506">
        <v>1.35</v>
      </c>
      <c r="R8" s="506">
        <v>1.35</v>
      </c>
      <c r="S8" s="506">
        <v>1.35</v>
      </c>
      <c r="T8" s="506">
        <v>1.35</v>
      </c>
      <c r="U8" s="506">
        <v>1.35</v>
      </c>
      <c r="V8" s="506">
        <v>1.35</v>
      </c>
      <c r="W8" s="506">
        <v>1.35</v>
      </c>
      <c r="X8" s="506">
        <v>1.35</v>
      </c>
      <c r="Y8" s="506">
        <v>1.35</v>
      </c>
      <c r="Z8" s="506">
        <v>1.35</v>
      </c>
      <c r="AA8" s="506">
        <v>1.35</v>
      </c>
      <c r="AB8" s="506">
        <v>1.35</v>
      </c>
      <c r="AC8" s="506">
        <v>1.35</v>
      </c>
      <c r="AD8" s="506">
        <v>1.35</v>
      </c>
      <c r="AE8" s="506">
        <v>1.35</v>
      </c>
      <c r="AF8" s="506">
        <v>1.35</v>
      </c>
      <c r="AG8" s="506">
        <v>1.35</v>
      </c>
      <c r="AH8" s="506">
        <v>1.35</v>
      </c>
      <c r="AI8" s="506">
        <v>1.35</v>
      </c>
      <c r="AJ8" s="506">
        <v>1.35</v>
      </c>
      <c r="AK8" s="506">
        <v>1.35</v>
      </c>
      <c r="AL8" s="506">
        <v>1.35</v>
      </c>
      <c r="AM8" s="506">
        <v>1.35</v>
      </c>
      <c r="AN8" s="506">
        <v>1.35</v>
      </c>
      <c r="AO8" s="506">
        <v>1.35</v>
      </c>
      <c r="AP8" s="506">
        <v>1.35</v>
      </c>
      <c r="AQ8" s="9"/>
      <c r="AR8" s="9"/>
    </row>
    <row r="9" spans="2:51" x14ac:dyDescent="0.25">
      <c r="B9" s="1016"/>
      <c r="C9" s="1018"/>
      <c r="D9" s="505" t="s">
        <v>262</v>
      </c>
      <c r="E9" s="506">
        <v>1.5</v>
      </c>
      <c r="F9" s="506">
        <v>1.5</v>
      </c>
      <c r="G9" s="506">
        <v>1.5</v>
      </c>
      <c r="H9" s="506">
        <v>1.5</v>
      </c>
      <c r="I9" s="506">
        <v>1.5</v>
      </c>
      <c r="J9" s="506">
        <v>1.5</v>
      </c>
      <c r="K9" s="506">
        <v>1.5</v>
      </c>
      <c r="L9" s="506">
        <v>1.5</v>
      </c>
      <c r="M9" s="506">
        <v>1.5</v>
      </c>
      <c r="N9" s="506">
        <v>1.5</v>
      </c>
      <c r="O9" s="506">
        <v>1.5</v>
      </c>
      <c r="P9" s="506">
        <v>1.5</v>
      </c>
      <c r="Q9" s="506">
        <v>1.5</v>
      </c>
      <c r="R9" s="506">
        <v>1.5</v>
      </c>
      <c r="S9" s="506">
        <v>1.5</v>
      </c>
      <c r="T9" s="506">
        <v>1.5</v>
      </c>
      <c r="U9" s="506">
        <v>1.5</v>
      </c>
      <c r="V9" s="506">
        <v>1.5</v>
      </c>
      <c r="W9" s="506">
        <v>1.5</v>
      </c>
      <c r="X9" s="506">
        <v>1.5</v>
      </c>
      <c r="Y9" s="506">
        <v>1.5</v>
      </c>
      <c r="Z9" s="506">
        <v>1.5</v>
      </c>
      <c r="AA9" s="506">
        <v>1.5</v>
      </c>
      <c r="AB9" s="506">
        <v>1.5</v>
      </c>
      <c r="AC9" s="506">
        <v>1.5</v>
      </c>
      <c r="AD9" s="506">
        <v>1.5</v>
      </c>
      <c r="AE9" s="506">
        <v>1.5</v>
      </c>
      <c r="AF9" s="506">
        <v>1.5</v>
      </c>
      <c r="AG9" s="506">
        <v>1.5</v>
      </c>
      <c r="AH9" s="506">
        <v>1.5</v>
      </c>
      <c r="AI9" s="506">
        <v>1.5</v>
      </c>
      <c r="AJ9" s="506">
        <v>1.5</v>
      </c>
      <c r="AK9" s="506">
        <v>1.5</v>
      </c>
      <c r="AL9" s="506">
        <v>1.5</v>
      </c>
      <c r="AM9" s="506">
        <v>1.5</v>
      </c>
      <c r="AN9" s="506">
        <v>1.5</v>
      </c>
      <c r="AO9" s="506">
        <v>1.5</v>
      </c>
      <c r="AP9" s="506">
        <v>1.5</v>
      </c>
      <c r="AQ9" s="9"/>
      <c r="AR9" s="9"/>
    </row>
    <row r="10" spans="2:51" x14ac:dyDescent="0.25">
      <c r="B10" s="1014" t="s">
        <v>288</v>
      </c>
      <c r="C10" s="1018"/>
      <c r="D10" s="505" t="str">
        <f>$D$7</f>
        <v>II</v>
      </c>
      <c r="E10" s="504">
        <v>1.19</v>
      </c>
      <c r="F10" s="504">
        <v>1.19</v>
      </c>
      <c r="G10" s="504">
        <v>1.19</v>
      </c>
      <c r="H10" s="504">
        <v>1.19</v>
      </c>
      <c r="I10" s="504">
        <v>1.19</v>
      </c>
      <c r="J10" s="504">
        <v>1.19</v>
      </c>
      <c r="K10" s="504">
        <v>1.19</v>
      </c>
      <c r="L10" s="504">
        <v>1.19</v>
      </c>
      <c r="M10" s="504">
        <v>1.05</v>
      </c>
      <c r="N10" s="504">
        <v>1.05</v>
      </c>
      <c r="O10" s="504">
        <v>1.05</v>
      </c>
      <c r="P10" s="504">
        <v>1.05</v>
      </c>
      <c r="Q10" s="504">
        <v>1.05</v>
      </c>
      <c r="R10" s="504">
        <v>1.05</v>
      </c>
      <c r="S10" s="504">
        <v>1.05</v>
      </c>
      <c r="T10" s="504">
        <v>1.05</v>
      </c>
      <c r="U10" s="504">
        <v>1.05</v>
      </c>
      <c r="V10" s="504">
        <v>1.05</v>
      </c>
      <c r="W10" s="504">
        <v>1.05</v>
      </c>
      <c r="X10" s="504">
        <v>1.05</v>
      </c>
      <c r="Y10" s="504">
        <v>1.05</v>
      </c>
      <c r="Z10" s="504">
        <v>1.05</v>
      </c>
      <c r="AA10" s="504">
        <v>1.05</v>
      </c>
      <c r="AB10" s="504">
        <v>1.05</v>
      </c>
      <c r="AC10" s="504">
        <v>1.05</v>
      </c>
      <c r="AD10" s="504">
        <v>1.05</v>
      </c>
      <c r="AE10" s="504">
        <v>1.05</v>
      </c>
      <c r="AF10" s="504">
        <v>1.05</v>
      </c>
      <c r="AG10" s="504">
        <v>1.05</v>
      </c>
      <c r="AH10" s="504">
        <v>1.05</v>
      </c>
      <c r="AI10" s="504">
        <v>1.05</v>
      </c>
      <c r="AJ10" s="504">
        <v>1.05</v>
      </c>
      <c r="AK10" s="504">
        <v>1</v>
      </c>
      <c r="AL10" s="504">
        <v>1</v>
      </c>
      <c r="AM10" s="504">
        <v>1</v>
      </c>
      <c r="AN10" s="504">
        <v>1</v>
      </c>
      <c r="AO10" s="504">
        <v>1</v>
      </c>
      <c r="AP10" s="504">
        <v>1.05</v>
      </c>
      <c r="AQ10" s="9"/>
      <c r="AR10" s="9"/>
    </row>
    <row r="11" spans="2:51" x14ac:dyDescent="0.25">
      <c r="B11" s="1014"/>
      <c r="C11" s="1018"/>
      <c r="D11" s="505" t="str">
        <f>$D$8</f>
        <v>III</v>
      </c>
      <c r="E11" s="504">
        <v>1.01</v>
      </c>
      <c r="F11" s="504">
        <v>1.01</v>
      </c>
      <c r="G11" s="504">
        <v>1.01</v>
      </c>
      <c r="H11" s="504">
        <v>1.01</v>
      </c>
      <c r="I11" s="504">
        <v>1.01</v>
      </c>
      <c r="J11" s="504">
        <v>1.01</v>
      </c>
      <c r="K11" s="504">
        <v>1.01</v>
      </c>
      <c r="L11" s="504">
        <v>1.01</v>
      </c>
      <c r="M11" s="504">
        <v>0.95</v>
      </c>
      <c r="N11" s="504">
        <v>0.95</v>
      </c>
      <c r="O11" s="504">
        <v>0.95</v>
      </c>
      <c r="P11" s="504">
        <v>0.95</v>
      </c>
      <c r="Q11" s="504">
        <v>0.95</v>
      </c>
      <c r="R11" s="504">
        <v>0.95</v>
      </c>
      <c r="S11" s="504">
        <v>0.95</v>
      </c>
      <c r="T11" s="504">
        <v>0.95</v>
      </c>
      <c r="U11" s="504">
        <v>0.95</v>
      </c>
      <c r="V11" s="504">
        <v>0.95</v>
      </c>
      <c r="W11" s="504">
        <v>0.95</v>
      </c>
      <c r="X11" s="504">
        <v>0.95</v>
      </c>
      <c r="Y11" s="504">
        <v>0.95</v>
      </c>
      <c r="Z11" s="504">
        <v>0.95</v>
      </c>
      <c r="AA11" s="504">
        <v>0.95</v>
      </c>
      <c r="AB11" s="504">
        <v>0.95</v>
      </c>
      <c r="AC11" s="504">
        <v>0.95</v>
      </c>
      <c r="AD11" s="504">
        <v>0.95</v>
      </c>
      <c r="AE11" s="504">
        <v>0.95</v>
      </c>
      <c r="AF11" s="504">
        <v>0.95</v>
      </c>
      <c r="AG11" s="504">
        <v>0.95</v>
      </c>
      <c r="AH11" s="504">
        <v>0.95</v>
      </c>
      <c r="AI11" s="504">
        <v>0.95</v>
      </c>
      <c r="AJ11" s="504">
        <v>0.95</v>
      </c>
      <c r="AK11" s="504">
        <v>0.9</v>
      </c>
      <c r="AL11" s="504">
        <v>0.9</v>
      </c>
      <c r="AM11" s="504">
        <v>0.9</v>
      </c>
      <c r="AN11" s="504">
        <v>0.9</v>
      </c>
      <c r="AO11" s="504">
        <v>0.9</v>
      </c>
      <c r="AP11" s="504">
        <v>0.95</v>
      </c>
      <c r="AQ11" s="9"/>
      <c r="AR11" s="9"/>
    </row>
    <row r="12" spans="2:51" x14ac:dyDescent="0.25">
      <c r="B12" s="1014"/>
      <c r="C12" s="1018"/>
      <c r="D12" s="505" t="str">
        <f>$D$9</f>
        <v>IV</v>
      </c>
      <c r="E12" s="504">
        <v>0.9</v>
      </c>
      <c r="F12" s="504">
        <v>0.9</v>
      </c>
      <c r="G12" s="504">
        <v>0.9</v>
      </c>
      <c r="H12" s="504">
        <v>0.9</v>
      </c>
      <c r="I12" s="504">
        <v>0.9</v>
      </c>
      <c r="J12" s="504">
        <v>0.9</v>
      </c>
      <c r="K12" s="504">
        <v>0.9</v>
      </c>
      <c r="L12" s="504">
        <v>0.9</v>
      </c>
      <c r="M12" s="504">
        <v>0.9</v>
      </c>
      <c r="N12" s="504">
        <v>0.9</v>
      </c>
      <c r="O12" s="504">
        <v>0.9</v>
      </c>
      <c r="P12" s="504">
        <v>0.9</v>
      </c>
      <c r="Q12" s="504">
        <v>0.9</v>
      </c>
      <c r="R12" s="504">
        <v>0.9</v>
      </c>
      <c r="S12" s="504">
        <v>0.9</v>
      </c>
      <c r="T12" s="504">
        <v>0.9</v>
      </c>
      <c r="U12" s="504">
        <v>0.9</v>
      </c>
      <c r="V12" s="504">
        <v>0.9</v>
      </c>
      <c r="W12" s="504">
        <v>0.9</v>
      </c>
      <c r="X12" s="504">
        <v>0.9</v>
      </c>
      <c r="Y12" s="504">
        <v>0.9</v>
      </c>
      <c r="Z12" s="504">
        <v>0.9</v>
      </c>
      <c r="AA12" s="504">
        <v>0.9</v>
      </c>
      <c r="AB12" s="504">
        <v>0.9</v>
      </c>
      <c r="AC12" s="504">
        <v>0.9</v>
      </c>
      <c r="AD12" s="504">
        <v>0.9</v>
      </c>
      <c r="AE12" s="504">
        <v>0.9</v>
      </c>
      <c r="AF12" s="504">
        <v>0.9</v>
      </c>
      <c r="AG12" s="504">
        <v>0.9</v>
      </c>
      <c r="AH12" s="504">
        <v>0.9</v>
      </c>
      <c r="AI12" s="504">
        <v>0.9</v>
      </c>
      <c r="AJ12" s="504">
        <v>0.9</v>
      </c>
      <c r="AK12" s="504">
        <v>0.85</v>
      </c>
      <c r="AL12" s="504">
        <v>0.85</v>
      </c>
      <c r="AM12" s="504">
        <v>0.85</v>
      </c>
      <c r="AN12" s="504">
        <v>0.9</v>
      </c>
      <c r="AO12" s="504">
        <v>0.85</v>
      </c>
      <c r="AP12" s="504">
        <v>0.9</v>
      </c>
      <c r="AQ12" s="9"/>
      <c r="AR12" s="9"/>
    </row>
    <row r="13" spans="2:51" x14ac:dyDescent="0.25">
      <c r="B13" s="1014" t="s">
        <v>289</v>
      </c>
      <c r="C13" s="1018"/>
      <c r="D13" s="505" t="str">
        <f>$D$7</f>
        <v>II</v>
      </c>
      <c r="E13" s="507">
        <f t="shared" ref="E13:H13" si="0">E10/E7</f>
        <v>0.95199999999999996</v>
      </c>
      <c r="F13" s="507">
        <f t="shared" si="0"/>
        <v>0.95199999999999996</v>
      </c>
      <c r="G13" s="507">
        <f t="shared" si="0"/>
        <v>0.95199999999999996</v>
      </c>
      <c r="H13" s="507">
        <f t="shared" si="0"/>
        <v>0.95199999999999996</v>
      </c>
      <c r="I13" s="507">
        <f t="shared" ref="I13:L13" si="1">I10/I7</f>
        <v>0.95199999999999996</v>
      </c>
      <c r="J13" s="507">
        <f t="shared" si="1"/>
        <v>0.95199999999999996</v>
      </c>
      <c r="K13" s="507">
        <f t="shared" si="1"/>
        <v>0.95199999999999996</v>
      </c>
      <c r="L13" s="507">
        <f t="shared" si="1"/>
        <v>0.95199999999999996</v>
      </c>
      <c r="M13" s="507">
        <f t="shared" ref="M13:P13" si="2">M10/M7</f>
        <v>0.84000000000000008</v>
      </c>
      <c r="N13" s="507">
        <f t="shared" si="2"/>
        <v>0.84000000000000008</v>
      </c>
      <c r="O13" s="507">
        <f t="shared" si="2"/>
        <v>0.84000000000000008</v>
      </c>
      <c r="P13" s="507">
        <f t="shared" si="2"/>
        <v>0.84000000000000008</v>
      </c>
      <c r="Q13" s="507">
        <f t="shared" ref="Q13:T13" si="3">Q10/Q7</f>
        <v>0.84000000000000008</v>
      </c>
      <c r="R13" s="507">
        <f t="shared" si="3"/>
        <v>0.84000000000000008</v>
      </c>
      <c r="S13" s="507">
        <f t="shared" si="3"/>
        <v>0.84000000000000008</v>
      </c>
      <c r="T13" s="507">
        <f t="shared" si="3"/>
        <v>0.84000000000000008</v>
      </c>
      <c r="U13" s="507">
        <f t="shared" ref="U13" si="4">U10/U7</f>
        <v>0.84000000000000008</v>
      </c>
      <c r="V13" s="507">
        <f t="shared" ref="V13" si="5">V10/V7</f>
        <v>0.84000000000000008</v>
      </c>
      <c r="W13" s="507">
        <f t="shared" ref="W13:Z13" si="6">W10/W7</f>
        <v>0.84000000000000008</v>
      </c>
      <c r="X13" s="507">
        <f t="shared" si="6"/>
        <v>0.84000000000000008</v>
      </c>
      <c r="Y13" s="507">
        <f t="shared" si="6"/>
        <v>0.84000000000000008</v>
      </c>
      <c r="Z13" s="507">
        <f t="shared" si="6"/>
        <v>0.84000000000000008</v>
      </c>
      <c r="AA13" s="507">
        <f t="shared" ref="AA13:AB13" si="7">AA10/AA7</f>
        <v>0.84000000000000008</v>
      </c>
      <c r="AB13" s="507">
        <f t="shared" si="7"/>
        <v>0.84000000000000008</v>
      </c>
      <c r="AC13" s="507">
        <f t="shared" ref="AC13:AD13" si="8">AC10/AC7</f>
        <v>0.84000000000000008</v>
      </c>
      <c r="AD13" s="507">
        <f t="shared" si="8"/>
        <v>0.84000000000000008</v>
      </c>
      <c r="AE13" s="507">
        <f t="shared" ref="AE13:AF13" si="9">AE10/AE7</f>
        <v>0.84000000000000008</v>
      </c>
      <c r="AF13" s="507">
        <f t="shared" si="9"/>
        <v>0.84000000000000008</v>
      </c>
      <c r="AG13" s="507">
        <f t="shared" ref="AG13:AH13" si="10">AG10/AG7</f>
        <v>0.84000000000000008</v>
      </c>
      <c r="AH13" s="507">
        <f t="shared" si="10"/>
        <v>0.84000000000000008</v>
      </c>
      <c r="AI13" s="507">
        <f t="shared" ref="AI13:AN13" si="11">AI10/AI7</f>
        <v>0.84000000000000008</v>
      </c>
      <c r="AJ13" s="507">
        <f t="shared" si="11"/>
        <v>0.84000000000000008</v>
      </c>
      <c r="AK13" s="507">
        <f t="shared" si="11"/>
        <v>0.8</v>
      </c>
      <c r="AL13" s="507">
        <f t="shared" si="11"/>
        <v>0.8</v>
      </c>
      <c r="AM13" s="507">
        <f t="shared" si="11"/>
        <v>0.8</v>
      </c>
      <c r="AN13" s="507">
        <f t="shared" si="11"/>
        <v>0.8</v>
      </c>
      <c r="AO13" s="507">
        <f t="shared" ref="AO13:AP13" si="12">AO10/AO7</f>
        <v>0.8</v>
      </c>
      <c r="AP13" s="507">
        <f t="shared" si="12"/>
        <v>0.84000000000000008</v>
      </c>
      <c r="AQ13" s="174"/>
      <c r="AR13" s="174"/>
    </row>
    <row r="14" spans="2:51" x14ac:dyDescent="0.25">
      <c r="B14" s="1014"/>
      <c r="C14" s="1018"/>
      <c r="D14" s="505" t="str">
        <f>$D$8</f>
        <v>III</v>
      </c>
      <c r="E14" s="507">
        <f t="shared" ref="E14:H14" si="13">E11/E8</f>
        <v>0.74814814814814812</v>
      </c>
      <c r="F14" s="507">
        <f t="shared" si="13"/>
        <v>0.74814814814814812</v>
      </c>
      <c r="G14" s="507">
        <f t="shared" si="13"/>
        <v>0.74814814814814812</v>
      </c>
      <c r="H14" s="507">
        <f t="shared" si="13"/>
        <v>0.74814814814814812</v>
      </c>
      <c r="I14" s="507">
        <f t="shared" ref="I14:L14" si="14">I11/I8</f>
        <v>0.74814814814814812</v>
      </c>
      <c r="J14" s="507">
        <f t="shared" si="14"/>
        <v>0.74814814814814812</v>
      </c>
      <c r="K14" s="507">
        <f t="shared" si="14"/>
        <v>0.74814814814814812</v>
      </c>
      <c r="L14" s="507">
        <f t="shared" si="14"/>
        <v>0.74814814814814812</v>
      </c>
      <c r="M14" s="507">
        <f t="shared" ref="M14:P14" si="15">M11/M8</f>
        <v>0.70370370370370361</v>
      </c>
      <c r="N14" s="507">
        <f t="shared" si="15"/>
        <v>0.70370370370370361</v>
      </c>
      <c r="O14" s="507">
        <f t="shared" si="15"/>
        <v>0.70370370370370361</v>
      </c>
      <c r="P14" s="507">
        <f t="shared" si="15"/>
        <v>0.70370370370370361</v>
      </c>
      <c r="Q14" s="507">
        <f t="shared" ref="Q14:T14" si="16">Q11/Q8</f>
        <v>0.70370370370370361</v>
      </c>
      <c r="R14" s="507">
        <f t="shared" si="16"/>
        <v>0.70370370370370361</v>
      </c>
      <c r="S14" s="507">
        <f t="shared" si="16"/>
        <v>0.70370370370370361</v>
      </c>
      <c r="T14" s="507">
        <f t="shared" si="16"/>
        <v>0.70370370370370361</v>
      </c>
      <c r="U14" s="507">
        <f t="shared" ref="U14:V15" si="17">U11/U8</f>
        <v>0.70370370370370361</v>
      </c>
      <c r="V14" s="507">
        <f t="shared" si="17"/>
        <v>0.70370370370370361</v>
      </c>
      <c r="W14" s="507">
        <f t="shared" ref="W14:Z14" si="18">W11/W8</f>
        <v>0.70370370370370361</v>
      </c>
      <c r="X14" s="507">
        <f t="shared" si="18"/>
        <v>0.70370370370370361</v>
      </c>
      <c r="Y14" s="507">
        <f t="shared" si="18"/>
        <v>0.70370370370370361</v>
      </c>
      <c r="Z14" s="507">
        <f t="shared" si="18"/>
        <v>0.70370370370370361</v>
      </c>
      <c r="AA14" s="507">
        <f t="shared" ref="AA14:AB14" si="19">AA11/AA8</f>
        <v>0.70370370370370361</v>
      </c>
      <c r="AB14" s="507">
        <f t="shared" si="19"/>
        <v>0.70370370370370361</v>
      </c>
      <c r="AC14" s="507">
        <f t="shared" ref="AC14:AD14" si="20">AC11/AC8</f>
        <v>0.70370370370370361</v>
      </c>
      <c r="AD14" s="507">
        <f t="shared" si="20"/>
        <v>0.70370370370370361</v>
      </c>
      <c r="AE14" s="507">
        <f t="shared" ref="AE14:AF14" si="21">AE11/AE8</f>
        <v>0.70370370370370361</v>
      </c>
      <c r="AF14" s="507">
        <f t="shared" si="21"/>
        <v>0.70370370370370361</v>
      </c>
      <c r="AG14" s="507">
        <f t="shared" ref="AG14:AH14" si="22">AG11/AG8</f>
        <v>0.70370370370370361</v>
      </c>
      <c r="AH14" s="507">
        <f t="shared" si="22"/>
        <v>0.70370370370370361</v>
      </c>
      <c r="AI14" s="507">
        <f t="shared" ref="AI14:AN14" si="23">AI11/AI8</f>
        <v>0.70370370370370361</v>
      </c>
      <c r="AJ14" s="507">
        <f t="shared" si="23"/>
        <v>0.70370370370370361</v>
      </c>
      <c r="AK14" s="507">
        <f t="shared" si="23"/>
        <v>0.66666666666666663</v>
      </c>
      <c r="AL14" s="507">
        <f t="shared" si="23"/>
        <v>0.66666666666666663</v>
      </c>
      <c r="AM14" s="507">
        <f t="shared" si="23"/>
        <v>0.66666666666666663</v>
      </c>
      <c r="AN14" s="507">
        <f t="shared" si="23"/>
        <v>0.66666666666666663</v>
      </c>
      <c r="AO14" s="507">
        <f t="shared" ref="AO14:AP14" si="24">AO11/AO8</f>
        <v>0.66666666666666663</v>
      </c>
      <c r="AP14" s="507">
        <f t="shared" si="24"/>
        <v>0.70370370370370361</v>
      </c>
      <c r="AQ14" s="174"/>
      <c r="AR14" s="174"/>
    </row>
    <row r="15" spans="2:51" x14ac:dyDescent="0.25">
      <c r="B15" s="1014"/>
      <c r="C15" s="1018"/>
      <c r="D15" s="505" t="str">
        <f>$D$9</f>
        <v>IV</v>
      </c>
      <c r="E15" s="507">
        <f t="shared" ref="E15:H15" si="25">E12/E9</f>
        <v>0.6</v>
      </c>
      <c r="F15" s="507">
        <f t="shared" si="25"/>
        <v>0.6</v>
      </c>
      <c r="G15" s="507">
        <f t="shared" si="25"/>
        <v>0.6</v>
      </c>
      <c r="H15" s="507">
        <f t="shared" si="25"/>
        <v>0.6</v>
      </c>
      <c r="I15" s="507">
        <f t="shared" ref="I15:L15" si="26">I12/I9</f>
        <v>0.6</v>
      </c>
      <c r="J15" s="507">
        <f t="shared" si="26"/>
        <v>0.6</v>
      </c>
      <c r="K15" s="507">
        <f t="shared" si="26"/>
        <v>0.6</v>
      </c>
      <c r="L15" s="507">
        <f t="shared" si="26"/>
        <v>0.6</v>
      </c>
      <c r="M15" s="507">
        <f t="shared" ref="M15:P15" si="27">M12/M9</f>
        <v>0.6</v>
      </c>
      <c r="N15" s="507">
        <f t="shared" si="27"/>
        <v>0.6</v>
      </c>
      <c r="O15" s="507">
        <f t="shared" si="27"/>
        <v>0.6</v>
      </c>
      <c r="P15" s="507">
        <f t="shared" si="27"/>
        <v>0.6</v>
      </c>
      <c r="Q15" s="507">
        <f t="shared" ref="Q15:T15" si="28">Q12/Q9</f>
        <v>0.6</v>
      </c>
      <c r="R15" s="507">
        <f t="shared" si="28"/>
        <v>0.6</v>
      </c>
      <c r="S15" s="507">
        <f t="shared" si="28"/>
        <v>0.6</v>
      </c>
      <c r="T15" s="507">
        <f t="shared" si="28"/>
        <v>0.6</v>
      </c>
      <c r="U15" s="507">
        <f t="shared" si="17"/>
        <v>0.6</v>
      </c>
      <c r="V15" s="507">
        <f t="shared" si="17"/>
        <v>0.6</v>
      </c>
      <c r="W15" s="507">
        <f t="shared" ref="W15:Z15" si="29">W12/W9</f>
        <v>0.6</v>
      </c>
      <c r="X15" s="507">
        <f t="shared" si="29"/>
        <v>0.6</v>
      </c>
      <c r="Y15" s="507">
        <f t="shared" si="29"/>
        <v>0.6</v>
      </c>
      <c r="Z15" s="507">
        <f t="shared" si="29"/>
        <v>0.6</v>
      </c>
      <c r="AA15" s="507">
        <f t="shared" ref="AA15:AB15" si="30">AA12/AA9</f>
        <v>0.6</v>
      </c>
      <c r="AB15" s="507">
        <f t="shared" si="30"/>
        <v>0.6</v>
      </c>
      <c r="AC15" s="507">
        <f t="shared" ref="AC15:AD15" si="31">AC12/AC9</f>
        <v>0.6</v>
      </c>
      <c r="AD15" s="507">
        <f t="shared" si="31"/>
        <v>0.6</v>
      </c>
      <c r="AE15" s="507">
        <f t="shared" ref="AE15:AF15" si="32">AE12/AE9</f>
        <v>0.6</v>
      </c>
      <c r="AF15" s="507">
        <f t="shared" si="32"/>
        <v>0.6</v>
      </c>
      <c r="AG15" s="507">
        <f t="shared" ref="AG15:AH15" si="33">AG12/AG9</f>
        <v>0.6</v>
      </c>
      <c r="AH15" s="507">
        <f t="shared" si="33"/>
        <v>0.6</v>
      </c>
      <c r="AI15" s="507">
        <f t="shared" ref="AI15:AN15" si="34">AI12/AI9</f>
        <v>0.6</v>
      </c>
      <c r="AJ15" s="507">
        <f t="shared" si="34"/>
        <v>0.6</v>
      </c>
      <c r="AK15" s="507">
        <f t="shared" si="34"/>
        <v>0.56666666666666665</v>
      </c>
      <c r="AL15" s="507">
        <f t="shared" si="34"/>
        <v>0.56666666666666665</v>
      </c>
      <c r="AM15" s="507">
        <f t="shared" si="34"/>
        <v>0.56666666666666665</v>
      </c>
      <c r="AN15" s="507">
        <f t="shared" si="34"/>
        <v>0.6</v>
      </c>
      <c r="AO15" s="507">
        <f t="shared" ref="AO15:AP15" si="35">AO12/AO9</f>
        <v>0.56666666666666665</v>
      </c>
      <c r="AP15" s="507">
        <f t="shared" si="35"/>
        <v>0.6</v>
      </c>
      <c r="AQ15" s="174"/>
      <c r="AR15" s="174"/>
    </row>
    <row r="16" spans="2:51" x14ac:dyDescent="0.25">
      <c r="B16" s="1014" t="s">
        <v>290</v>
      </c>
      <c r="C16" s="1015" t="s">
        <v>433</v>
      </c>
      <c r="D16" s="505" t="str">
        <f>$D$7</f>
        <v>II</v>
      </c>
      <c r="E16" s="507">
        <f t="shared" ref="E16:H16" si="36">E$6*E13</f>
        <v>6.3784000000000001</v>
      </c>
      <c r="F16" s="507">
        <f t="shared" si="36"/>
        <v>6.3784000000000001</v>
      </c>
      <c r="G16" s="507">
        <f t="shared" si="36"/>
        <v>6.3784000000000001</v>
      </c>
      <c r="H16" s="507">
        <f t="shared" si="36"/>
        <v>6.3784000000000001</v>
      </c>
      <c r="I16" s="507">
        <f t="shared" ref="I16:L16" si="37">I$6*I13</f>
        <v>12.375999999999999</v>
      </c>
      <c r="J16" s="507">
        <f t="shared" si="37"/>
        <v>12.375999999999999</v>
      </c>
      <c r="K16" s="507">
        <f t="shared" si="37"/>
        <v>12.375999999999999</v>
      </c>
      <c r="L16" s="507">
        <f t="shared" si="37"/>
        <v>12.375999999999999</v>
      </c>
      <c r="M16" s="507">
        <f t="shared" ref="M16:P16" si="38">M$6*M13</f>
        <v>5.2920000000000007</v>
      </c>
      <c r="N16" s="507">
        <f t="shared" si="38"/>
        <v>5.2920000000000007</v>
      </c>
      <c r="O16" s="507">
        <f t="shared" si="38"/>
        <v>5.2920000000000007</v>
      </c>
      <c r="P16" s="507">
        <f t="shared" si="38"/>
        <v>5.2920000000000007</v>
      </c>
      <c r="Q16" s="507">
        <f t="shared" ref="Q16:T16" si="39">Q$6*Q13</f>
        <v>8.9879999999999995</v>
      </c>
      <c r="R16" s="507">
        <f t="shared" si="39"/>
        <v>8.9879999999999995</v>
      </c>
      <c r="S16" s="507">
        <f t="shared" si="39"/>
        <v>8.9879999999999995</v>
      </c>
      <c r="T16" s="507">
        <f t="shared" si="39"/>
        <v>8.9879999999999995</v>
      </c>
      <c r="U16" s="507">
        <f t="shared" ref="U16:AB16" si="40">U$6*U13</f>
        <v>28.224000000000004</v>
      </c>
      <c r="V16" s="507">
        <f t="shared" si="40"/>
        <v>28.224000000000004</v>
      </c>
      <c r="W16" s="507">
        <f t="shared" si="40"/>
        <v>29.400000000000002</v>
      </c>
      <c r="X16" s="507">
        <f t="shared" si="40"/>
        <v>29.400000000000002</v>
      </c>
      <c r="Y16" s="507">
        <f t="shared" ref="Y16:Z16" si="41">Y$6*Y13</f>
        <v>29.400000000000002</v>
      </c>
      <c r="Z16" s="507">
        <f t="shared" si="41"/>
        <v>29.400000000000002</v>
      </c>
      <c r="AA16" s="507">
        <f t="shared" si="40"/>
        <v>15.120000000000001</v>
      </c>
      <c r="AB16" s="507">
        <f t="shared" si="40"/>
        <v>15.120000000000001</v>
      </c>
      <c r="AC16" s="507">
        <f t="shared" ref="AC16:AD16" si="42">AC$6*AC13</f>
        <v>12.600000000000001</v>
      </c>
      <c r="AD16" s="507">
        <f t="shared" si="42"/>
        <v>12.600000000000001</v>
      </c>
      <c r="AE16" s="507">
        <f t="shared" ref="AE16:AF16" si="43">AE$6*AE13</f>
        <v>10.080000000000002</v>
      </c>
      <c r="AF16" s="507">
        <f t="shared" si="43"/>
        <v>10.080000000000002</v>
      </c>
      <c r="AG16" s="507">
        <f t="shared" ref="AG16:AH16" si="44">AG$6*AG13</f>
        <v>8.4</v>
      </c>
      <c r="AH16" s="507">
        <f t="shared" si="44"/>
        <v>8.4</v>
      </c>
      <c r="AI16" s="507">
        <f t="shared" ref="AI16:AN16" si="45">AI$6*AI13</f>
        <v>5.2920000000000007</v>
      </c>
      <c r="AJ16" s="507">
        <f t="shared" si="45"/>
        <v>6.7200000000000006</v>
      </c>
      <c r="AK16" s="507">
        <f t="shared" si="45"/>
        <v>8</v>
      </c>
      <c r="AL16" s="507">
        <f t="shared" si="45"/>
        <v>8</v>
      </c>
      <c r="AM16" s="507">
        <f t="shared" si="45"/>
        <v>8</v>
      </c>
      <c r="AN16" s="507">
        <f t="shared" si="45"/>
        <v>8</v>
      </c>
      <c r="AO16" s="507">
        <f t="shared" ref="AO16:AP16" si="46">AO$6*AO13</f>
        <v>8</v>
      </c>
      <c r="AP16" s="507">
        <f t="shared" si="46"/>
        <v>8.4</v>
      </c>
      <c r="AQ16" s="174"/>
      <c r="AR16" s="174"/>
    </row>
    <row r="17" spans="2:44" x14ac:dyDescent="0.25">
      <c r="B17" s="1014"/>
      <c r="C17" s="1015"/>
      <c r="D17" s="505" t="str">
        <f>$D$8</f>
        <v>III</v>
      </c>
      <c r="E17" s="507">
        <f t="shared" ref="E17:H17" si="47">E$6*E14</f>
        <v>5.0125925925925925</v>
      </c>
      <c r="F17" s="507">
        <f t="shared" si="47"/>
        <v>5.0125925925925925</v>
      </c>
      <c r="G17" s="507">
        <f t="shared" si="47"/>
        <v>5.0125925925925925</v>
      </c>
      <c r="H17" s="507">
        <f t="shared" si="47"/>
        <v>5.0125925925925925</v>
      </c>
      <c r="I17" s="507">
        <f t="shared" ref="I17:L17" si="48">I$6*I14</f>
        <v>9.7259259259259263</v>
      </c>
      <c r="J17" s="507">
        <f t="shared" si="48"/>
        <v>9.7259259259259263</v>
      </c>
      <c r="K17" s="507">
        <f t="shared" si="48"/>
        <v>9.7259259259259263</v>
      </c>
      <c r="L17" s="507">
        <f t="shared" si="48"/>
        <v>9.7259259259259263</v>
      </c>
      <c r="M17" s="507">
        <f t="shared" ref="M17:P17" si="49">M$6*M14</f>
        <v>4.4333333333333327</v>
      </c>
      <c r="N17" s="507">
        <f t="shared" si="49"/>
        <v>4.4333333333333327</v>
      </c>
      <c r="O17" s="507">
        <f t="shared" si="49"/>
        <v>4.4333333333333327</v>
      </c>
      <c r="P17" s="507">
        <f t="shared" si="49"/>
        <v>4.4333333333333327</v>
      </c>
      <c r="Q17" s="507">
        <f t="shared" ref="Q17:T17" si="50">Q$6*Q14</f>
        <v>7.5296296296296283</v>
      </c>
      <c r="R17" s="507">
        <f t="shared" si="50"/>
        <v>7.5296296296296283</v>
      </c>
      <c r="S17" s="507">
        <f t="shared" si="50"/>
        <v>7.5296296296296283</v>
      </c>
      <c r="T17" s="507">
        <f t="shared" si="50"/>
        <v>7.5296296296296283</v>
      </c>
      <c r="U17" s="507">
        <f t="shared" ref="U17:V18" si="51">U$6*U14</f>
        <v>23.644444444444442</v>
      </c>
      <c r="V17" s="507">
        <f t="shared" si="51"/>
        <v>23.644444444444442</v>
      </c>
      <c r="W17" s="507">
        <f t="shared" ref="W17:Z17" si="52">W$6*W14</f>
        <v>24.629629629629626</v>
      </c>
      <c r="X17" s="507">
        <f t="shared" si="52"/>
        <v>24.629629629629626</v>
      </c>
      <c r="Y17" s="507">
        <f t="shared" si="52"/>
        <v>24.629629629629626</v>
      </c>
      <c r="Z17" s="507">
        <f t="shared" si="52"/>
        <v>24.629629629629626</v>
      </c>
      <c r="AA17" s="507">
        <f t="shared" ref="AA17:AB17" si="53">AA$6*AA14</f>
        <v>12.666666666666664</v>
      </c>
      <c r="AB17" s="507">
        <f t="shared" si="53"/>
        <v>12.666666666666664</v>
      </c>
      <c r="AC17" s="507">
        <f t="shared" ref="AC17:AD17" si="54">AC$6*AC14</f>
        <v>10.555555555555554</v>
      </c>
      <c r="AD17" s="507">
        <f t="shared" si="54"/>
        <v>10.555555555555554</v>
      </c>
      <c r="AE17" s="507">
        <f t="shared" ref="AE17:AF17" si="55">AE$6*AE14</f>
        <v>8.4444444444444429</v>
      </c>
      <c r="AF17" s="507">
        <f t="shared" si="55"/>
        <v>8.4444444444444429</v>
      </c>
      <c r="AG17" s="507">
        <f t="shared" ref="AG17:AH17" si="56">AG$6*AG14</f>
        <v>7.0370370370370363</v>
      </c>
      <c r="AH17" s="507">
        <f t="shared" si="56"/>
        <v>7.0370370370370363</v>
      </c>
      <c r="AI17" s="507">
        <f t="shared" ref="AI17:AN17" si="57">AI$6*AI14</f>
        <v>4.4333333333333327</v>
      </c>
      <c r="AJ17" s="507">
        <f t="shared" si="57"/>
        <v>5.6296296296296289</v>
      </c>
      <c r="AK17" s="507">
        <f t="shared" si="57"/>
        <v>6.6666666666666661</v>
      </c>
      <c r="AL17" s="507">
        <f t="shared" si="57"/>
        <v>6.6666666666666661</v>
      </c>
      <c r="AM17" s="507">
        <f t="shared" si="57"/>
        <v>6.6666666666666661</v>
      </c>
      <c r="AN17" s="507">
        <f t="shared" si="57"/>
        <v>6.6666666666666661</v>
      </c>
      <c r="AO17" s="507">
        <f t="shared" ref="AO17:AP17" si="58">AO$6*AO14</f>
        <v>6.6666666666666661</v>
      </c>
      <c r="AP17" s="507">
        <f t="shared" si="58"/>
        <v>7.0370370370370363</v>
      </c>
      <c r="AQ17" s="174"/>
      <c r="AR17" s="174"/>
    </row>
    <row r="18" spans="2:44" x14ac:dyDescent="0.25">
      <c r="B18" s="1014"/>
      <c r="C18" s="1015"/>
      <c r="D18" s="505" t="str">
        <f>$D$9</f>
        <v>IV</v>
      </c>
      <c r="E18" s="507">
        <f t="shared" ref="E18:H18" si="59">E$6*E15</f>
        <v>4.0199999999999996</v>
      </c>
      <c r="F18" s="507">
        <f t="shared" si="59"/>
        <v>4.0199999999999996</v>
      </c>
      <c r="G18" s="507">
        <f t="shared" si="59"/>
        <v>4.0199999999999996</v>
      </c>
      <c r="H18" s="507">
        <f t="shared" si="59"/>
        <v>4.0199999999999996</v>
      </c>
      <c r="I18" s="507">
        <f t="shared" ref="I18:L18" si="60">I$6*I15</f>
        <v>7.8</v>
      </c>
      <c r="J18" s="507">
        <f t="shared" si="60"/>
        <v>7.8</v>
      </c>
      <c r="K18" s="507">
        <f t="shared" si="60"/>
        <v>7.8</v>
      </c>
      <c r="L18" s="507">
        <f t="shared" si="60"/>
        <v>7.8</v>
      </c>
      <c r="M18" s="507">
        <f t="shared" ref="M18:P18" si="61">M$6*M15</f>
        <v>3.78</v>
      </c>
      <c r="N18" s="507">
        <f t="shared" si="61"/>
        <v>3.78</v>
      </c>
      <c r="O18" s="507">
        <f t="shared" si="61"/>
        <v>3.78</v>
      </c>
      <c r="P18" s="507">
        <f t="shared" si="61"/>
        <v>3.78</v>
      </c>
      <c r="Q18" s="507">
        <f t="shared" ref="Q18:T18" si="62">Q$6*Q15</f>
        <v>6.419999999999999</v>
      </c>
      <c r="R18" s="507">
        <f t="shared" si="62"/>
        <v>6.419999999999999</v>
      </c>
      <c r="S18" s="507">
        <f t="shared" si="62"/>
        <v>6.419999999999999</v>
      </c>
      <c r="T18" s="507">
        <f t="shared" si="62"/>
        <v>6.419999999999999</v>
      </c>
      <c r="U18" s="507">
        <f t="shared" si="51"/>
        <v>20.16</v>
      </c>
      <c r="V18" s="507">
        <f t="shared" si="51"/>
        <v>20.16</v>
      </c>
      <c r="W18" s="507">
        <f t="shared" ref="W18:Z18" si="63">W$6*W15</f>
        <v>21</v>
      </c>
      <c r="X18" s="507">
        <f t="shared" si="63"/>
        <v>21</v>
      </c>
      <c r="Y18" s="507">
        <f t="shared" si="63"/>
        <v>21</v>
      </c>
      <c r="Z18" s="507">
        <f t="shared" si="63"/>
        <v>21</v>
      </c>
      <c r="AA18" s="507">
        <f t="shared" ref="AA18:AB18" si="64">AA$6*AA15</f>
        <v>10.799999999999999</v>
      </c>
      <c r="AB18" s="507">
        <f t="shared" si="64"/>
        <v>10.799999999999999</v>
      </c>
      <c r="AC18" s="507">
        <f t="shared" ref="AC18:AD18" si="65">AC$6*AC15</f>
        <v>9</v>
      </c>
      <c r="AD18" s="507">
        <f t="shared" si="65"/>
        <v>9</v>
      </c>
      <c r="AE18" s="507">
        <f t="shared" ref="AE18:AF18" si="66">AE$6*AE15</f>
        <v>7.1999999999999993</v>
      </c>
      <c r="AF18" s="507">
        <f t="shared" si="66"/>
        <v>7.1999999999999993</v>
      </c>
      <c r="AG18" s="507">
        <f t="shared" ref="AG18:AH18" si="67">AG$6*AG15</f>
        <v>6</v>
      </c>
      <c r="AH18" s="507">
        <f t="shared" si="67"/>
        <v>6</v>
      </c>
      <c r="AI18" s="507">
        <f t="shared" ref="AI18:AN18" si="68">AI$6*AI15</f>
        <v>3.78</v>
      </c>
      <c r="AJ18" s="507">
        <f t="shared" si="68"/>
        <v>4.8</v>
      </c>
      <c r="AK18" s="507">
        <f t="shared" si="68"/>
        <v>5.6666666666666661</v>
      </c>
      <c r="AL18" s="507">
        <f t="shared" si="68"/>
        <v>5.6666666666666661</v>
      </c>
      <c r="AM18" s="507">
        <f t="shared" si="68"/>
        <v>5.6666666666666661</v>
      </c>
      <c r="AN18" s="507">
        <f t="shared" si="68"/>
        <v>6</v>
      </c>
      <c r="AO18" s="507">
        <f t="shared" ref="AO18:AP18" si="69">AO$6*AO15</f>
        <v>5.6666666666666661</v>
      </c>
      <c r="AP18" s="507">
        <f t="shared" si="69"/>
        <v>6</v>
      </c>
      <c r="AQ18" s="174"/>
      <c r="AR18" s="174"/>
    </row>
    <row r="19" spans="2:44" x14ac:dyDescent="0.25">
      <c r="B19" s="1014" t="s">
        <v>291</v>
      </c>
      <c r="C19" s="1015" t="s">
        <v>28</v>
      </c>
      <c r="D19" s="505" t="str">
        <f>$D$7</f>
        <v>II</v>
      </c>
      <c r="E19" s="512">
        <v>35</v>
      </c>
      <c r="F19" s="512">
        <f t="shared" ref="F19:F20" si="70">E19</f>
        <v>35</v>
      </c>
      <c r="G19" s="512">
        <f t="shared" ref="G19:G20" si="71">E19</f>
        <v>35</v>
      </c>
      <c r="H19" s="512">
        <f t="shared" ref="H19:H20" si="72">E19</f>
        <v>35</v>
      </c>
      <c r="I19" s="512">
        <v>36</v>
      </c>
      <c r="J19" s="512">
        <f t="shared" ref="J19:J20" si="73">I19</f>
        <v>36</v>
      </c>
      <c r="K19" s="512">
        <f t="shared" ref="K19:K20" si="74">I19</f>
        <v>36</v>
      </c>
      <c r="L19" s="512">
        <f t="shared" ref="L19:L20" si="75">I19</f>
        <v>36</v>
      </c>
      <c r="M19" s="512">
        <v>54</v>
      </c>
      <c r="N19" s="512">
        <f t="shared" ref="N19:N20" si="76">M19</f>
        <v>54</v>
      </c>
      <c r="O19" s="512">
        <f t="shared" ref="O19:O20" si="77">M19</f>
        <v>54</v>
      </c>
      <c r="P19" s="512">
        <f t="shared" ref="P19:P20" si="78">M19</f>
        <v>54</v>
      </c>
      <c r="Q19" s="512">
        <v>56</v>
      </c>
      <c r="R19" s="512">
        <f t="shared" ref="R19:R20" si="79">Q19</f>
        <v>56</v>
      </c>
      <c r="S19" s="512">
        <f t="shared" ref="S19:S20" si="80">Q19</f>
        <v>56</v>
      </c>
      <c r="T19" s="512">
        <f t="shared" ref="T19:T20" si="81">Q19</f>
        <v>56</v>
      </c>
      <c r="U19" s="512">
        <v>24</v>
      </c>
      <c r="V19" s="512">
        <f>$U$19</f>
        <v>24</v>
      </c>
      <c r="W19" s="512">
        <v>24</v>
      </c>
      <c r="X19" s="512">
        <f t="shared" ref="X19:X20" si="82">W19</f>
        <v>24</v>
      </c>
      <c r="Y19" s="512">
        <v>26</v>
      </c>
      <c r="Z19" s="512">
        <f t="shared" ref="Z19:Z20" si="83">Y19</f>
        <v>26</v>
      </c>
      <c r="AA19" s="512">
        <v>27</v>
      </c>
      <c r="AB19" s="512">
        <f t="shared" ref="AB19:AB20" si="84">AA19</f>
        <v>27</v>
      </c>
      <c r="AC19" s="512">
        <v>86</v>
      </c>
      <c r="AD19" s="512">
        <f t="shared" ref="AD19:AD20" si="85">AC19</f>
        <v>86</v>
      </c>
      <c r="AE19" s="512">
        <v>26</v>
      </c>
      <c r="AF19" s="512">
        <f t="shared" ref="AF19:AF20" si="86">AE19</f>
        <v>26</v>
      </c>
      <c r="AG19" s="512">
        <v>26</v>
      </c>
      <c r="AH19" s="512">
        <f t="shared" ref="AH19:AH20" si="87">AG19</f>
        <v>26</v>
      </c>
      <c r="AI19" s="512">
        <v>36</v>
      </c>
      <c r="AJ19" s="512">
        <v>40</v>
      </c>
      <c r="AK19" s="512">
        <v>56</v>
      </c>
      <c r="AL19" s="512">
        <f t="shared" ref="AL19:AL20" si="88">AK19</f>
        <v>56</v>
      </c>
      <c r="AM19" s="512">
        <f t="shared" ref="AM19:AM20" si="89">AK19</f>
        <v>56</v>
      </c>
      <c r="AN19" s="512">
        <f t="shared" ref="AN19:AN20" si="90">AK19</f>
        <v>56</v>
      </c>
      <c r="AO19" s="512">
        <f t="shared" ref="AO19:AO20" si="91">AM19</f>
        <v>56</v>
      </c>
      <c r="AP19" s="512">
        <v>44</v>
      </c>
      <c r="AQ19" s="173"/>
      <c r="AR19" s="173"/>
    </row>
    <row r="20" spans="2:44" x14ac:dyDescent="0.25">
      <c r="B20" s="1014"/>
      <c r="C20" s="1015"/>
      <c r="D20" s="505" t="str">
        <f>$D$8</f>
        <v>III</v>
      </c>
      <c r="E20" s="512">
        <v>35</v>
      </c>
      <c r="F20" s="512">
        <f t="shared" si="70"/>
        <v>35</v>
      </c>
      <c r="G20" s="512">
        <f t="shared" si="71"/>
        <v>35</v>
      </c>
      <c r="H20" s="512">
        <f t="shared" si="72"/>
        <v>35</v>
      </c>
      <c r="I20" s="512">
        <v>36</v>
      </c>
      <c r="J20" s="512">
        <f t="shared" si="73"/>
        <v>36</v>
      </c>
      <c r="K20" s="512">
        <f t="shared" si="74"/>
        <v>36</v>
      </c>
      <c r="L20" s="512">
        <f t="shared" si="75"/>
        <v>36</v>
      </c>
      <c r="M20" s="512">
        <v>56</v>
      </c>
      <c r="N20" s="512">
        <f t="shared" si="76"/>
        <v>56</v>
      </c>
      <c r="O20" s="512">
        <f t="shared" si="77"/>
        <v>56</v>
      </c>
      <c r="P20" s="512">
        <f t="shared" si="78"/>
        <v>56</v>
      </c>
      <c r="Q20" s="512">
        <v>58</v>
      </c>
      <c r="R20" s="512">
        <f t="shared" si="79"/>
        <v>58</v>
      </c>
      <c r="S20" s="512">
        <f t="shared" si="80"/>
        <v>58</v>
      </c>
      <c r="T20" s="512">
        <f t="shared" si="81"/>
        <v>58</v>
      </c>
      <c r="U20" s="512">
        <v>24</v>
      </c>
      <c r="V20" s="512">
        <f>$U$20</f>
        <v>24</v>
      </c>
      <c r="W20" s="512">
        <v>25</v>
      </c>
      <c r="X20" s="512">
        <f t="shared" si="82"/>
        <v>25</v>
      </c>
      <c r="Y20" s="512">
        <v>26</v>
      </c>
      <c r="Z20" s="512">
        <f t="shared" si="83"/>
        <v>26</v>
      </c>
      <c r="AA20" s="512">
        <v>28</v>
      </c>
      <c r="AB20" s="512">
        <f t="shared" si="84"/>
        <v>28</v>
      </c>
      <c r="AC20" s="512">
        <v>38</v>
      </c>
      <c r="AD20" s="512">
        <f t="shared" si="85"/>
        <v>38</v>
      </c>
      <c r="AE20" s="512">
        <v>27</v>
      </c>
      <c r="AF20" s="512">
        <f t="shared" si="86"/>
        <v>27</v>
      </c>
      <c r="AG20" s="512">
        <v>27</v>
      </c>
      <c r="AH20" s="512">
        <f t="shared" si="87"/>
        <v>27</v>
      </c>
      <c r="AI20" s="512">
        <v>37</v>
      </c>
      <c r="AJ20" s="512">
        <v>43</v>
      </c>
      <c r="AK20" s="512">
        <v>58</v>
      </c>
      <c r="AL20" s="512">
        <f t="shared" si="88"/>
        <v>58</v>
      </c>
      <c r="AM20" s="512">
        <f t="shared" si="89"/>
        <v>58</v>
      </c>
      <c r="AN20" s="512">
        <f t="shared" si="90"/>
        <v>58</v>
      </c>
      <c r="AO20" s="512">
        <f t="shared" si="91"/>
        <v>58</v>
      </c>
      <c r="AP20" s="512">
        <v>46</v>
      </c>
      <c r="AQ20" s="173"/>
      <c r="AR20" s="173"/>
    </row>
    <row r="21" spans="2:44" x14ac:dyDescent="0.25">
      <c r="B21" s="1014"/>
      <c r="C21" s="1015"/>
      <c r="D21" s="505" t="str">
        <f>$D$9</f>
        <v>IV</v>
      </c>
      <c r="E21" s="512">
        <v>36</v>
      </c>
      <c r="F21" s="512">
        <f>E21</f>
        <v>36</v>
      </c>
      <c r="G21" s="512">
        <f>E21</f>
        <v>36</v>
      </c>
      <c r="H21" s="512">
        <f>E21</f>
        <v>36</v>
      </c>
      <c r="I21" s="512">
        <v>38</v>
      </c>
      <c r="J21" s="512">
        <f>I21</f>
        <v>38</v>
      </c>
      <c r="K21" s="512">
        <f>I21</f>
        <v>38</v>
      </c>
      <c r="L21" s="512">
        <f>I21</f>
        <v>38</v>
      </c>
      <c r="M21" s="512">
        <v>56</v>
      </c>
      <c r="N21" s="512">
        <f>M21</f>
        <v>56</v>
      </c>
      <c r="O21" s="512">
        <f>M21</f>
        <v>56</v>
      </c>
      <c r="P21" s="512">
        <f>M21</f>
        <v>56</v>
      </c>
      <c r="Q21" s="512">
        <v>58</v>
      </c>
      <c r="R21" s="512">
        <f>Q21</f>
        <v>58</v>
      </c>
      <c r="S21" s="512">
        <f>Q21</f>
        <v>58</v>
      </c>
      <c r="T21" s="512">
        <f>Q21</f>
        <v>58</v>
      </c>
      <c r="U21" s="512">
        <v>25</v>
      </c>
      <c r="V21" s="512">
        <f>$U$21</f>
        <v>25</v>
      </c>
      <c r="W21" s="512">
        <v>25</v>
      </c>
      <c r="X21" s="512">
        <f>W21</f>
        <v>25</v>
      </c>
      <c r="Y21" s="512">
        <v>26</v>
      </c>
      <c r="Z21" s="512">
        <f>Y21</f>
        <v>26</v>
      </c>
      <c r="AA21" s="512">
        <v>32</v>
      </c>
      <c r="AB21" s="512">
        <f>AA21</f>
        <v>32</v>
      </c>
      <c r="AC21" s="512">
        <v>41</v>
      </c>
      <c r="AD21" s="512">
        <f>AC21</f>
        <v>41</v>
      </c>
      <c r="AE21" s="512">
        <v>32</v>
      </c>
      <c r="AF21" s="512">
        <f>AE21</f>
        <v>32</v>
      </c>
      <c r="AG21" s="512">
        <v>32</v>
      </c>
      <c r="AH21" s="512">
        <f>AG21</f>
        <v>32</v>
      </c>
      <c r="AI21" s="512">
        <v>38</v>
      </c>
      <c r="AJ21" s="512">
        <v>45</v>
      </c>
      <c r="AK21" s="512">
        <v>58</v>
      </c>
      <c r="AL21" s="512">
        <f>AK21</f>
        <v>58</v>
      </c>
      <c r="AM21" s="512">
        <f>AK21</f>
        <v>58</v>
      </c>
      <c r="AN21" s="512">
        <f>AK21</f>
        <v>58</v>
      </c>
      <c r="AO21" s="512">
        <f>AM21</f>
        <v>58</v>
      </c>
      <c r="AP21" s="512">
        <v>48</v>
      </c>
      <c r="AQ21" s="173"/>
      <c r="AR21" s="173"/>
    </row>
    <row r="22" spans="2:44" ht="15.75" customHeight="1" x14ac:dyDescent="0.25">
      <c r="B22" s="1014" t="s">
        <v>292</v>
      </c>
      <c r="C22" s="1015" t="s">
        <v>434</v>
      </c>
      <c r="D22" s="505" t="str">
        <f>$D$7</f>
        <v>II</v>
      </c>
      <c r="E22" s="513">
        <v>1.4</v>
      </c>
      <c r="F22" s="513">
        <v>1.4</v>
      </c>
      <c r="G22" s="513">
        <v>1.4</v>
      </c>
      <c r="H22" s="513">
        <v>1.4</v>
      </c>
      <c r="I22" s="513">
        <v>1.4</v>
      </c>
      <c r="J22" s="513">
        <v>1.4</v>
      </c>
      <c r="K22" s="513">
        <v>1.4</v>
      </c>
      <c r="L22" s="513">
        <v>1.4</v>
      </c>
      <c r="M22" s="513">
        <v>1.4</v>
      </c>
      <c r="N22" s="513">
        <v>1.4</v>
      </c>
      <c r="O22" s="513">
        <v>1.4</v>
      </c>
      <c r="P22" s="513">
        <v>1.4</v>
      </c>
      <c r="Q22" s="513">
        <v>1.4</v>
      </c>
      <c r="R22" s="513">
        <v>1.4</v>
      </c>
      <c r="S22" s="513">
        <v>1.4</v>
      </c>
      <c r="T22" s="513">
        <v>1.4</v>
      </c>
      <c r="U22" s="513">
        <v>1.4</v>
      </c>
      <c r="V22" s="513">
        <v>1.4</v>
      </c>
      <c r="W22" s="513">
        <v>1.4</v>
      </c>
      <c r="X22" s="513">
        <v>1.4</v>
      </c>
      <c r="Y22" s="513">
        <v>1.4</v>
      </c>
      <c r="Z22" s="513">
        <v>1.4</v>
      </c>
      <c r="AA22" s="513">
        <v>1.4</v>
      </c>
      <c r="AB22" s="513">
        <v>1.4</v>
      </c>
      <c r="AC22" s="513">
        <v>1.4</v>
      </c>
      <c r="AD22" s="513">
        <v>1.4</v>
      </c>
      <c r="AE22" s="513">
        <v>1.4</v>
      </c>
      <c r="AF22" s="513">
        <v>1.4</v>
      </c>
      <c r="AG22" s="513">
        <v>1.4</v>
      </c>
      <c r="AH22" s="513">
        <v>1.4</v>
      </c>
      <c r="AI22" s="513">
        <v>1.4</v>
      </c>
      <c r="AJ22" s="513">
        <v>1.4</v>
      </c>
      <c r="AK22" s="513">
        <v>1.4</v>
      </c>
      <c r="AL22" s="513">
        <v>1.4</v>
      </c>
      <c r="AM22" s="513">
        <v>1.4</v>
      </c>
      <c r="AN22" s="513">
        <v>1.4</v>
      </c>
      <c r="AO22" s="513">
        <v>1.4</v>
      </c>
      <c r="AP22" s="513">
        <v>1.4</v>
      </c>
      <c r="AQ22" s="176"/>
      <c r="AR22" s="176"/>
    </row>
    <row r="23" spans="2:44" ht="15.75" customHeight="1" x14ac:dyDescent="0.25">
      <c r="B23" s="1014"/>
      <c r="C23" s="1015"/>
      <c r="D23" s="505" t="str">
        <f>$D$8</f>
        <v>III</v>
      </c>
      <c r="E23" s="513">
        <v>2.46</v>
      </c>
      <c r="F23" s="513">
        <v>2.46</v>
      </c>
      <c r="G23" s="513">
        <v>2.46</v>
      </c>
      <c r="H23" s="513">
        <v>2.46</v>
      </c>
      <c r="I23" s="513">
        <v>2.46</v>
      </c>
      <c r="J23" s="513">
        <v>2.46</v>
      </c>
      <c r="K23" s="513">
        <v>2.46</v>
      </c>
      <c r="L23" s="513">
        <v>2.46</v>
      </c>
      <c r="M23" s="513">
        <v>2.46</v>
      </c>
      <c r="N23" s="513">
        <v>2.46</v>
      </c>
      <c r="O23" s="513">
        <v>2.46</v>
      </c>
      <c r="P23" s="513">
        <v>2.46</v>
      </c>
      <c r="Q23" s="513">
        <v>2.46</v>
      </c>
      <c r="R23" s="513">
        <v>2.46</v>
      </c>
      <c r="S23" s="513">
        <v>2.46</v>
      </c>
      <c r="T23" s="513">
        <v>2.46</v>
      </c>
      <c r="U23" s="513">
        <v>2.46</v>
      </c>
      <c r="V23" s="513">
        <v>2.46</v>
      </c>
      <c r="W23" s="513">
        <v>2.46</v>
      </c>
      <c r="X23" s="513">
        <v>2.46</v>
      </c>
      <c r="Y23" s="513">
        <v>2.46</v>
      </c>
      <c r="Z23" s="513">
        <v>2.46</v>
      </c>
      <c r="AA23" s="513">
        <v>2.46</v>
      </c>
      <c r="AB23" s="513">
        <v>2.46</v>
      </c>
      <c r="AC23" s="513">
        <v>2.46</v>
      </c>
      <c r="AD23" s="513">
        <v>2.46</v>
      </c>
      <c r="AE23" s="513">
        <v>2.46</v>
      </c>
      <c r="AF23" s="513">
        <v>2.46</v>
      </c>
      <c r="AG23" s="513">
        <v>2.46</v>
      </c>
      <c r="AH23" s="513">
        <v>2.46</v>
      </c>
      <c r="AI23" s="513">
        <v>2.46</v>
      </c>
      <c r="AJ23" s="513">
        <v>2.46</v>
      </c>
      <c r="AK23" s="513">
        <v>2.46</v>
      </c>
      <c r="AL23" s="513">
        <v>2.46</v>
      </c>
      <c r="AM23" s="513">
        <v>2.46</v>
      </c>
      <c r="AN23" s="513">
        <v>2.46</v>
      </c>
      <c r="AO23" s="513">
        <v>2.46</v>
      </c>
      <c r="AP23" s="513">
        <v>2.46</v>
      </c>
      <c r="AQ23" s="176"/>
      <c r="AR23" s="176"/>
    </row>
    <row r="24" spans="2:44" ht="15.75" customHeight="1" x14ac:dyDescent="0.25">
      <c r="B24" s="1014"/>
      <c r="C24" s="1015"/>
      <c r="D24" s="505" t="str">
        <f>$D$9</f>
        <v>IV</v>
      </c>
      <c r="E24" s="513">
        <v>2.68</v>
      </c>
      <c r="F24" s="513">
        <v>2.68</v>
      </c>
      <c r="G24" s="513">
        <v>2.68</v>
      </c>
      <c r="H24" s="513">
        <v>2.68</v>
      </c>
      <c r="I24" s="513">
        <v>2.68</v>
      </c>
      <c r="J24" s="513">
        <v>2.68</v>
      </c>
      <c r="K24" s="513">
        <v>2.68</v>
      </c>
      <c r="L24" s="513">
        <v>2.68</v>
      </c>
      <c r="M24" s="513">
        <v>2.68</v>
      </c>
      <c r="N24" s="513">
        <v>2.68</v>
      </c>
      <c r="O24" s="513">
        <v>2.68</v>
      </c>
      <c r="P24" s="513">
        <v>2.68</v>
      </c>
      <c r="Q24" s="513">
        <v>2.68</v>
      </c>
      <c r="R24" s="513">
        <v>2.68</v>
      </c>
      <c r="S24" s="513">
        <v>2.68</v>
      </c>
      <c r="T24" s="513">
        <v>2.68</v>
      </c>
      <c r="U24" s="513">
        <v>2.68</v>
      </c>
      <c r="V24" s="513">
        <v>2.68</v>
      </c>
      <c r="W24" s="513">
        <v>2.68</v>
      </c>
      <c r="X24" s="513">
        <v>2.68</v>
      </c>
      <c r="Y24" s="513">
        <v>2.68</v>
      </c>
      <c r="Z24" s="513">
        <v>2.68</v>
      </c>
      <c r="AA24" s="513">
        <v>2.68</v>
      </c>
      <c r="AB24" s="513">
        <v>2.68</v>
      </c>
      <c r="AC24" s="513">
        <v>2.68</v>
      </c>
      <c r="AD24" s="513">
        <v>2.68</v>
      </c>
      <c r="AE24" s="513">
        <v>2.68</v>
      </c>
      <c r="AF24" s="513">
        <v>2.68</v>
      </c>
      <c r="AG24" s="513">
        <v>2.68</v>
      </c>
      <c r="AH24" s="513">
        <v>2.68</v>
      </c>
      <c r="AI24" s="513">
        <v>2.68</v>
      </c>
      <c r="AJ24" s="513">
        <v>2.68</v>
      </c>
      <c r="AK24" s="513">
        <v>2.68</v>
      </c>
      <c r="AL24" s="513">
        <v>2.68</v>
      </c>
      <c r="AM24" s="513">
        <v>2.68</v>
      </c>
      <c r="AN24" s="513">
        <v>2.68</v>
      </c>
      <c r="AO24" s="513">
        <v>2.68</v>
      </c>
      <c r="AP24" s="513">
        <v>2.68</v>
      </c>
      <c r="AQ24" s="176"/>
      <c r="AR24" s="176"/>
    </row>
    <row r="25" spans="2:44" x14ac:dyDescent="0.25">
      <c r="B25" s="516" t="s">
        <v>293</v>
      </c>
      <c r="C25" s="504" t="s">
        <v>7</v>
      </c>
      <c r="D25" s="504"/>
      <c r="E25" s="603">
        <f>Оборудование!L5</f>
        <v>91</v>
      </c>
      <c r="F25" s="603">
        <f>Оборудование!L5</f>
        <v>91</v>
      </c>
      <c r="G25" s="603">
        <f>Оборудование!M5</f>
        <v>91</v>
      </c>
      <c r="H25" s="603">
        <f>Оборудование!I5</f>
        <v>130</v>
      </c>
      <c r="I25" s="603">
        <f>Оборудование!I5</f>
        <v>130</v>
      </c>
      <c r="J25" s="603">
        <f>Оборудование!L5</f>
        <v>91</v>
      </c>
      <c r="K25" s="603">
        <f>Оборудование!I5</f>
        <v>130</v>
      </c>
      <c r="L25" s="603">
        <f>Оборудование!H5</f>
        <v>220</v>
      </c>
      <c r="M25" s="603">
        <f>Оборудование!L5</f>
        <v>91</v>
      </c>
      <c r="N25" s="603">
        <f>Оборудование!L5</f>
        <v>91</v>
      </c>
      <c r="O25" s="603">
        <f>Оборудование!M5</f>
        <v>91</v>
      </c>
      <c r="P25" s="603">
        <f>Оборудование!I5</f>
        <v>130</v>
      </c>
      <c r="Q25" s="603">
        <f>Оборудование!L5</f>
        <v>91</v>
      </c>
      <c r="R25" s="603">
        <f>Оборудование!L5</f>
        <v>91</v>
      </c>
      <c r="S25" s="603">
        <f>Оборудование!M5</f>
        <v>91</v>
      </c>
      <c r="T25" s="603">
        <f>Оборудование!I5</f>
        <v>130</v>
      </c>
      <c r="U25" s="517">
        <f>Оборудование!$H$5</f>
        <v>220</v>
      </c>
      <c r="V25" s="517">
        <f>Оборудование!$I$5</f>
        <v>130</v>
      </c>
      <c r="W25" s="556">
        <f>Оборудование!$H$5</f>
        <v>220</v>
      </c>
      <c r="X25" s="556">
        <f>Оборудование!$I$5</f>
        <v>130</v>
      </c>
      <c r="Y25" s="603">
        <f>Оборудование!$H$5</f>
        <v>220</v>
      </c>
      <c r="Z25" s="603">
        <f>Оборудование!$I$5</f>
        <v>130</v>
      </c>
      <c r="AA25" s="556">
        <f>Оборудование!$H$5</f>
        <v>220</v>
      </c>
      <c r="AB25" s="556">
        <f>Оборудование!$I$5</f>
        <v>130</v>
      </c>
      <c r="AC25" s="593">
        <f>Оборудование!$H$5</f>
        <v>220</v>
      </c>
      <c r="AD25" s="593">
        <f>Оборудование!$I$5</f>
        <v>130</v>
      </c>
      <c r="AE25" s="593">
        <f>Оборудование!$H$5</f>
        <v>220</v>
      </c>
      <c r="AF25" s="593">
        <f>Оборудование!$I$5</f>
        <v>130</v>
      </c>
      <c r="AG25" s="603">
        <f>Оборудование!L5</f>
        <v>91</v>
      </c>
      <c r="AH25" s="603">
        <f>Оборудование!$I$5</f>
        <v>130</v>
      </c>
      <c r="AI25" s="603">
        <f>Оборудование!N5</f>
        <v>105</v>
      </c>
      <c r="AJ25" s="603">
        <f>Оборудование!N5</f>
        <v>105</v>
      </c>
      <c r="AK25" s="603">
        <f>Оборудование!L5</f>
        <v>91</v>
      </c>
      <c r="AL25" s="603">
        <f>Оборудование!I5</f>
        <v>130</v>
      </c>
      <c r="AM25" s="603">
        <f>Оборудование!L5</f>
        <v>91</v>
      </c>
      <c r="AN25" s="603">
        <f>Оборудование!I5</f>
        <v>130</v>
      </c>
      <c r="AO25" s="603">
        <v>0</v>
      </c>
      <c r="AP25" s="603">
        <v>0</v>
      </c>
      <c r="AQ25" s="10"/>
      <c r="AR25" s="10"/>
    </row>
    <row r="26" spans="2:44" ht="18.75" x14ac:dyDescent="0.25">
      <c r="B26" s="516" t="s">
        <v>294</v>
      </c>
      <c r="C26" s="510" t="s">
        <v>433</v>
      </c>
      <c r="D26" s="504"/>
      <c r="E26" s="603">
        <f>Оборудование!L6</f>
        <v>60</v>
      </c>
      <c r="F26" s="603">
        <f>Оборудование!L6</f>
        <v>60</v>
      </c>
      <c r="G26" s="603">
        <f>Оборудование!M6</f>
        <v>57</v>
      </c>
      <c r="H26" s="603">
        <f>Оборудование!I6</f>
        <v>71.2</v>
      </c>
      <c r="I26" s="603">
        <f>Оборудование!I6</f>
        <v>71.2</v>
      </c>
      <c r="J26" s="603">
        <f>Оборудование!L6</f>
        <v>60</v>
      </c>
      <c r="K26" s="603">
        <f>Оборудование!I6</f>
        <v>71.2</v>
      </c>
      <c r="L26" s="603">
        <f>Оборудование!H6</f>
        <v>112</v>
      </c>
      <c r="M26" s="603">
        <f>Оборудование!L6</f>
        <v>60</v>
      </c>
      <c r="N26" s="603">
        <f>Оборудование!L6</f>
        <v>60</v>
      </c>
      <c r="O26" s="603">
        <f>Оборудование!M6</f>
        <v>57</v>
      </c>
      <c r="P26" s="603">
        <f>Оборудование!I6</f>
        <v>71.2</v>
      </c>
      <c r="Q26" s="603">
        <f>Оборудование!L6</f>
        <v>60</v>
      </c>
      <c r="R26" s="603">
        <f>Оборудование!L6</f>
        <v>60</v>
      </c>
      <c r="S26" s="603">
        <f>Оборудование!M6</f>
        <v>57</v>
      </c>
      <c r="T26" s="603">
        <f>Оборудование!I6</f>
        <v>71.2</v>
      </c>
      <c r="U26" s="517">
        <f>Оборудование!$H$6</f>
        <v>112</v>
      </c>
      <c r="V26" s="517">
        <f>Оборудование!$I$6</f>
        <v>71.2</v>
      </c>
      <c r="W26" s="556">
        <f>Оборудование!$H$6</f>
        <v>112</v>
      </c>
      <c r="X26" s="556">
        <f>Оборудование!$I$6</f>
        <v>71.2</v>
      </c>
      <c r="Y26" s="603">
        <f>Оборудование!$H$6</f>
        <v>112</v>
      </c>
      <c r="Z26" s="603">
        <f>Оборудование!$I$6</f>
        <v>71.2</v>
      </c>
      <c r="AA26" s="556">
        <f>Оборудование!$H$6</f>
        <v>112</v>
      </c>
      <c r="AB26" s="556">
        <f>Оборудование!$I$6</f>
        <v>71.2</v>
      </c>
      <c r="AC26" s="593">
        <f>Оборудование!$H$6</f>
        <v>112</v>
      </c>
      <c r="AD26" s="593">
        <f>Оборудование!$I$6</f>
        <v>71.2</v>
      </c>
      <c r="AE26" s="593">
        <f>Оборудование!$H$6</f>
        <v>112</v>
      </c>
      <c r="AF26" s="593">
        <f>Оборудование!$I$6</f>
        <v>71.2</v>
      </c>
      <c r="AG26" s="603">
        <f>Оборудование!L6</f>
        <v>60</v>
      </c>
      <c r="AH26" s="603">
        <f>Оборудование!$I$6</f>
        <v>71.2</v>
      </c>
      <c r="AI26" s="603">
        <f>Оборудование!N6</f>
        <v>50</v>
      </c>
      <c r="AJ26" s="603">
        <f>Оборудование!N6</f>
        <v>50</v>
      </c>
      <c r="AK26" s="603">
        <f>Оборудование!L6</f>
        <v>60</v>
      </c>
      <c r="AL26" s="603">
        <f>Оборудование!I6</f>
        <v>71.2</v>
      </c>
      <c r="AM26" s="603">
        <f>Оборудование!L6</f>
        <v>60</v>
      </c>
      <c r="AN26" s="603">
        <f>Оборудование!I6</f>
        <v>71.2</v>
      </c>
      <c r="AO26" s="603">
        <v>0</v>
      </c>
      <c r="AP26" s="603">
        <v>0</v>
      </c>
      <c r="AQ26" s="10"/>
      <c r="AR26" s="10"/>
    </row>
    <row r="27" spans="2:44" ht="15.75" customHeight="1" x14ac:dyDescent="0.25">
      <c r="B27" s="1016" t="s">
        <v>437</v>
      </c>
      <c r="C27" s="1015" t="s">
        <v>433</v>
      </c>
      <c r="D27" s="504" t="str">
        <f>$D$7</f>
        <v>II</v>
      </c>
      <c r="E27" s="507">
        <f t="shared" ref="E27:H27" si="92">E$25/E22*E7</f>
        <v>81.25</v>
      </c>
      <c r="F27" s="507">
        <f t="shared" si="92"/>
        <v>81.25</v>
      </c>
      <c r="G27" s="507">
        <f t="shared" si="92"/>
        <v>81.25</v>
      </c>
      <c r="H27" s="507">
        <f t="shared" si="92"/>
        <v>116.07142857142858</v>
      </c>
      <c r="I27" s="507">
        <f t="shared" ref="I27:L27" si="93">I$25/I22*I7</f>
        <v>116.07142857142858</v>
      </c>
      <c r="J27" s="507">
        <f t="shared" si="93"/>
        <v>81.25</v>
      </c>
      <c r="K27" s="507">
        <f t="shared" si="93"/>
        <v>116.07142857142858</v>
      </c>
      <c r="L27" s="507">
        <f t="shared" si="93"/>
        <v>196.42857142857142</v>
      </c>
      <c r="M27" s="507">
        <f t="shared" ref="M27:P27" si="94">M$25/M22*M7</f>
        <v>81.25</v>
      </c>
      <c r="N27" s="507">
        <f t="shared" si="94"/>
        <v>81.25</v>
      </c>
      <c r="O27" s="507">
        <f t="shared" si="94"/>
        <v>81.25</v>
      </c>
      <c r="P27" s="507">
        <f t="shared" si="94"/>
        <v>116.07142857142858</v>
      </c>
      <c r="Q27" s="507">
        <f t="shared" ref="Q27:T27" si="95">Q$25/Q22*Q7</f>
        <v>81.25</v>
      </c>
      <c r="R27" s="507">
        <f t="shared" si="95"/>
        <v>81.25</v>
      </c>
      <c r="S27" s="507">
        <f t="shared" si="95"/>
        <v>81.25</v>
      </c>
      <c r="T27" s="507">
        <f t="shared" si="95"/>
        <v>116.07142857142858</v>
      </c>
      <c r="U27" s="507">
        <f t="shared" ref="U27:AB27" si="96">U$25/U22*U7</f>
        <v>196.42857142857142</v>
      </c>
      <c r="V27" s="507">
        <f t="shared" si="96"/>
        <v>116.07142857142858</v>
      </c>
      <c r="W27" s="507">
        <f t="shared" si="96"/>
        <v>196.42857142857142</v>
      </c>
      <c r="X27" s="507">
        <f t="shared" si="96"/>
        <v>116.07142857142858</v>
      </c>
      <c r="Y27" s="507">
        <f t="shared" ref="Y27:Z27" si="97">Y$25/Y22*Y7</f>
        <v>196.42857142857142</v>
      </c>
      <c r="Z27" s="507">
        <f t="shared" si="97"/>
        <v>116.07142857142858</v>
      </c>
      <c r="AA27" s="507">
        <f t="shared" si="96"/>
        <v>196.42857142857142</v>
      </c>
      <c r="AB27" s="507">
        <f t="shared" si="96"/>
        <v>116.07142857142858</v>
      </c>
      <c r="AC27" s="507">
        <f t="shared" ref="AC27:AD27" si="98">AC$25/AC22*AC7</f>
        <v>196.42857142857142</v>
      </c>
      <c r="AD27" s="507">
        <f t="shared" si="98"/>
        <v>116.07142857142858</v>
      </c>
      <c r="AE27" s="507">
        <f t="shared" ref="AE27:AF27" si="99">AE$25/AE22*AE7</f>
        <v>196.42857142857142</v>
      </c>
      <c r="AF27" s="507">
        <f t="shared" si="99"/>
        <v>116.07142857142858</v>
      </c>
      <c r="AG27" s="507">
        <f t="shared" ref="AG27:AH27" si="100">AG$25/AG22*AG7</f>
        <v>81.25</v>
      </c>
      <c r="AH27" s="507">
        <f t="shared" si="100"/>
        <v>116.07142857142858</v>
      </c>
      <c r="AI27" s="507">
        <f t="shared" ref="AI27:AN27" si="101">AI$25/AI22*AI7</f>
        <v>93.75</v>
      </c>
      <c r="AJ27" s="507">
        <f t="shared" si="101"/>
        <v>93.75</v>
      </c>
      <c r="AK27" s="507">
        <f t="shared" si="101"/>
        <v>81.25</v>
      </c>
      <c r="AL27" s="507">
        <f t="shared" si="101"/>
        <v>116.07142857142858</v>
      </c>
      <c r="AM27" s="507">
        <f t="shared" si="101"/>
        <v>81.25</v>
      </c>
      <c r="AN27" s="507">
        <f t="shared" si="101"/>
        <v>116.07142857142858</v>
      </c>
      <c r="AO27" s="507">
        <f t="shared" ref="AO27:AP27" si="102">AO$25/AO22*AO7</f>
        <v>0</v>
      </c>
      <c r="AP27" s="507">
        <f t="shared" si="102"/>
        <v>0</v>
      </c>
      <c r="AQ27" s="174"/>
      <c r="AR27" s="174"/>
    </row>
    <row r="28" spans="2:44" x14ac:dyDescent="0.25">
      <c r="B28" s="1016"/>
      <c r="C28" s="1015"/>
      <c r="D28" s="504" t="str">
        <f>$D$8</f>
        <v>III</v>
      </c>
      <c r="E28" s="507">
        <f t="shared" ref="E28:H28" si="103">E$25/E23*E8</f>
        <v>49.939024390243908</v>
      </c>
      <c r="F28" s="507">
        <f t="shared" si="103"/>
        <v>49.939024390243908</v>
      </c>
      <c r="G28" s="507">
        <f t="shared" si="103"/>
        <v>49.939024390243908</v>
      </c>
      <c r="H28" s="507">
        <f t="shared" si="103"/>
        <v>71.341463414634148</v>
      </c>
      <c r="I28" s="507">
        <f t="shared" ref="I28:L28" si="104">I$25/I23*I8</f>
        <v>71.341463414634148</v>
      </c>
      <c r="J28" s="507">
        <f t="shared" si="104"/>
        <v>49.939024390243908</v>
      </c>
      <c r="K28" s="507">
        <f t="shared" si="104"/>
        <v>71.341463414634148</v>
      </c>
      <c r="L28" s="507">
        <f t="shared" si="104"/>
        <v>120.73170731707319</v>
      </c>
      <c r="M28" s="507">
        <f t="shared" ref="M28:P28" si="105">M$25/M23*M8</f>
        <v>49.939024390243908</v>
      </c>
      <c r="N28" s="507">
        <f t="shared" si="105"/>
        <v>49.939024390243908</v>
      </c>
      <c r="O28" s="507">
        <f t="shared" si="105"/>
        <v>49.939024390243908</v>
      </c>
      <c r="P28" s="507">
        <f t="shared" si="105"/>
        <v>71.341463414634148</v>
      </c>
      <c r="Q28" s="507">
        <f t="shared" ref="Q28:T28" si="106">Q$25/Q23*Q8</f>
        <v>49.939024390243908</v>
      </c>
      <c r="R28" s="507">
        <f t="shared" si="106"/>
        <v>49.939024390243908</v>
      </c>
      <c r="S28" s="507">
        <f t="shared" si="106"/>
        <v>49.939024390243908</v>
      </c>
      <c r="T28" s="507">
        <f t="shared" si="106"/>
        <v>71.341463414634148</v>
      </c>
      <c r="U28" s="507">
        <f t="shared" ref="U28:V29" si="107">U$25/U23*U8</f>
        <v>120.73170731707319</v>
      </c>
      <c r="V28" s="507">
        <f t="shared" si="107"/>
        <v>71.341463414634148</v>
      </c>
      <c r="W28" s="507">
        <f t="shared" ref="W28:Z28" si="108">W$25/W23*W8</f>
        <v>120.73170731707319</v>
      </c>
      <c r="X28" s="507">
        <f t="shared" si="108"/>
        <v>71.341463414634148</v>
      </c>
      <c r="Y28" s="507">
        <f t="shared" si="108"/>
        <v>120.73170731707319</v>
      </c>
      <c r="Z28" s="507">
        <f t="shared" si="108"/>
        <v>71.341463414634148</v>
      </c>
      <c r="AA28" s="507">
        <f t="shared" ref="AA28:AB28" si="109">AA$25/AA23*AA8</f>
        <v>120.73170731707319</v>
      </c>
      <c r="AB28" s="507">
        <f t="shared" si="109"/>
        <v>71.341463414634148</v>
      </c>
      <c r="AC28" s="507">
        <f t="shared" ref="AC28:AD28" si="110">AC$25/AC23*AC8</f>
        <v>120.73170731707319</v>
      </c>
      <c r="AD28" s="507">
        <f t="shared" si="110"/>
        <v>71.341463414634148</v>
      </c>
      <c r="AE28" s="507">
        <f t="shared" ref="AE28:AF28" si="111">AE$25/AE23*AE8</f>
        <v>120.73170731707319</v>
      </c>
      <c r="AF28" s="507">
        <f t="shared" si="111"/>
        <v>71.341463414634148</v>
      </c>
      <c r="AG28" s="507">
        <f t="shared" ref="AG28:AH28" si="112">AG$25/AG23*AG8</f>
        <v>49.939024390243908</v>
      </c>
      <c r="AH28" s="507">
        <f t="shared" si="112"/>
        <v>71.341463414634148</v>
      </c>
      <c r="AI28" s="507">
        <f t="shared" ref="AI28:AN28" si="113">AI$25/AI23*AI8</f>
        <v>57.621951219512205</v>
      </c>
      <c r="AJ28" s="507">
        <f t="shared" si="113"/>
        <v>57.621951219512205</v>
      </c>
      <c r="AK28" s="507">
        <f t="shared" si="113"/>
        <v>49.939024390243908</v>
      </c>
      <c r="AL28" s="507">
        <f t="shared" si="113"/>
        <v>71.341463414634148</v>
      </c>
      <c r="AM28" s="507">
        <f t="shared" si="113"/>
        <v>49.939024390243908</v>
      </c>
      <c r="AN28" s="507">
        <f t="shared" si="113"/>
        <v>71.341463414634148</v>
      </c>
      <c r="AO28" s="507">
        <f t="shared" ref="AO28:AP28" si="114">AO$25/AO23*AO8</f>
        <v>0</v>
      </c>
      <c r="AP28" s="507">
        <f t="shared" si="114"/>
        <v>0</v>
      </c>
      <c r="AQ28" s="181"/>
      <c r="AR28" s="181"/>
    </row>
    <row r="29" spans="2:44" x14ac:dyDescent="0.25">
      <c r="B29" s="1016"/>
      <c r="C29" s="1015"/>
      <c r="D29" s="504" t="str">
        <f>$D$9</f>
        <v>IV</v>
      </c>
      <c r="E29" s="507">
        <f t="shared" ref="E29:H29" si="115">E$25/E24*E9</f>
        <v>50.932835820895519</v>
      </c>
      <c r="F29" s="507">
        <f t="shared" si="115"/>
        <v>50.932835820895519</v>
      </c>
      <c r="G29" s="507">
        <f t="shared" si="115"/>
        <v>50.932835820895519</v>
      </c>
      <c r="H29" s="507">
        <f t="shared" si="115"/>
        <v>72.761194029850742</v>
      </c>
      <c r="I29" s="507">
        <f t="shared" ref="I29:L29" si="116">I$25/I24*I9</f>
        <v>72.761194029850742</v>
      </c>
      <c r="J29" s="507">
        <f t="shared" si="116"/>
        <v>50.932835820895519</v>
      </c>
      <c r="K29" s="507">
        <f t="shared" si="116"/>
        <v>72.761194029850742</v>
      </c>
      <c r="L29" s="507">
        <f t="shared" si="116"/>
        <v>123.13432835820895</v>
      </c>
      <c r="M29" s="507">
        <f t="shared" ref="M29:P29" si="117">M$25/M24*M9</f>
        <v>50.932835820895519</v>
      </c>
      <c r="N29" s="507">
        <f t="shared" si="117"/>
        <v>50.932835820895519</v>
      </c>
      <c r="O29" s="507">
        <f t="shared" si="117"/>
        <v>50.932835820895519</v>
      </c>
      <c r="P29" s="507">
        <f t="shared" si="117"/>
        <v>72.761194029850742</v>
      </c>
      <c r="Q29" s="507">
        <f t="shared" ref="Q29:T29" si="118">Q$25/Q24*Q9</f>
        <v>50.932835820895519</v>
      </c>
      <c r="R29" s="507">
        <f t="shared" si="118"/>
        <v>50.932835820895519</v>
      </c>
      <c r="S29" s="507">
        <f t="shared" si="118"/>
        <v>50.932835820895519</v>
      </c>
      <c r="T29" s="507">
        <f t="shared" si="118"/>
        <v>72.761194029850742</v>
      </c>
      <c r="U29" s="507">
        <f t="shared" si="107"/>
        <v>123.13432835820895</v>
      </c>
      <c r="V29" s="507">
        <f t="shared" si="107"/>
        <v>72.761194029850742</v>
      </c>
      <c r="W29" s="507">
        <f t="shared" ref="W29:Z29" si="119">W$25/W24*W9</f>
        <v>123.13432835820895</v>
      </c>
      <c r="X29" s="507">
        <f t="shared" si="119"/>
        <v>72.761194029850742</v>
      </c>
      <c r="Y29" s="507">
        <f t="shared" si="119"/>
        <v>123.13432835820895</v>
      </c>
      <c r="Z29" s="507">
        <f t="shared" si="119"/>
        <v>72.761194029850742</v>
      </c>
      <c r="AA29" s="507">
        <f t="shared" ref="AA29:AB29" si="120">AA$25/AA24*AA9</f>
        <v>123.13432835820895</v>
      </c>
      <c r="AB29" s="507">
        <f t="shared" si="120"/>
        <v>72.761194029850742</v>
      </c>
      <c r="AC29" s="507">
        <f t="shared" ref="AC29:AD29" si="121">AC$25/AC24*AC9</f>
        <v>123.13432835820895</v>
      </c>
      <c r="AD29" s="507">
        <f t="shared" si="121"/>
        <v>72.761194029850742</v>
      </c>
      <c r="AE29" s="507">
        <f t="shared" ref="AE29:AF29" si="122">AE$25/AE24*AE9</f>
        <v>123.13432835820895</v>
      </c>
      <c r="AF29" s="507">
        <f t="shared" si="122"/>
        <v>72.761194029850742</v>
      </c>
      <c r="AG29" s="507">
        <f t="shared" ref="AG29:AH29" si="123">AG$25/AG24*AG9</f>
        <v>50.932835820895519</v>
      </c>
      <c r="AH29" s="507">
        <f t="shared" si="123"/>
        <v>72.761194029850742</v>
      </c>
      <c r="AI29" s="507">
        <f t="shared" ref="AI29:AN29" si="124">AI$25/AI24*AI9</f>
        <v>58.768656716417908</v>
      </c>
      <c r="AJ29" s="507">
        <f t="shared" si="124"/>
        <v>58.768656716417908</v>
      </c>
      <c r="AK29" s="507">
        <f t="shared" si="124"/>
        <v>50.932835820895519</v>
      </c>
      <c r="AL29" s="507">
        <f t="shared" si="124"/>
        <v>72.761194029850742</v>
      </c>
      <c r="AM29" s="507">
        <f t="shared" si="124"/>
        <v>50.932835820895519</v>
      </c>
      <c r="AN29" s="507">
        <f t="shared" si="124"/>
        <v>72.761194029850742</v>
      </c>
      <c r="AO29" s="507">
        <f t="shared" ref="AO29:AP29" si="125">AO$25/AO24*AO9</f>
        <v>0</v>
      </c>
      <c r="AP29" s="507">
        <f t="shared" si="125"/>
        <v>0</v>
      </c>
      <c r="AQ29" s="181"/>
      <c r="AR29" s="181"/>
    </row>
    <row r="30" spans="2:44" x14ac:dyDescent="0.25">
      <c r="B30" s="1016" t="s">
        <v>438</v>
      </c>
      <c r="C30" s="1015" t="s">
        <v>433</v>
      </c>
      <c r="D30" s="504" t="str">
        <f>$D$7</f>
        <v>II</v>
      </c>
      <c r="E30" s="507">
        <f t="shared" ref="E30:H30" si="126">IF(E27&gt;E$26,E$26/E7,E27/E7)</f>
        <v>48</v>
      </c>
      <c r="F30" s="507">
        <f t="shared" si="126"/>
        <v>48</v>
      </c>
      <c r="G30" s="507">
        <f t="shared" si="126"/>
        <v>45.6</v>
      </c>
      <c r="H30" s="507">
        <f t="shared" si="126"/>
        <v>56.96</v>
      </c>
      <c r="I30" s="507">
        <f t="shared" ref="I30:L30" si="127">IF(I27&gt;I$26,I$26/I7,I27/I7)</f>
        <v>56.96</v>
      </c>
      <c r="J30" s="507">
        <f t="shared" si="127"/>
        <v>48</v>
      </c>
      <c r="K30" s="507">
        <f t="shared" si="127"/>
        <v>56.96</v>
      </c>
      <c r="L30" s="507">
        <f t="shared" si="127"/>
        <v>89.6</v>
      </c>
      <c r="M30" s="507">
        <f t="shared" ref="M30:P30" si="128">IF(M27&gt;M$26,M$26/M7,M27/M7)</f>
        <v>48</v>
      </c>
      <c r="N30" s="507">
        <f t="shared" si="128"/>
        <v>48</v>
      </c>
      <c r="O30" s="507">
        <f t="shared" si="128"/>
        <v>45.6</v>
      </c>
      <c r="P30" s="507">
        <f t="shared" si="128"/>
        <v>56.96</v>
      </c>
      <c r="Q30" s="507">
        <f t="shared" ref="Q30:T30" si="129">IF(Q27&gt;Q$26,Q$26/Q7,Q27/Q7)</f>
        <v>48</v>
      </c>
      <c r="R30" s="507">
        <f t="shared" si="129"/>
        <v>48</v>
      </c>
      <c r="S30" s="507">
        <f t="shared" si="129"/>
        <v>45.6</v>
      </c>
      <c r="T30" s="507">
        <f t="shared" si="129"/>
        <v>56.96</v>
      </c>
      <c r="U30" s="507">
        <f t="shared" ref="U30:AB30" si="130">IF(U27&gt;U$26,U$26/U7,U27/U7)</f>
        <v>89.6</v>
      </c>
      <c r="V30" s="507">
        <f t="shared" si="130"/>
        <v>56.96</v>
      </c>
      <c r="W30" s="507">
        <f t="shared" si="130"/>
        <v>89.6</v>
      </c>
      <c r="X30" s="507">
        <f t="shared" si="130"/>
        <v>56.96</v>
      </c>
      <c r="Y30" s="507">
        <f t="shared" ref="Y30:Z30" si="131">IF(Y27&gt;Y$26,Y$26/Y7,Y27/Y7)</f>
        <v>89.6</v>
      </c>
      <c r="Z30" s="507">
        <f t="shared" si="131"/>
        <v>56.96</v>
      </c>
      <c r="AA30" s="507">
        <f t="shared" si="130"/>
        <v>89.6</v>
      </c>
      <c r="AB30" s="507">
        <f t="shared" si="130"/>
        <v>56.96</v>
      </c>
      <c r="AC30" s="507">
        <f t="shared" ref="AC30:AD30" si="132">IF(AC27&gt;AC$26,AC$26/AC7,AC27/AC7)</f>
        <v>89.6</v>
      </c>
      <c r="AD30" s="507">
        <f t="shared" si="132"/>
        <v>56.96</v>
      </c>
      <c r="AE30" s="507">
        <f t="shared" ref="AE30:AF30" si="133">IF(AE27&gt;AE$26,AE$26/AE7,AE27/AE7)</f>
        <v>89.6</v>
      </c>
      <c r="AF30" s="507">
        <f t="shared" si="133"/>
        <v>56.96</v>
      </c>
      <c r="AG30" s="507">
        <f t="shared" ref="AG30:AH30" si="134">IF(AG27&gt;AG$26,AG$26/AG7,AG27/AG7)</f>
        <v>48</v>
      </c>
      <c r="AH30" s="507">
        <f t="shared" si="134"/>
        <v>56.96</v>
      </c>
      <c r="AI30" s="507">
        <f t="shared" ref="AI30:AN30" si="135">IF(AI27&gt;AI$26,AI$26/AI7,AI27/AI7)</f>
        <v>40</v>
      </c>
      <c r="AJ30" s="507">
        <f t="shared" si="135"/>
        <v>40</v>
      </c>
      <c r="AK30" s="507">
        <f t="shared" si="135"/>
        <v>48</v>
      </c>
      <c r="AL30" s="507">
        <f t="shared" si="135"/>
        <v>56.96</v>
      </c>
      <c r="AM30" s="507">
        <f t="shared" si="135"/>
        <v>48</v>
      </c>
      <c r="AN30" s="507">
        <f t="shared" si="135"/>
        <v>56.96</v>
      </c>
      <c r="AO30" s="507">
        <f t="shared" ref="AO30:AP30" si="136">IF(AO27&gt;AO$26,AO$26/AO7,AO27/AO7)</f>
        <v>0</v>
      </c>
      <c r="AP30" s="507">
        <f t="shared" si="136"/>
        <v>0</v>
      </c>
      <c r="AQ30" s="174"/>
      <c r="AR30" s="174"/>
    </row>
    <row r="31" spans="2:44" x14ac:dyDescent="0.25">
      <c r="B31" s="1016"/>
      <c r="C31" s="1015"/>
      <c r="D31" s="504" t="str">
        <f>$D$8</f>
        <v>III</v>
      </c>
      <c r="E31" s="507">
        <f t="shared" ref="E31:H31" si="137">IF(E28&gt;E$26,E$26/E8,E28/E8)</f>
        <v>36.991869918699187</v>
      </c>
      <c r="F31" s="507">
        <f t="shared" si="137"/>
        <v>36.991869918699187</v>
      </c>
      <c r="G31" s="507">
        <f t="shared" si="137"/>
        <v>36.991869918699187</v>
      </c>
      <c r="H31" s="507">
        <f t="shared" si="137"/>
        <v>52.74074074074074</v>
      </c>
      <c r="I31" s="507">
        <f t="shared" ref="I31:L31" si="138">IF(I28&gt;I$26,I$26/I8,I28/I8)</f>
        <v>52.74074074074074</v>
      </c>
      <c r="J31" s="507">
        <f t="shared" si="138"/>
        <v>36.991869918699187</v>
      </c>
      <c r="K31" s="507">
        <f t="shared" si="138"/>
        <v>52.74074074074074</v>
      </c>
      <c r="L31" s="507">
        <f t="shared" si="138"/>
        <v>82.962962962962962</v>
      </c>
      <c r="M31" s="507">
        <f t="shared" ref="M31:P31" si="139">IF(M28&gt;M$26,M$26/M8,M28/M8)</f>
        <v>36.991869918699187</v>
      </c>
      <c r="N31" s="507">
        <f t="shared" si="139"/>
        <v>36.991869918699187</v>
      </c>
      <c r="O31" s="507">
        <f t="shared" si="139"/>
        <v>36.991869918699187</v>
      </c>
      <c r="P31" s="507">
        <f t="shared" si="139"/>
        <v>52.74074074074074</v>
      </c>
      <c r="Q31" s="507">
        <f t="shared" ref="Q31:T31" si="140">IF(Q28&gt;Q$26,Q$26/Q8,Q28/Q8)</f>
        <v>36.991869918699187</v>
      </c>
      <c r="R31" s="507">
        <f t="shared" si="140"/>
        <v>36.991869918699187</v>
      </c>
      <c r="S31" s="507">
        <f t="shared" si="140"/>
        <v>36.991869918699187</v>
      </c>
      <c r="T31" s="507">
        <f t="shared" si="140"/>
        <v>52.74074074074074</v>
      </c>
      <c r="U31" s="507">
        <f t="shared" ref="U31:V32" si="141">IF(U28&gt;U$26,U$26/U8,U28/U8)</f>
        <v>82.962962962962962</v>
      </c>
      <c r="V31" s="507">
        <f t="shared" si="141"/>
        <v>52.74074074074074</v>
      </c>
      <c r="W31" s="507">
        <f t="shared" ref="W31:Z31" si="142">IF(W28&gt;W$26,W$26/W8,W28/W8)</f>
        <v>82.962962962962962</v>
      </c>
      <c r="X31" s="507">
        <f t="shared" si="142"/>
        <v>52.74074074074074</v>
      </c>
      <c r="Y31" s="507">
        <f t="shared" si="142"/>
        <v>82.962962962962962</v>
      </c>
      <c r="Z31" s="507">
        <f t="shared" si="142"/>
        <v>52.74074074074074</v>
      </c>
      <c r="AA31" s="507">
        <f t="shared" ref="AA31:AB31" si="143">IF(AA28&gt;AA$26,AA$26/AA8,AA28/AA8)</f>
        <v>82.962962962962962</v>
      </c>
      <c r="AB31" s="507">
        <f t="shared" si="143"/>
        <v>52.74074074074074</v>
      </c>
      <c r="AC31" s="507">
        <f t="shared" ref="AC31:AD31" si="144">IF(AC28&gt;AC$26,AC$26/AC8,AC28/AC8)</f>
        <v>82.962962962962962</v>
      </c>
      <c r="AD31" s="507">
        <f t="shared" si="144"/>
        <v>52.74074074074074</v>
      </c>
      <c r="AE31" s="507">
        <f t="shared" ref="AE31:AF31" si="145">IF(AE28&gt;AE$26,AE$26/AE8,AE28/AE8)</f>
        <v>82.962962962962962</v>
      </c>
      <c r="AF31" s="507">
        <f t="shared" si="145"/>
        <v>52.74074074074074</v>
      </c>
      <c r="AG31" s="507">
        <f t="shared" ref="AG31:AH31" si="146">IF(AG28&gt;AG$26,AG$26/AG8,AG28/AG8)</f>
        <v>36.991869918699187</v>
      </c>
      <c r="AH31" s="507">
        <f t="shared" si="146"/>
        <v>52.74074074074074</v>
      </c>
      <c r="AI31" s="507">
        <f t="shared" ref="AI31:AN31" si="147">IF(AI28&gt;AI$26,AI$26/AI8,AI28/AI8)</f>
        <v>37.037037037037038</v>
      </c>
      <c r="AJ31" s="507">
        <f t="shared" si="147"/>
        <v>37.037037037037038</v>
      </c>
      <c r="AK31" s="507">
        <f t="shared" si="147"/>
        <v>36.991869918699187</v>
      </c>
      <c r="AL31" s="507">
        <f t="shared" si="147"/>
        <v>52.74074074074074</v>
      </c>
      <c r="AM31" s="507">
        <f t="shared" si="147"/>
        <v>36.991869918699187</v>
      </c>
      <c r="AN31" s="507">
        <f t="shared" si="147"/>
        <v>52.74074074074074</v>
      </c>
      <c r="AO31" s="507">
        <f t="shared" ref="AO31:AP31" si="148">IF(AO28&gt;AO$26,AO$26/AO8,AO28/AO8)</f>
        <v>0</v>
      </c>
      <c r="AP31" s="507">
        <f t="shared" si="148"/>
        <v>0</v>
      </c>
      <c r="AQ31" s="175"/>
      <c r="AR31" s="175"/>
    </row>
    <row r="32" spans="2:44" x14ac:dyDescent="0.25">
      <c r="B32" s="1016"/>
      <c r="C32" s="1015"/>
      <c r="D32" s="504" t="str">
        <f>$D$9</f>
        <v>IV</v>
      </c>
      <c r="E32" s="507">
        <f t="shared" ref="E32:H32" si="149">IF(E29&gt;E$26,E$26/E9,E29/E9)</f>
        <v>33.955223880597011</v>
      </c>
      <c r="F32" s="507">
        <f t="shared" si="149"/>
        <v>33.955223880597011</v>
      </c>
      <c r="G32" s="507">
        <f t="shared" si="149"/>
        <v>33.955223880597011</v>
      </c>
      <c r="H32" s="507">
        <f t="shared" si="149"/>
        <v>47.466666666666669</v>
      </c>
      <c r="I32" s="507">
        <f t="shared" ref="I32:L32" si="150">IF(I29&gt;I$26,I$26/I9,I29/I9)</f>
        <v>47.466666666666669</v>
      </c>
      <c r="J32" s="507">
        <f t="shared" si="150"/>
        <v>33.955223880597011</v>
      </c>
      <c r="K32" s="507">
        <f t="shared" si="150"/>
        <v>47.466666666666669</v>
      </c>
      <c r="L32" s="507">
        <f t="shared" si="150"/>
        <v>74.666666666666671</v>
      </c>
      <c r="M32" s="507">
        <f t="shared" ref="M32:P32" si="151">IF(M29&gt;M$26,M$26/M9,M29/M9)</f>
        <v>33.955223880597011</v>
      </c>
      <c r="N32" s="507">
        <f t="shared" si="151"/>
        <v>33.955223880597011</v>
      </c>
      <c r="O32" s="507">
        <f t="shared" si="151"/>
        <v>33.955223880597011</v>
      </c>
      <c r="P32" s="507">
        <f t="shared" si="151"/>
        <v>47.466666666666669</v>
      </c>
      <c r="Q32" s="507">
        <f t="shared" ref="Q32:T32" si="152">IF(Q29&gt;Q$26,Q$26/Q9,Q29/Q9)</f>
        <v>33.955223880597011</v>
      </c>
      <c r="R32" s="507">
        <f t="shared" si="152"/>
        <v>33.955223880597011</v>
      </c>
      <c r="S32" s="507">
        <f t="shared" si="152"/>
        <v>33.955223880597011</v>
      </c>
      <c r="T32" s="507">
        <f t="shared" si="152"/>
        <v>47.466666666666669</v>
      </c>
      <c r="U32" s="507">
        <f t="shared" si="141"/>
        <v>74.666666666666671</v>
      </c>
      <c r="V32" s="507">
        <f t="shared" si="141"/>
        <v>47.466666666666669</v>
      </c>
      <c r="W32" s="507">
        <f t="shared" ref="W32:Z32" si="153">IF(W29&gt;W$26,W$26/W9,W29/W9)</f>
        <v>74.666666666666671</v>
      </c>
      <c r="X32" s="507">
        <f t="shared" si="153"/>
        <v>47.466666666666669</v>
      </c>
      <c r="Y32" s="507">
        <f t="shared" si="153"/>
        <v>74.666666666666671</v>
      </c>
      <c r="Z32" s="507">
        <f t="shared" si="153"/>
        <v>47.466666666666669</v>
      </c>
      <c r="AA32" s="507">
        <f t="shared" ref="AA32:AB32" si="154">IF(AA29&gt;AA$26,AA$26/AA9,AA29/AA9)</f>
        <v>74.666666666666671</v>
      </c>
      <c r="AB32" s="507">
        <f t="shared" si="154"/>
        <v>47.466666666666669</v>
      </c>
      <c r="AC32" s="507">
        <f t="shared" ref="AC32:AD32" si="155">IF(AC29&gt;AC$26,AC$26/AC9,AC29/AC9)</f>
        <v>74.666666666666671</v>
      </c>
      <c r="AD32" s="507">
        <f t="shared" si="155"/>
        <v>47.466666666666669</v>
      </c>
      <c r="AE32" s="507">
        <f t="shared" ref="AE32:AF32" si="156">IF(AE29&gt;AE$26,AE$26/AE9,AE29/AE9)</f>
        <v>74.666666666666671</v>
      </c>
      <c r="AF32" s="507">
        <f t="shared" si="156"/>
        <v>47.466666666666669</v>
      </c>
      <c r="AG32" s="507">
        <f t="shared" ref="AG32:AH32" si="157">IF(AG29&gt;AG$26,AG$26/AG9,AG29/AG9)</f>
        <v>33.955223880597011</v>
      </c>
      <c r="AH32" s="507">
        <f t="shared" si="157"/>
        <v>47.466666666666669</v>
      </c>
      <c r="AI32" s="507">
        <f t="shared" ref="AI32:AN32" si="158">IF(AI29&gt;AI$26,AI$26/AI9,AI29/AI9)</f>
        <v>33.333333333333336</v>
      </c>
      <c r="AJ32" s="507">
        <f t="shared" si="158"/>
        <v>33.333333333333336</v>
      </c>
      <c r="AK32" s="507">
        <f t="shared" si="158"/>
        <v>33.955223880597011</v>
      </c>
      <c r="AL32" s="507">
        <f t="shared" si="158"/>
        <v>47.466666666666669</v>
      </c>
      <c r="AM32" s="507">
        <f t="shared" si="158"/>
        <v>33.955223880597011</v>
      </c>
      <c r="AN32" s="507">
        <f t="shared" si="158"/>
        <v>47.466666666666669</v>
      </c>
      <c r="AO32" s="507">
        <f t="shared" ref="AO32:AP32" si="159">IF(AO29&gt;AO$26,AO$26/AO9,AO29/AO9)</f>
        <v>0</v>
      </c>
      <c r="AP32" s="507">
        <f t="shared" si="159"/>
        <v>0</v>
      </c>
      <c r="AQ32" s="175"/>
      <c r="AR32" s="175"/>
    </row>
    <row r="33" spans="2:44" x14ac:dyDescent="0.25">
      <c r="B33" s="516" t="s">
        <v>295</v>
      </c>
      <c r="C33" s="504" t="s">
        <v>40</v>
      </c>
      <c r="D33" s="504"/>
      <c r="E33" s="518">
        <v>0.7</v>
      </c>
      <c r="F33" s="518">
        <v>0.7</v>
      </c>
      <c r="G33" s="518">
        <v>0.7</v>
      </c>
      <c r="H33" s="518">
        <v>1.1000000000000001</v>
      </c>
      <c r="I33" s="518">
        <v>0.7</v>
      </c>
      <c r="J33" s="518">
        <v>0.7</v>
      </c>
      <c r="K33" s="518">
        <v>1.1000000000000001</v>
      </c>
      <c r="L33" s="518">
        <v>1.1000000000000001</v>
      </c>
      <c r="M33" s="518">
        <v>0.7</v>
      </c>
      <c r="N33" s="518">
        <v>0.7</v>
      </c>
      <c r="O33" s="518">
        <v>0.7</v>
      </c>
      <c r="P33" s="518">
        <v>1.1000000000000001</v>
      </c>
      <c r="Q33" s="518">
        <v>0.7</v>
      </c>
      <c r="R33" s="518">
        <v>0.7</v>
      </c>
      <c r="S33" s="518">
        <v>0.7</v>
      </c>
      <c r="T33" s="518">
        <v>1.1000000000000001</v>
      </c>
      <c r="U33" s="518">
        <v>1.1000000000000001</v>
      </c>
      <c r="V33" s="518">
        <v>1.1000000000000001</v>
      </c>
      <c r="W33" s="518">
        <v>1.1000000000000001</v>
      </c>
      <c r="X33" s="518">
        <v>1.1000000000000001</v>
      </c>
      <c r="Y33" s="518">
        <v>1.1000000000000001</v>
      </c>
      <c r="Z33" s="518">
        <v>1.1000000000000001</v>
      </c>
      <c r="AA33" s="518">
        <v>1.1000000000000001</v>
      </c>
      <c r="AB33" s="518">
        <v>1.1000000000000001</v>
      </c>
      <c r="AC33" s="518">
        <v>1.1000000000000001</v>
      </c>
      <c r="AD33" s="518">
        <v>1.1000000000000001</v>
      </c>
      <c r="AE33" s="518">
        <v>1.1000000000000001</v>
      </c>
      <c r="AF33" s="518">
        <v>1.1000000000000001</v>
      </c>
      <c r="AG33" s="518">
        <v>0.7</v>
      </c>
      <c r="AH33" s="518">
        <v>1.1000000000000001</v>
      </c>
      <c r="AI33" s="518">
        <v>1.1000000000000001</v>
      </c>
      <c r="AJ33" s="518">
        <v>1.1000000000000001</v>
      </c>
      <c r="AK33" s="518">
        <v>0.7</v>
      </c>
      <c r="AL33" s="518">
        <v>1.1000000000000001</v>
      </c>
      <c r="AM33" s="518">
        <v>0.7</v>
      </c>
      <c r="AN33" s="518">
        <v>1.1000000000000001</v>
      </c>
      <c r="AO33" s="518">
        <v>0</v>
      </c>
      <c r="AP33" s="518">
        <v>0</v>
      </c>
      <c r="AQ33" s="101"/>
      <c r="AR33" s="101"/>
    </row>
    <row r="34" spans="2:44" x14ac:dyDescent="0.25">
      <c r="B34" s="1014" t="s">
        <v>296</v>
      </c>
      <c r="C34" s="1015" t="s">
        <v>43</v>
      </c>
      <c r="D34" s="504" t="str">
        <f>$D$7</f>
        <v>II</v>
      </c>
      <c r="E34" s="589">
        <f t="shared" ref="E34:H34" si="160">ROUND(E30/E16,1)</f>
        <v>7.5</v>
      </c>
      <c r="F34" s="519">
        <f t="shared" si="160"/>
        <v>7.5</v>
      </c>
      <c r="G34" s="519">
        <f t="shared" si="160"/>
        <v>7.1</v>
      </c>
      <c r="H34" s="589">
        <f t="shared" si="160"/>
        <v>8.9</v>
      </c>
      <c r="I34" s="589">
        <f t="shared" ref="I34:L34" si="161">ROUND(I30/I16,1)</f>
        <v>4.5999999999999996</v>
      </c>
      <c r="J34" s="519">
        <f t="shared" si="161"/>
        <v>3.9</v>
      </c>
      <c r="K34" s="519">
        <f t="shared" si="161"/>
        <v>4.5999999999999996</v>
      </c>
      <c r="L34" s="589">
        <f t="shared" si="161"/>
        <v>7.2</v>
      </c>
      <c r="M34" s="589">
        <f t="shared" ref="M34:P34" si="162">ROUND(M30/M16,1)</f>
        <v>9.1</v>
      </c>
      <c r="N34" s="519">
        <f t="shared" si="162"/>
        <v>9.1</v>
      </c>
      <c r="O34" s="519">
        <f t="shared" si="162"/>
        <v>8.6</v>
      </c>
      <c r="P34" s="589">
        <f t="shared" si="162"/>
        <v>10.8</v>
      </c>
      <c r="Q34" s="589">
        <f t="shared" ref="Q34:T34" si="163">ROUND(Q30/Q16,1)</f>
        <v>5.3</v>
      </c>
      <c r="R34" s="519">
        <f t="shared" si="163"/>
        <v>5.3</v>
      </c>
      <c r="S34" s="519">
        <f t="shared" si="163"/>
        <v>5.0999999999999996</v>
      </c>
      <c r="T34" s="589">
        <f t="shared" si="163"/>
        <v>6.3</v>
      </c>
      <c r="U34" s="519">
        <f t="shared" ref="U34" si="164">ROUND(U30/U16,1)</f>
        <v>3.2</v>
      </c>
      <c r="V34" s="519">
        <f t="shared" ref="V34" si="165">ROUND(V30/V16,1)</f>
        <v>2</v>
      </c>
      <c r="W34" s="589">
        <f t="shared" ref="W34:Z34" si="166">ROUND(W30/W16,1)</f>
        <v>3</v>
      </c>
      <c r="X34" s="519">
        <f t="shared" si="166"/>
        <v>1.9</v>
      </c>
      <c r="Y34" s="589">
        <f t="shared" si="166"/>
        <v>3</v>
      </c>
      <c r="Z34" s="519">
        <f t="shared" si="166"/>
        <v>1.9</v>
      </c>
      <c r="AA34" s="589">
        <f t="shared" ref="AA34:AB34" si="167">ROUND(AA30/AA16,1)</f>
        <v>5.9</v>
      </c>
      <c r="AB34" s="519">
        <f t="shared" si="167"/>
        <v>3.8</v>
      </c>
      <c r="AC34" s="589">
        <f t="shared" ref="AC34:AD34" si="168">ROUND(AC30/AC16,1)</f>
        <v>7.1</v>
      </c>
      <c r="AD34" s="519">
        <f t="shared" si="168"/>
        <v>4.5</v>
      </c>
      <c r="AE34" s="589">
        <f t="shared" ref="AE34:AF34" si="169">ROUND(AE30/AE16,1)</f>
        <v>8.9</v>
      </c>
      <c r="AF34" s="519">
        <f t="shared" si="169"/>
        <v>5.7</v>
      </c>
      <c r="AG34" s="589">
        <f t="shared" ref="AG34:AH34" si="170">ROUND(AG30/AG16,1)</f>
        <v>5.7</v>
      </c>
      <c r="AH34" s="519">
        <f t="shared" si="170"/>
        <v>6.8</v>
      </c>
      <c r="AI34" s="589">
        <f t="shared" ref="AI34:AN34" si="171">ROUND(AI30/AI16,1)</f>
        <v>7.6</v>
      </c>
      <c r="AJ34" s="519">
        <f t="shared" si="171"/>
        <v>6</v>
      </c>
      <c r="AK34" s="589">
        <f t="shared" si="171"/>
        <v>6</v>
      </c>
      <c r="AL34" s="519">
        <f t="shared" si="171"/>
        <v>7.1</v>
      </c>
      <c r="AM34" s="519">
        <f t="shared" si="171"/>
        <v>6</v>
      </c>
      <c r="AN34" s="589">
        <f t="shared" si="171"/>
        <v>7.1</v>
      </c>
      <c r="AO34" s="519">
        <f t="shared" ref="AO34:AP34" si="172">ROUND(AO30/AO16,1)</f>
        <v>0</v>
      </c>
      <c r="AP34" s="589">
        <f t="shared" si="172"/>
        <v>0</v>
      </c>
      <c r="AQ34" s="173"/>
      <c r="AR34" s="173"/>
    </row>
    <row r="35" spans="2:44" x14ac:dyDescent="0.25">
      <c r="B35" s="1014"/>
      <c r="C35" s="1015"/>
      <c r="D35" s="504" t="str">
        <f>$D$8</f>
        <v>III</v>
      </c>
      <c r="E35" s="519">
        <f t="shared" ref="E35:H35" si="173">ROUND(E31/E17,1)</f>
        <v>7.4</v>
      </c>
      <c r="F35" s="519">
        <f t="shared" si="173"/>
        <v>7.4</v>
      </c>
      <c r="G35" s="519">
        <f t="shared" si="173"/>
        <v>7.4</v>
      </c>
      <c r="H35" s="519">
        <f t="shared" si="173"/>
        <v>10.5</v>
      </c>
      <c r="I35" s="519">
        <f t="shared" ref="I35:L35" si="174">ROUND(I31/I17,1)</f>
        <v>5.4</v>
      </c>
      <c r="J35" s="519">
        <f t="shared" si="174"/>
        <v>3.8</v>
      </c>
      <c r="K35" s="519">
        <f t="shared" si="174"/>
        <v>5.4</v>
      </c>
      <c r="L35" s="519">
        <f t="shared" si="174"/>
        <v>8.5</v>
      </c>
      <c r="M35" s="519">
        <f t="shared" ref="M35:P35" si="175">ROUND(M31/M17,1)</f>
        <v>8.3000000000000007</v>
      </c>
      <c r="N35" s="519">
        <f t="shared" si="175"/>
        <v>8.3000000000000007</v>
      </c>
      <c r="O35" s="519">
        <f t="shared" si="175"/>
        <v>8.3000000000000007</v>
      </c>
      <c r="P35" s="519">
        <f t="shared" si="175"/>
        <v>11.9</v>
      </c>
      <c r="Q35" s="519">
        <f t="shared" ref="Q35:T35" si="176">ROUND(Q31/Q17,1)</f>
        <v>4.9000000000000004</v>
      </c>
      <c r="R35" s="519">
        <f t="shared" si="176"/>
        <v>4.9000000000000004</v>
      </c>
      <c r="S35" s="519">
        <f t="shared" si="176"/>
        <v>4.9000000000000004</v>
      </c>
      <c r="T35" s="519">
        <f t="shared" si="176"/>
        <v>7</v>
      </c>
      <c r="U35" s="519">
        <f t="shared" ref="U35:V36" si="177">ROUND(U31/U17,1)</f>
        <v>3.5</v>
      </c>
      <c r="V35" s="519">
        <f t="shared" si="177"/>
        <v>2.2000000000000002</v>
      </c>
      <c r="W35" s="519">
        <f t="shared" ref="W35:Z35" si="178">ROUND(W31/W17,1)</f>
        <v>3.4</v>
      </c>
      <c r="X35" s="519">
        <f t="shared" si="178"/>
        <v>2.1</v>
      </c>
      <c r="Y35" s="519">
        <f t="shared" si="178"/>
        <v>3.4</v>
      </c>
      <c r="Z35" s="519">
        <f t="shared" si="178"/>
        <v>2.1</v>
      </c>
      <c r="AA35" s="519">
        <f t="shared" ref="AA35:AB35" si="179">ROUND(AA31/AA17,1)</f>
        <v>6.5</v>
      </c>
      <c r="AB35" s="519">
        <f t="shared" si="179"/>
        <v>4.2</v>
      </c>
      <c r="AC35" s="519">
        <f t="shared" ref="AC35:AD35" si="180">ROUND(AC31/AC17,1)</f>
        <v>7.9</v>
      </c>
      <c r="AD35" s="519">
        <f t="shared" si="180"/>
        <v>5</v>
      </c>
      <c r="AE35" s="519">
        <f t="shared" ref="AE35:AF35" si="181">ROUND(AE31/AE17,1)</f>
        <v>9.8000000000000007</v>
      </c>
      <c r="AF35" s="519">
        <f t="shared" si="181"/>
        <v>6.2</v>
      </c>
      <c r="AG35" s="519">
        <f t="shared" ref="AG35:AH35" si="182">ROUND(AG31/AG17,1)</f>
        <v>5.3</v>
      </c>
      <c r="AH35" s="519">
        <f t="shared" si="182"/>
        <v>7.5</v>
      </c>
      <c r="AI35" s="519">
        <f t="shared" ref="AI35:AN35" si="183">ROUND(AI31/AI17,1)</f>
        <v>8.4</v>
      </c>
      <c r="AJ35" s="519">
        <f t="shared" si="183"/>
        <v>6.6</v>
      </c>
      <c r="AK35" s="519">
        <f t="shared" si="183"/>
        <v>5.5</v>
      </c>
      <c r="AL35" s="519">
        <f t="shared" si="183"/>
        <v>7.9</v>
      </c>
      <c r="AM35" s="519">
        <f t="shared" si="183"/>
        <v>5.5</v>
      </c>
      <c r="AN35" s="519">
        <f t="shared" si="183"/>
        <v>7.9</v>
      </c>
      <c r="AO35" s="519">
        <f t="shared" ref="AO35:AP35" si="184">ROUND(AO31/AO17,1)</f>
        <v>0</v>
      </c>
      <c r="AP35" s="519">
        <f t="shared" si="184"/>
        <v>0</v>
      </c>
      <c r="AQ35" s="173"/>
      <c r="AR35" s="173"/>
    </row>
    <row r="36" spans="2:44" x14ac:dyDescent="0.25">
      <c r="B36" s="1014"/>
      <c r="C36" s="1015"/>
      <c r="D36" s="504" t="str">
        <f>$D$9</f>
        <v>IV</v>
      </c>
      <c r="E36" s="519">
        <f t="shared" ref="E36:H36" si="185">ROUND(E32/E18,1)</f>
        <v>8.4</v>
      </c>
      <c r="F36" s="519">
        <f t="shared" si="185"/>
        <v>8.4</v>
      </c>
      <c r="G36" s="519">
        <f t="shared" si="185"/>
        <v>8.4</v>
      </c>
      <c r="H36" s="519">
        <f t="shared" si="185"/>
        <v>11.8</v>
      </c>
      <c r="I36" s="519">
        <f t="shared" ref="I36:L36" si="186">ROUND(I32/I18,1)</f>
        <v>6.1</v>
      </c>
      <c r="J36" s="519">
        <f t="shared" si="186"/>
        <v>4.4000000000000004</v>
      </c>
      <c r="K36" s="519">
        <f t="shared" si="186"/>
        <v>6.1</v>
      </c>
      <c r="L36" s="519">
        <f t="shared" si="186"/>
        <v>9.6</v>
      </c>
      <c r="M36" s="519">
        <f t="shared" ref="M36:P36" si="187">ROUND(M32/M18,1)</f>
        <v>9</v>
      </c>
      <c r="N36" s="519">
        <f t="shared" si="187"/>
        <v>9</v>
      </c>
      <c r="O36" s="519">
        <f t="shared" si="187"/>
        <v>9</v>
      </c>
      <c r="P36" s="519">
        <f t="shared" si="187"/>
        <v>12.6</v>
      </c>
      <c r="Q36" s="519">
        <f t="shared" ref="Q36:T36" si="188">ROUND(Q32/Q18,1)</f>
        <v>5.3</v>
      </c>
      <c r="R36" s="519">
        <f t="shared" si="188"/>
        <v>5.3</v>
      </c>
      <c r="S36" s="519">
        <f t="shared" si="188"/>
        <v>5.3</v>
      </c>
      <c r="T36" s="519">
        <f t="shared" si="188"/>
        <v>7.4</v>
      </c>
      <c r="U36" s="519">
        <f t="shared" si="177"/>
        <v>3.7</v>
      </c>
      <c r="V36" s="519">
        <f t="shared" si="177"/>
        <v>2.4</v>
      </c>
      <c r="W36" s="519">
        <f t="shared" ref="W36:Z36" si="189">ROUND(W32/W18,1)</f>
        <v>3.6</v>
      </c>
      <c r="X36" s="519">
        <f t="shared" si="189"/>
        <v>2.2999999999999998</v>
      </c>
      <c r="Y36" s="519">
        <f t="shared" si="189"/>
        <v>3.6</v>
      </c>
      <c r="Z36" s="519">
        <f t="shared" si="189"/>
        <v>2.2999999999999998</v>
      </c>
      <c r="AA36" s="519">
        <f t="shared" ref="AA36:AB36" si="190">ROUND(AA32/AA18,1)</f>
        <v>6.9</v>
      </c>
      <c r="AB36" s="519">
        <f t="shared" si="190"/>
        <v>4.4000000000000004</v>
      </c>
      <c r="AC36" s="519">
        <f t="shared" ref="AC36:AD36" si="191">ROUND(AC32/AC18,1)</f>
        <v>8.3000000000000007</v>
      </c>
      <c r="AD36" s="519">
        <f t="shared" si="191"/>
        <v>5.3</v>
      </c>
      <c r="AE36" s="519">
        <f t="shared" ref="AE36:AF36" si="192">ROUND(AE32/AE18,1)</f>
        <v>10.4</v>
      </c>
      <c r="AF36" s="519">
        <f t="shared" si="192"/>
        <v>6.6</v>
      </c>
      <c r="AG36" s="519">
        <f t="shared" ref="AG36:AH36" si="193">ROUND(AG32/AG18,1)</f>
        <v>5.7</v>
      </c>
      <c r="AH36" s="519">
        <f t="shared" si="193"/>
        <v>7.9</v>
      </c>
      <c r="AI36" s="519">
        <f t="shared" ref="AI36:AN36" si="194">ROUND(AI32/AI18,1)</f>
        <v>8.8000000000000007</v>
      </c>
      <c r="AJ36" s="519">
        <f t="shared" si="194"/>
        <v>6.9</v>
      </c>
      <c r="AK36" s="519">
        <f t="shared" si="194"/>
        <v>6</v>
      </c>
      <c r="AL36" s="519">
        <f t="shared" si="194"/>
        <v>8.4</v>
      </c>
      <c r="AM36" s="519">
        <f t="shared" si="194"/>
        <v>6</v>
      </c>
      <c r="AN36" s="519">
        <f t="shared" si="194"/>
        <v>7.9</v>
      </c>
      <c r="AO36" s="519">
        <f t="shared" ref="AO36:AP36" si="195">ROUND(AO32/AO18,1)</f>
        <v>0</v>
      </c>
      <c r="AP36" s="519">
        <f t="shared" si="195"/>
        <v>0</v>
      </c>
      <c r="AQ36" s="173"/>
      <c r="AR36" s="173"/>
    </row>
    <row r="37" spans="2:44" x14ac:dyDescent="0.25">
      <c r="B37" s="1014" t="s">
        <v>297</v>
      </c>
      <c r="C37" s="1015" t="s">
        <v>43</v>
      </c>
      <c r="D37" s="505" t="str">
        <f>$D$7</f>
        <v>II</v>
      </c>
      <c r="E37" s="519">
        <f t="shared" ref="E37:H37" si="196">ROUNDUP(E34,0)</f>
        <v>8</v>
      </c>
      <c r="F37" s="519">
        <f t="shared" si="196"/>
        <v>8</v>
      </c>
      <c r="G37" s="519">
        <f t="shared" si="196"/>
        <v>8</v>
      </c>
      <c r="H37" s="519">
        <f t="shared" si="196"/>
        <v>9</v>
      </c>
      <c r="I37" s="519">
        <f t="shared" ref="I37:L37" si="197">ROUNDUP(I34,0)</f>
        <v>5</v>
      </c>
      <c r="J37" s="519">
        <f t="shared" si="197"/>
        <v>4</v>
      </c>
      <c r="K37" s="519">
        <f t="shared" si="197"/>
        <v>5</v>
      </c>
      <c r="L37" s="519">
        <f t="shared" si="197"/>
        <v>8</v>
      </c>
      <c r="M37" s="519">
        <f t="shared" ref="M37:P37" si="198">ROUNDUP(M34,0)</f>
        <v>10</v>
      </c>
      <c r="N37" s="519">
        <f t="shared" si="198"/>
        <v>10</v>
      </c>
      <c r="O37" s="519">
        <f t="shared" si="198"/>
        <v>9</v>
      </c>
      <c r="P37" s="519">
        <f t="shared" si="198"/>
        <v>11</v>
      </c>
      <c r="Q37" s="519">
        <f t="shared" ref="Q37:T37" si="199">ROUNDUP(Q34,0)</f>
        <v>6</v>
      </c>
      <c r="R37" s="519">
        <f t="shared" si="199"/>
        <v>6</v>
      </c>
      <c r="S37" s="519">
        <f t="shared" si="199"/>
        <v>6</v>
      </c>
      <c r="T37" s="519">
        <f t="shared" si="199"/>
        <v>7</v>
      </c>
      <c r="U37" s="519">
        <f t="shared" ref="U37" si="200">ROUNDUP(U34,0)</f>
        <v>4</v>
      </c>
      <c r="V37" s="519">
        <f t="shared" ref="V37" si="201">ROUNDUP(V34,0)</f>
        <v>2</v>
      </c>
      <c r="W37" s="519">
        <f t="shared" ref="W37:Z37" si="202">ROUNDUP(W34,0)</f>
        <v>3</v>
      </c>
      <c r="X37" s="519">
        <f t="shared" si="202"/>
        <v>2</v>
      </c>
      <c r="Y37" s="519">
        <f t="shared" si="202"/>
        <v>3</v>
      </c>
      <c r="Z37" s="519">
        <f t="shared" si="202"/>
        <v>2</v>
      </c>
      <c r="AA37" s="519">
        <f t="shared" ref="AA37:AB37" si="203">ROUNDUP(AA34,0)</f>
        <v>6</v>
      </c>
      <c r="AB37" s="519">
        <f t="shared" si="203"/>
        <v>4</v>
      </c>
      <c r="AC37" s="519">
        <f t="shared" ref="AC37:AD37" si="204">ROUNDUP(AC34,0)</f>
        <v>8</v>
      </c>
      <c r="AD37" s="519">
        <f t="shared" si="204"/>
        <v>5</v>
      </c>
      <c r="AE37" s="519">
        <f t="shared" ref="AE37:AF37" si="205">ROUNDUP(AE34,0)</f>
        <v>9</v>
      </c>
      <c r="AF37" s="519">
        <f t="shared" si="205"/>
        <v>6</v>
      </c>
      <c r="AG37" s="519">
        <f t="shared" ref="AG37:AH37" si="206">ROUNDUP(AG34,0)</f>
        <v>6</v>
      </c>
      <c r="AH37" s="519">
        <f t="shared" si="206"/>
        <v>7</v>
      </c>
      <c r="AI37" s="519">
        <f t="shared" ref="AI37:AJ39" si="207">ROUNDUP(AI34,0)*10</f>
        <v>80</v>
      </c>
      <c r="AJ37" s="519">
        <f t="shared" si="207"/>
        <v>60</v>
      </c>
      <c r="AK37" s="519">
        <f t="shared" ref="AK37:AN37" si="208">ROUNDUP(AK34,0)</f>
        <v>6</v>
      </c>
      <c r="AL37" s="519">
        <f t="shared" si="208"/>
        <v>8</v>
      </c>
      <c r="AM37" s="519">
        <f t="shared" si="208"/>
        <v>6</v>
      </c>
      <c r="AN37" s="519">
        <f t="shared" si="208"/>
        <v>8</v>
      </c>
      <c r="AO37" s="519">
        <f t="shared" ref="AO37:AP37" si="209">ROUNDUP(AO34,0)</f>
        <v>0</v>
      </c>
      <c r="AP37" s="519">
        <f t="shared" si="209"/>
        <v>0</v>
      </c>
      <c r="AQ37" s="173"/>
      <c r="AR37" s="173"/>
    </row>
    <row r="38" spans="2:44" x14ac:dyDescent="0.25">
      <c r="B38" s="1014"/>
      <c r="C38" s="1015"/>
      <c r="D38" s="505" t="str">
        <f>$D$8</f>
        <v>III</v>
      </c>
      <c r="E38" s="519">
        <f t="shared" ref="E38:H38" si="210">ROUNDUP(E35,0)</f>
        <v>8</v>
      </c>
      <c r="F38" s="519">
        <f t="shared" si="210"/>
        <v>8</v>
      </c>
      <c r="G38" s="519">
        <f t="shared" si="210"/>
        <v>8</v>
      </c>
      <c r="H38" s="519">
        <f t="shared" si="210"/>
        <v>11</v>
      </c>
      <c r="I38" s="519">
        <f t="shared" ref="I38:L38" si="211">ROUNDUP(I35,0)</f>
        <v>6</v>
      </c>
      <c r="J38" s="519">
        <f t="shared" si="211"/>
        <v>4</v>
      </c>
      <c r="K38" s="519">
        <f t="shared" si="211"/>
        <v>6</v>
      </c>
      <c r="L38" s="519">
        <f t="shared" si="211"/>
        <v>9</v>
      </c>
      <c r="M38" s="519">
        <f t="shared" ref="M38:P38" si="212">ROUNDUP(M35,0)</f>
        <v>9</v>
      </c>
      <c r="N38" s="519">
        <f t="shared" si="212"/>
        <v>9</v>
      </c>
      <c r="O38" s="519">
        <f t="shared" si="212"/>
        <v>9</v>
      </c>
      <c r="P38" s="519">
        <f t="shared" si="212"/>
        <v>12</v>
      </c>
      <c r="Q38" s="519">
        <f t="shared" ref="Q38:T38" si="213">ROUNDUP(Q35,0)</f>
        <v>5</v>
      </c>
      <c r="R38" s="519">
        <f t="shared" si="213"/>
        <v>5</v>
      </c>
      <c r="S38" s="519">
        <f t="shared" si="213"/>
        <v>5</v>
      </c>
      <c r="T38" s="519">
        <f t="shared" si="213"/>
        <v>7</v>
      </c>
      <c r="U38" s="519">
        <f t="shared" ref="U38:V38" si="214">ROUNDUP(U35,0)</f>
        <v>4</v>
      </c>
      <c r="V38" s="519">
        <f t="shared" si="214"/>
        <v>3</v>
      </c>
      <c r="W38" s="519">
        <f t="shared" ref="W38:Z38" si="215">ROUNDUP(W35,0)</f>
        <v>4</v>
      </c>
      <c r="X38" s="519">
        <f t="shared" si="215"/>
        <v>3</v>
      </c>
      <c r="Y38" s="519">
        <f t="shared" si="215"/>
        <v>4</v>
      </c>
      <c r="Z38" s="519">
        <f t="shared" si="215"/>
        <v>3</v>
      </c>
      <c r="AA38" s="519">
        <f t="shared" ref="AA38:AB38" si="216">ROUNDUP(AA35,0)</f>
        <v>7</v>
      </c>
      <c r="AB38" s="519">
        <f t="shared" si="216"/>
        <v>5</v>
      </c>
      <c r="AC38" s="519">
        <f t="shared" ref="AC38:AD38" si="217">ROUNDUP(AC35,0)</f>
        <v>8</v>
      </c>
      <c r="AD38" s="519">
        <f t="shared" si="217"/>
        <v>5</v>
      </c>
      <c r="AE38" s="519">
        <f t="shared" ref="AE38:AF38" si="218">ROUNDUP(AE35,0)</f>
        <v>10</v>
      </c>
      <c r="AF38" s="519">
        <f t="shared" si="218"/>
        <v>7</v>
      </c>
      <c r="AG38" s="519">
        <f t="shared" ref="AG38:AH38" si="219">ROUNDUP(AG35,0)</f>
        <v>6</v>
      </c>
      <c r="AH38" s="519">
        <f t="shared" si="219"/>
        <v>8</v>
      </c>
      <c r="AI38" s="519">
        <f t="shared" si="207"/>
        <v>90</v>
      </c>
      <c r="AJ38" s="519">
        <f t="shared" si="207"/>
        <v>70</v>
      </c>
      <c r="AK38" s="519">
        <f t="shared" ref="AK38:AN38" si="220">ROUNDUP(AK35,0)</f>
        <v>6</v>
      </c>
      <c r="AL38" s="519">
        <f t="shared" si="220"/>
        <v>8</v>
      </c>
      <c r="AM38" s="519">
        <f t="shared" si="220"/>
        <v>6</v>
      </c>
      <c r="AN38" s="519">
        <f t="shared" si="220"/>
        <v>8</v>
      </c>
      <c r="AO38" s="519">
        <f t="shared" ref="AO38:AP38" si="221">ROUNDUP(AO35,0)</f>
        <v>0</v>
      </c>
      <c r="AP38" s="519">
        <f t="shared" si="221"/>
        <v>0</v>
      </c>
      <c r="AQ38" s="173"/>
      <c r="AR38" s="173"/>
    </row>
    <row r="39" spans="2:44" x14ac:dyDescent="0.25">
      <c r="B39" s="1014"/>
      <c r="C39" s="1015"/>
      <c r="D39" s="505" t="str">
        <f>$D$9</f>
        <v>IV</v>
      </c>
      <c r="E39" s="519">
        <f t="shared" ref="E39:H39" si="222">ROUNDUP(E36,0)</f>
        <v>9</v>
      </c>
      <c r="F39" s="519">
        <f t="shared" si="222"/>
        <v>9</v>
      </c>
      <c r="G39" s="519">
        <f t="shared" si="222"/>
        <v>9</v>
      </c>
      <c r="H39" s="519">
        <f t="shared" si="222"/>
        <v>12</v>
      </c>
      <c r="I39" s="519">
        <f t="shared" ref="I39:L39" si="223">ROUNDUP(I36,0)</f>
        <v>7</v>
      </c>
      <c r="J39" s="519">
        <f t="shared" si="223"/>
        <v>5</v>
      </c>
      <c r="K39" s="519">
        <f t="shared" si="223"/>
        <v>7</v>
      </c>
      <c r="L39" s="519">
        <f t="shared" si="223"/>
        <v>10</v>
      </c>
      <c r="M39" s="519">
        <f t="shared" ref="M39:P39" si="224">ROUNDUP(M36,0)</f>
        <v>9</v>
      </c>
      <c r="N39" s="519">
        <f t="shared" si="224"/>
        <v>9</v>
      </c>
      <c r="O39" s="519">
        <f t="shared" si="224"/>
        <v>9</v>
      </c>
      <c r="P39" s="519">
        <f t="shared" si="224"/>
        <v>13</v>
      </c>
      <c r="Q39" s="519">
        <f t="shared" ref="Q39:T39" si="225">ROUNDUP(Q36,0)</f>
        <v>6</v>
      </c>
      <c r="R39" s="519">
        <f t="shared" si="225"/>
        <v>6</v>
      </c>
      <c r="S39" s="519">
        <f t="shared" si="225"/>
        <v>6</v>
      </c>
      <c r="T39" s="519">
        <f t="shared" si="225"/>
        <v>8</v>
      </c>
      <c r="U39" s="519">
        <f t="shared" ref="U39:V39" si="226">ROUNDUP(U36,0)</f>
        <v>4</v>
      </c>
      <c r="V39" s="519">
        <f t="shared" si="226"/>
        <v>3</v>
      </c>
      <c r="W39" s="519">
        <f t="shared" ref="W39:Z39" si="227">ROUNDUP(W36,0)</f>
        <v>4</v>
      </c>
      <c r="X39" s="519">
        <f t="shared" si="227"/>
        <v>3</v>
      </c>
      <c r="Y39" s="519">
        <f t="shared" si="227"/>
        <v>4</v>
      </c>
      <c r="Z39" s="519">
        <f t="shared" si="227"/>
        <v>3</v>
      </c>
      <c r="AA39" s="519">
        <f t="shared" ref="AA39:AB39" si="228">ROUNDUP(AA36,0)</f>
        <v>7</v>
      </c>
      <c r="AB39" s="519">
        <f t="shared" si="228"/>
        <v>5</v>
      </c>
      <c r="AC39" s="519">
        <f t="shared" ref="AC39:AD39" si="229">ROUNDUP(AC36,0)</f>
        <v>9</v>
      </c>
      <c r="AD39" s="519">
        <f t="shared" si="229"/>
        <v>6</v>
      </c>
      <c r="AE39" s="519">
        <f t="shared" ref="AE39:AF39" si="230">ROUNDUP(AE36,0)</f>
        <v>11</v>
      </c>
      <c r="AF39" s="519">
        <f t="shared" si="230"/>
        <v>7</v>
      </c>
      <c r="AG39" s="519">
        <f t="shared" ref="AG39:AH39" si="231">ROUNDUP(AG36,0)</f>
        <v>6</v>
      </c>
      <c r="AH39" s="519">
        <f t="shared" si="231"/>
        <v>8</v>
      </c>
      <c r="AI39" s="519">
        <f t="shared" si="207"/>
        <v>90</v>
      </c>
      <c r="AJ39" s="519">
        <f t="shared" si="207"/>
        <v>70</v>
      </c>
      <c r="AK39" s="519">
        <f t="shared" ref="AK39:AN39" si="232">ROUNDUP(AK36,0)</f>
        <v>6</v>
      </c>
      <c r="AL39" s="519">
        <f t="shared" si="232"/>
        <v>9</v>
      </c>
      <c r="AM39" s="519">
        <f t="shared" si="232"/>
        <v>6</v>
      </c>
      <c r="AN39" s="519">
        <f t="shared" si="232"/>
        <v>8</v>
      </c>
      <c r="AO39" s="519">
        <f t="shared" ref="AO39:AP39" si="233">ROUNDUP(AO36,0)</f>
        <v>0</v>
      </c>
      <c r="AP39" s="519">
        <f t="shared" si="233"/>
        <v>0</v>
      </c>
      <c r="AQ39" s="173"/>
      <c r="AR39" s="173"/>
    </row>
    <row r="40" spans="2:44" x14ac:dyDescent="0.25">
      <c r="B40" s="1014" t="s">
        <v>298</v>
      </c>
      <c r="C40" s="1015" t="s">
        <v>40</v>
      </c>
      <c r="D40" s="504" t="str">
        <f>$D$7</f>
        <v>II</v>
      </c>
      <c r="E40" s="519">
        <f>ROUND(E19*E37/60,1)</f>
        <v>4.7</v>
      </c>
      <c r="F40" s="519">
        <f t="shared" ref="F40:H40" si="234">ROUND(F19*F37/60,1)</f>
        <v>4.7</v>
      </c>
      <c r="G40" s="519">
        <f t="shared" si="234"/>
        <v>4.7</v>
      </c>
      <c r="H40" s="519">
        <f t="shared" si="234"/>
        <v>5.3</v>
      </c>
      <c r="I40" s="519">
        <f>ROUND(I19*I37/60,1)</f>
        <v>3</v>
      </c>
      <c r="J40" s="519">
        <f t="shared" ref="J40:L40" si="235">ROUND(J19*J37/60,1)</f>
        <v>2.4</v>
      </c>
      <c r="K40" s="519">
        <f t="shared" si="235"/>
        <v>3</v>
      </c>
      <c r="L40" s="519">
        <f t="shared" si="235"/>
        <v>4.8</v>
      </c>
      <c r="M40" s="519">
        <f>ROUND(M19*M37/60,1)</f>
        <v>9</v>
      </c>
      <c r="N40" s="519">
        <f t="shared" ref="N40:P40" si="236">ROUND(N19*N37/60,1)</f>
        <v>9</v>
      </c>
      <c r="O40" s="519">
        <f t="shared" si="236"/>
        <v>8.1</v>
      </c>
      <c r="P40" s="519">
        <f t="shared" si="236"/>
        <v>9.9</v>
      </c>
      <c r="Q40" s="519">
        <f>ROUND(Q19*Q37/60,1)</f>
        <v>5.6</v>
      </c>
      <c r="R40" s="519">
        <f t="shared" ref="R40:T40" si="237">ROUND(R19*R37/60,1)</f>
        <v>5.6</v>
      </c>
      <c r="S40" s="519">
        <f t="shared" si="237"/>
        <v>5.6</v>
      </c>
      <c r="T40" s="519">
        <f t="shared" si="237"/>
        <v>6.5</v>
      </c>
      <c r="U40" s="519">
        <f t="shared" ref="U40" si="238">ROUND(U19*U37/60,1)</f>
        <v>1.6</v>
      </c>
      <c r="V40" s="519">
        <f t="shared" ref="V40" si="239">ROUND(V19*V37/60,1)</f>
        <v>0.8</v>
      </c>
      <c r="W40" s="519">
        <f t="shared" ref="W40:Z40" si="240">ROUND(W19*W37/60,1)</f>
        <v>1.2</v>
      </c>
      <c r="X40" s="519">
        <f t="shared" si="240"/>
        <v>0.8</v>
      </c>
      <c r="Y40" s="519">
        <f t="shared" si="240"/>
        <v>1.3</v>
      </c>
      <c r="Z40" s="519">
        <f t="shared" si="240"/>
        <v>0.9</v>
      </c>
      <c r="AA40" s="519">
        <f t="shared" ref="AA40:AB40" si="241">ROUND(AA19*AA37/60,1)</f>
        <v>2.7</v>
      </c>
      <c r="AB40" s="519">
        <f t="shared" si="241"/>
        <v>1.8</v>
      </c>
      <c r="AC40" s="519">
        <f t="shared" ref="AC40:AD40" si="242">ROUND(AC19*AC37/60,1)</f>
        <v>11.5</v>
      </c>
      <c r="AD40" s="519">
        <f t="shared" si="242"/>
        <v>7.2</v>
      </c>
      <c r="AE40" s="519">
        <f t="shared" ref="AE40:AF40" si="243">ROUND(AE19*AE37/60,1)</f>
        <v>3.9</v>
      </c>
      <c r="AF40" s="519">
        <f t="shared" si="243"/>
        <v>2.6</v>
      </c>
      <c r="AG40" s="519">
        <f t="shared" ref="AG40:AH40" si="244">ROUND(AG19*AG37/60,1)</f>
        <v>2.6</v>
      </c>
      <c r="AH40" s="519">
        <f t="shared" si="244"/>
        <v>3</v>
      </c>
      <c r="AI40" s="519">
        <f t="shared" ref="AI40:AJ40" si="245">ROUND(AI19*AI37/60,1)</f>
        <v>48</v>
      </c>
      <c r="AJ40" s="519">
        <f t="shared" si="245"/>
        <v>40</v>
      </c>
      <c r="AK40" s="519">
        <f>ROUND(AK19*AK37/60,1)</f>
        <v>5.6</v>
      </c>
      <c r="AL40" s="519">
        <f t="shared" ref="AL40:AN40" si="246">ROUND(AL19*AL37/60,1)</f>
        <v>7.5</v>
      </c>
      <c r="AM40" s="519">
        <f t="shared" si="246"/>
        <v>5.6</v>
      </c>
      <c r="AN40" s="519">
        <f t="shared" si="246"/>
        <v>7.5</v>
      </c>
      <c r="AO40" s="519">
        <f t="shared" ref="AO40:AP40" si="247">ROUND(AO19*AO37/60,1)</f>
        <v>0</v>
      </c>
      <c r="AP40" s="519">
        <f t="shared" si="247"/>
        <v>0</v>
      </c>
      <c r="AQ40" s="173"/>
      <c r="AR40" s="173"/>
    </row>
    <row r="41" spans="2:44" x14ac:dyDescent="0.25">
      <c r="B41" s="1014"/>
      <c r="C41" s="1015"/>
      <c r="D41" s="504" t="str">
        <f>$D$8</f>
        <v>III</v>
      </c>
      <c r="E41" s="519">
        <f t="shared" ref="E41:H41" si="248">ROUND(E20*E38/60,1)</f>
        <v>4.7</v>
      </c>
      <c r="F41" s="519">
        <f t="shared" si="248"/>
        <v>4.7</v>
      </c>
      <c r="G41" s="519">
        <f t="shared" si="248"/>
        <v>4.7</v>
      </c>
      <c r="H41" s="519">
        <f t="shared" si="248"/>
        <v>6.4</v>
      </c>
      <c r="I41" s="519">
        <f t="shared" ref="I41:L41" si="249">ROUND(I20*I38/60,1)</f>
        <v>3.6</v>
      </c>
      <c r="J41" s="519">
        <f t="shared" si="249"/>
        <v>2.4</v>
      </c>
      <c r="K41" s="519">
        <f t="shared" si="249"/>
        <v>3.6</v>
      </c>
      <c r="L41" s="519">
        <f t="shared" si="249"/>
        <v>5.4</v>
      </c>
      <c r="M41" s="519">
        <f t="shared" ref="M41:P41" si="250">ROUND(M20*M38/60,1)</f>
        <v>8.4</v>
      </c>
      <c r="N41" s="519">
        <f t="shared" si="250"/>
        <v>8.4</v>
      </c>
      <c r="O41" s="519">
        <f t="shared" si="250"/>
        <v>8.4</v>
      </c>
      <c r="P41" s="519">
        <f t="shared" si="250"/>
        <v>11.2</v>
      </c>
      <c r="Q41" s="519">
        <f t="shared" ref="Q41:T41" si="251">ROUND(Q20*Q38/60,1)</f>
        <v>4.8</v>
      </c>
      <c r="R41" s="519">
        <f t="shared" si="251"/>
        <v>4.8</v>
      </c>
      <c r="S41" s="519">
        <f t="shared" si="251"/>
        <v>4.8</v>
      </c>
      <c r="T41" s="519">
        <f t="shared" si="251"/>
        <v>6.8</v>
      </c>
      <c r="U41" s="519">
        <f t="shared" ref="U41:V42" si="252">ROUND(U20*U38/60,1)</f>
        <v>1.6</v>
      </c>
      <c r="V41" s="519">
        <f t="shared" si="252"/>
        <v>1.2</v>
      </c>
      <c r="W41" s="519">
        <f t="shared" ref="W41:Z41" si="253">ROUND(W20*W38/60,1)</f>
        <v>1.7</v>
      </c>
      <c r="X41" s="519">
        <f t="shared" si="253"/>
        <v>1.3</v>
      </c>
      <c r="Y41" s="519">
        <f t="shared" si="253"/>
        <v>1.7</v>
      </c>
      <c r="Z41" s="519">
        <f t="shared" si="253"/>
        <v>1.3</v>
      </c>
      <c r="AA41" s="519">
        <f t="shared" ref="AA41:AB41" si="254">ROUND(AA20*AA38/60,1)</f>
        <v>3.3</v>
      </c>
      <c r="AB41" s="519">
        <f t="shared" si="254"/>
        <v>2.2999999999999998</v>
      </c>
      <c r="AC41" s="519">
        <f t="shared" ref="AC41:AD41" si="255">ROUND(AC20*AC38/60,1)</f>
        <v>5.0999999999999996</v>
      </c>
      <c r="AD41" s="519">
        <f t="shared" si="255"/>
        <v>3.2</v>
      </c>
      <c r="AE41" s="519">
        <f t="shared" ref="AE41:AF41" si="256">ROUND(AE20*AE38/60,1)</f>
        <v>4.5</v>
      </c>
      <c r="AF41" s="519">
        <f t="shared" si="256"/>
        <v>3.2</v>
      </c>
      <c r="AG41" s="519">
        <f t="shared" ref="AG41:AH41" si="257">ROUND(AG20*AG38/60,1)</f>
        <v>2.7</v>
      </c>
      <c r="AH41" s="519">
        <f t="shared" si="257"/>
        <v>3.6</v>
      </c>
      <c r="AI41" s="519">
        <f t="shared" ref="AI41:AN41" si="258">ROUND(AI20*AI38/60,1)</f>
        <v>55.5</v>
      </c>
      <c r="AJ41" s="519">
        <f t="shared" si="258"/>
        <v>50.2</v>
      </c>
      <c r="AK41" s="519">
        <f t="shared" si="258"/>
        <v>5.8</v>
      </c>
      <c r="AL41" s="519">
        <f t="shared" si="258"/>
        <v>7.7</v>
      </c>
      <c r="AM41" s="519">
        <f t="shared" si="258"/>
        <v>5.8</v>
      </c>
      <c r="AN41" s="519">
        <f t="shared" si="258"/>
        <v>7.7</v>
      </c>
      <c r="AO41" s="519">
        <f t="shared" ref="AO41:AP41" si="259">ROUND(AO20*AO38/60,1)</f>
        <v>0</v>
      </c>
      <c r="AP41" s="519">
        <f t="shared" si="259"/>
        <v>0</v>
      </c>
      <c r="AQ41" s="173"/>
      <c r="AR41" s="173"/>
    </row>
    <row r="42" spans="2:44" x14ac:dyDescent="0.25">
      <c r="B42" s="1014"/>
      <c r="C42" s="1015"/>
      <c r="D42" s="504" t="str">
        <f>$D$9</f>
        <v>IV</v>
      </c>
      <c r="E42" s="519">
        <f t="shared" ref="E42:H42" si="260">ROUND(E21*E39/60,1)</f>
        <v>5.4</v>
      </c>
      <c r="F42" s="519">
        <f t="shared" si="260"/>
        <v>5.4</v>
      </c>
      <c r="G42" s="519">
        <f t="shared" si="260"/>
        <v>5.4</v>
      </c>
      <c r="H42" s="519">
        <f t="shared" si="260"/>
        <v>7.2</v>
      </c>
      <c r="I42" s="519">
        <f t="shared" ref="I42:L42" si="261">ROUND(I21*I39/60,1)</f>
        <v>4.4000000000000004</v>
      </c>
      <c r="J42" s="519">
        <f t="shared" si="261"/>
        <v>3.2</v>
      </c>
      <c r="K42" s="519">
        <f t="shared" si="261"/>
        <v>4.4000000000000004</v>
      </c>
      <c r="L42" s="519">
        <f t="shared" si="261"/>
        <v>6.3</v>
      </c>
      <c r="M42" s="519">
        <f t="shared" ref="M42:P42" si="262">ROUND(M21*M39/60,1)</f>
        <v>8.4</v>
      </c>
      <c r="N42" s="519">
        <f t="shared" si="262"/>
        <v>8.4</v>
      </c>
      <c r="O42" s="519">
        <f t="shared" si="262"/>
        <v>8.4</v>
      </c>
      <c r="P42" s="519">
        <f t="shared" si="262"/>
        <v>12.1</v>
      </c>
      <c r="Q42" s="519">
        <f t="shared" ref="Q42:T42" si="263">ROUND(Q21*Q39/60,1)</f>
        <v>5.8</v>
      </c>
      <c r="R42" s="519">
        <f t="shared" si="263"/>
        <v>5.8</v>
      </c>
      <c r="S42" s="519">
        <f t="shared" si="263"/>
        <v>5.8</v>
      </c>
      <c r="T42" s="519">
        <f t="shared" si="263"/>
        <v>7.7</v>
      </c>
      <c r="U42" s="519">
        <f t="shared" si="252"/>
        <v>1.7</v>
      </c>
      <c r="V42" s="519">
        <f t="shared" si="252"/>
        <v>1.3</v>
      </c>
      <c r="W42" s="519">
        <f t="shared" ref="W42:Z42" si="264">ROUND(W21*W39/60,1)</f>
        <v>1.7</v>
      </c>
      <c r="X42" s="519">
        <f t="shared" si="264"/>
        <v>1.3</v>
      </c>
      <c r="Y42" s="519">
        <f t="shared" si="264"/>
        <v>1.7</v>
      </c>
      <c r="Z42" s="519">
        <f t="shared" si="264"/>
        <v>1.3</v>
      </c>
      <c r="AA42" s="519">
        <f t="shared" ref="AA42:AB42" si="265">ROUND(AA21*AA39/60,1)</f>
        <v>3.7</v>
      </c>
      <c r="AB42" s="519">
        <f t="shared" si="265"/>
        <v>2.7</v>
      </c>
      <c r="AC42" s="519">
        <f t="shared" ref="AC42:AD42" si="266">ROUND(AC21*AC39/60,1)</f>
        <v>6.2</v>
      </c>
      <c r="AD42" s="519">
        <f t="shared" si="266"/>
        <v>4.0999999999999996</v>
      </c>
      <c r="AE42" s="519">
        <f t="shared" ref="AE42:AF42" si="267">ROUND(AE21*AE39/60,1)</f>
        <v>5.9</v>
      </c>
      <c r="AF42" s="519">
        <f t="shared" si="267"/>
        <v>3.7</v>
      </c>
      <c r="AG42" s="519">
        <f t="shared" ref="AG42:AH42" si="268">ROUND(AG21*AG39/60,1)</f>
        <v>3.2</v>
      </c>
      <c r="AH42" s="519">
        <f t="shared" si="268"/>
        <v>4.3</v>
      </c>
      <c r="AI42" s="519">
        <f t="shared" ref="AI42:AN42" si="269">ROUND(AI21*AI39/60,1)</f>
        <v>57</v>
      </c>
      <c r="AJ42" s="519">
        <f t="shared" si="269"/>
        <v>52.5</v>
      </c>
      <c r="AK42" s="519">
        <f t="shared" si="269"/>
        <v>5.8</v>
      </c>
      <c r="AL42" s="519">
        <f t="shared" si="269"/>
        <v>8.6999999999999993</v>
      </c>
      <c r="AM42" s="519">
        <f t="shared" si="269"/>
        <v>5.8</v>
      </c>
      <c r="AN42" s="519">
        <f t="shared" si="269"/>
        <v>7.7</v>
      </c>
      <c r="AO42" s="519">
        <f t="shared" ref="AO42:AP42" si="270">ROUND(AO21*AO39/60,1)</f>
        <v>0</v>
      </c>
      <c r="AP42" s="519">
        <f t="shared" si="270"/>
        <v>0</v>
      </c>
      <c r="AQ42" s="173"/>
      <c r="AR42" s="173"/>
    </row>
    <row r="43" spans="2:44" x14ac:dyDescent="0.25">
      <c r="B43" s="521" t="s">
        <v>299</v>
      </c>
      <c r="C43" s="504" t="s">
        <v>40</v>
      </c>
      <c r="D43" s="517"/>
      <c r="E43" s="520">
        <v>0.15</v>
      </c>
      <c r="F43" s="520">
        <v>0.15</v>
      </c>
      <c r="G43" s="520">
        <v>0.15</v>
      </c>
      <c r="H43" s="520">
        <v>0.15</v>
      </c>
      <c r="I43" s="520">
        <v>0.15</v>
      </c>
      <c r="J43" s="520">
        <v>0.15</v>
      </c>
      <c r="K43" s="520">
        <v>0.15</v>
      </c>
      <c r="L43" s="520">
        <v>0.15</v>
      </c>
      <c r="M43" s="520">
        <v>0.15</v>
      </c>
      <c r="N43" s="520">
        <v>0.15</v>
      </c>
      <c r="O43" s="520">
        <v>0.15</v>
      </c>
      <c r="P43" s="520">
        <v>0.15</v>
      </c>
      <c r="Q43" s="520">
        <v>0.15</v>
      </c>
      <c r="R43" s="520">
        <v>0.15</v>
      </c>
      <c r="S43" s="520">
        <v>0.15</v>
      </c>
      <c r="T43" s="520">
        <v>0.15</v>
      </c>
      <c r="U43" s="520">
        <v>0.15</v>
      </c>
      <c r="V43" s="520">
        <v>0.15</v>
      </c>
      <c r="W43" s="520">
        <v>0.15</v>
      </c>
      <c r="X43" s="520">
        <v>0.15</v>
      </c>
      <c r="Y43" s="520">
        <v>0.15</v>
      </c>
      <c r="Z43" s="520">
        <v>0.15</v>
      </c>
      <c r="AA43" s="520">
        <v>0.15</v>
      </c>
      <c r="AB43" s="520">
        <v>0.15</v>
      </c>
      <c r="AC43" s="520">
        <v>0.15</v>
      </c>
      <c r="AD43" s="520">
        <v>0.15</v>
      </c>
      <c r="AE43" s="520">
        <v>0.15</v>
      </c>
      <c r="AF43" s="520">
        <v>0.15</v>
      </c>
      <c r="AG43" s="520">
        <v>0.15</v>
      </c>
      <c r="AH43" s="520">
        <v>0.15</v>
      </c>
      <c r="AI43" s="520">
        <v>18</v>
      </c>
      <c r="AJ43" s="520">
        <v>18</v>
      </c>
      <c r="AK43" s="520">
        <v>0.15</v>
      </c>
      <c r="AL43" s="520">
        <v>0.15</v>
      </c>
      <c r="AM43" s="520">
        <v>0.15</v>
      </c>
      <c r="AN43" s="520">
        <v>0.15</v>
      </c>
      <c r="AO43" s="520">
        <v>0</v>
      </c>
      <c r="AP43" s="520">
        <v>0</v>
      </c>
      <c r="AQ43" s="12"/>
      <c r="AR43" s="12"/>
    </row>
    <row r="44" spans="2:44" x14ac:dyDescent="0.25">
      <c r="B44" s="516" t="s">
        <v>213</v>
      </c>
      <c r="C44" s="504" t="s">
        <v>40</v>
      </c>
      <c r="D44" s="504"/>
      <c r="E44" s="504">
        <v>720</v>
      </c>
      <c r="F44" s="504">
        <v>720</v>
      </c>
      <c r="G44" s="504">
        <v>720</v>
      </c>
      <c r="H44" s="504">
        <v>720</v>
      </c>
      <c r="I44" s="504">
        <v>720</v>
      </c>
      <c r="J44" s="504">
        <v>720</v>
      </c>
      <c r="K44" s="504">
        <v>720</v>
      </c>
      <c r="L44" s="504">
        <v>720</v>
      </c>
      <c r="M44" s="504">
        <v>720</v>
      </c>
      <c r="N44" s="504">
        <v>720</v>
      </c>
      <c r="O44" s="504">
        <v>720</v>
      </c>
      <c r="P44" s="504">
        <v>720</v>
      </c>
      <c r="Q44" s="504">
        <v>720</v>
      </c>
      <c r="R44" s="504">
        <v>720</v>
      </c>
      <c r="S44" s="504">
        <v>720</v>
      </c>
      <c r="T44" s="504">
        <v>720</v>
      </c>
      <c r="U44" s="504">
        <v>720</v>
      </c>
      <c r="V44" s="504">
        <v>720</v>
      </c>
      <c r="W44" s="504">
        <v>720</v>
      </c>
      <c r="X44" s="504">
        <v>720</v>
      </c>
      <c r="Y44" s="504">
        <v>720</v>
      </c>
      <c r="Z44" s="504">
        <v>720</v>
      </c>
      <c r="AA44" s="504">
        <v>720</v>
      </c>
      <c r="AB44" s="504">
        <v>720</v>
      </c>
      <c r="AC44" s="504">
        <v>720</v>
      </c>
      <c r="AD44" s="504">
        <v>720</v>
      </c>
      <c r="AE44" s="504">
        <v>720</v>
      </c>
      <c r="AF44" s="504">
        <v>720</v>
      </c>
      <c r="AG44" s="504">
        <v>720</v>
      </c>
      <c r="AH44" s="504">
        <v>720</v>
      </c>
      <c r="AI44" s="504">
        <v>720</v>
      </c>
      <c r="AJ44" s="504">
        <v>720</v>
      </c>
      <c r="AK44" s="504">
        <v>720</v>
      </c>
      <c r="AL44" s="504">
        <v>720</v>
      </c>
      <c r="AM44" s="504">
        <v>720</v>
      </c>
      <c r="AN44" s="504">
        <v>720</v>
      </c>
      <c r="AO44" s="504">
        <v>720</v>
      </c>
      <c r="AP44" s="504">
        <v>720</v>
      </c>
      <c r="AQ44" s="9"/>
      <c r="AR44" s="9"/>
    </row>
    <row r="45" spans="2:44" x14ac:dyDescent="0.25">
      <c r="B45" s="516" t="s">
        <v>300</v>
      </c>
      <c r="C45" s="504" t="s">
        <v>40</v>
      </c>
      <c r="D45" s="504"/>
      <c r="E45" s="522">
        <v>41</v>
      </c>
      <c r="F45" s="522">
        <f>E45</f>
        <v>41</v>
      </c>
      <c r="G45" s="522">
        <f>E45</f>
        <v>41</v>
      </c>
      <c r="H45" s="522">
        <f>E45</f>
        <v>41</v>
      </c>
      <c r="I45" s="522">
        <v>41</v>
      </c>
      <c r="J45" s="522">
        <f>I45</f>
        <v>41</v>
      </c>
      <c r="K45" s="522">
        <f>I45</f>
        <v>41</v>
      </c>
      <c r="L45" s="522">
        <f>I45</f>
        <v>41</v>
      </c>
      <c r="M45" s="522">
        <v>41</v>
      </c>
      <c r="N45" s="522">
        <f>M45</f>
        <v>41</v>
      </c>
      <c r="O45" s="522">
        <f>M45</f>
        <v>41</v>
      </c>
      <c r="P45" s="522">
        <f>M45</f>
        <v>41</v>
      </c>
      <c r="Q45" s="522">
        <v>41</v>
      </c>
      <c r="R45" s="522">
        <f>Q45</f>
        <v>41</v>
      </c>
      <c r="S45" s="522">
        <f>Q45</f>
        <v>41</v>
      </c>
      <c r="T45" s="522">
        <f>Q45</f>
        <v>41</v>
      </c>
      <c r="U45" s="522">
        <v>31</v>
      </c>
      <c r="V45" s="522">
        <v>31</v>
      </c>
      <c r="W45" s="522">
        <v>31</v>
      </c>
      <c r="X45" s="522">
        <v>31</v>
      </c>
      <c r="Y45" s="522">
        <v>31</v>
      </c>
      <c r="Z45" s="522">
        <v>31</v>
      </c>
      <c r="AA45" s="522">
        <v>31</v>
      </c>
      <c r="AB45" s="522">
        <v>31</v>
      </c>
      <c r="AC45" s="522">
        <v>31</v>
      </c>
      <c r="AD45" s="522">
        <v>31</v>
      </c>
      <c r="AE45" s="522">
        <v>31</v>
      </c>
      <c r="AF45" s="522">
        <v>31</v>
      </c>
      <c r="AG45" s="522">
        <v>31</v>
      </c>
      <c r="AH45" s="522">
        <v>31</v>
      </c>
      <c r="AI45" s="522">
        <v>31</v>
      </c>
      <c r="AJ45" s="522">
        <v>31</v>
      </c>
      <c r="AK45" s="522">
        <v>31</v>
      </c>
      <c r="AL45" s="522">
        <f>AK45</f>
        <v>31</v>
      </c>
      <c r="AM45" s="522">
        <f>AK45</f>
        <v>31</v>
      </c>
      <c r="AN45" s="522">
        <f>AK45</f>
        <v>31</v>
      </c>
      <c r="AO45" s="522">
        <v>30</v>
      </c>
      <c r="AP45" s="522">
        <v>30</v>
      </c>
      <c r="AQ45" s="9"/>
      <c r="AR45" s="9"/>
    </row>
    <row r="46" spans="2:44" x14ac:dyDescent="0.25">
      <c r="B46" s="516" t="s">
        <v>309</v>
      </c>
      <c r="C46" s="504" t="s">
        <v>40</v>
      </c>
      <c r="D46" s="504"/>
      <c r="E46" s="504">
        <v>60</v>
      </c>
      <c r="F46" s="504">
        <v>60</v>
      </c>
      <c r="G46" s="504">
        <v>60</v>
      </c>
      <c r="H46" s="504">
        <v>60</v>
      </c>
      <c r="I46" s="504">
        <v>60</v>
      </c>
      <c r="J46" s="504">
        <v>60</v>
      </c>
      <c r="K46" s="504">
        <v>60</v>
      </c>
      <c r="L46" s="504">
        <v>60</v>
      </c>
      <c r="M46" s="504">
        <v>60</v>
      </c>
      <c r="N46" s="504">
        <v>60</v>
      </c>
      <c r="O46" s="504">
        <v>60</v>
      </c>
      <c r="P46" s="504">
        <v>60</v>
      </c>
      <c r="Q46" s="504">
        <v>60</v>
      </c>
      <c r="R46" s="504">
        <v>60</v>
      </c>
      <c r="S46" s="504">
        <v>60</v>
      </c>
      <c r="T46" s="504">
        <v>60</v>
      </c>
      <c r="U46" s="504">
        <v>60</v>
      </c>
      <c r="V46" s="504">
        <v>60</v>
      </c>
      <c r="W46" s="504">
        <v>60</v>
      </c>
      <c r="X46" s="504">
        <v>60</v>
      </c>
      <c r="Y46" s="504">
        <v>60</v>
      </c>
      <c r="Z46" s="504">
        <v>60</v>
      </c>
      <c r="AA46" s="504">
        <v>60</v>
      </c>
      <c r="AB46" s="504">
        <v>60</v>
      </c>
      <c r="AC46" s="504">
        <v>60</v>
      </c>
      <c r="AD46" s="504">
        <v>60</v>
      </c>
      <c r="AE46" s="504">
        <v>60</v>
      </c>
      <c r="AF46" s="504">
        <v>60</v>
      </c>
      <c r="AG46" s="504">
        <v>60</v>
      </c>
      <c r="AH46" s="504">
        <v>60</v>
      </c>
      <c r="AI46" s="504">
        <v>60</v>
      </c>
      <c r="AJ46" s="504">
        <v>60</v>
      </c>
      <c r="AK46" s="504">
        <v>60</v>
      </c>
      <c r="AL46" s="504">
        <v>60</v>
      </c>
      <c r="AM46" s="504">
        <v>60</v>
      </c>
      <c r="AN46" s="504">
        <v>60</v>
      </c>
      <c r="AO46" s="504">
        <v>60</v>
      </c>
      <c r="AP46" s="504">
        <v>60</v>
      </c>
      <c r="AQ46" s="9"/>
      <c r="AR46" s="9"/>
    </row>
    <row r="47" spans="2:44" x14ac:dyDescent="0.25">
      <c r="B47" s="516" t="s">
        <v>301</v>
      </c>
      <c r="C47" s="504" t="s">
        <v>40</v>
      </c>
      <c r="D47" s="504"/>
      <c r="E47" s="504">
        <v>10</v>
      </c>
      <c r="F47" s="504">
        <v>10</v>
      </c>
      <c r="G47" s="504">
        <v>10</v>
      </c>
      <c r="H47" s="504">
        <v>10</v>
      </c>
      <c r="I47" s="504">
        <v>10</v>
      </c>
      <c r="J47" s="504">
        <v>10</v>
      </c>
      <c r="K47" s="504">
        <v>10</v>
      </c>
      <c r="L47" s="504">
        <v>10</v>
      </c>
      <c r="M47" s="504">
        <v>10</v>
      </c>
      <c r="N47" s="504">
        <v>10</v>
      </c>
      <c r="O47" s="504">
        <v>10</v>
      </c>
      <c r="P47" s="504">
        <v>10</v>
      </c>
      <c r="Q47" s="504">
        <v>10</v>
      </c>
      <c r="R47" s="504">
        <v>10</v>
      </c>
      <c r="S47" s="504">
        <v>10</v>
      </c>
      <c r="T47" s="504">
        <v>10</v>
      </c>
      <c r="U47" s="504">
        <v>10</v>
      </c>
      <c r="V47" s="504">
        <v>10</v>
      </c>
      <c r="W47" s="504">
        <v>10</v>
      </c>
      <c r="X47" s="504">
        <v>10</v>
      </c>
      <c r="Y47" s="504">
        <v>10</v>
      </c>
      <c r="Z47" s="504">
        <v>10</v>
      </c>
      <c r="AA47" s="504">
        <v>10</v>
      </c>
      <c r="AB47" s="504">
        <v>10</v>
      </c>
      <c r="AC47" s="504">
        <v>10</v>
      </c>
      <c r="AD47" s="504">
        <v>10</v>
      </c>
      <c r="AE47" s="504">
        <v>10</v>
      </c>
      <c r="AF47" s="504">
        <v>10</v>
      </c>
      <c r="AG47" s="504">
        <v>10</v>
      </c>
      <c r="AH47" s="504">
        <v>10</v>
      </c>
      <c r="AI47" s="504">
        <v>10</v>
      </c>
      <c r="AJ47" s="504">
        <v>10</v>
      </c>
      <c r="AK47" s="504">
        <v>10</v>
      </c>
      <c r="AL47" s="504">
        <v>10</v>
      </c>
      <c r="AM47" s="504">
        <v>10</v>
      </c>
      <c r="AN47" s="504">
        <v>10</v>
      </c>
      <c r="AO47" s="504">
        <v>10</v>
      </c>
      <c r="AP47" s="504">
        <v>10</v>
      </c>
      <c r="AQ47" s="9"/>
      <c r="AR47" s="9"/>
    </row>
    <row r="48" spans="2:44" x14ac:dyDescent="0.25">
      <c r="B48" s="523" t="s">
        <v>310</v>
      </c>
      <c r="C48" s="504" t="s">
        <v>40</v>
      </c>
      <c r="D48" s="504"/>
      <c r="E48" s="524">
        <f t="shared" ref="E48:H48" si="271">E44-E45-E46-E47</f>
        <v>609</v>
      </c>
      <c r="F48" s="524">
        <f t="shared" si="271"/>
        <v>609</v>
      </c>
      <c r="G48" s="524">
        <f t="shared" si="271"/>
        <v>609</v>
      </c>
      <c r="H48" s="524">
        <f t="shared" si="271"/>
        <v>609</v>
      </c>
      <c r="I48" s="524">
        <f t="shared" ref="I48:L48" si="272">I44-I45-I46-I47</f>
        <v>609</v>
      </c>
      <c r="J48" s="524">
        <f t="shared" si="272"/>
        <v>609</v>
      </c>
      <c r="K48" s="524">
        <f t="shared" si="272"/>
        <v>609</v>
      </c>
      <c r="L48" s="524">
        <f t="shared" si="272"/>
        <v>609</v>
      </c>
      <c r="M48" s="524">
        <f t="shared" ref="M48:P48" si="273">M44-M45-M46-M47</f>
        <v>609</v>
      </c>
      <c r="N48" s="524">
        <f t="shared" si="273"/>
        <v>609</v>
      </c>
      <c r="O48" s="524">
        <f t="shared" si="273"/>
        <v>609</v>
      </c>
      <c r="P48" s="524">
        <f t="shared" si="273"/>
        <v>609</v>
      </c>
      <c r="Q48" s="524">
        <f t="shared" ref="Q48:T48" si="274">Q44-Q45-Q46-Q47</f>
        <v>609</v>
      </c>
      <c r="R48" s="524">
        <f t="shared" si="274"/>
        <v>609</v>
      </c>
      <c r="S48" s="524">
        <f t="shared" si="274"/>
        <v>609</v>
      </c>
      <c r="T48" s="524">
        <f t="shared" si="274"/>
        <v>609</v>
      </c>
      <c r="U48" s="524">
        <f t="shared" ref="U48:AB48" si="275">U44-U45-U46-U47</f>
        <v>619</v>
      </c>
      <c r="V48" s="524">
        <f t="shared" si="275"/>
        <v>619</v>
      </c>
      <c r="W48" s="524">
        <f t="shared" si="275"/>
        <v>619</v>
      </c>
      <c r="X48" s="524">
        <f t="shared" si="275"/>
        <v>619</v>
      </c>
      <c r="Y48" s="524">
        <f t="shared" ref="Y48:Z48" si="276">Y44-Y45-Y46-Y47</f>
        <v>619</v>
      </c>
      <c r="Z48" s="524">
        <f t="shared" si="276"/>
        <v>619</v>
      </c>
      <c r="AA48" s="524">
        <f t="shared" si="275"/>
        <v>619</v>
      </c>
      <c r="AB48" s="524">
        <f t="shared" si="275"/>
        <v>619</v>
      </c>
      <c r="AC48" s="524">
        <f t="shared" ref="AC48:AD48" si="277">AC44-AC45-AC46-AC47</f>
        <v>619</v>
      </c>
      <c r="AD48" s="524">
        <f t="shared" si="277"/>
        <v>619</v>
      </c>
      <c r="AE48" s="524">
        <f t="shared" ref="AE48:AF48" si="278">AE44-AE45-AE46-AE47</f>
        <v>619</v>
      </c>
      <c r="AF48" s="524">
        <f t="shared" si="278"/>
        <v>619</v>
      </c>
      <c r="AG48" s="524">
        <f t="shared" ref="AG48:AH48" si="279">AG44-AG45-AG46-AG47</f>
        <v>619</v>
      </c>
      <c r="AH48" s="524">
        <f t="shared" si="279"/>
        <v>619</v>
      </c>
      <c r="AI48" s="524">
        <f t="shared" ref="AI48:AN48" si="280">AI44-AI45-AI46-AI47</f>
        <v>619</v>
      </c>
      <c r="AJ48" s="524">
        <f t="shared" si="280"/>
        <v>619</v>
      </c>
      <c r="AK48" s="524">
        <f t="shared" si="280"/>
        <v>619</v>
      </c>
      <c r="AL48" s="524">
        <f t="shared" si="280"/>
        <v>619</v>
      </c>
      <c r="AM48" s="524">
        <f t="shared" si="280"/>
        <v>619</v>
      </c>
      <c r="AN48" s="524">
        <f t="shared" si="280"/>
        <v>619</v>
      </c>
      <c r="AO48" s="524">
        <f t="shared" ref="AO48:AP48" si="281">AO44-AO45-AO46-AO47</f>
        <v>620</v>
      </c>
      <c r="AP48" s="524">
        <f t="shared" si="281"/>
        <v>620</v>
      </c>
      <c r="AQ48" s="180"/>
      <c r="AR48" s="180"/>
    </row>
    <row r="49" spans="2:44" x14ac:dyDescent="0.25">
      <c r="B49" s="516" t="s">
        <v>302</v>
      </c>
      <c r="C49" s="525"/>
      <c r="D49" s="525"/>
      <c r="E49" s="507">
        <f>E50*E54*E56*E57*E58*E59*E55</f>
        <v>0.83885599999999994</v>
      </c>
      <c r="F49" s="507">
        <f>F50*F54*F52*F56*F57*F58*F59*F55</f>
        <v>0.75497039999999993</v>
      </c>
      <c r="G49" s="507">
        <f>G50*G54*G52*G56*G57*G58*G59*G55</f>
        <v>0.75497039999999993</v>
      </c>
      <c r="H49" s="507">
        <f>H50*H54*H52*H56*H57*H58*H59*H55</f>
        <v>0.75497039999999993</v>
      </c>
      <c r="I49" s="507">
        <f t="shared" ref="I49:L49" si="282">I50*I54*I52*I56*I57*I58*I59*I55</f>
        <v>0.75497039999999993</v>
      </c>
      <c r="J49" s="507">
        <f t="shared" si="282"/>
        <v>0.75497039999999993</v>
      </c>
      <c r="K49" s="507">
        <f t="shared" si="282"/>
        <v>0.75497039999999993</v>
      </c>
      <c r="L49" s="507">
        <f t="shared" si="282"/>
        <v>0.75497039999999993</v>
      </c>
      <c r="M49" s="507">
        <f t="shared" ref="M49:P49" si="283">M50*M54*M52*M56*M57*M58*M59*M55</f>
        <v>0.75497039999999993</v>
      </c>
      <c r="N49" s="507">
        <f t="shared" si="283"/>
        <v>0.75497039999999993</v>
      </c>
      <c r="O49" s="507">
        <f t="shared" si="283"/>
        <v>0.75497039999999993</v>
      </c>
      <c r="P49" s="507">
        <f t="shared" si="283"/>
        <v>0.75497039999999993</v>
      </c>
      <c r="Q49" s="507">
        <f t="shared" ref="Q49:T49" si="284">Q50*Q54*Q52*Q56*Q57*Q58*Q59*Q55</f>
        <v>0.75497039999999993</v>
      </c>
      <c r="R49" s="507">
        <f t="shared" si="284"/>
        <v>0.75497039999999993</v>
      </c>
      <c r="S49" s="507">
        <f t="shared" si="284"/>
        <v>0.75497039999999993</v>
      </c>
      <c r="T49" s="507">
        <f t="shared" si="284"/>
        <v>0.75497039999999993</v>
      </c>
      <c r="U49" s="507">
        <f t="shared" ref="U49" si="285">U50*U54*U52*U56*U57*U58*U59*U55</f>
        <v>0.75497039999999993</v>
      </c>
      <c r="V49" s="507">
        <f t="shared" ref="V49" si="286">V50*V54*V52*V56*V57*V58*V59*V55</f>
        <v>0.75497039999999993</v>
      </c>
      <c r="W49" s="507">
        <f t="shared" ref="W49:Z49" si="287">W50*W54*W52*W56*W57*W58*W59*W55</f>
        <v>0.75497039999999993</v>
      </c>
      <c r="X49" s="507">
        <f t="shared" si="287"/>
        <v>0.75497039999999993</v>
      </c>
      <c r="Y49" s="507">
        <f t="shared" si="287"/>
        <v>0.75497039999999993</v>
      </c>
      <c r="Z49" s="507">
        <f t="shared" si="287"/>
        <v>0.75497039999999993</v>
      </c>
      <c r="AA49" s="507">
        <f t="shared" ref="AA49:AB49" si="288">AA50*AA54*AA52*AA56*AA57*AA58*AA59*AA55</f>
        <v>0.75497039999999993</v>
      </c>
      <c r="AB49" s="507">
        <f t="shared" si="288"/>
        <v>0.75497039999999993</v>
      </c>
      <c r="AC49" s="507">
        <f t="shared" ref="AC49:AD49" si="289">AC50*AC54*AC52*AC56*AC57*AC58*AC59*AC55</f>
        <v>0.75497039999999993</v>
      </c>
      <c r="AD49" s="507">
        <f t="shared" si="289"/>
        <v>0.75497039999999993</v>
      </c>
      <c r="AE49" s="507">
        <f t="shared" ref="AE49:AF49" si="290">AE50*AE54*AE52*AE56*AE57*AE58*AE59*AE55</f>
        <v>0.702122472</v>
      </c>
      <c r="AF49" s="507">
        <f t="shared" si="290"/>
        <v>0.702122472</v>
      </c>
      <c r="AG49" s="507">
        <f t="shared" ref="AG49:AH49" si="291">AG50*AG54*AG52*AG56*AG57*AG58*AG59*AG55</f>
        <v>0.702122472</v>
      </c>
      <c r="AH49" s="507">
        <f t="shared" si="291"/>
        <v>0.702122472</v>
      </c>
      <c r="AI49" s="507">
        <f t="shared" ref="AI49:AN49" si="292">AI50*AI54*AI52*AI56*AI57*AI58*AI59*AI55</f>
        <v>0.67947336000000003</v>
      </c>
      <c r="AJ49" s="507">
        <f t="shared" si="292"/>
        <v>0.67947336000000003</v>
      </c>
      <c r="AK49" s="507">
        <f t="shared" si="292"/>
        <v>0.75497039999999993</v>
      </c>
      <c r="AL49" s="507">
        <f t="shared" si="292"/>
        <v>0.75497039999999993</v>
      </c>
      <c r="AM49" s="507">
        <f t="shared" si="292"/>
        <v>0.75497039999999993</v>
      </c>
      <c r="AN49" s="507">
        <f t="shared" si="292"/>
        <v>0.75497039999999993</v>
      </c>
      <c r="AO49" s="507">
        <f t="shared" ref="AO49:AP49" si="293">AO50*AO54*AO52*AO56*AO57*AO58*AO59*AO55</f>
        <v>0.74742069600000005</v>
      </c>
      <c r="AP49" s="507">
        <f t="shared" si="293"/>
        <v>0.74742069600000005</v>
      </c>
      <c r="AQ49" s="174"/>
      <c r="AR49" s="174"/>
    </row>
    <row r="50" spans="2:44" x14ac:dyDescent="0.25">
      <c r="B50" s="1033" t="s">
        <v>439</v>
      </c>
      <c r="C50" s="526"/>
      <c r="D50" s="504" t="str">
        <f>$D$7</f>
        <v>II</v>
      </c>
      <c r="E50" s="504">
        <v>1</v>
      </c>
      <c r="F50" s="504">
        <v>1</v>
      </c>
      <c r="G50" s="504">
        <v>1</v>
      </c>
      <c r="H50" s="504">
        <v>1</v>
      </c>
      <c r="I50" s="504">
        <v>1</v>
      </c>
      <c r="J50" s="504">
        <v>1</v>
      </c>
      <c r="K50" s="504">
        <v>1</v>
      </c>
      <c r="L50" s="504">
        <v>1</v>
      </c>
      <c r="M50" s="504">
        <v>1</v>
      </c>
      <c r="N50" s="504">
        <v>1</v>
      </c>
      <c r="O50" s="504">
        <v>1</v>
      </c>
      <c r="P50" s="504">
        <v>1</v>
      </c>
      <c r="Q50" s="504">
        <v>1</v>
      </c>
      <c r="R50" s="504">
        <v>1</v>
      </c>
      <c r="S50" s="504">
        <v>1</v>
      </c>
      <c r="T50" s="504">
        <v>1</v>
      </c>
      <c r="U50" s="504">
        <v>1</v>
      </c>
      <c r="V50" s="504">
        <v>1</v>
      </c>
      <c r="W50" s="504">
        <v>1</v>
      </c>
      <c r="X50" s="504">
        <v>1</v>
      </c>
      <c r="Y50" s="504">
        <v>1</v>
      </c>
      <c r="Z50" s="504">
        <v>1</v>
      </c>
      <c r="AA50" s="504">
        <v>1</v>
      </c>
      <c r="AB50" s="504">
        <v>1</v>
      </c>
      <c r="AC50" s="504">
        <v>1</v>
      </c>
      <c r="AD50" s="504">
        <v>1</v>
      </c>
      <c r="AE50" s="504">
        <v>1</v>
      </c>
      <c r="AF50" s="504">
        <v>1</v>
      </c>
      <c r="AG50" s="504">
        <v>1</v>
      </c>
      <c r="AH50" s="504">
        <v>1</v>
      </c>
      <c r="AI50" s="504">
        <v>1</v>
      </c>
      <c r="AJ50" s="504">
        <v>1</v>
      </c>
      <c r="AK50" s="504">
        <v>1</v>
      </c>
      <c r="AL50" s="504">
        <v>1</v>
      </c>
      <c r="AM50" s="504">
        <v>1</v>
      </c>
      <c r="AN50" s="504">
        <v>1</v>
      </c>
      <c r="AO50" s="504">
        <v>1</v>
      </c>
      <c r="AP50" s="504">
        <v>1</v>
      </c>
      <c r="AQ50" s="9"/>
      <c r="AR50" s="9"/>
    </row>
    <row r="51" spans="2:44" x14ac:dyDescent="0.25">
      <c r="B51" s="1034"/>
      <c r="C51" s="526"/>
      <c r="D51" s="504" t="str">
        <f>$D$8</f>
        <v>III</v>
      </c>
      <c r="E51" s="504">
        <v>1</v>
      </c>
      <c r="F51" s="504">
        <v>1</v>
      </c>
      <c r="G51" s="504">
        <v>1</v>
      </c>
      <c r="H51" s="504">
        <v>1</v>
      </c>
      <c r="I51" s="504">
        <v>1</v>
      </c>
      <c r="J51" s="504">
        <v>1</v>
      </c>
      <c r="K51" s="504">
        <v>1</v>
      </c>
      <c r="L51" s="504">
        <v>1</v>
      </c>
      <c r="M51" s="504">
        <v>1</v>
      </c>
      <c r="N51" s="504">
        <v>1</v>
      </c>
      <c r="O51" s="504">
        <v>1</v>
      </c>
      <c r="P51" s="504">
        <v>1</v>
      </c>
      <c r="Q51" s="504">
        <v>1</v>
      </c>
      <c r="R51" s="504">
        <v>1</v>
      </c>
      <c r="S51" s="504">
        <v>1</v>
      </c>
      <c r="T51" s="504">
        <v>1</v>
      </c>
      <c r="U51" s="504">
        <v>1</v>
      </c>
      <c r="V51" s="504">
        <v>1</v>
      </c>
      <c r="W51" s="504">
        <v>1</v>
      </c>
      <c r="X51" s="504">
        <v>1</v>
      </c>
      <c r="Y51" s="504">
        <v>1</v>
      </c>
      <c r="Z51" s="504">
        <v>1</v>
      </c>
      <c r="AA51" s="504">
        <v>1</v>
      </c>
      <c r="AB51" s="504">
        <v>1</v>
      </c>
      <c r="AC51" s="504">
        <v>1</v>
      </c>
      <c r="AD51" s="504">
        <v>1</v>
      </c>
      <c r="AE51" s="504">
        <v>1</v>
      </c>
      <c r="AF51" s="504">
        <v>1</v>
      </c>
      <c r="AG51" s="504">
        <v>1</v>
      </c>
      <c r="AH51" s="504">
        <v>1</v>
      </c>
      <c r="AI51" s="504">
        <v>1</v>
      </c>
      <c r="AJ51" s="504">
        <v>1</v>
      </c>
      <c r="AK51" s="504">
        <v>1</v>
      </c>
      <c r="AL51" s="504">
        <v>1</v>
      </c>
      <c r="AM51" s="504">
        <v>1</v>
      </c>
      <c r="AN51" s="504">
        <v>1</v>
      </c>
      <c r="AO51" s="504">
        <v>1</v>
      </c>
      <c r="AP51" s="504">
        <v>1</v>
      </c>
      <c r="AQ51" s="9"/>
      <c r="AR51" s="9"/>
    </row>
    <row r="52" spans="2:44" x14ac:dyDescent="0.25">
      <c r="B52" s="1033" t="s">
        <v>311</v>
      </c>
      <c r="C52" s="526"/>
      <c r="D52" s="504" t="str">
        <f>$D$7</f>
        <v>II</v>
      </c>
      <c r="E52" s="504">
        <v>0.9</v>
      </c>
      <c r="F52" s="504">
        <v>0.9</v>
      </c>
      <c r="G52" s="504">
        <v>0.9</v>
      </c>
      <c r="H52" s="504">
        <v>0.9</v>
      </c>
      <c r="I52" s="504">
        <v>0.9</v>
      </c>
      <c r="J52" s="504">
        <v>0.9</v>
      </c>
      <c r="K52" s="504">
        <v>0.9</v>
      </c>
      <c r="L52" s="504">
        <v>0.9</v>
      </c>
      <c r="M52" s="504">
        <v>0.9</v>
      </c>
      <c r="N52" s="504">
        <v>0.9</v>
      </c>
      <c r="O52" s="504">
        <v>0.9</v>
      </c>
      <c r="P52" s="504">
        <v>0.9</v>
      </c>
      <c r="Q52" s="504">
        <v>0.9</v>
      </c>
      <c r="R52" s="504">
        <v>0.9</v>
      </c>
      <c r="S52" s="504">
        <v>0.9</v>
      </c>
      <c r="T52" s="504">
        <v>0.9</v>
      </c>
      <c r="U52" s="504">
        <v>0.9</v>
      </c>
      <c r="V52" s="504">
        <v>0.9</v>
      </c>
      <c r="W52" s="504">
        <v>0.9</v>
      </c>
      <c r="X52" s="504">
        <v>0.9</v>
      </c>
      <c r="Y52" s="504">
        <v>0.9</v>
      </c>
      <c r="Z52" s="504">
        <v>0.9</v>
      </c>
      <c r="AA52" s="504">
        <v>0.9</v>
      </c>
      <c r="AB52" s="504">
        <v>0.9</v>
      </c>
      <c r="AC52" s="504">
        <v>0.9</v>
      </c>
      <c r="AD52" s="504">
        <v>0.9</v>
      </c>
      <c r="AE52" s="504">
        <v>0.9</v>
      </c>
      <c r="AF52" s="504">
        <v>0.9</v>
      </c>
      <c r="AG52" s="504">
        <v>0.9</v>
      </c>
      <c r="AH52" s="504">
        <v>0.9</v>
      </c>
      <c r="AI52" s="504">
        <v>0.9</v>
      </c>
      <c r="AJ52" s="504">
        <v>0.9</v>
      </c>
      <c r="AK52" s="504">
        <v>0.9</v>
      </c>
      <c r="AL52" s="504">
        <v>0.9</v>
      </c>
      <c r="AM52" s="504">
        <v>0.9</v>
      </c>
      <c r="AN52" s="504">
        <v>0.9</v>
      </c>
      <c r="AO52" s="504">
        <v>0.9</v>
      </c>
      <c r="AP52" s="504">
        <v>0.9</v>
      </c>
      <c r="AQ52" s="9"/>
      <c r="AR52" s="9"/>
    </row>
    <row r="53" spans="2:44" x14ac:dyDescent="0.25">
      <c r="B53" s="1034"/>
      <c r="C53" s="526"/>
      <c r="D53" s="504" t="str">
        <f>$D$8</f>
        <v>III</v>
      </c>
      <c r="E53" s="504">
        <v>1</v>
      </c>
      <c r="F53" s="504">
        <v>1</v>
      </c>
      <c r="G53" s="504">
        <v>1</v>
      </c>
      <c r="H53" s="504">
        <v>1</v>
      </c>
      <c r="I53" s="504">
        <v>1</v>
      </c>
      <c r="J53" s="504">
        <v>1</v>
      </c>
      <c r="K53" s="504">
        <v>1</v>
      </c>
      <c r="L53" s="504">
        <v>1</v>
      </c>
      <c r="M53" s="504">
        <v>1</v>
      </c>
      <c r="N53" s="504">
        <v>1</v>
      </c>
      <c r="O53" s="504">
        <v>1</v>
      </c>
      <c r="P53" s="504">
        <v>1</v>
      </c>
      <c r="Q53" s="504">
        <v>1</v>
      </c>
      <c r="R53" s="504">
        <v>1</v>
      </c>
      <c r="S53" s="504">
        <v>1</v>
      </c>
      <c r="T53" s="504">
        <v>1</v>
      </c>
      <c r="U53" s="504">
        <v>1</v>
      </c>
      <c r="V53" s="504">
        <v>1</v>
      </c>
      <c r="W53" s="504">
        <v>1</v>
      </c>
      <c r="X53" s="504">
        <v>1</v>
      </c>
      <c r="Y53" s="504">
        <v>1</v>
      </c>
      <c r="Z53" s="504">
        <v>1</v>
      </c>
      <c r="AA53" s="504">
        <v>1</v>
      </c>
      <c r="AB53" s="504">
        <v>1</v>
      </c>
      <c r="AC53" s="504">
        <v>1</v>
      </c>
      <c r="AD53" s="504">
        <v>1</v>
      </c>
      <c r="AE53" s="504">
        <v>1</v>
      </c>
      <c r="AF53" s="504">
        <v>1</v>
      </c>
      <c r="AG53" s="504">
        <v>1</v>
      </c>
      <c r="AH53" s="504">
        <v>1</v>
      </c>
      <c r="AI53" s="504">
        <v>1</v>
      </c>
      <c r="AJ53" s="504">
        <v>1</v>
      </c>
      <c r="AK53" s="504">
        <v>1</v>
      </c>
      <c r="AL53" s="504">
        <v>1</v>
      </c>
      <c r="AM53" s="504">
        <v>1</v>
      </c>
      <c r="AN53" s="504">
        <v>1</v>
      </c>
      <c r="AO53" s="504">
        <v>1</v>
      </c>
      <c r="AP53" s="504">
        <v>1</v>
      </c>
      <c r="AQ53" s="9"/>
      <c r="AR53" s="9"/>
    </row>
    <row r="54" spans="2:44" x14ac:dyDescent="0.25">
      <c r="B54" s="516" t="s">
        <v>321</v>
      </c>
      <c r="C54" s="504"/>
      <c r="D54" s="504"/>
      <c r="E54" s="504">
        <v>1</v>
      </c>
      <c r="F54" s="504">
        <v>1</v>
      </c>
      <c r="G54" s="504">
        <v>1</v>
      </c>
      <c r="H54" s="504">
        <v>1</v>
      </c>
      <c r="I54" s="504">
        <v>1</v>
      </c>
      <c r="J54" s="504">
        <v>1</v>
      </c>
      <c r="K54" s="504">
        <v>1</v>
      </c>
      <c r="L54" s="504">
        <v>1</v>
      </c>
      <c r="M54" s="504">
        <v>1</v>
      </c>
      <c r="N54" s="504">
        <v>1</v>
      </c>
      <c r="O54" s="504">
        <v>1</v>
      </c>
      <c r="P54" s="504">
        <v>1</v>
      </c>
      <c r="Q54" s="504">
        <v>1</v>
      </c>
      <c r="R54" s="504">
        <v>1</v>
      </c>
      <c r="S54" s="504">
        <v>1</v>
      </c>
      <c r="T54" s="504">
        <v>1</v>
      </c>
      <c r="U54" s="504">
        <v>1</v>
      </c>
      <c r="V54" s="504">
        <v>1</v>
      </c>
      <c r="W54" s="504">
        <v>1</v>
      </c>
      <c r="X54" s="504">
        <v>1</v>
      </c>
      <c r="Y54" s="504">
        <v>1</v>
      </c>
      <c r="Z54" s="504">
        <v>1</v>
      </c>
      <c r="AA54" s="504">
        <v>1</v>
      </c>
      <c r="AB54" s="504">
        <v>1</v>
      </c>
      <c r="AC54" s="504">
        <v>1</v>
      </c>
      <c r="AD54" s="504">
        <v>1</v>
      </c>
      <c r="AE54" s="504">
        <v>1</v>
      </c>
      <c r="AF54" s="504">
        <v>1</v>
      </c>
      <c r="AG54" s="504">
        <v>1</v>
      </c>
      <c r="AH54" s="504">
        <v>1</v>
      </c>
      <c r="AI54" s="504">
        <v>1</v>
      </c>
      <c r="AJ54" s="504">
        <v>1</v>
      </c>
      <c r="AK54" s="504">
        <v>1</v>
      </c>
      <c r="AL54" s="504">
        <v>1</v>
      </c>
      <c r="AM54" s="504">
        <v>1</v>
      </c>
      <c r="AN54" s="504">
        <v>1</v>
      </c>
      <c r="AO54" s="504">
        <v>1</v>
      </c>
      <c r="AP54" s="504">
        <v>1</v>
      </c>
      <c r="AQ54" s="9"/>
      <c r="AR54" s="9"/>
    </row>
    <row r="55" spans="2:44" x14ac:dyDescent="0.25">
      <c r="B55" s="516" t="s">
        <v>312</v>
      </c>
      <c r="C55" s="504"/>
      <c r="D55" s="504"/>
      <c r="E55" s="504">
        <v>1</v>
      </c>
      <c r="F55" s="504">
        <v>1</v>
      </c>
      <c r="G55" s="504">
        <v>1</v>
      </c>
      <c r="H55" s="504">
        <v>1</v>
      </c>
      <c r="I55" s="504">
        <v>1</v>
      </c>
      <c r="J55" s="504">
        <v>1</v>
      </c>
      <c r="K55" s="504">
        <v>1</v>
      </c>
      <c r="L55" s="504">
        <v>1</v>
      </c>
      <c r="M55" s="504">
        <v>1</v>
      </c>
      <c r="N55" s="504">
        <v>1</v>
      </c>
      <c r="O55" s="504">
        <v>1</v>
      </c>
      <c r="P55" s="504">
        <v>1</v>
      </c>
      <c r="Q55" s="504">
        <v>1</v>
      </c>
      <c r="R55" s="504">
        <v>1</v>
      </c>
      <c r="S55" s="504">
        <v>1</v>
      </c>
      <c r="T55" s="504">
        <v>1</v>
      </c>
      <c r="U55" s="504">
        <v>1</v>
      </c>
      <c r="V55" s="504">
        <v>1</v>
      </c>
      <c r="W55" s="504">
        <v>1</v>
      </c>
      <c r="X55" s="504">
        <v>1</v>
      </c>
      <c r="Y55" s="504">
        <v>1</v>
      </c>
      <c r="Z55" s="504">
        <v>1</v>
      </c>
      <c r="AA55" s="504">
        <v>1</v>
      </c>
      <c r="AB55" s="504">
        <v>1</v>
      </c>
      <c r="AC55" s="504">
        <v>1</v>
      </c>
      <c r="AD55" s="504">
        <v>1</v>
      </c>
      <c r="AE55" s="504">
        <v>1</v>
      </c>
      <c r="AF55" s="504">
        <v>1</v>
      </c>
      <c r="AG55" s="504">
        <v>1</v>
      </c>
      <c r="AH55" s="504">
        <v>1</v>
      </c>
      <c r="AI55" s="504">
        <v>1</v>
      </c>
      <c r="AJ55" s="504">
        <v>1</v>
      </c>
      <c r="AK55" s="504">
        <v>1</v>
      </c>
      <c r="AL55" s="504">
        <v>1</v>
      </c>
      <c r="AM55" s="504">
        <v>1</v>
      </c>
      <c r="AN55" s="504">
        <v>1</v>
      </c>
      <c r="AO55" s="504">
        <v>1.1000000000000001</v>
      </c>
      <c r="AP55" s="504">
        <v>1.1000000000000001</v>
      </c>
      <c r="AQ55" s="9"/>
      <c r="AR55" s="9"/>
    </row>
    <row r="56" spans="2:44" x14ac:dyDescent="0.25">
      <c r="B56" s="516" t="s">
        <v>313</v>
      </c>
      <c r="C56" s="526"/>
      <c r="D56" s="526"/>
      <c r="E56" s="504">
        <v>0.97</v>
      </c>
      <c r="F56" s="504">
        <v>0.97</v>
      </c>
      <c r="G56" s="504">
        <v>0.97</v>
      </c>
      <c r="H56" s="504">
        <v>0.97</v>
      </c>
      <c r="I56" s="504">
        <v>0.97</v>
      </c>
      <c r="J56" s="504">
        <v>0.97</v>
      </c>
      <c r="K56" s="504">
        <v>0.97</v>
      </c>
      <c r="L56" s="504">
        <v>0.97</v>
      </c>
      <c r="M56" s="504">
        <v>0.97</v>
      </c>
      <c r="N56" s="504">
        <v>0.97</v>
      </c>
      <c r="O56" s="504">
        <v>0.97</v>
      </c>
      <c r="P56" s="504">
        <v>0.97</v>
      </c>
      <c r="Q56" s="504">
        <v>0.97</v>
      </c>
      <c r="R56" s="504">
        <v>0.97</v>
      </c>
      <c r="S56" s="504">
        <v>0.97</v>
      </c>
      <c r="T56" s="504">
        <v>0.97</v>
      </c>
      <c r="U56" s="504">
        <v>0.97</v>
      </c>
      <c r="V56" s="504">
        <v>0.97</v>
      </c>
      <c r="W56" s="504">
        <v>0.97</v>
      </c>
      <c r="X56" s="504">
        <v>0.97</v>
      </c>
      <c r="Y56" s="504">
        <v>0.97</v>
      </c>
      <c r="Z56" s="504">
        <v>0.97</v>
      </c>
      <c r="AA56" s="504">
        <v>0.97</v>
      </c>
      <c r="AB56" s="504">
        <v>0.97</v>
      </c>
      <c r="AC56" s="504">
        <v>0.97</v>
      </c>
      <c r="AD56" s="504">
        <v>0.97</v>
      </c>
      <c r="AE56" s="504">
        <v>0.97</v>
      </c>
      <c r="AF56" s="504">
        <v>0.97</v>
      </c>
      <c r="AG56" s="504">
        <v>0.97</v>
      </c>
      <c r="AH56" s="504">
        <v>0.97</v>
      </c>
      <c r="AI56" s="504">
        <v>0.97</v>
      </c>
      <c r="AJ56" s="504">
        <v>0.97</v>
      </c>
      <c r="AK56" s="504">
        <v>0.97</v>
      </c>
      <c r="AL56" s="504">
        <v>0.97</v>
      </c>
      <c r="AM56" s="504">
        <v>0.97</v>
      </c>
      <c r="AN56" s="504">
        <v>0.97</v>
      </c>
      <c r="AO56" s="504">
        <v>0.97</v>
      </c>
      <c r="AP56" s="504">
        <v>0.97</v>
      </c>
      <c r="AQ56" s="9"/>
      <c r="AR56" s="9"/>
    </row>
    <row r="57" spans="2:44" x14ac:dyDescent="0.25">
      <c r="B57" s="516" t="s">
        <v>314</v>
      </c>
      <c r="C57" s="526"/>
      <c r="D57" s="526"/>
      <c r="E57" s="504">
        <v>0.92</v>
      </c>
      <c r="F57" s="504">
        <v>0.92</v>
      </c>
      <c r="G57" s="504">
        <v>0.92</v>
      </c>
      <c r="H57" s="504">
        <v>0.92</v>
      </c>
      <c r="I57" s="504">
        <v>0.92</v>
      </c>
      <c r="J57" s="504">
        <v>0.92</v>
      </c>
      <c r="K57" s="504">
        <v>0.92</v>
      </c>
      <c r="L57" s="504">
        <v>0.92</v>
      </c>
      <c r="M57" s="504">
        <v>0.92</v>
      </c>
      <c r="N57" s="504">
        <v>0.92</v>
      </c>
      <c r="O57" s="504">
        <v>0.92</v>
      </c>
      <c r="P57" s="504">
        <v>0.92</v>
      </c>
      <c r="Q57" s="504">
        <v>0.92</v>
      </c>
      <c r="R57" s="504">
        <v>0.92</v>
      </c>
      <c r="S57" s="504">
        <v>0.92</v>
      </c>
      <c r="T57" s="504">
        <v>0.92</v>
      </c>
      <c r="U57" s="504">
        <v>0.92</v>
      </c>
      <c r="V57" s="504">
        <v>0.92</v>
      </c>
      <c r="W57" s="504">
        <v>0.92</v>
      </c>
      <c r="X57" s="504">
        <v>0.92</v>
      </c>
      <c r="Y57" s="504">
        <v>0.92</v>
      </c>
      <c r="Z57" s="504">
        <v>0.92</v>
      </c>
      <c r="AA57" s="504">
        <v>0.92</v>
      </c>
      <c r="AB57" s="504">
        <v>0.92</v>
      </c>
      <c r="AC57" s="504">
        <v>0.92</v>
      </c>
      <c r="AD57" s="504">
        <v>0.92</v>
      </c>
      <c r="AE57" s="504">
        <v>0.92</v>
      </c>
      <c r="AF57" s="504">
        <v>0.92</v>
      </c>
      <c r="AG57" s="504">
        <v>0.92</v>
      </c>
      <c r="AH57" s="504">
        <v>0.92</v>
      </c>
      <c r="AI57" s="504">
        <v>0.92</v>
      </c>
      <c r="AJ57" s="504">
        <v>0.92</v>
      </c>
      <c r="AK57" s="504">
        <v>0.92</v>
      </c>
      <c r="AL57" s="504">
        <v>0.92</v>
      </c>
      <c r="AM57" s="504">
        <v>0.92</v>
      </c>
      <c r="AN57" s="504">
        <v>0.92</v>
      </c>
      <c r="AO57" s="504">
        <v>0.92</v>
      </c>
      <c r="AP57" s="504">
        <v>0.92</v>
      </c>
      <c r="AQ57" s="9"/>
      <c r="AR57" s="9"/>
    </row>
    <row r="58" spans="2:44" x14ac:dyDescent="0.25">
      <c r="B58" s="516" t="s">
        <v>322</v>
      </c>
      <c r="C58" s="526"/>
      <c r="D58" s="526"/>
      <c r="E58" s="504">
        <v>1</v>
      </c>
      <c r="F58" s="504">
        <v>1</v>
      </c>
      <c r="G58" s="504">
        <v>1</v>
      </c>
      <c r="H58" s="504">
        <v>1</v>
      </c>
      <c r="I58" s="504">
        <v>1</v>
      </c>
      <c r="J58" s="504">
        <v>1</v>
      </c>
      <c r="K58" s="504">
        <v>1</v>
      </c>
      <c r="L58" s="504">
        <v>1</v>
      </c>
      <c r="M58" s="504">
        <v>1</v>
      </c>
      <c r="N58" s="504">
        <v>1</v>
      </c>
      <c r="O58" s="504">
        <v>1</v>
      </c>
      <c r="P58" s="504">
        <v>1</v>
      </c>
      <c r="Q58" s="504">
        <v>1</v>
      </c>
      <c r="R58" s="504">
        <v>1</v>
      </c>
      <c r="S58" s="504">
        <v>1</v>
      </c>
      <c r="T58" s="504">
        <v>1</v>
      </c>
      <c r="U58" s="504">
        <v>1</v>
      </c>
      <c r="V58" s="504">
        <v>1</v>
      </c>
      <c r="W58" s="504">
        <v>1</v>
      </c>
      <c r="X58" s="504">
        <v>1</v>
      </c>
      <c r="Y58" s="504">
        <v>1</v>
      </c>
      <c r="Z58" s="504">
        <v>1</v>
      </c>
      <c r="AA58" s="504">
        <v>1</v>
      </c>
      <c r="AB58" s="504">
        <v>1</v>
      </c>
      <c r="AC58" s="504">
        <v>1</v>
      </c>
      <c r="AD58" s="504">
        <v>1</v>
      </c>
      <c r="AE58" s="504">
        <v>0.93</v>
      </c>
      <c r="AF58" s="504">
        <v>0.93</v>
      </c>
      <c r="AG58" s="504">
        <v>0.93</v>
      </c>
      <c r="AH58" s="504">
        <v>0.93</v>
      </c>
      <c r="AI58" s="504">
        <v>0.9</v>
      </c>
      <c r="AJ58" s="504">
        <v>0.9</v>
      </c>
      <c r="AK58" s="504">
        <v>1</v>
      </c>
      <c r="AL58" s="504">
        <v>1</v>
      </c>
      <c r="AM58" s="504">
        <v>1</v>
      </c>
      <c r="AN58" s="504">
        <v>1</v>
      </c>
      <c r="AO58" s="504">
        <v>0.9</v>
      </c>
      <c r="AP58" s="504">
        <v>0.9</v>
      </c>
      <c r="AQ58" s="9"/>
      <c r="AR58" s="9"/>
    </row>
    <row r="59" spans="2:44" x14ac:dyDescent="0.25">
      <c r="B59" s="516" t="s">
        <v>323</v>
      </c>
      <c r="C59" s="526" t="s">
        <v>19</v>
      </c>
      <c r="D59" s="504" t="str">
        <f>$D$7</f>
        <v>II</v>
      </c>
      <c r="E59" s="504">
        <v>0.94</v>
      </c>
      <c r="F59" s="504">
        <v>0.94</v>
      </c>
      <c r="G59" s="504">
        <v>0.94</v>
      </c>
      <c r="H59" s="504">
        <v>0.94</v>
      </c>
      <c r="I59" s="504">
        <v>0.94</v>
      </c>
      <c r="J59" s="504">
        <v>0.94</v>
      </c>
      <c r="K59" s="504">
        <v>0.94</v>
      </c>
      <c r="L59" s="504">
        <v>0.94</v>
      </c>
      <c r="M59" s="504">
        <v>0.94</v>
      </c>
      <c r="N59" s="504">
        <v>0.94</v>
      </c>
      <c r="O59" s="504">
        <v>0.94</v>
      </c>
      <c r="P59" s="504">
        <v>0.94</v>
      </c>
      <c r="Q59" s="504">
        <v>0.94</v>
      </c>
      <c r="R59" s="504">
        <v>0.94</v>
      </c>
      <c r="S59" s="504">
        <v>0.94</v>
      </c>
      <c r="T59" s="504">
        <v>0.94</v>
      </c>
      <c r="U59" s="504">
        <v>0.94</v>
      </c>
      <c r="V59" s="504">
        <v>0.94</v>
      </c>
      <c r="W59" s="504">
        <v>0.94</v>
      </c>
      <c r="X59" s="504">
        <v>0.94</v>
      </c>
      <c r="Y59" s="504">
        <v>0.94</v>
      </c>
      <c r="Z59" s="504">
        <v>0.94</v>
      </c>
      <c r="AA59" s="504">
        <v>0.94</v>
      </c>
      <c r="AB59" s="504">
        <v>0.94</v>
      </c>
      <c r="AC59" s="504">
        <v>0.94</v>
      </c>
      <c r="AD59" s="504">
        <v>0.94</v>
      </c>
      <c r="AE59" s="504">
        <v>0.94</v>
      </c>
      <c r="AF59" s="504">
        <v>0.94</v>
      </c>
      <c r="AG59" s="504">
        <v>0.94</v>
      </c>
      <c r="AH59" s="504">
        <v>0.94</v>
      </c>
      <c r="AI59" s="504">
        <v>0.94</v>
      </c>
      <c r="AJ59" s="504">
        <v>0.94</v>
      </c>
      <c r="AK59" s="504">
        <v>0.94</v>
      </c>
      <c r="AL59" s="504">
        <v>0.94</v>
      </c>
      <c r="AM59" s="504">
        <v>0.94</v>
      </c>
      <c r="AN59" s="504">
        <v>0.94</v>
      </c>
      <c r="AO59" s="504">
        <v>0.94</v>
      </c>
      <c r="AP59" s="504">
        <v>0.94</v>
      </c>
      <c r="AQ59" s="9"/>
      <c r="AR59" s="9"/>
    </row>
    <row r="60" spans="2:44" x14ac:dyDescent="0.25">
      <c r="B60" s="516" t="s">
        <v>315</v>
      </c>
      <c r="C60" s="504" t="s">
        <v>308</v>
      </c>
      <c r="D60" s="504"/>
      <c r="E60" s="504">
        <v>2</v>
      </c>
      <c r="F60" s="504">
        <v>2</v>
      </c>
      <c r="G60" s="504">
        <v>2</v>
      </c>
      <c r="H60" s="504">
        <v>2</v>
      </c>
      <c r="I60" s="504">
        <v>2</v>
      </c>
      <c r="J60" s="504">
        <v>2</v>
      </c>
      <c r="K60" s="504">
        <v>2</v>
      </c>
      <c r="L60" s="504">
        <v>2</v>
      </c>
      <c r="M60" s="504">
        <v>2</v>
      </c>
      <c r="N60" s="504">
        <v>2</v>
      </c>
      <c r="O60" s="504">
        <v>2</v>
      </c>
      <c r="P60" s="504">
        <v>2</v>
      </c>
      <c r="Q60" s="504">
        <v>2</v>
      </c>
      <c r="R60" s="504">
        <v>2</v>
      </c>
      <c r="S60" s="504">
        <v>2</v>
      </c>
      <c r="T60" s="504">
        <v>2</v>
      </c>
      <c r="U60" s="504">
        <v>2</v>
      </c>
      <c r="V60" s="504">
        <v>2</v>
      </c>
      <c r="W60" s="504">
        <v>2</v>
      </c>
      <c r="X60" s="504">
        <v>2</v>
      </c>
      <c r="Y60" s="504">
        <v>2</v>
      </c>
      <c r="Z60" s="504">
        <v>2</v>
      </c>
      <c r="AA60" s="504">
        <v>2</v>
      </c>
      <c r="AB60" s="504">
        <v>2</v>
      </c>
      <c r="AC60" s="504">
        <v>2</v>
      </c>
      <c r="AD60" s="504">
        <v>2</v>
      </c>
      <c r="AE60" s="504">
        <v>2</v>
      </c>
      <c r="AF60" s="504">
        <v>2</v>
      </c>
      <c r="AG60" s="504">
        <v>2</v>
      </c>
      <c r="AH60" s="504">
        <v>2</v>
      </c>
      <c r="AI60" s="504">
        <v>2</v>
      </c>
      <c r="AJ60" s="504">
        <v>2</v>
      </c>
      <c r="AK60" s="504">
        <v>2</v>
      </c>
      <c r="AL60" s="504">
        <v>2</v>
      </c>
      <c r="AM60" s="504">
        <v>2</v>
      </c>
      <c r="AN60" s="504">
        <v>2</v>
      </c>
      <c r="AO60" s="504">
        <v>2</v>
      </c>
      <c r="AP60" s="504">
        <v>2</v>
      </c>
      <c r="AQ60" s="9"/>
      <c r="AR60" s="9"/>
    </row>
    <row r="61" spans="2:44" x14ac:dyDescent="0.25">
      <c r="B61" s="527" t="s">
        <v>316</v>
      </c>
      <c r="C61" s="517" t="s">
        <v>66</v>
      </c>
      <c r="D61" s="517"/>
      <c r="E61" s="504">
        <v>364</v>
      </c>
      <c r="F61" s="504">
        <v>364</v>
      </c>
      <c r="G61" s="504">
        <v>364</v>
      </c>
      <c r="H61" s="504">
        <v>364</v>
      </c>
      <c r="I61" s="504">
        <v>364</v>
      </c>
      <c r="J61" s="504">
        <v>364</v>
      </c>
      <c r="K61" s="504">
        <v>364</v>
      </c>
      <c r="L61" s="504">
        <v>364</v>
      </c>
      <c r="M61" s="504">
        <v>364</v>
      </c>
      <c r="N61" s="504">
        <v>364</v>
      </c>
      <c r="O61" s="504">
        <v>364</v>
      </c>
      <c r="P61" s="504">
        <v>364</v>
      </c>
      <c r="Q61" s="504">
        <v>364</v>
      </c>
      <c r="R61" s="504">
        <v>364</v>
      </c>
      <c r="S61" s="504">
        <v>364</v>
      </c>
      <c r="T61" s="504">
        <v>364</v>
      </c>
      <c r="U61" s="504">
        <v>364</v>
      </c>
      <c r="V61" s="504">
        <v>364</v>
      </c>
      <c r="W61" s="504">
        <v>364</v>
      </c>
      <c r="X61" s="504">
        <v>364</v>
      </c>
      <c r="Y61" s="504">
        <v>364</v>
      </c>
      <c r="Z61" s="504">
        <v>364</v>
      </c>
      <c r="AA61" s="504">
        <v>364</v>
      </c>
      <c r="AB61" s="504">
        <v>364</v>
      </c>
      <c r="AC61" s="504">
        <v>364</v>
      </c>
      <c r="AD61" s="504">
        <v>364</v>
      </c>
      <c r="AE61" s="504">
        <v>364</v>
      </c>
      <c r="AF61" s="504">
        <v>364</v>
      </c>
      <c r="AG61" s="504">
        <v>364</v>
      </c>
      <c r="AH61" s="504">
        <v>364</v>
      </c>
      <c r="AI61" s="504">
        <v>364</v>
      </c>
      <c r="AJ61" s="504">
        <v>364</v>
      </c>
      <c r="AK61" s="504">
        <v>364</v>
      </c>
      <c r="AL61" s="504">
        <v>364</v>
      </c>
      <c r="AM61" s="504">
        <v>364</v>
      </c>
      <c r="AN61" s="504">
        <v>364</v>
      </c>
      <c r="AO61" s="504">
        <v>364</v>
      </c>
      <c r="AP61" s="504">
        <v>364</v>
      </c>
      <c r="AQ61" s="9"/>
      <c r="AR61" s="9"/>
    </row>
    <row r="62" spans="2:44" x14ac:dyDescent="0.25">
      <c r="B62" s="516" t="s">
        <v>316</v>
      </c>
      <c r="C62" s="504" t="s">
        <v>66</v>
      </c>
      <c r="D62" s="504"/>
      <c r="E62" s="519">
        <f t="shared" ref="E62:H62" si="294">TRUNC(E61-E63-E64-E65)</f>
        <v>327</v>
      </c>
      <c r="F62" s="519">
        <f t="shared" si="294"/>
        <v>327</v>
      </c>
      <c r="G62" s="519">
        <f t="shared" si="294"/>
        <v>327</v>
      </c>
      <c r="H62" s="519">
        <f t="shared" si="294"/>
        <v>327</v>
      </c>
      <c r="I62" s="519">
        <f t="shared" ref="I62:L62" si="295">TRUNC(I61-I63-I64-I65)</f>
        <v>327</v>
      </c>
      <c r="J62" s="519">
        <f t="shared" si="295"/>
        <v>327</v>
      </c>
      <c r="K62" s="519">
        <f t="shared" si="295"/>
        <v>327</v>
      </c>
      <c r="L62" s="519">
        <f t="shared" si="295"/>
        <v>327</v>
      </c>
      <c r="M62" s="519">
        <f t="shared" ref="M62:P62" si="296">TRUNC(M61-M63-M64-M65)</f>
        <v>327</v>
      </c>
      <c r="N62" s="519">
        <f t="shared" si="296"/>
        <v>327</v>
      </c>
      <c r="O62" s="519">
        <f t="shared" si="296"/>
        <v>327</v>
      </c>
      <c r="P62" s="519">
        <f t="shared" si="296"/>
        <v>327</v>
      </c>
      <c r="Q62" s="519">
        <f t="shared" ref="Q62:T62" si="297">TRUNC(Q61-Q63-Q64-Q65)</f>
        <v>327</v>
      </c>
      <c r="R62" s="519">
        <f t="shared" si="297"/>
        <v>327</v>
      </c>
      <c r="S62" s="519">
        <f t="shared" si="297"/>
        <v>327</v>
      </c>
      <c r="T62" s="519">
        <f t="shared" si="297"/>
        <v>327</v>
      </c>
      <c r="U62" s="519">
        <f t="shared" ref="U62:V62" si="298">TRUNC(U61-U63-U64-U65)</f>
        <v>312</v>
      </c>
      <c r="V62" s="519">
        <f t="shared" si="298"/>
        <v>312</v>
      </c>
      <c r="W62" s="519">
        <f t="shared" ref="W62:Z62" si="299">TRUNC(W61-W63-W64-W65)</f>
        <v>312</v>
      </c>
      <c r="X62" s="519">
        <f t="shared" si="299"/>
        <v>312</v>
      </c>
      <c r="Y62" s="519">
        <f t="shared" si="299"/>
        <v>278</v>
      </c>
      <c r="Z62" s="519">
        <f t="shared" si="299"/>
        <v>278</v>
      </c>
      <c r="AA62" s="519">
        <f t="shared" ref="AA62:AB62" si="300">TRUNC(AA61-AA63-AA64-AA65)</f>
        <v>288</v>
      </c>
      <c r="AB62" s="519">
        <f t="shared" si="300"/>
        <v>288</v>
      </c>
      <c r="AC62" s="519">
        <f t="shared" ref="AC62:AD62" si="301">TRUNC(AC61-AC63-AC64-AC65)</f>
        <v>288</v>
      </c>
      <c r="AD62" s="519">
        <f t="shared" si="301"/>
        <v>288</v>
      </c>
      <c r="AE62" s="519">
        <f t="shared" ref="AE62:AF62" si="302">TRUNC(AE61-AE63-AE64-AE65)</f>
        <v>288</v>
      </c>
      <c r="AF62" s="519">
        <f t="shared" si="302"/>
        <v>288</v>
      </c>
      <c r="AG62" s="519">
        <f t="shared" ref="AG62:AH62" si="303">TRUNC(AG61-AG63-AG64-AG65)</f>
        <v>289</v>
      </c>
      <c r="AH62" s="519">
        <f t="shared" si="303"/>
        <v>289</v>
      </c>
      <c r="AI62" s="519">
        <f t="shared" ref="AI62:AN62" si="304">TRUNC(AI61-AI63-AI64-AI65)</f>
        <v>289</v>
      </c>
      <c r="AJ62" s="519">
        <f t="shared" si="304"/>
        <v>289</v>
      </c>
      <c r="AK62" s="519">
        <f t="shared" si="304"/>
        <v>322</v>
      </c>
      <c r="AL62" s="519">
        <f t="shared" si="304"/>
        <v>322</v>
      </c>
      <c r="AM62" s="519">
        <f t="shared" si="304"/>
        <v>322</v>
      </c>
      <c r="AN62" s="519">
        <f t="shared" si="304"/>
        <v>322</v>
      </c>
      <c r="AO62" s="519">
        <f t="shared" ref="AO62:AP62" si="305">TRUNC(AO61-AO63-AO64-AO65)</f>
        <v>289</v>
      </c>
      <c r="AP62" s="519">
        <f t="shared" si="305"/>
        <v>289</v>
      </c>
      <c r="AQ62" s="173"/>
      <c r="AR62" s="173"/>
    </row>
    <row r="63" spans="2:44" x14ac:dyDescent="0.25">
      <c r="B63" s="516" t="s">
        <v>317</v>
      </c>
      <c r="C63" s="504" t="s">
        <v>66</v>
      </c>
      <c r="D63" s="504"/>
      <c r="E63" s="504">
        <v>30</v>
      </c>
      <c r="F63" s="504">
        <f>E63</f>
        <v>30</v>
      </c>
      <c r="G63" s="504">
        <f>E63</f>
        <v>30</v>
      </c>
      <c r="H63" s="504">
        <f>E63</f>
        <v>30</v>
      </c>
      <c r="I63" s="504">
        <v>30</v>
      </c>
      <c r="J63" s="504">
        <f>I63</f>
        <v>30</v>
      </c>
      <c r="K63" s="504">
        <f>I63</f>
        <v>30</v>
      </c>
      <c r="L63" s="504">
        <f>I63</f>
        <v>30</v>
      </c>
      <c r="M63" s="504">
        <v>30</v>
      </c>
      <c r="N63" s="504">
        <f>M63</f>
        <v>30</v>
      </c>
      <c r="O63" s="504">
        <f>M63</f>
        <v>30</v>
      </c>
      <c r="P63" s="504">
        <f>M63</f>
        <v>30</v>
      </c>
      <c r="Q63" s="504">
        <v>30</v>
      </c>
      <c r="R63" s="504">
        <f>Q63</f>
        <v>30</v>
      </c>
      <c r="S63" s="504">
        <f>Q63</f>
        <v>30</v>
      </c>
      <c r="T63" s="504">
        <f>Q63</f>
        <v>30</v>
      </c>
      <c r="U63" s="504">
        <v>40</v>
      </c>
      <c r="V63" s="504">
        <f>U63</f>
        <v>40</v>
      </c>
      <c r="W63" s="504">
        <v>40</v>
      </c>
      <c r="X63" s="504">
        <f>W63</f>
        <v>40</v>
      </c>
      <c r="Y63" s="504">
        <v>74</v>
      </c>
      <c r="Z63" s="504">
        <f>Y63</f>
        <v>74</v>
      </c>
      <c r="AA63" s="504">
        <v>64</v>
      </c>
      <c r="AB63" s="504">
        <f>AA63</f>
        <v>64</v>
      </c>
      <c r="AC63" s="504">
        <v>64</v>
      </c>
      <c r="AD63" s="504">
        <v>64</v>
      </c>
      <c r="AE63" s="504">
        <v>64</v>
      </c>
      <c r="AF63" s="504">
        <v>64</v>
      </c>
      <c r="AG63" s="504">
        <v>63</v>
      </c>
      <c r="AH63" s="504">
        <v>63</v>
      </c>
      <c r="AI63" s="504">
        <v>63</v>
      </c>
      <c r="AJ63" s="504">
        <v>63</v>
      </c>
      <c r="AK63" s="504">
        <v>30</v>
      </c>
      <c r="AL63" s="504">
        <f>AK63</f>
        <v>30</v>
      </c>
      <c r="AM63" s="504">
        <f>AK63</f>
        <v>30</v>
      </c>
      <c r="AN63" s="504">
        <f>AK63</f>
        <v>30</v>
      </c>
      <c r="AO63" s="504">
        <v>63</v>
      </c>
      <c r="AP63" s="504">
        <v>63</v>
      </c>
      <c r="AQ63" s="9"/>
      <c r="AR63" s="9"/>
    </row>
    <row r="64" spans="2:44" x14ac:dyDescent="0.25">
      <c r="B64" s="516" t="s">
        <v>318</v>
      </c>
      <c r="C64" s="504" t="s">
        <v>66</v>
      </c>
      <c r="D64" s="504"/>
      <c r="E64" s="504">
        <v>7</v>
      </c>
      <c r="F64" s="504">
        <v>7</v>
      </c>
      <c r="G64" s="504">
        <v>7</v>
      </c>
      <c r="H64" s="504">
        <v>7</v>
      </c>
      <c r="I64" s="504">
        <v>7</v>
      </c>
      <c r="J64" s="504">
        <v>7</v>
      </c>
      <c r="K64" s="504">
        <v>7</v>
      </c>
      <c r="L64" s="504">
        <v>7</v>
      </c>
      <c r="M64" s="504">
        <v>7</v>
      </c>
      <c r="N64" s="504">
        <v>7</v>
      </c>
      <c r="O64" s="504">
        <v>7</v>
      </c>
      <c r="P64" s="504">
        <v>7</v>
      </c>
      <c r="Q64" s="504">
        <v>7</v>
      </c>
      <c r="R64" s="504">
        <v>7</v>
      </c>
      <c r="S64" s="504">
        <v>7</v>
      </c>
      <c r="T64" s="504">
        <v>7</v>
      </c>
      <c r="U64" s="504">
        <v>7</v>
      </c>
      <c r="V64" s="504">
        <v>7</v>
      </c>
      <c r="W64" s="504">
        <v>7</v>
      </c>
      <c r="X64" s="504">
        <v>7</v>
      </c>
      <c r="Y64" s="504">
        <v>7</v>
      </c>
      <c r="Z64" s="504">
        <v>7</v>
      </c>
      <c r="AA64" s="504">
        <v>7</v>
      </c>
      <c r="AB64" s="504">
        <v>7</v>
      </c>
      <c r="AC64" s="504">
        <v>7</v>
      </c>
      <c r="AD64" s="504">
        <v>7</v>
      </c>
      <c r="AE64" s="504">
        <v>7</v>
      </c>
      <c r="AF64" s="504">
        <v>7</v>
      </c>
      <c r="AG64" s="504">
        <v>7</v>
      </c>
      <c r="AH64" s="504">
        <v>7</v>
      </c>
      <c r="AI64" s="504">
        <v>7</v>
      </c>
      <c r="AJ64" s="504">
        <v>7</v>
      </c>
      <c r="AK64" s="504">
        <v>7</v>
      </c>
      <c r="AL64" s="504">
        <v>7</v>
      </c>
      <c r="AM64" s="504">
        <v>7</v>
      </c>
      <c r="AN64" s="504">
        <v>7</v>
      </c>
      <c r="AO64" s="504">
        <v>7</v>
      </c>
      <c r="AP64" s="504">
        <v>7</v>
      </c>
      <c r="AQ64" s="9"/>
      <c r="AR64" s="9"/>
    </row>
    <row r="65" spans="2:44" x14ac:dyDescent="0.25">
      <c r="B65" s="508" t="s">
        <v>319</v>
      </c>
      <c r="C65" s="511" t="s">
        <v>66</v>
      </c>
      <c r="D65" s="511"/>
      <c r="E65" s="504">
        <v>0</v>
      </c>
      <c r="F65" s="504">
        <v>0</v>
      </c>
      <c r="G65" s="504">
        <v>0</v>
      </c>
      <c r="H65" s="504">
        <v>0</v>
      </c>
      <c r="I65" s="504">
        <v>0</v>
      </c>
      <c r="J65" s="504">
        <v>0</v>
      </c>
      <c r="K65" s="504">
        <v>0</v>
      </c>
      <c r="L65" s="504">
        <v>0</v>
      </c>
      <c r="M65" s="504">
        <v>0</v>
      </c>
      <c r="N65" s="504">
        <v>0</v>
      </c>
      <c r="O65" s="504">
        <v>0</v>
      </c>
      <c r="P65" s="504">
        <v>0</v>
      </c>
      <c r="Q65" s="504">
        <v>0</v>
      </c>
      <c r="R65" s="504">
        <v>0</v>
      </c>
      <c r="S65" s="504">
        <v>0</v>
      </c>
      <c r="T65" s="504">
        <v>0</v>
      </c>
      <c r="U65" s="504">
        <v>5</v>
      </c>
      <c r="V65" s="504">
        <v>5</v>
      </c>
      <c r="W65" s="504">
        <v>5</v>
      </c>
      <c r="X65" s="504">
        <v>5</v>
      </c>
      <c r="Y65" s="504">
        <v>5</v>
      </c>
      <c r="Z65" s="504">
        <v>5</v>
      </c>
      <c r="AA65" s="504">
        <v>5</v>
      </c>
      <c r="AB65" s="504">
        <v>5</v>
      </c>
      <c r="AC65" s="504">
        <v>5</v>
      </c>
      <c r="AD65" s="504">
        <v>5</v>
      </c>
      <c r="AE65" s="504">
        <v>5</v>
      </c>
      <c r="AF65" s="504">
        <v>5</v>
      </c>
      <c r="AG65" s="504">
        <v>5</v>
      </c>
      <c r="AH65" s="504">
        <v>5</v>
      </c>
      <c r="AI65" s="504">
        <v>5</v>
      </c>
      <c r="AJ65" s="504">
        <v>5</v>
      </c>
      <c r="AK65" s="504">
        <v>5</v>
      </c>
      <c r="AL65" s="504">
        <v>5</v>
      </c>
      <c r="AM65" s="504">
        <v>5</v>
      </c>
      <c r="AN65" s="504">
        <v>5</v>
      </c>
      <c r="AO65" s="504">
        <v>5</v>
      </c>
      <c r="AP65" s="504">
        <v>5</v>
      </c>
      <c r="AQ65" s="9"/>
      <c r="AR65" s="9"/>
    </row>
    <row r="66" spans="2:44" x14ac:dyDescent="0.25">
      <c r="B66" s="1014" t="s">
        <v>122</v>
      </c>
      <c r="C66" s="517" t="s">
        <v>123</v>
      </c>
      <c r="D66" s="1015" t="str">
        <f>$D$7</f>
        <v>II</v>
      </c>
      <c r="E66" s="528">
        <f t="shared" ref="E66:H66" si="306">IF(E2="добыча",ROUND(E70/(E48/60),0),"")</f>
        <v>648</v>
      </c>
      <c r="F66" s="528" t="str">
        <f t="shared" si="306"/>
        <v/>
      </c>
      <c r="G66" s="528" t="str">
        <f t="shared" si="306"/>
        <v/>
      </c>
      <c r="H66" s="528" t="str">
        <f t="shared" si="306"/>
        <v/>
      </c>
      <c r="I66" s="528">
        <f t="shared" ref="I66:L66" si="307">IF(I2="добыча",ROUND(I70/(I48/60),0),"")</f>
        <v>1109</v>
      </c>
      <c r="J66" s="528" t="str">
        <f t="shared" si="307"/>
        <v/>
      </c>
      <c r="K66" s="528" t="str">
        <f t="shared" si="307"/>
        <v/>
      </c>
      <c r="L66" s="528" t="str">
        <f t="shared" si="307"/>
        <v/>
      </c>
      <c r="M66" s="528">
        <f t="shared" ref="M66:P66" si="308">IF(M2="добыча",ROUND(M70/(M48/60),0),"")</f>
        <v>365</v>
      </c>
      <c r="N66" s="528" t="str">
        <f t="shared" si="308"/>
        <v/>
      </c>
      <c r="O66" s="528" t="str">
        <f t="shared" si="308"/>
        <v/>
      </c>
      <c r="P66" s="528" t="str">
        <f t="shared" si="308"/>
        <v/>
      </c>
      <c r="Q66" s="528">
        <f t="shared" ref="Q66:T66" si="309">IF(Q2="добыча",ROUND(Q70/(Q48/60),0),"")</f>
        <v>558</v>
      </c>
      <c r="R66" s="528" t="str">
        <f t="shared" si="309"/>
        <v/>
      </c>
      <c r="S66" s="528" t="str">
        <f t="shared" si="309"/>
        <v/>
      </c>
      <c r="T66" s="528" t="str">
        <f t="shared" si="309"/>
        <v/>
      </c>
      <c r="U66" s="528" t="str">
        <f t="shared" ref="U66:V66" si="310">IF(U2="добыча",ROUND(U70/(U48/60),0),"")</f>
        <v/>
      </c>
      <c r="V66" s="528" t="str">
        <f t="shared" si="310"/>
        <v/>
      </c>
      <c r="W66" s="528" t="str">
        <f t="shared" ref="W66:Z66" si="311">IF(W2="добыча",ROUND(W70/(W48/60),0),"")</f>
        <v/>
      </c>
      <c r="X66" s="528" t="str">
        <f t="shared" si="311"/>
        <v/>
      </c>
      <c r="Y66" s="528" t="str">
        <f t="shared" si="311"/>
        <v/>
      </c>
      <c r="Z66" s="528" t="str">
        <f t="shared" si="311"/>
        <v/>
      </c>
      <c r="AA66" s="528" t="str">
        <f t="shared" ref="AA66:AB66" si="312">IF(AA2="добыча",ROUND(AA70/(AA48/60),0),"")</f>
        <v/>
      </c>
      <c r="AB66" s="528" t="str">
        <f t="shared" si="312"/>
        <v/>
      </c>
      <c r="AC66" s="528" t="str">
        <f t="shared" ref="AC66:AD66" si="313">IF(AC2="добыча",ROUND(AC70/(AC48/60),0),"")</f>
        <v/>
      </c>
      <c r="AD66" s="528" t="str">
        <f t="shared" si="313"/>
        <v/>
      </c>
      <c r="AE66" s="528" t="str">
        <f t="shared" ref="AE66:AF66" si="314">IF(AE2="добыча",ROUND(AE70/(AE48/60),0),"")</f>
        <v/>
      </c>
      <c r="AF66" s="528" t="str">
        <f t="shared" si="314"/>
        <v/>
      </c>
      <c r="AG66" s="528" t="str">
        <f t="shared" ref="AG66:AH66" si="315">IF(AG2="добыча",ROUND(AG70/(AG48/60),0),"")</f>
        <v/>
      </c>
      <c r="AH66" s="528" t="str">
        <f t="shared" si="315"/>
        <v/>
      </c>
      <c r="AI66" s="528" t="str">
        <f t="shared" ref="AI66:AN66" si="316">IF(AI2="добыча",ROUND(AI70/(AI48/60),0),"")</f>
        <v/>
      </c>
      <c r="AJ66" s="528" t="str">
        <f t="shared" si="316"/>
        <v/>
      </c>
      <c r="AK66" s="528">
        <f t="shared" si="316"/>
        <v>558</v>
      </c>
      <c r="AL66" s="528">
        <f t="shared" si="316"/>
        <v>488</v>
      </c>
      <c r="AM66" s="528" t="str">
        <f t="shared" si="316"/>
        <v/>
      </c>
      <c r="AN66" s="528" t="str">
        <f t="shared" si="316"/>
        <v/>
      </c>
      <c r="AO66" s="528" t="str">
        <f t="shared" ref="AO66:AP66" si="317">IF(AO2="добыча",ROUND(AO70/(AO48/60),0),"")</f>
        <v/>
      </c>
      <c r="AP66" s="528" t="str">
        <f t="shared" si="317"/>
        <v/>
      </c>
      <c r="AQ66" s="177"/>
      <c r="AR66" s="177"/>
    </row>
    <row r="67" spans="2:44" ht="15.75" customHeight="1" x14ac:dyDescent="0.25">
      <c r="B67" s="1014"/>
      <c r="C67" s="1032" t="s">
        <v>440</v>
      </c>
      <c r="D67" s="1015"/>
      <c r="E67" s="531">
        <f t="shared" ref="E67:H67" si="318">E71/(E$48/60)</f>
        <v>392.11822660098522</v>
      </c>
      <c r="F67" s="531">
        <f t="shared" si="318"/>
        <v>392.11822660098522</v>
      </c>
      <c r="G67" s="531">
        <f t="shared" si="318"/>
        <v>372.41379310344826</v>
      </c>
      <c r="H67" s="531">
        <f t="shared" si="318"/>
        <v>394.0886699507389</v>
      </c>
      <c r="I67" s="531">
        <f t="shared" ref="I67:L67" si="319">I71/(I$48/60)</f>
        <v>669.95073891625611</v>
      </c>
      <c r="J67" s="531">
        <f t="shared" si="319"/>
        <v>668.9655172413793</v>
      </c>
      <c r="K67" s="531">
        <f t="shared" si="319"/>
        <v>606.89655172413791</v>
      </c>
      <c r="L67" s="531">
        <f t="shared" si="319"/>
        <v>670.93596059113293</v>
      </c>
      <c r="M67" s="531">
        <f t="shared" ref="M67:P67" si="320">M71/(M$48/60)</f>
        <v>220.68965517241378</v>
      </c>
      <c r="N67" s="531">
        <f t="shared" si="320"/>
        <v>220.68965517241378</v>
      </c>
      <c r="O67" s="531">
        <f t="shared" si="320"/>
        <v>230.54187192118226</v>
      </c>
      <c r="P67" s="531">
        <f t="shared" si="320"/>
        <v>231.5270935960591</v>
      </c>
      <c r="Q67" s="531">
        <f t="shared" ref="Q67:T67" si="321">Q71/(Q$48/60)</f>
        <v>336.94581280788174</v>
      </c>
      <c r="R67" s="531">
        <f t="shared" si="321"/>
        <v>336.94581280788174</v>
      </c>
      <c r="S67" s="531">
        <f t="shared" si="321"/>
        <v>320.19704433497537</v>
      </c>
      <c r="T67" s="531">
        <f t="shared" si="321"/>
        <v>333.00492610837438</v>
      </c>
      <c r="U67" s="531">
        <f t="shared" ref="U67:V69" si="322">U71/(U$48/60)</f>
        <v>1423.9095315024233</v>
      </c>
      <c r="V67" s="531">
        <f t="shared" si="322"/>
        <v>1258.1583198707592</v>
      </c>
      <c r="W67" s="531">
        <f t="shared" ref="W67:Z67" si="323">W71/(W$48/60)</f>
        <v>1656.5428109854604</v>
      </c>
      <c r="X67" s="531">
        <f t="shared" si="323"/>
        <v>1258.1583198707592</v>
      </c>
      <c r="Y67" s="531">
        <f t="shared" si="323"/>
        <v>1591.5993537964459</v>
      </c>
      <c r="Z67" s="531">
        <f t="shared" si="323"/>
        <v>1200</v>
      </c>
      <c r="AA67" s="531">
        <f t="shared" ref="AA67:AB67" si="324">AA71/(AA$48/60)</f>
        <v>1027.4636510500809</v>
      </c>
      <c r="AB67" s="531">
        <f t="shared" si="324"/>
        <v>846.20355411954768</v>
      </c>
      <c r="AC67" s="531">
        <f t="shared" ref="AC67:AD67" si="325">AC71/(AC$48/60)</f>
        <v>317.93214862681748</v>
      </c>
      <c r="AD67" s="531">
        <f t="shared" si="325"/>
        <v>305.33117932148627</v>
      </c>
      <c r="AE67" s="531">
        <f t="shared" ref="AE67:AF67" si="326">AE71/(AE$48/60)</f>
        <v>732.79483037156706</v>
      </c>
      <c r="AF67" s="531">
        <f t="shared" si="326"/>
        <v>623.26332794830375</v>
      </c>
      <c r="AG67" s="531">
        <f t="shared" ref="AG67:AH67" si="327">AG71/(AG$48/60)</f>
        <v>586.42972536348952</v>
      </c>
      <c r="AH67" s="531">
        <f t="shared" si="327"/>
        <v>564.13570274636515</v>
      </c>
      <c r="AI67" s="531">
        <f t="shared" ref="AI67:AN67" si="328">AI71/(AI$48/60)</f>
        <v>243.29563812600969</v>
      </c>
      <c r="AJ67" s="531">
        <f t="shared" si="328"/>
        <v>276.25201938610661</v>
      </c>
      <c r="AK67" s="531">
        <f t="shared" si="328"/>
        <v>337.31825525040387</v>
      </c>
      <c r="AL67" s="531">
        <f t="shared" si="328"/>
        <v>294.66882067851373</v>
      </c>
      <c r="AM67" s="531">
        <f t="shared" si="328"/>
        <v>337.31825525040387</v>
      </c>
      <c r="AN67" s="531">
        <f t="shared" si="328"/>
        <v>294.66882067851373</v>
      </c>
      <c r="AO67" s="531">
        <f t="shared" ref="AO67:AP67" si="329">AO71/(AO$48/60)</f>
        <v>269.0322580645161</v>
      </c>
      <c r="AP67" s="531">
        <f t="shared" si="329"/>
        <v>360</v>
      </c>
      <c r="AQ67" s="178"/>
      <c r="AR67" s="178"/>
    </row>
    <row r="68" spans="2:44" x14ac:dyDescent="0.25">
      <c r="B68" s="1014"/>
      <c r="C68" s="1032"/>
      <c r="D68" s="504" t="str">
        <f>$D$8</f>
        <v>III</v>
      </c>
      <c r="E68" s="531">
        <f t="shared" ref="E68:H68" si="330">E72/(E$48/60)</f>
        <v>356.6502463054187</v>
      </c>
      <c r="F68" s="531">
        <f t="shared" si="330"/>
        <v>356.6502463054187</v>
      </c>
      <c r="G68" s="531">
        <f t="shared" si="330"/>
        <v>356.6502463054187</v>
      </c>
      <c r="H68" s="531">
        <f t="shared" si="330"/>
        <v>369.45812807881771</v>
      </c>
      <c r="I68" s="531">
        <f t="shared" ref="I68:L68" si="331">I72/(I$48/60)</f>
        <v>634.48275862068965</v>
      </c>
      <c r="J68" s="531">
        <f t="shared" si="331"/>
        <v>609.85221674876846</v>
      </c>
      <c r="K68" s="531">
        <f t="shared" si="331"/>
        <v>582.26600985221671</v>
      </c>
      <c r="L68" s="531">
        <f t="shared" si="331"/>
        <v>667.98029556650249</v>
      </c>
      <c r="M68" s="531">
        <f t="shared" ref="M68:P68" si="332">M72/(M$48/60)</f>
        <v>213.79310344827584</v>
      </c>
      <c r="N68" s="531">
        <f t="shared" si="332"/>
        <v>213.79310344827584</v>
      </c>
      <c r="O68" s="531">
        <f t="shared" si="332"/>
        <v>213.79310344827584</v>
      </c>
      <c r="P68" s="531">
        <f t="shared" si="332"/>
        <v>226.60098522167488</v>
      </c>
      <c r="Q68" s="531">
        <f t="shared" ref="Q68:T68" si="333">Q72/(Q$48/60)</f>
        <v>350.73891625615761</v>
      </c>
      <c r="R68" s="531">
        <f t="shared" si="333"/>
        <v>350.73891625615761</v>
      </c>
      <c r="S68" s="531">
        <f t="shared" si="333"/>
        <v>350.73891625615761</v>
      </c>
      <c r="T68" s="531">
        <f t="shared" si="333"/>
        <v>350.73891625615761</v>
      </c>
      <c r="U68" s="531">
        <f t="shared" si="322"/>
        <v>1558.6429725363489</v>
      </c>
      <c r="V68" s="531">
        <f t="shared" si="322"/>
        <v>1152.5040387722133</v>
      </c>
      <c r="W68" s="531">
        <f t="shared" ref="W68:Z68" si="334">W72/(W$48/60)</f>
        <v>1506.3004846526655</v>
      </c>
      <c r="X68" s="531">
        <f t="shared" si="334"/>
        <v>1107.9159935379646</v>
      </c>
      <c r="Y68" s="531">
        <f t="shared" si="334"/>
        <v>1506.3004846526655</v>
      </c>
      <c r="Z68" s="531">
        <f t="shared" si="334"/>
        <v>1107.9159935379646</v>
      </c>
      <c r="AA68" s="531">
        <f t="shared" ref="AA68:AB68" si="335">AA72/(AA$48/60)</f>
        <v>976.09046849757681</v>
      </c>
      <c r="AB68" s="531">
        <f t="shared" si="335"/>
        <v>795.79967689822297</v>
      </c>
      <c r="AC68" s="531">
        <f t="shared" ref="AC68:AD68" si="336">AC72/(AC$48/60)</f>
        <v>699.83844911147014</v>
      </c>
      <c r="AD68" s="531">
        <f t="shared" si="336"/>
        <v>634.89499192245557</v>
      </c>
      <c r="AE68" s="531">
        <f t="shared" ref="AE68:AF68" si="337">AE72/(AE$48/60)</f>
        <v>718.2552504038772</v>
      </c>
      <c r="AF68" s="531">
        <f t="shared" si="337"/>
        <v>590.30694668820684</v>
      </c>
      <c r="AG68" s="531">
        <f t="shared" ref="AG68:AH68" si="338">AG72/(AG$48/60)</f>
        <v>518.57835218093703</v>
      </c>
      <c r="AH68" s="531">
        <f t="shared" si="338"/>
        <v>541.84168012924067</v>
      </c>
      <c r="AI68" s="531">
        <f t="shared" ref="AI68:AN68" si="339">AI72/(AI$48/60)</f>
        <v>239.41841680129241</v>
      </c>
      <c r="AJ68" s="531">
        <f t="shared" si="339"/>
        <v>257.8352180936995</v>
      </c>
      <c r="AK68" s="531">
        <f t="shared" si="339"/>
        <v>297.57673667205171</v>
      </c>
      <c r="AL68" s="531">
        <f t="shared" si="339"/>
        <v>315.99353796445882</v>
      </c>
      <c r="AM68" s="531">
        <f t="shared" si="339"/>
        <v>297.57673667205171</v>
      </c>
      <c r="AN68" s="531">
        <f t="shared" si="339"/>
        <v>315.99353796445882</v>
      </c>
      <c r="AO68" s="531">
        <f t="shared" ref="AO68:AP68" si="340">AO72/(AO$48/60)</f>
        <v>255.48387096774192</v>
      </c>
      <c r="AP68" s="531">
        <f t="shared" si="340"/>
        <v>340.64516129032256</v>
      </c>
      <c r="AQ68" s="178"/>
      <c r="AR68" s="178"/>
    </row>
    <row r="69" spans="2:44" x14ac:dyDescent="0.25">
      <c r="B69" s="1014"/>
      <c r="C69" s="1032"/>
      <c r="D69" s="504" t="str">
        <f>$D$9</f>
        <v>IV</v>
      </c>
      <c r="E69" s="531">
        <f t="shared" ref="E69:H69" si="341">E73/(E$48/60)</f>
        <v>290.64039408866995</v>
      </c>
      <c r="F69" s="531">
        <f t="shared" si="341"/>
        <v>290.64039408866995</v>
      </c>
      <c r="G69" s="531">
        <f t="shared" si="341"/>
        <v>290.64039408866995</v>
      </c>
      <c r="H69" s="531">
        <f t="shared" si="341"/>
        <v>300.49261083743841</v>
      </c>
      <c r="I69" s="531">
        <f t="shared" ref="I69:L69" si="342">I73/(I$48/60)</f>
        <v>483.74384236453199</v>
      </c>
      <c r="J69" s="531">
        <f t="shared" si="342"/>
        <v>449.26108374384233</v>
      </c>
      <c r="K69" s="531">
        <f t="shared" si="342"/>
        <v>450.2463054187192</v>
      </c>
      <c r="L69" s="531">
        <f t="shared" si="342"/>
        <v>529.06403940886696</v>
      </c>
      <c r="M69" s="531">
        <f t="shared" ref="M69:P69" si="343">M73/(M$48/60)</f>
        <v>196.05911330049261</v>
      </c>
      <c r="N69" s="531">
        <f t="shared" si="343"/>
        <v>196.05911330049261</v>
      </c>
      <c r="O69" s="531">
        <f t="shared" si="343"/>
        <v>196.05911330049261</v>
      </c>
      <c r="P69" s="531">
        <f t="shared" si="343"/>
        <v>190.14778325123152</v>
      </c>
      <c r="Q69" s="531">
        <f t="shared" ref="Q69:T69" si="344">Q73/(Q$48/60)</f>
        <v>272.90640394088666</v>
      </c>
      <c r="R69" s="531">
        <f t="shared" si="344"/>
        <v>272.90640394088666</v>
      </c>
      <c r="S69" s="531">
        <f t="shared" si="344"/>
        <v>272.90640394088666</v>
      </c>
      <c r="T69" s="531">
        <f t="shared" si="344"/>
        <v>283.74384236453199</v>
      </c>
      <c r="U69" s="531">
        <f t="shared" si="322"/>
        <v>1355.0888529886915</v>
      </c>
      <c r="V69" s="531">
        <f t="shared" si="322"/>
        <v>996.44588045234252</v>
      </c>
      <c r="W69" s="531">
        <f t="shared" ref="W69:Z69" si="345">W73/(W$48/60)</f>
        <v>1355.0888529886915</v>
      </c>
      <c r="X69" s="531">
        <f t="shared" si="345"/>
        <v>996.44588045234252</v>
      </c>
      <c r="Y69" s="531">
        <f t="shared" si="345"/>
        <v>1355.0888529886915</v>
      </c>
      <c r="Z69" s="531">
        <f t="shared" si="345"/>
        <v>996.44588045234252</v>
      </c>
      <c r="AA69" s="531">
        <f t="shared" ref="AA69:AB69" si="346">AA73/(AA$48/60)</f>
        <v>807.43134087237479</v>
      </c>
      <c r="AB69" s="531">
        <f t="shared" si="346"/>
        <v>643.61873990306947</v>
      </c>
      <c r="AC69" s="531">
        <f t="shared" ref="AC69:AD69" si="347">AC73/(AC$48/60)</f>
        <v>536.99515347334409</v>
      </c>
      <c r="AD69" s="531">
        <f t="shared" si="347"/>
        <v>474.95961227786756</v>
      </c>
      <c r="AE69" s="531">
        <f t="shared" ref="AE69:AF69" si="348">AE73/(AE$48/60)</f>
        <v>519.5476575121163</v>
      </c>
      <c r="AF69" s="531">
        <f t="shared" si="348"/>
        <v>477.86752827140549</v>
      </c>
      <c r="AG69" s="531">
        <f t="shared" ref="AG69:AH69" si="349">AG73/(AG$48/60)</f>
        <v>417.77059773828756</v>
      </c>
      <c r="AH69" s="531">
        <f t="shared" si="349"/>
        <v>425.52504038772213</v>
      </c>
      <c r="AI69" s="531">
        <f t="shared" ref="AI69:AN69" si="350">AI73/(AI$48/60)</f>
        <v>211.3085621970921</v>
      </c>
      <c r="AJ69" s="531">
        <f t="shared" si="350"/>
        <v>223.90953150242328</v>
      </c>
      <c r="AK69" s="531">
        <f t="shared" si="350"/>
        <v>273.34410339256868</v>
      </c>
      <c r="AL69" s="531">
        <f t="shared" si="350"/>
        <v>255.89660743134087</v>
      </c>
      <c r="AM69" s="531">
        <f t="shared" si="350"/>
        <v>273.34410339256868</v>
      </c>
      <c r="AN69" s="531">
        <f t="shared" si="350"/>
        <v>284.00646203554118</v>
      </c>
      <c r="AO69" s="531">
        <f t="shared" ref="AO69:AP69" si="351">AO73/(AO$48/60)</f>
        <v>217.74193548387095</v>
      </c>
      <c r="AP69" s="531">
        <f t="shared" si="351"/>
        <v>278.70967741935482</v>
      </c>
      <c r="AQ69" s="178"/>
      <c r="AR69" s="178"/>
    </row>
    <row r="70" spans="2:44" x14ac:dyDescent="0.25">
      <c r="B70" s="1014" t="s">
        <v>238</v>
      </c>
      <c r="C70" s="504" t="s">
        <v>58</v>
      </c>
      <c r="D70" s="1015" t="str">
        <f>$D$7</f>
        <v>II</v>
      </c>
      <c r="E70" s="529">
        <f>IF(E2="добыча",ROUND(E48/(E40+E33+E43)*E30*E50*E54*E55*E56*E57*E58*E22,0),"")</f>
        <v>6580</v>
      </c>
      <c r="F70" s="529" t="str">
        <f>IF(F2="добыча",ROUND(F48/(F40+F33+F43)*F30*F50*F54*F55*F56*F57*F58*F22,0),"")</f>
        <v/>
      </c>
      <c r="G70" s="529" t="str">
        <f t="shared" ref="G70:I70" si="352">IF(G2="добыча",ROUND(G48/(G40+G33+G43)*G30*G50*G54*G55*G56*G57*G58*G22,0),"")</f>
        <v/>
      </c>
      <c r="H70" s="529" t="str">
        <f t="shared" si="352"/>
        <v/>
      </c>
      <c r="I70" s="529">
        <f t="shared" si="352"/>
        <v>11257</v>
      </c>
      <c r="J70" s="529" t="str">
        <f t="shared" ref="J70:AN70" si="353">IF(J2="добыча",ROUND(J48/(J40+J33+J43)*J30*J50*J54*J55*J56*J57*J58*J22,0),"")</f>
        <v/>
      </c>
      <c r="K70" s="529" t="str">
        <f t="shared" si="353"/>
        <v/>
      </c>
      <c r="L70" s="529" t="str">
        <f t="shared" si="353"/>
        <v/>
      </c>
      <c r="M70" s="529">
        <f t="shared" si="353"/>
        <v>3708</v>
      </c>
      <c r="N70" s="529" t="str">
        <f t="shared" si="353"/>
        <v/>
      </c>
      <c r="O70" s="529" t="str">
        <f t="shared" si="353"/>
        <v/>
      </c>
      <c r="P70" s="529" t="str">
        <f t="shared" si="353"/>
        <v/>
      </c>
      <c r="Q70" s="529">
        <f t="shared" si="353"/>
        <v>5662</v>
      </c>
      <c r="R70" s="529" t="str">
        <f t="shared" si="353"/>
        <v/>
      </c>
      <c r="S70" s="529" t="str">
        <f t="shared" si="353"/>
        <v/>
      </c>
      <c r="T70" s="529" t="str">
        <f t="shared" si="353"/>
        <v/>
      </c>
      <c r="U70" s="529" t="str">
        <f t="shared" si="353"/>
        <v/>
      </c>
      <c r="V70" s="529" t="str">
        <f t="shared" si="353"/>
        <v/>
      </c>
      <c r="W70" s="529" t="str">
        <f t="shared" si="353"/>
        <v/>
      </c>
      <c r="X70" s="529" t="str">
        <f t="shared" si="353"/>
        <v/>
      </c>
      <c r="Y70" s="529" t="str">
        <f t="shared" si="353"/>
        <v/>
      </c>
      <c r="Z70" s="529" t="str">
        <f t="shared" si="353"/>
        <v/>
      </c>
      <c r="AA70" s="529" t="str">
        <f t="shared" si="353"/>
        <v/>
      </c>
      <c r="AB70" s="529" t="str">
        <f t="shared" si="353"/>
        <v/>
      </c>
      <c r="AC70" s="529" t="str">
        <f t="shared" si="353"/>
        <v/>
      </c>
      <c r="AD70" s="529" t="str">
        <f t="shared" si="353"/>
        <v/>
      </c>
      <c r="AE70" s="529" t="str">
        <f t="shared" si="353"/>
        <v/>
      </c>
      <c r="AF70" s="529" t="str">
        <f t="shared" si="353"/>
        <v/>
      </c>
      <c r="AG70" s="529" t="str">
        <f t="shared" si="353"/>
        <v/>
      </c>
      <c r="AH70" s="529" t="str">
        <f t="shared" si="353"/>
        <v/>
      </c>
      <c r="AI70" s="529" t="str">
        <f t="shared" si="353"/>
        <v/>
      </c>
      <c r="AJ70" s="529" t="str">
        <f t="shared" si="353"/>
        <v/>
      </c>
      <c r="AK70" s="529">
        <f t="shared" si="353"/>
        <v>5755</v>
      </c>
      <c r="AL70" s="529">
        <f t="shared" si="353"/>
        <v>5034</v>
      </c>
      <c r="AM70" s="529" t="str">
        <f t="shared" si="353"/>
        <v/>
      </c>
      <c r="AN70" s="529" t="str">
        <f t="shared" si="353"/>
        <v/>
      </c>
      <c r="AO70" s="529" t="str">
        <f t="shared" ref="AO70:AP70" si="354">IF(AO2="добыча",ROUND(AO48/(AO40+AO33+AO43)*AO30*AO49*AO22,0),"")</f>
        <v/>
      </c>
      <c r="AP70" s="529" t="str">
        <f t="shared" si="354"/>
        <v/>
      </c>
      <c r="AQ70" s="179"/>
      <c r="AR70" s="179"/>
    </row>
    <row r="71" spans="2:44" x14ac:dyDescent="0.25">
      <c r="B71" s="1014"/>
      <c r="C71" s="1032" t="s">
        <v>441</v>
      </c>
      <c r="D71" s="1015"/>
      <c r="E71" s="519">
        <f>ROUND(E$48/(E40+E$33+E$43)*E30*E52*E50*E54*E55*E56*E57*E58*E59,-1)</f>
        <v>3980</v>
      </c>
      <c r="F71" s="519">
        <f>ROUND(F$48/(F40+F$33+F$43)*F30*F52*F50*F54*F55*F56*F57*F58*F59,-1)</f>
        <v>3980</v>
      </c>
      <c r="G71" s="519">
        <f t="shared" ref="G71:I71" si="355">ROUND(G$48/(G40+G$33+G$43)*G30*G52*G50*G54*G55*G56*G57*G58*G59,-1)</f>
        <v>3780</v>
      </c>
      <c r="H71" s="519">
        <f t="shared" si="355"/>
        <v>4000</v>
      </c>
      <c r="I71" s="519">
        <f t="shared" si="355"/>
        <v>6800</v>
      </c>
      <c r="J71" s="519">
        <f t="shared" ref="J71:AN71" si="356">ROUND(J$48/(J40+J$33+J$43)*J30*J52*J50*J54*J55*J56*J57*J58*J59,-1)</f>
        <v>6790</v>
      </c>
      <c r="K71" s="519">
        <f t="shared" si="356"/>
        <v>6160</v>
      </c>
      <c r="L71" s="519">
        <f t="shared" si="356"/>
        <v>6810</v>
      </c>
      <c r="M71" s="519">
        <f t="shared" si="356"/>
        <v>2240</v>
      </c>
      <c r="N71" s="519">
        <f t="shared" si="356"/>
        <v>2240</v>
      </c>
      <c r="O71" s="519">
        <f t="shared" si="356"/>
        <v>2340</v>
      </c>
      <c r="P71" s="519">
        <f t="shared" si="356"/>
        <v>2350</v>
      </c>
      <c r="Q71" s="519">
        <f t="shared" si="356"/>
        <v>3420</v>
      </c>
      <c r="R71" s="519">
        <f t="shared" si="356"/>
        <v>3420</v>
      </c>
      <c r="S71" s="519">
        <f t="shared" si="356"/>
        <v>3250</v>
      </c>
      <c r="T71" s="519">
        <f t="shared" si="356"/>
        <v>3380</v>
      </c>
      <c r="U71" s="519">
        <f t="shared" si="356"/>
        <v>14690</v>
      </c>
      <c r="V71" s="519">
        <f t="shared" si="356"/>
        <v>12980</v>
      </c>
      <c r="W71" s="519">
        <f t="shared" si="356"/>
        <v>17090</v>
      </c>
      <c r="X71" s="519">
        <f t="shared" si="356"/>
        <v>12980</v>
      </c>
      <c r="Y71" s="519">
        <f t="shared" si="356"/>
        <v>16420</v>
      </c>
      <c r="Z71" s="519">
        <f t="shared" si="356"/>
        <v>12380</v>
      </c>
      <c r="AA71" s="519">
        <f t="shared" si="356"/>
        <v>10600</v>
      </c>
      <c r="AB71" s="519">
        <f t="shared" si="356"/>
        <v>8730</v>
      </c>
      <c r="AC71" s="519">
        <f t="shared" si="356"/>
        <v>3280</v>
      </c>
      <c r="AD71" s="519">
        <f t="shared" si="356"/>
        <v>3150</v>
      </c>
      <c r="AE71" s="519">
        <f t="shared" si="356"/>
        <v>7560</v>
      </c>
      <c r="AF71" s="519">
        <f t="shared" si="356"/>
        <v>6430</v>
      </c>
      <c r="AG71" s="519">
        <f t="shared" si="356"/>
        <v>6050</v>
      </c>
      <c r="AH71" s="519">
        <f t="shared" si="356"/>
        <v>5820</v>
      </c>
      <c r="AI71" s="519">
        <f>ROUND(AI$48/(AI40+AI$33+AI$43)*AI30*10*AI52*AI50*AI54*AI55*AI56*AI57*AI58*AI59,-1)</f>
        <v>2510</v>
      </c>
      <c r="AJ71" s="519">
        <f>ROUND(AJ$48/(AJ40+AJ$33+AJ$43)*AJ30*10*AJ52*AJ50*AJ54*AJ55*AJ56*AJ57*AJ58*AJ59,-1)</f>
        <v>2850</v>
      </c>
      <c r="AK71" s="519">
        <f t="shared" si="356"/>
        <v>3480</v>
      </c>
      <c r="AL71" s="519">
        <f t="shared" si="356"/>
        <v>3040</v>
      </c>
      <c r="AM71" s="519">
        <f t="shared" si="356"/>
        <v>3480</v>
      </c>
      <c r="AN71" s="519">
        <f t="shared" si="356"/>
        <v>3040</v>
      </c>
      <c r="AO71" s="519">
        <f>ROUND(AO$48/(AO19/60)*AO52*AO50*AO54*AO55*AO56*AO57*AO58*AO59*AO16*0.7,-1)</f>
        <v>2780</v>
      </c>
      <c r="AP71" s="519">
        <f>ROUND(AP$48/(AP19/60)*AP52*AP50*AP54*AP55*AP56*AP57*AP58*AP59*AP16*0.7,-1)</f>
        <v>3720</v>
      </c>
      <c r="AQ71" s="173"/>
      <c r="AR71" s="173"/>
    </row>
    <row r="72" spans="2:44" x14ac:dyDescent="0.25">
      <c r="B72" s="1014"/>
      <c r="C72" s="1032"/>
      <c r="D72" s="504" t="str">
        <f>$D$8</f>
        <v>III</v>
      </c>
      <c r="E72" s="519">
        <f>ROUND(E$48/(E41+E$33+E$43)*E31*E54*E55*E56*E57*E58*E53*E51,-1)</f>
        <v>3620</v>
      </c>
      <c r="F72" s="519">
        <f>ROUND(F$48/(F41+F$33+F$43)*F31*F54*F55*F56*F57*F58*F53*F51,-1)</f>
        <v>3620</v>
      </c>
      <c r="G72" s="519">
        <f t="shared" ref="G72:I72" si="357">ROUND(G$48/(G41+G$33+G$43)*G31*G54*G55*G56*G57*G58*G53*G51,-1)</f>
        <v>3620</v>
      </c>
      <c r="H72" s="519">
        <f t="shared" si="357"/>
        <v>3750</v>
      </c>
      <c r="I72" s="519">
        <f t="shared" si="357"/>
        <v>6440</v>
      </c>
      <c r="J72" s="519">
        <f t="shared" ref="J72:AN72" si="358">ROUND(J$48/(J41+J$33+J$43)*J31*J54*J55*J56*J57*J58*J53*J51,-1)</f>
        <v>6190</v>
      </c>
      <c r="K72" s="519">
        <f t="shared" si="358"/>
        <v>5910</v>
      </c>
      <c r="L72" s="519">
        <f t="shared" si="358"/>
        <v>6780</v>
      </c>
      <c r="M72" s="519">
        <f t="shared" si="358"/>
        <v>2170</v>
      </c>
      <c r="N72" s="519">
        <f t="shared" si="358"/>
        <v>2170</v>
      </c>
      <c r="O72" s="519">
        <f t="shared" si="358"/>
        <v>2170</v>
      </c>
      <c r="P72" s="519">
        <f t="shared" si="358"/>
        <v>2300</v>
      </c>
      <c r="Q72" s="519">
        <f t="shared" si="358"/>
        <v>3560</v>
      </c>
      <c r="R72" s="519">
        <f t="shared" si="358"/>
        <v>3560</v>
      </c>
      <c r="S72" s="519">
        <f t="shared" si="358"/>
        <v>3560</v>
      </c>
      <c r="T72" s="519">
        <f t="shared" si="358"/>
        <v>3560</v>
      </c>
      <c r="U72" s="519">
        <f t="shared" si="358"/>
        <v>16080</v>
      </c>
      <c r="V72" s="519">
        <f t="shared" si="358"/>
        <v>11890</v>
      </c>
      <c r="W72" s="519">
        <f t="shared" si="358"/>
        <v>15540</v>
      </c>
      <c r="X72" s="519">
        <f t="shared" si="358"/>
        <v>11430</v>
      </c>
      <c r="Y72" s="519">
        <f t="shared" si="358"/>
        <v>15540</v>
      </c>
      <c r="Z72" s="519">
        <f t="shared" si="358"/>
        <v>11430</v>
      </c>
      <c r="AA72" s="519">
        <f t="shared" si="358"/>
        <v>10070</v>
      </c>
      <c r="AB72" s="519">
        <f t="shared" si="358"/>
        <v>8210</v>
      </c>
      <c r="AC72" s="519">
        <f t="shared" si="358"/>
        <v>7220</v>
      </c>
      <c r="AD72" s="519">
        <f t="shared" si="358"/>
        <v>6550</v>
      </c>
      <c r="AE72" s="519">
        <f t="shared" si="358"/>
        <v>7410</v>
      </c>
      <c r="AF72" s="519">
        <f t="shared" si="358"/>
        <v>6090</v>
      </c>
      <c r="AG72" s="519">
        <f t="shared" si="358"/>
        <v>5350</v>
      </c>
      <c r="AH72" s="519">
        <f t="shared" si="358"/>
        <v>5590</v>
      </c>
      <c r="AI72" s="519">
        <f>ROUND(AI$48/(AI41+AI$33+AI$43)*AI31*10*AI54*AI55*AI56*AI57*AI58*AI53*AI51,-1)</f>
        <v>2470</v>
      </c>
      <c r="AJ72" s="519">
        <f>ROUND(AJ$48/(AJ41+AJ$33+AJ$43)*AJ31*10*AJ54*AJ55*AJ56*AJ57*AJ58*AJ53*AJ51,-1)</f>
        <v>2660</v>
      </c>
      <c r="AK72" s="519">
        <f t="shared" si="358"/>
        <v>3070</v>
      </c>
      <c r="AL72" s="519">
        <f t="shared" si="358"/>
        <v>3260</v>
      </c>
      <c r="AM72" s="519">
        <f t="shared" si="358"/>
        <v>3070</v>
      </c>
      <c r="AN72" s="519">
        <f t="shared" si="358"/>
        <v>3260</v>
      </c>
      <c r="AO72" s="519">
        <f>ROUND(AO$48/(AO20/60)*AO54*AO55*AO56*AO57*AO58*AO53*AO51*AO17*0.7,-1)</f>
        <v>2640</v>
      </c>
      <c r="AP72" s="519">
        <f>ROUND(AP$48/(AP20/60)*AP54*AP55*AP56*AP57*AP58*AP53*AP51*AP17*0.7,-1)</f>
        <v>3520</v>
      </c>
      <c r="AQ72" s="177"/>
      <c r="AR72" s="177"/>
    </row>
    <row r="73" spans="2:44" x14ac:dyDescent="0.25">
      <c r="B73" s="1014"/>
      <c r="C73" s="1032"/>
      <c r="D73" s="504" t="str">
        <f>$D$9</f>
        <v>IV</v>
      </c>
      <c r="E73" s="519">
        <f>ROUND(E$48/(E42+E$33+E$43)*E32*E54*E55*E56*E57*E58,-1)</f>
        <v>2950</v>
      </c>
      <c r="F73" s="519">
        <f>ROUND(F$48/(F42+F$33+F$43)*F32*F54*F55*F56*F57*F58,-1)</f>
        <v>2950</v>
      </c>
      <c r="G73" s="519">
        <f t="shared" ref="G73:I73" si="359">ROUND(G$48/(G42+G$33+G$43)*G32*G54*G55*G56*G57*G58,-1)</f>
        <v>2950</v>
      </c>
      <c r="H73" s="519">
        <f t="shared" si="359"/>
        <v>3050</v>
      </c>
      <c r="I73" s="519">
        <f t="shared" si="359"/>
        <v>4910</v>
      </c>
      <c r="J73" s="519">
        <f t="shared" ref="J73:AN73" si="360">ROUND(J$48/(J42+J$33+J$43)*J32*J54*J55*J56*J57*J58,-1)</f>
        <v>4560</v>
      </c>
      <c r="K73" s="519">
        <f t="shared" si="360"/>
        <v>4570</v>
      </c>
      <c r="L73" s="519">
        <f t="shared" si="360"/>
        <v>5370</v>
      </c>
      <c r="M73" s="519">
        <f t="shared" si="360"/>
        <v>1990</v>
      </c>
      <c r="N73" s="519">
        <f t="shared" si="360"/>
        <v>1990</v>
      </c>
      <c r="O73" s="519">
        <f t="shared" si="360"/>
        <v>1990</v>
      </c>
      <c r="P73" s="519">
        <f t="shared" si="360"/>
        <v>1930</v>
      </c>
      <c r="Q73" s="519">
        <f t="shared" si="360"/>
        <v>2770</v>
      </c>
      <c r="R73" s="519">
        <f t="shared" si="360"/>
        <v>2770</v>
      </c>
      <c r="S73" s="519">
        <f t="shared" si="360"/>
        <v>2770</v>
      </c>
      <c r="T73" s="519">
        <f t="shared" si="360"/>
        <v>2880</v>
      </c>
      <c r="U73" s="519">
        <f t="shared" si="360"/>
        <v>13980</v>
      </c>
      <c r="V73" s="519">
        <f t="shared" si="360"/>
        <v>10280</v>
      </c>
      <c r="W73" s="519">
        <f t="shared" si="360"/>
        <v>13980</v>
      </c>
      <c r="X73" s="519">
        <f t="shared" si="360"/>
        <v>10280</v>
      </c>
      <c r="Y73" s="519">
        <f t="shared" si="360"/>
        <v>13980</v>
      </c>
      <c r="Z73" s="519">
        <f t="shared" si="360"/>
        <v>10280</v>
      </c>
      <c r="AA73" s="519">
        <f t="shared" si="360"/>
        <v>8330</v>
      </c>
      <c r="AB73" s="519">
        <f t="shared" si="360"/>
        <v>6640</v>
      </c>
      <c r="AC73" s="519">
        <f t="shared" si="360"/>
        <v>5540</v>
      </c>
      <c r="AD73" s="519">
        <f t="shared" si="360"/>
        <v>4900</v>
      </c>
      <c r="AE73" s="519">
        <f t="shared" si="360"/>
        <v>5360</v>
      </c>
      <c r="AF73" s="519">
        <f t="shared" si="360"/>
        <v>4930</v>
      </c>
      <c r="AG73" s="519">
        <f t="shared" si="360"/>
        <v>4310</v>
      </c>
      <c r="AH73" s="519">
        <f t="shared" si="360"/>
        <v>4390</v>
      </c>
      <c r="AI73" s="519">
        <f>ROUND(AI$48/(AI42+AI$33+AI$43)*AI32*10*AI54*AI55*AI56*AI57*AI58,-1)</f>
        <v>2180</v>
      </c>
      <c r="AJ73" s="519">
        <f>ROUND(AJ$48/(AJ42+AJ$33+AJ$43)*AJ32*10*AJ54*AJ55*AJ56*AJ57*AJ58,-1)</f>
        <v>2310</v>
      </c>
      <c r="AK73" s="519">
        <f t="shared" si="360"/>
        <v>2820</v>
      </c>
      <c r="AL73" s="519">
        <f t="shared" si="360"/>
        <v>2640</v>
      </c>
      <c r="AM73" s="519">
        <f t="shared" si="360"/>
        <v>2820</v>
      </c>
      <c r="AN73" s="519">
        <f t="shared" si="360"/>
        <v>2930</v>
      </c>
      <c r="AO73" s="519">
        <f>ROUND(AO$48/(AO21/60)*AO54*AO55*AO56*AO57*AO58*AO18*0.7,-1)</f>
        <v>2250</v>
      </c>
      <c r="AP73" s="519">
        <f>ROUND(AP$48/(AP21/60)*AP54*AP55*AP56*AP57*AP58*AP18*0.7,-1)</f>
        <v>2880</v>
      </c>
      <c r="AQ73" s="177"/>
      <c r="AR73" s="177"/>
    </row>
    <row r="74" spans="2:44" x14ac:dyDescent="0.25">
      <c r="B74" s="1014" t="s">
        <v>227</v>
      </c>
      <c r="C74" s="509" t="s">
        <v>62</v>
      </c>
      <c r="D74" s="1031" t="str">
        <f>$D$7</f>
        <v>II</v>
      </c>
      <c r="E74" s="519">
        <f t="shared" ref="E74:H74" si="361">IF(E2="добыча",ROUND(E75*E22,0),"")</f>
        <v>11144</v>
      </c>
      <c r="F74" s="519" t="str">
        <f t="shared" si="361"/>
        <v/>
      </c>
      <c r="G74" s="519" t="str">
        <f t="shared" si="361"/>
        <v/>
      </c>
      <c r="H74" s="519" t="str">
        <f t="shared" si="361"/>
        <v/>
      </c>
      <c r="I74" s="519">
        <f t="shared" ref="I74:L74" si="362">IF(I2="добыча",ROUND(I75*I22,0),"")</f>
        <v>19040</v>
      </c>
      <c r="J74" s="519" t="str">
        <f t="shared" si="362"/>
        <v/>
      </c>
      <c r="K74" s="519" t="str">
        <f t="shared" si="362"/>
        <v/>
      </c>
      <c r="L74" s="519" t="str">
        <f t="shared" si="362"/>
        <v/>
      </c>
      <c r="M74" s="519">
        <f t="shared" ref="M74:P74" si="363">IF(M2="добыча",ROUND(M75*M22,0),"")</f>
        <v>6272</v>
      </c>
      <c r="N74" s="519" t="str">
        <f t="shared" si="363"/>
        <v/>
      </c>
      <c r="O74" s="519" t="str">
        <f t="shared" si="363"/>
        <v/>
      </c>
      <c r="P74" s="519" t="str">
        <f t="shared" si="363"/>
        <v/>
      </c>
      <c r="Q74" s="519">
        <f t="shared" ref="Q74:T74" si="364">IF(Q2="добыча",ROUND(Q75*Q22,0),"")</f>
        <v>9576</v>
      </c>
      <c r="R74" s="519" t="str">
        <f t="shared" si="364"/>
        <v/>
      </c>
      <c r="S74" s="519" t="str">
        <f t="shared" si="364"/>
        <v/>
      </c>
      <c r="T74" s="519" t="str">
        <f t="shared" si="364"/>
        <v/>
      </c>
      <c r="U74" s="519" t="str">
        <f t="shared" ref="U74:V74" si="365">IF(U2="добыча",ROUND(U75*U22,0),"")</f>
        <v/>
      </c>
      <c r="V74" s="519" t="str">
        <f t="shared" si="365"/>
        <v/>
      </c>
      <c r="W74" s="519" t="str">
        <f t="shared" ref="W74:Z74" si="366">IF(W2="добыча",ROUND(W75*W22,0),"")</f>
        <v/>
      </c>
      <c r="X74" s="519" t="str">
        <f t="shared" si="366"/>
        <v/>
      </c>
      <c r="Y74" s="519" t="str">
        <f t="shared" si="366"/>
        <v/>
      </c>
      <c r="Z74" s="519" t="str">
        <f t="shared" si="366"/>
        <v/>
      </c>
      <c r="AA74" s="519" t="str">
        <f t="shared" ref="AA74:AB74" si="367">IF(AA2="добыча",ROUND(AA75*AA22,0),"")</f>
        <v/>
      </c>
      <c r="AB74" s="519" t="str">
        <f t="shared" si="367"/>
        <v/>
      </c>
      <c r="AC74" s="519" t="str">
        <f t="shared" ref="AC74:AD74" si="368">IF(AC2="добыча",ROUND(AC75*AC22,0),"")</f>
        <v/>
      </c>
      <c r="AD74" s="519" t="str">
        <f t="shared" si="368"/>
        <v/>
      </c>
      <c r="AE74" s="519" t="str">
        <f t="shared" ref="AE74:AF74" si="369">IF(AE2="добыча",ROUND(AE75*AE22,0),"")</f>
        <v/>
      </c>
      <c r="AF74" s="519" t="str">
        <f t="shared" si="369"/>
        <v/>
      </c>
      <c r="AG74" s="519" t="str">
        <f t="shared" ref="AG74:AH74" si="370">IF(AG2="добыча",ROUND(AG75*AG22,0),"")</f>
        <v/>
      </c>
      <c r="AH74" s="519" t="str">
        <f t="shared" si="370"/>
        <v/>
      </c>
      <c r="AI74" s="519" t="str">
        <f t="shared" ref="AI74:AN74" si="371">IF(AI2="добыча",ROUND(AI75*AI22,0),"")</f>
        <v/>
      </c>
      <c r="AJ74" s="519" t="str">
        <f t="shared" si="371"/>
        <v/>
      </c>
      <c r="AK74" s="519">
        <f t="shared" si="371"/>
        <v>9744</v>
      </c>
      <c r="AL74" s="519">
        <f t="shared" si="371"/>
        <v>8512</v>
      </c>
      <c r="AM74" s="519" t="str">
        <f t="shared" si="371"/>
        <v/>
      </c>
      <c r="AN74" s="519" t="str">
        <f t="shared" si="371"/>
        <v/>
      </c>
      <c r="AO74" s="519" t="str">
        <f t="shared" ref="AO74:AP74" si="372">IF(AO2="добыча",ROUND(AO75*AO22,0),"")</f>
        <v/>
      </c>
      <c r="AP74" s="519" t="str">
        <f t="shared" si="372"/>
        <v/>
      </c>
      <c r="AQ74" s="173"/>
      <c r="AR74" s="173"/>
    </row>
    <row r="75" spans="2:44" x14ac:dyDescent="0.25">
      <c r="B75" s="1014"/>
      <c r="C75" s="1035" t="s">
        <v>442</v>
      </c>
      <c r="D75" s="1031"/>
      <c r="E75" s="519">
        <f t="shared" ref="E75:H75" si="373">ROUND(E71*E$60,1)</f>
        <v>7960</v>
      </c>
      <c r="F75" s="519">
        <f t="shared" si="373"/>
        <v>7960</v>
      </c>
      <c r="G75" s="519">
        <f t="shared" si="373"/>
        <v>7560</v>
      </c>
      <c r="H75" s="519">
        <f t="shared" si="373"/>
        <v>8000</v>
      </c>
      <c r="I75" s="519">
        <f t="shared" ref="I75:L75" si="374">ROUND(I71*I$60,1)</f>
        <v>13600</v>
      </c>
      <c r="J75" s="519">
        <f t="shared" si="374"/>
        <v>13580</v>
      </c>
      <c r="K75" s="519">
        <f t="shared" si="374"/>
        <v>12320</v>
      </c>
      <c r="L75" s="519">
        <f t="shared" si="374"/>
        <v>13620</v>
      </c>
      <c r="M75" s="519">
        <f t="shared" ref="M75:P75" si="375">ROUND(M71*M$60,1)</f>
        <v>4480</v>
      </c>
      <c r="N75" s="519">
        <f t="shared" si="375"/>
        <v>4480</v>
      </c>
      <c r="O75" s="519">
        <f t="shared" si="375"/>
        <v>4680</v>
      </c>
      <c r="P75" s="519">
        <f t="shared" si="375"/>
        <v>4700</v>
      </c>
      <c r="Q75" s="519">
        <f t="shared" ref="Q75:T75" si="376">ROUND(Q71*Q$60,1)</f>
        <v>6840</v>
      </c>
      <c r="R75" s="519">
        <f t="shared" si="376"/>
        <v>6840</v>
      </c>
      <c r="S75" s="519">
        <f t="shared" si="376"/>
        <v>6500</v>
      </c>
      <c r="T75" s="519">
        <f t="shared" si="376"/>
        <v>6760</v>
      </c>
      <c r="U75" s="519">
        <f t="shared" ref="U75:V77" si="377">ROUND(U71*U$60,1)</f>
        <v>29380</v>
      </c>
      <c r="V75" s="519">
        <f t="shared" si="377"/>
        <v>25960</v>
      </c>
      <c r="W75" s="519">
        <f t="shared" ref="W75:Z75" si="378">ROUND(W71*W$60,1)</f>
        <v>34180</v>
      </c>
      <c r="X75" s="519">
        <f t="shared" si="378"/>
        <v>25960</v>
      </c>
      <c r="Y75" s="519">
        <f t="shared" si="378"/>
        <v>32840</v>
      </c>
      <c r="Z75" s="519">
        <f t="shared" si="378"/>
        <v>24760</v>
      </c>
      <c r="AA75" s="519">
        <f t="shared" ref="AA75:AB75" si="379">ROUND(AA71*AA$60,1)</f>
        <v>21200</v>
      </c>
      <c r="AB75" s="519">
        <f t="shared" si="379"/>
        <v>17460</v>
      </c>
      <c r="AC75" s="519">
        <f t="shared" ref="AC75:AD75" si="380">ROUND(AC71*AC$60,1)</f>
        <v>6560</v>
      </c>
      <c r="AD75" s="519">
        <f t="shared" si="380"/>
        <v>6300</v>
      </c>
      <c r="AE75" s="519">
        <f t="shared" ref="AE75:AF75" si="381">ROUND(AE71*AE$60,1)</f>
        <v>15120</v>
      </c>
      <c r="AF75" s="519">
        <f t="shared" si="381"/>
        <v>12860</v>
      </c>
      <c r="AG75" s="519">
        <f t="shared" ref="AG75:AH75" si="382">ROUND(AG71*AG$60,1)</f>
        <v>12100</v>
      </c>
      <c r="AH75" s="519">
        <f t="shared" si="382"/>
        <v>11640</v>
      </c>
      <c r="AI75" s="519">
        <f t="shared" ref="AI75:AN75" si="383">ROUND(AI71*AI$60,1)</f>
        <v>5020</v>
      </c>
      <c r="AJ75" s="519">
        <f t="shared" si="383"/>
        <v>5700</v>
      </c>
      <c r="AK75" s="519">
        <f t="shared" si="383"/>
        <v>6960</v>
      </c>
      <c r="AL75" s="519">
        <f t="shared" si="383"/>
        <v>6080</v>
      </c>
      <c r="AM75" s="519">
        <f t="shared" si="383"/>
        <v>6960</v>
      </c>
      <c r="AN75" s="519">
        <f t="shared" si="383"/>
        <v>6080</v>
      </c>
      <c r="AO75" s="519">
        <f t="shared" ref="AO75:AP75" si="384">ROUND(AO71*AO$60,1)</f>
        <v>5560</v>
      </c>
      <c r="AP75" s="519">
        <f t="shared" si="384"/>
        <v>7440</v>
      </c>
      <c r="AQ75" s="173"/>
      <c r="AR75" s="173"/>
    </row>
    <row r="76" spans="2:44" x14ac:dyDescent="0.25">
      <c r="B76" s="1014"/>
      <c r="C76" s="1035"/>
      <c r="D76" s="505" t="str">
        <f>$D$8</f>
        <v>III</v>
      </c>
      <c r="E76" s="519">
        <f t="shared" ref="E76:H76" si="385">ROUND(E72*E$60,1)</f>
        <v>7240</v>
      </c>
      <c r="F76" s="519">
        <f t="shared" si="385"/>
        <v>7240</v>
      </c>
      <c r="G76" s="519">
        <f t="shared" si="385"/>
        <v>7240</v>
      </c>
      <c r="H76" s="519">
        <f t="shared" si="385"/>
        <v>7500</v>
      </c>
      <c r="I76" s="519">
        <f t="shared" ref="I76:L76" si="386">ROUND(I72*I$60,1)</f>
        <v>12880</v>
      </c>
      <c r="J76" s="519">
        <f t="shared" si="386"/>
        <v>12380</v>
      </c>
      <c r="K76" s="519">
        <f t="shared" si="386"/>
        <v>11820</v>
      </c>
      <c r="L76" s="519">
        <f t="shared" si="386"/>
        <v>13560</v>
      </c>
      <c r="M76" s="519">
        <f t="shared" ref="M76:P76" si="387">ROUND(M72*M$60,1)</f>
        <v>4340</v>
      </c>
      <c r="N76" s="519">
        <f t="shared" si="387"/>
        <v>4340</v>
      </c>
      <c r="O76" s="519">
        <f t="shared" si="387"/>
        <v>4340</v>
      </c>
      <c r="P76" s="519">
        <f t="shared" si="387"/>
        <v>4600</v>
      </c>
      <c r="Q76" s="519">
        <f t="shared" ref="Q76:T76" si="388">ROUND(Q72*Q$60,1)</f>
        <v>7120</v>
      </c>
      <c r="R76" s="519">
        <f t="shared" si="388"/>
        <v>7120</v>
      </c>
      <c r="S76" s="519">
        <f t="shared" si="388"/>
        <v>7120</v>
      </c>
      <c r="T76" s="519">
        <f t="shared" si="388"/>
        <v>7120</v>
      </c>
      <c r="U76" s="519">
        <f t="shared" si="377"/>
        <v>32160</v>
      </c>
      <c r="V76" s="519">
        <f t="shared" si="377"/>
        <v>23780</v>
      </c>
      <c r="W76" s="519">
        <f t="shared" ref="W76:Z76" si="389">ROUND(W72*W$60,1)</f>
        <v>31080</v>
      </c>
      <c r="X76" s="519">
        <f t="shared" si="389"/>
        <v>22860</v>
      </c>
      <c r="Y76" s="519">
        <f t="shared" si="389"/>
        <v>31080</v>
      </c>
      <c r="Z76" s="519">
        <f t="shared" si="389"/>
        <v>22860</v>
      </c>
      <c r="AA76" s="519">
        <f t="shared" ref="AA76:AB76" si="390">ROUND(AA72*AA$60,1)</f>
        <v>20140</v>
      </c>
      <c r="AB76" s="519">
        <f t="shared" si="390"/>
        <v>16420</v>
      </c>
      <c r="AC76" s="519">
        <f t="shared" ref="AC76:AD76" si="391">ROUND(AC72*AC$60,1)</f>
        <v>14440</v>
      </c>
      <c r="AD76" s="519">
        <f t="shared" si="391"/>
        <v>13100</v>
      </c>
      <c r="AE76" s="519">
        <f t="shared" ref="AE76:AF76" si="392">ROUND(AE72*AE$60,1)</f>
        <v>14820</v>
      </c>
      <c r="AF76" s="519">
        <f t="shared" si="392"/>
        <v>12180</v>
      </c>
      <c r="AG76" s="519">
        <f t="shared" ref="AG76:AH76" si="393">ROUND(AG72*AG$60,1)</f>
        <v>10700</v>
      </c>
      <c r="AH76" s="519">
        <f t="shared" si="393"/>
        <v>11180</v>
      </c>
      <c r="AI76" s="519">
        <f t="shared" ref="AI76:AN76" si="394">ROUND(AI72*AI$60,1)</f>
        <v>4940</v>
      </c>
      <c r="AJ76" s="519">
        <f t="shared" si="394"/>
        <v>5320</v>
      </c>
      <c r="AK76" s="519">
        <f t="shared" si="394"/>
        <v>6140</v>
      </c>
      <c r="AL76" s="519">
        <f t="shared" si="394"/>
        <v>6520</v>
      </c>
      <c r="AM76" s="519">
        <f t="shared" si="394"/>
        <v>6140</v>
      </c>
      <c r="AN76" s="519">
        <f t="shared" si="394"/>
        <v>6520</v>
      </c>
      <c r="AO76" s="519">
        <f t="shared" ref="AO76:AP76" si="395">ROUND(AO72*AO$60,1)</f>
        <v>5280</v>
      </c>
      <c r="AP76" s="519">
        <f t="shared" si="395"/>
        <v>7040</v>
      </c>
      <c r="AQ76" s="173"/>
      <c r="AR76" s="173"/>
    </row>
    <row r="77" spans="2:44" x14ac:dyDescent="0.25">
      <c r="B77" s="1014"/>
      <c r="C77" s="1036"/>
      <c r="D77" s="530" t="str">
        <f>$D$9</f>
        <v>IV</v>
      </c>
      <c r="E77" s="519">
        <f t="shared" ref="E77:H77" si="396">ROUND(E73*E$60,1)</f>
        <v>5900</v>
      </c>
      <c r="F77" s="519">
        <f t="shared" si="396"/>
        <v>5900</v>
      </c>
      <c r="G77" s="519">
        <f t="shared" si="396"/>
        <v>5900</v>
      </c>
      <c r="H77" s="519">
        <f t="shared" si="396"/>
        <v>6100</v>
      </c>
      <c r="I77" s="519">
        <f t="shared" ref="I77:L77" si="397">ROUND(I73*I$60,1)</f>
        <v>9820</v>
      </c>
      <c r="J77" s="519">
        <f t="shared" si="397"/>
        <v>9120</v>
      </c>
      <c r="K77" s="519">
        <f t="shared" si="397"/>
        <v>9140</v>
      </c>
      <c r="L77" s="519">
        <f t="shared" si="397"/>
        <v>10740</v>
      </c>
      <c r="M77" s="519">
        <f t="shared" ref="M77:P77" si="398">ROUND(M73*M$60,1)</f>
        <v>3980</v>
      </c>
      <c r="N77" s="519">
        <f t="shared" si="398"/>
        <v>3980</v>
      </c>
      <c r="O77" s="519">
        <f t="shared" si="398"/>
        <v>3980</v>
      </c>
      <c r="P77" s="519">
        <f t="shared" si="398"/>
        <v>3860</v>
      </c>
      <c r="Q77" s="519">
        <f t="shared" ref="Q77:T77" si="399">ROUND(Q73*Q$60,1)</f>
        <v>5540</v>
      </c>
      <c r="R77" s="519">
        <f t="shared" si="399"/>
        <v>5540</v>
      </c>
      <c r="S77" s="519">
        <f t="shared" si="399"/>
        <v>5540</v>
      </c>
      <c r="T77" s="519">
        <f t="shared" si="399"/>
        <v>5760</v>
      </c>
      <c r="U77" s="519">
        <f t="shared" si="377"/>
        <v>27960</v>
      </c>
      <c r="V77" s="519">
        <f t="shared" si="377"/>
        <v>20560</v>
      </c>
      <c r="W77" s="519">
        <f t="shared" ref="W77:Z77" si="400">ROUND(W73*W$60,1)</f>
        <v>27960</v>
      </c>
      <c r="X77" s="519">
        <f t="shared" si="400"/>
        <v>20560</v>
      </c>
      <c r="Y77" s="519">
        <f t="shared" si="400"/>
        <v>27960</v>
      </c>
      <c r="Z77" s="519">
        <f t="shared" si="400"/>
        <v>20560</v>
      </c>
      <c r="AA77" s="519">
        <f t="shared" ref="AA77:AB77" si="401">ROUND(AA73*AA$60,1)</f>
        <v>16660</v>
      </c>
      <c r="AB77" s="519">
        <f t="shared" si="401"/>
        <v>13280</v>
      </c>
      <c r="AC77" s="519">
        <f t="shared" ref="AC77:AD77" si="402">ROUND(AC73*AC$60,1)</f>
        <v>11080</v>
      </c>
      <c r="AD77" s="519">
        <f t="shared" si="402"/>
        <v>9800</v>
      </c>
      <c r="AE77" s="519">
        <f t="shared" ref="AE77:AF77" si="403">ROUND(AE73*AE$60,1)</f>
        <v>10720</v>
      </c>
      <c r="AF77" s="519">
        <f t="shared" si="403"/>
        <v>9860</v>
      </c>
      <c r="AG77" s="519">
        <f t="shared" ref="AG77:AH77" si="404">ROUND(AG73*AG$60,1)</f>
        <v>8620</v>
      </c>
      <c r="AH77" s="519">
        <f t="shared" si="404"/>
        <v>8780</v>
      </c>
      <c r="AI77" s="519">
        <f t="shared" ref="AI77:AN77" si="405">ROUND(AI73*AI$60,1)</f>
        <v>4360</v>
      </c>
      <c r="AJ77" s="519">
        <f t="shared" si="405"/>
        <v>4620</v>
      </c>
      <c r="AK77" s="519">
        <f t="shared" si="405"/>
        <v>5640</v>
      </c>
      <c r="AL77" s="519">
        <f t="shared" si="405"/>
        <v>5280</v>
      </c>
      <c r="AM77" s="519">
        <f t="shared" si="405"/>
        <v>5640</v>
      </c>
      <c r="AN77" s="519">
        <f t="shared" si="405"/>
        <v>5860</v>
      </c>
      <c r="AO77" s="519">
        <f t="shared" ref="AO77:AP77" si="406">ROUND(AO73*AO$60,1)</f>
        <v>4500</v>
      </c>
      <c r="AP77" s="519">
        <f t="shared" si="406"/>
        <v>5760</v>
      </c>
      <c r="AQ77" s="173"/>
      <c r="AR77" s="173"/>
    </row>
    <row r="78" spans="2:44" x14ac:dyDescent="0.25">
      <c r="B78" s="1014" t="s">
        <v>303</v>
      </c>
      <c r="C78" s="504" t="s">
        <v>304</v>
      </c>
      <c r="D78" s="1031" t="str">
        <f>$D$7</f>
        <v>II</v>
      </c>
      <c r="E78" s="528">
        <f t="shared" ref="E78:H78" si="407">IF(E2="добыча",ROUND(E79*E22,-1),"")</f>
        <v>3640</v>
      </c>
      <c r="F78" s="528" t="str">
        <f t="shared" si="407"/>
        <v/>
      </c>
      <c r="G78" s="528" t="str">
        <f t="shared" si="407"/>
        <v/>
      </c>
      <c r="H78" s="528" t="str">
        <f t="shared" si="407"/>
        <v/>
      </c>
      <c r="I78" s="528">
        <f t="shared" ref="I78:L78" si="408">IF(I2="добыча",ROUND(I79*I22,-1),"")</f>
        <v>6160</v>
      </c>
      <c r="J78" s="528" t="str">
        <f t="shared" si="408"/>
        <v/>
      </c>
      <c r="K78" s="528" t="str">
        <f t="shared" si="408"/>
        <v/>
      </c>
      <c r="L78" s="528" t="str">
        <f t="shared" si="408"/>
        <v/>
      </c>
      <c r="M78" s="528">
        <f t="shared" ref="M78:P78" si="409">IF(M2="добыча",ROUND(M79*M22,-1),"")</f>
        <v>2100</v>
      </c>
      <c r="N78" s="528" t="str">
        <f t="shared" si="409"/>
        <v/>
      </c>
      <c r="O78" s="528" t="str">
        <f t="shared" si="409"/>
        <v/>
      </c>
      <c r="P78" s="528" t="str">
        <f t="shared" si="409"/>
        <v/>
      </c>
      <c r="Q78" s="528">
        <f t="shared" ref="Q78:T78" si="410">IF(Q2="добыча",ROUND(Q79*Q22,-1),"")</f>
        <v>3080</v>
      </c>
      <c r="R78" s="528" t="str">
        <f t="shared" si="410"/>
        <v/>
      </c>
      <c r="S78" s="528" t="str">
        <f t="shared" si="410"/>
        <v/>
      </c>
      <c r="T78" s="528" t="str">
        <f t="shared" si="410"/>
        <v/>
      </c>
      <c r="U78" s="528" t="str">
        <f t="shared" ref="U78:V78" si="411">IF(U2="добыча",ROUND(U79*U22,-1),"")</f>
        <v/>
      </c>
      <c r="V78" s="528" t="str">
        <f t="shared" si="411"/>
        <v/>
      </c>
      <c r="W78" s="528" t="str">
        <f t="shared" ref="W78:Z78" si="412">IF(W2="добыча",ROUND(W79*W22,-1),"")</f>
        <v/>
      </c>
      <c r="X78" s="528" t="str">
        <f t="shared" si="412"/>
        <v/>
      </c>
      <c r="Y78" s="528" t="str">
        <f t="shared" si="412"/>
        <v/>
      </c>
      <c r="Z78" s="528" t="str">
        <f t="shared" si="412"/>
        <v/>
      </c>
      <c r="AA78" s="528" t="str">
        <f t="shared" ref="AA78:AB78" si="413">IF(AA2="добыча",ROUND(AA79*AA22,-1),"")</f>
        <v/>
      </c>
      <c r="AB78" s="528" t="str">
        <f t="shared" si="413"/>
        <v/>
      </c>
      <c r="AC78" s="528" t="str">
        <f t="shared" ref="AC78:AD78" si="414">IF(AC2="добыча",ROUND(AC79*AC22,-1),"")</f>
        <v/>
      </c>
      <c r="AD78" s="528" t="str">
        <f t="shared" si="414"/>
        <v/>
      </c>
      <c r="AE78" s="528" t="str">
        <f t="shared" ref="AE78:AF78" si="415">IF(AE2="добыча",ROUND(AE79*AE22,-1),"")</f>
        <v/>
      </c>
      <c r="AF78" s="528" t="str">
        <f t="shared" si="415"/>
        <v/>
      </c>
      <c r="AG78" s="528" t="str">
        <f t="shared" ref="AG78:AH78" si="416">IF(AG2="добыча",ROUND(AG79*AG22,-1),"")</f>
        <v/>
      </c>
      <c r="AH78" s="528" t="str">
        <f t="shared" si="416"/>
        <v/>
      </c>
      <c r="AI78" s="528" t="str">
        <f t="shared" ref="AI78:AN78" si="417">IF(AI2="добыча",ROUND(AI79*AI22,-1),"")</f>
        <v/>
      </c>
      <c r="AJ78" s="528" t="str">
        <f t="shared" si="417"/>
        <v/>
      </c>
      <c r="AK78" s="528">
        <f t="shared" si="417"/>
        <v>3080</v>
      </c>
      <c r="AL78" s="528">
        <f t="shared" si="417"/>
        <v>2800</v>
      </c>
      <c r="AM78" s="528" t="str">
        <f t="shared" si="417"/>
        <v/>
      </c>
      <c r="AN78" s="528" t="str">
        <f t="shared" si="417"/>
        <v/>
      </c>
      <c r="AO78" s="528" t="str">
        <f t="shared" ref="AO78:AP78" si="418">IF(AO2="добыча",ROUND(AO79*AO22,-1),"")</f>
        <v/>
      </c>
      <c r="AP78" s="528" t="str">
        <f t="shared" si="418"/>
        <v/>
      </c>
      <c r="AQ78" s="173"/>
      <c r="AR78" s="173"/>
    </row>
    <row r="79" spans="2:44" x14ac:dyDescent="0.25">
      <c r="B79" s="1014"/>
      <c r="C79" s="1015" t="s">
        <v>443</v>
      </c>
      <c r="D79" s="1031"/>
      <c r="E79" s="519">
        <f t="shared" ref="E79:H79" si="419">ROUND(E75*E$62/1000,-2)</f>
        <v>2600</v>
      </c>
      <c r="F79" s="519">
        <f t="shared" si="419"/>
        <v>2600</v>
      </c>
      <c r="G79" s="519">
        <f t="shared" si="419"/>
        <v>2500</v>
      </c>
      <c r="H79" s="519">
        <f t="shared" si="419"/>
        <v>2600</v>
      </c>
      <c r="I79" s="519">
        <f t="shared" ref="I79:L79" si="420">ROUND(I75*I$62/1000,-2)</f>
        <v>4400</v>
      </c>
      <c r="J79" s="519">
        <f t="shared" si="420"/>
        <v>4400</v>
      </c>
      <c r="K79" s="519">
        <f t="shared" si="420"/>
        <v>4000</v>
      </c>
      <c r="L79" s="519">
        <f t="shared" si="420"/>
        <v>4500</v>
      </c>
      <c r="M79" s="519">
        <f t="shared" ref="M79:P79" si="421">ROUND(M75*M$62/1000,-2)</f>
        <v>1500</v>
      </c>
      <c r="N79" s="519">
        <f t="shared" si="421"/>
        <v>1500</v>
      </c>
      <c r="O79" s="519">
        <f t="shared" si="421"/>
        <v>1500</v>
      </c>
      <c r="P79" s="519">
        <f t="shared" si="421"/>
        <v>1500</v>
      </c>
      <c r="Q79" s="519">
        <f t="shared" ref="Q79:T79" si="422">ROUND(Q75*Q$62/1000,-2)</f>
        <v>2200</v>
      </c>
      <c r="R79" s="519">
        <f t="shared" si="422"/>
        <v>2200</v>
      </c>
      <c r="S79" s="519">
        <f t="shared" si="422"/>
        <v>2100</v>
      </c>
      <c r="T79" s="519">
        <f t="shared" si="422"/>
        <v>2200</v>
      </c>
      <c r="U79" s="519">
        <f t="shared" ref="U79:V81" si="423">ROUND(U75*U$62/1000,-2)</f>
        <v>9200</v>
      </c>
      <c r="V79" s="519">
        <f t="shared" si="423"/>
        <v>8100</v>
      </c>
      <c r="W79" s="519">
        <f t="shared" ref="W79:Z79" si="424">ROUND(W75*W$62/1000,-2)</f>
        <v>10700</v>
      </c>
      <c r="X79" s="519">
        <f t="shared" si="424"/>
        <v>8100</v>
      </c>
      <c r="Y79" s="519">
        <f t="shared" si="424"/>
        <v>9100</v>
      </c>
      <c r="Z79" s="519">
        <f t="shared" si="424"/>
        <v>6900</v>
      </c>
      <c r="AA79" s="519">
        <f t="shared" ref="AA79:AB79" si="425">ROUND(AA75*AA$62/1000,-2)</f>
        <v>6100</v>
      </c>
      <c r="AB79" s="519">
        <f t="shared" si="425"/>
        <v>5000</v>
      </c>
      <c r="AC79" s="519">
        <f t="shared" ref="AC79:AD79" si="426">ROUND(AC75*AC$62/1000,-2)</f>
        <v>1900</v>
      </c>
      <c r="AD79" s="519">
        <f t="shared" si="426"/>
        <v>1800</v>
      </c>
      <c r="AE79" s="519">
        <f t="shared" ref="AE79:AF79" si="427">ROUND(AE75*AE$62/1000,-2)</f>
        <v>4400</v>
      </c>
      <c r="AF79" s="519">
        <f t="shared" si="427"/>
        <v>3700</v>
      </c>
      <c r="AG79" s="519">
        <f t="shared" ref="AG79:AH79" si="428">ROUND(AG75*AG$62/1000,-2)</f>
        <v>3500</v>
      </c>
      <c r="AH79" s="519">
        <f t="shared" si="428"/>
        <v>3400</v>
      </c>
      <c r="AI79" s="519">
        <f t="shared" ref="AI79:AN79" si="429">ROUND(AI75*AI$62/1000,-2)</f>
        <v>1500</v>
      </c>
      <c r="AJ79" s="519">
        <f t="shared" si="429"/>
        <v>1600</v>
      </c>
      <c r="AK79" s="519">
        <f t="shared" si="429"/>
        <v>2200</v>
      </c>
      <c r="AL79" s="519">
        <f t="shared" si="429"/>
        <v>2000</v>
      </c>
      <c r="AM79" s="519">
        <f t="shared" si="429"/>
        <v>2200</v>
      </c>
      <c r="AN79" s="519">
        <f t="shared" si="429"/>
        <v>2000</v>
      </c>
      <c r="AO79" s="519">
        <f t="shared" ref="AO79:AP79" si="430">ROUND(AO75*AO$62/1000,-2)</f>
        <v>1600</v>
      </c>
      <c r="AP79" s="519">
        <f t="shared" si="430"/>
        <v>2200</v>
      </c>
      <c r="AQ79" s="173"/>
      <c r="AR79" s="173"/>
    </row>
    <row r="80" spans="2:44" x14ac:dyDescent="0.25">
      <c r="B80" s="1014"/>
      <c r="C80" s="1015"/>
      <c r="D80" s="505" t="str">
        <f>$D$8</f>
        <v>III</v>
      </c>
      <c r="E80" s="519">
        <f t="shared" ref="E80:H80" si="431">ROUND(E76*E$62/1000,-2)</f>
        <v>2400</v>
      </c>
      <c r="F80" s="519">
        <f t="shared" si="431"/>
        <v>2400</v>
      </c>
      <c r="G80" s="519">
        <f t="shared" si="431"/>
        <v>2400</v>
      </c>
      <c r="H80" s="519">
        <f t="shared" si="431"/>
        <v>2500</v>
      </c>
      <c r="I80" s="519">
        <f t="shared" ref="I80:L80" si="432">ROUND(I76*I$62/1000,-2)</f>
        <v>4200</v>
      </c>
      <c r="J80" s="519">
        <f t="shared" si="432"/>
        <v>4000</v>
      </c>
      <c r="K80" s="519">
        <f t="shared" si="432"/>
        <v>3900</v>
      </c>
      <c r="L80" s="519">
        <f t="shared" si="432"/>
        <v>4400</v>
      </c>
      <c r="M80" s="519">
        <f t="shared" ref="M80:P80" si="433">ROUND(M76*M$62/1000,-2)</f>
        <v>1400</v>
      </c>
      <c r="N80" s="519">
        <f t="shared" si="433"/>
        <v>1400</v>
      </c>
      <c r="O80" s="519">
        <f t="shared" si="433"/>
        <v>1400</v>
      </c>
      <c r="P80" s="519">
        <f t="shared" si="433"/>
        <v>1500</v>
      </c>
      <c r="Q80" s="519">
        <f t="shared" ref="Q80:T80" si="434">ROUND(Q76*Q$62/1000,-2)</f>
        <v>2300</v>
      </c>
      <c r="R80" s="519">
        <f t="shared" si="434"/>
        <v>2300</v>
      </c>
      <c r="S80" s="519">
        <f t="shared" si="434"/>
        <v>2300</v>
      </c>
      <c r="T80" s="519">
        <f t="shared" si="434"/>
        <v>2300</v>
      </c>
      <c r="U80" s="519">
        <f t="shared" si="423"/>
        <v>10000</v>
      </c>
      <c r="V80" s="519">
        <f t="shared" si="423"/>
        <v>7400</v>
      </c>
      <c r="W80" s="519">
        <f t="shared" ref="W80:Z80" si="435">ROUND(W76*W$62/1000,-2)</f>
        <v>9700</v>
      </c>
      <c r="X80" s="519">
        <f t="shared" si="435"/>
        <v>7100</v>
      </c>
      <c r="Y80" s="519">
        <f t="shared" si="435"/>
        <v>8600</v>
      </c>
      <c r="Z80" s="519">
        <f t="shared" si="435"/>
        <v>6400</v>
      </c>
      <c r="AA80" s="519">
        <f t="shared" ref="AA80:AB80" si="436">ROUND(AA76*AA$62/1000,-2)</f>
        <v>5800</v>
      </c>
      <c r="AB80" s="519">
        <f t="shared" si="436"/>
        <v>4700</v>
      </c>
      <c r="AC80" s="519">
        <f t="shared" ref="AC80:AD80" si="437">ROUND(AC76*AC$62/1000,-2)</f>
        <v>4200</v>
      </c>
      <c r="AD80" s="519">
        <f t="shared" si="437"/>
        <v>3800</v>
      </c>
      <c r="AE80" s="519">
        <f t="shared" ref="AE80:AF80" si="438">ROUND(AE76*AE$62/1000,-2)</f>
        <v>4300</v>
      </c>
      <c r="AF80" s="519">
        <f t="shared" si="438"/>
        <v>3500</v>
      </c>
      <c r="AG80" s="519">
        <f t="shared" ref="AG80:AH80" si="439">ROUND(AG76*AG$62/1000,-2)</f>
        <v>3100</v>
      </c>
      <c r="AH80" s="519">
        <f t="shared" si="439"/>
        <v>3200</v>
      </c>
      <c r="AI80" s="519">
        <f t="shared" ref="AI80:AN80" si="440">ROUND(AI76*AI$62/1000,-2)</f>
        <v>1400</v>
      </c>
      <c r="AJ80" s="519">
        <f t="shared" si="440"/>
        <v>1500</v>
      </c>
      <c r="AK80" s="519">
        <f t="shared" si="440"/>
        <v>2000</v>
      </c>
      <c r="AL80" s="519">
        <f t="shared" si="440"/>
        <v>2100</v>
      </c>
      <c r="AM80" s="519">
        <f t="shared" si="440"/>
        <v>2000</v>
      </c>
      <c r="AN80" s="519">
        <f t="shared" si="440"/>
        <v>2100</v>
      </c>
      <c r="AO80" s="519">
        <f t="shared" ref="AO80:AP80" si="441">ROUND(AO76*AO$62/1000,-2)</f>
        <v>1500</v>
      </c>
      <c r="AP80" s="519">
        <f t="shared" si="441"/>
        <v>2000</v>
      </c>
      <c r="AQ80" s="173"/>
      <c r="AR80" s="173"/>
    </row>
    <row r="81" spans="2:44" x14ac:dyDescent="0.25">
      <c r="B81" s="1014"/>
      <c r="C81" s="1015"/>
      <c r="D81" s="504" t="str">
        <f>$D$9</f>
        <v>IV</v>
      </c>
      <c r="E81" s="519">
        <f t="shared" ref="E81:H81" si="442">ROUND(E77*E$62/1000,-2)</f>
        <v>1900</v>
      </c>
      <c r="F81" s="519">
        <f t="shared" si="442"/>
        <v>1900</v>
      </c>
      <c r="G81" s="519">
        <f t="shared" si="442"/>
        <v>1900</v>
      </c>
      <c r="H81" s="519">
        <f t="shared" si="442"/>
        <v>2000</v>
      </c>
      <c r="I81" s="519">
        <f t="shared" ref="I81:L81" si="443">ROUND(I77*I$62/1000,-2)</f>
        <v>3200</v>
      </c>
      <c r="J81" s="519">
        <f t="shared" si="443"/>
        <v>3000</v>
      </c>
      <c r="K81" s="519">
        <f t="shared" si="443"/>
        <v>3000</v>
      </c>
      <c r="L81" s="519">
        <f t="shared" si="443"/>
        <v>3500</v>
      </c>
      <c r="M81" s="519">
        <f t="shared" ref="M81:P81" si="444">ROUND(M77*M$62/1000,-2)</f>
        <v>1300</v>
      </c>
      <c r="N81" s="519">
        <f t="shared" si="444"/>
        <v>1300</v>
      </c>
      <c r="O81" s="519">
        <f t="shared" si="444"/>
        <v>1300</v>
      </c>
      <c r="P81" s="519">
        <f t="shared" si="444"/>
        <v>1300</v>
      </c>
      <c r="Q81" s="519">
        <f t="shared" ref="Q81:T81" si="445">ROUND(Q77*Q$62/1000,-2)</f>
        <v>1800</v>
      </c>
      <c r="R81" s="519">
        <f t="shared" si="445"/>
        <v>1800</v>
      </c>
      <c r="S81" s="519">
        <f t="shared" si="445"/>
        <v>1800</v>
      </c>
      <c r="T81" s="519">
        <f t="shared" si="445"/>
        <v>1900</v>
      </c>
      <c r="U81" s="519">
        <f t="shared" si="423"/>
        <v>8700</v>
      </c>
      <c r="V81" s="519">
        <f t="shared" si="423"/>
        <v>6400</v>
      </c>
      <c r="W81" s="519">
        <f t="shared" ref="W81:Z81" si="446">ROUND(W77*W$62/1000,-2)</f>
        <v>8700</v>
      </c>
      <c r="X81" s="519">
        <f t="shared" si="446"/>
        <v>6400</v>
      </c>
      <c r="Y81" s="519">
        <f t="shared" si="446"/>
        <v>7800</v>
      </c>
      <c r="Z81" s="519">
        <f t="shared" si="446"/>
        <v>5700</v>
      </c>
      <c r="AA81" s="519">
        <f t="shared" ref="AA81:AB81" si="447">ROUND(AA77*AA$62/1000,-2)</f>
        <v>4800</v>
      </c>
      <c r="AB81" s="519">
        <f t="shared" si="447"/>
        <v>3800</v>
      </c>
      <c r="AC81" s="519">
        <f t="shared" ref="AC81:AD81" si="448">ROUND(AC77*AC$62/1000,-2)</f>
        <v>3200</v>
      </c>
      <c r="AD81" s="519">
        <f t="shared" si="448"/>
        <v>2800</v>
      </c>
      <c r="AE81" s="519">
        <f t="shared" ref="AE81:AF81" si="449">ROUND(AE77*AE$62/1000,-2)</f>
        <v>3100</v>
      </c>
      <c r="AF81" s="519">
        <f t="shared" si="449"/>
        <v>2800</v>
      </c>
      <c r="AG81" s="519">
        <f t="shared" ref="AG81:AH81" si="450">ROUND(AG77*AG$62/1000,-2)</f>
        <v>2500</v>
      </c>
      <c r="AH81" s="519">
        <f t="shared" si="450"/>
        <v>2500</v>
      </c>
      <c r="AI81" s="519">
        <f t="shared" ref="AI81:AN81" si="451">ROUND(AI77*AI$62/1000,-2)</f>
        <v>1300</v>
      </c>
      <c r="AJ81" s="519">
        <f t="shared" si="451"/>
        <v>1300</v>
      </c>
      <c r="AK81" s="519">
        <f t="shared" si="451"/>
        <v>1800</v>
      </c>
      <c r="AL81" s="519">
        <f t="shared" si="451"/>
        <v>1700</v>
      </c>
      <c r="AM81" s="519">
        <f t="shared" si="451"/>
        <v>1800</v>
      </c>
      <c r="AN81" s="519">
        <f t="shared" si="451"/>
        <v>1900</v>
      </c>
      <c r="AO81" s="519">
        <f t="shared" ref="AO81:AP81" si="452">ROUND(AO77*AO$62/1000,-2)</f>
        <v>1300</v>
      </c>
      <c r="AP81" s="519">
        <f t="shared" si="452"/>
        <v>1700</v>
      </c>
      <c r="AQ81" s="175"/>
      <c r="AR81" s="175"/>
    </row>
    <row r="83" spans="2:44" s="8" customFormat="1" x14ac:dyDescent="0.25"/>
    <row r="192" spans="74:103" x14ac:dyDescent="0.25">
      <c r="BV192" s="7" t="s">
        <v>72</v>
      </c>
      <c r="BX192" s="8"/>
      <c r="BY192" s="8"/>
      <c r="BZ192" s="8"/>
      <c r="CA192" s="8"/>
      <c r="CQ192" s="7" t="s">
        <v>249</v>
      </c>
      <c r="CY192" s="7" t="s">
        <v>67</v>
      </c>
    </row>
    <row r="193" spans="74:116" x14ac:dyDescent="0.25">
      <c r="BV193" s="7" t="s">
        <v>73</v>
      </c>
      <c r="BX193" s="8"/>
      <c r="BY193" s="8"/>
      <c r="BZ193" s="8"/>
      <c r="CA193" s="8"/>
      <c r="CQ193" s="7" t="s">
        <v>250</v>
      </c>
      <c r="CU193" s="7" t="s">
        <v>19</v>
      </c>
      <c r="CY193" s="7" t="s">
        <v>68</v>
      </c>
    </row>
    <row r="194" spans="74:116" x14ac:dyDescent="0.25">
      <c r="BV194" s="14" t="s">
        <v>51</v>
      </c>
      <c r="BX194" s="8"/>
      <c r="BY194" s="8"/>
      <c r="BZ194" s="8"/>
      <c r="CA194" s="8"/>
      <c r="CQ194" s="13">
        <v>0</v>
      </c>
      <c r="CR194" s="13">
        <v>1</v>
      </c>
      <c r="CY194" s="7" t="s">
        <v>69</v>
      </c>
    </row>
    <row r="195" spans="74:116" x14ac:dyDescent="0.25">
      <c r="BX195" s="8"/>
      <c r="BY195" s="8"/>
      <c r="BZ195" s="8"/>
      <c r="CA195" s="8"/>
      <c r="CQ195" s="13">
        <v>10</v>
      </c>
      <c r="CR195" s="13">
        <v>0.84</v>
      </c>
      <c r="CY195" s="7" t="s">
        <v>70</v>
      </c>
    </row>
    <row r="196" spans="74:116" x14ac:dyDescent="0.25">
      <c r="BX196" s="8"/>
      <c r="BY196" s="8"/>
      <c r="BZ196" s="8"/>
      <c r="CA196" s="8"/>
      <c r="CD196" s="485"/>
      <c r="CE196" s="485"/>
      <c r="CF196" s="485"/>
      <c r="CG196" s="485"/>
      <c r="CQ196" s="13">
        <v>20</v>
      </c>
      <c r="CR196" s="13">
        <v>0.81</v>
      </c>
      <c r="CY196" s="7" t="s">
        <v>74</v>
      </c>
    </row>
    <row r="197" spans="74:116" x14ac:dyDescent="0.25">
      <c r="BV197" s="15" t="s">
        <v>75</v>
      </c>
      <c r="BX197" s="8"/>
      <c r="BY197" s="8"/>
      <c r="BZ197" s="8"/>
      <c r="CA197" s="8"/>
      <c r="CB197" s="1021" t="s">
        <v>76</v>
      </c>
      <c r="CC197" s="1021"/>
      <c r="CQ197" s="13">
        <v>30</v>
      </c>
      <c r="CR197" s="13">
        <v>0.77</v>
      </c>
    </row>
    <row r="198" spans="74:116" x14ac:dyDescent="0.25">
      <c r="BV198" s="15" t="s">
        <v>77</v>
      </c>
      <c r="BW198" s="15" t="s">
        <v>78</v>
      </c>
      <c r="BX198" s="485" t="s">
        <v>79</v>
      </c>
      <c r="BY198" s="485"/>
      <c r="BZ198" s="485"/>
      <c r="CA198" s="485"/>
      <c r="CB198" s="1021" t="s">
        <v>80</v>
      </c>
      <c r="CC198" s="1021"/>
      <c r="CD198" s="7"/>
      <c r="CE198" s="7"/>
      <c r="CF198" s="7"/>
      <c r="CG198" s="7"/>
      <c r="CQ198" s="13">
        <v>100</v>
      </c>
      <c r="CR198" s="13">
        <v>0.77</v>
      </c>
      <c r="CY198" s="7" t="s">
        <v>81</v>
      </c>
    </row>
    <row r="199" spans="74:116" x14ac:dyDescent="0.25">
      <c r="BV199" s="15" t="s">
        <v>82</v>
      </c>
      <c r="BW199" s="15" t="s">
        <v>83</v>
      </c>
      <c r="BX199" s="485" t="s">
        <v>84</v>
      </c>
      <c r="BY199" s="485"/>
      <c r="BZ199" s="485"/>
      <c r="CA199" s="485"/>
      <c r="CB199" s="7" t="s">
        <v>85</v>
      </c>
      <c r="CD199" s="7"/>
      <c r="CE199" s="7"/>
      <c r="CF199" s="7"/>
      <c r="CG199" s="7"/>
    </row>
    <row r="200" spans="74:116" x14ac:dyDescent="0.25">
      <c r="BV200" s="6" t="s">
        <v>86</v>
      </c>
      <c r="BW200" s="15" t="s">
        <v>87</v>
      </c>
      <c r="BX200" s="485" t="s">
        <v>88</v>
      </c>
      <c r="BY200" s="485"/>
      <c r="BZ200" s="485"/>
      <c r="CA200" s="485"/>
      <c r="CB200" s="15" t="s">
        <v>89</v>
      </c>
      <c r="CC200" s="6" t="s">
        <v>90</v>
      </c>
      <c r="CD200" s="15"/>
      <c r="CE200" s="15"/>
      <c r="CF200" s="15"/>
      <c r="CG200" s="15"/>
      <c r="CZ200" s="7" t="s">
        <v>91</v>
      </c>
    </row>
    <row r="201" spans="74:116" x14ac:dyDescent="0.25">
      <c r="BX201" s="485" t="s">
        <v>92</v>
      </c>
      <c r="BY201" s="485"/>
      <c r="BZ201" s="485"/>
      <c r="CA201" s="485"/>
      <c r="CB201" s="15" t="s">
        <v>93</v>
      </c>
      <c r="CC201" s="15"/>
      <c r="CD201" s="15"/>
      <c r="CE201" s="15"/>
      <c r="CF201" s="15"/>
      <c r="CG201" s="15"/>
      <c r="CZ201" s="7" t="s">
        <v>251</v>
      </c>
      <c r="DA201" s="7" t="s">
        <v>95</v>
      </c>
      <c r="DB201" s="1021" t="s">
        <v>252</v>
      </c>
      <c r="DC201" s="1021"/>
    </row>
    <row r="202" spans="74:116" x14ac:dyDescent="0.25">
      <c r="BV202" s="13">
        <v>0.99999999999999001</v>
      </c>
      <c r="BW202" s="13">
        <v>0.8</v>
      </c>
      <c r="BX202" s="485">
        <v>1.1499999999999999</v>
      </c>
      <c r="BY202" s="485"/>
      <c r="BZ202" s="485"/>
      <c r="CA202" s="485"/>
      <c r="CB202" s="13">
        <v>1.05</v>
      </c>
      <c r="CC202" s="16">
        <v>1</v>
      </c>
      <c r="CD202" s="13"/>
      <c r="CE202" s="13"/>
      <c r="CF202" s="13"/>
      <c r="CG202" s="13"/>
      <c r="CI202" s="7" t="s">
        <v>96</v>
      </c>
      <c r="CJ202" s="7"/>
      <c r="CK202" s="7"/>
      <c r="DB202" s="7" t="s">
        <v>97</v>
      </c>
      <c r="DC202" s="7" t="s">
        <v>98</v>
      </c>
    </row>
    <row r="203" spans="74:116" x14ac:dyDescent="0.25">
      <c r="BV203" s="13">
        <v>1</v>
      </c>
      <c r="BW203" s="13">
        <v>1.6</v>
      </c>
      <c r="BX203" s="485">
        <v>1.1499999999999999</v>
      </c>
      <c r="BY203" s="485"/>
      <c r="BZ203" s="485"/>
      <c r="CA203" s="485"/>
      <c r="CB203" s="13">
        <v>1.05</v>
      </c>
      <c r="CC203" s="16">
        <v>1</v>
      </c>
      <c r="CD203" s="13"/>
      <c r="CE203" s="13"/>
      <c r="CF203" s="13"/>
      <c r="CG203" s="13"/>
      <c r="CX203" s="7" t="s">
        <v>99</v>
      </c>
      <c r="CY203" s="15" t="s">
        <v>100</v>
      </c>
      <c r="CZ203" s="13">
        <v>12.5</v>
      </c>
      <c r="DA203" s="13">
        <v>10</v>
      </c>
      <c r="DB203" s="13">
        <v>0.3</v>
      </c>
      <c r="DC203" s="13">
        <v>0.6</v>
      </c>
    </row>
    <row r="204" spans="74:116" x14ac:dyDescent="0.25">
      <c r="BV204" s="13">
        <v>2</v>
      </c>
      <c r="BW204" s="13">
        <v>1.8</v>
      </c>
      <c r="BX204" s="485">
        <v>1.25</v>
      </c>
      <c r="BY204" s="485"/>
      <c r="BZ204" s="485"/>
      <c r="CA204" s="485"/>
      <c r="CB204" s="13">
        <v>1.05</v>
      </c>
      <c r="CC204" s="16">
        <v>1</v>
      </c>
      <c r="CD204" s="13"/>
      <c r="CE204" s="13"/>
      <c r="CF204" s="13"/>
      <c r="CG204" s="13"/>
      <c r="CX204" s="7" t="s">
        <v>101</v>
      </c>
      <c r="CY204" s="13">
        <v>148</v>
      </c>
      <c r="CZ204" s="13">
        <v>13.5</v>
      </c>
      <c r="DA204" s="13">
        <v>9.4</v>
      </c>
      <c r="DB204" s="13">
        <v>0.3</v>
      </c>
      <c r="DC204" s="13">
        <v>0.6</v>
      </c>
    </row>
    <row r="205" spans="74:116" x14ac:dyDescent="0.25">
      <c r="BV205" s="13">
        <v>3</v>
      </c>
      <c r="BW205" s="13">
        <v>2</v>
      </c>
      <c r="BX205" s="485">
        <v>1.35</v>
      </c>
      <c r="BY205" s="485"/>
      <c r="BZ205" s="485"/>
      <c r="CA205" s="485"/>
      <c r="CB205" s="13">
        <v>0.95</v>
      </c>
      <c r="CC205" s="16">
        <v>0.9</v>
      </c>
      <c r="CD205" s="13"/>
      <c r="CE205" s="13"/>
      <c r="CF205" s="13"/>
      <c r="CG205" s="13"/>
      <c r="CH205" s="13">
        <v>3</v>
      </c>
      <c r="CI205" s="13">
        <v>4</v>
      </c>
      <c r="CJ205" s="13"/>
      <c r="CK205" s="13"/>
      <c r="CL205" s="100">
        <v>4.0999999999999996</v>
      </c>
      <c r="CM205" s="13">
        <v>5</v>
      </c>
      <c r="CN205" s="13">
        <v>6.3</v>
      </c>
      <c r="CO205" s="13" t="s">
        <v>14</v>
      </c>
      <c r="CP205" s="13">
        <v>8.1</v>
      </c>
      <c r="CQ205" s="13">
        <v>10</v>
      </c>
      <c r="CR205" s="13">
        <v>12</v>
      </c>
      <c r="CS205" s="13">
        <v>12.5</v>
      </c>
      <c r="CT205" s="13">
        <v>15</v>
      </c>
      <c r="CU205" s="13"/>
      <c r="CX205" s="7" t="s">
        <v>102</v>
      </c>
      <c r="CY205" s="13">
        <v>540</v>
      </c>
      <c r="CZ205" s="13">
        <v>27</v>
      </c>
      <c r="DA205" s="13">
        <v>18</v>
      </c>
      <c r="DB205" s="13">
        <v>0.5</v>
      </c>
      <c r="DC205" s="13">
        <v>0.7</v>
      </c>
      <c r="DF205" s="7" t="s">
        <v>103</v>
      </c>
      <c r="DG205" s="7" t="s">
        <v>104</v>
      </c>
      <c r="DH205" s="7" t="s">
        <v>105</v>
      </c>
      <c r="DI205" s="7" t="s">
        <v>106</v>
      </c>
      <c r="DJ205" s="7" t="s">
        <v>107</v>
      </c>
    </row>
    <row r="206" spans="74:116" x14ac:dyDescent="0.25">
      <c r="BV206" s="13"/>
      <c r="BW206" s="13">
        <v>2.1</v>
      </c>
      <c r="BX206" s="485">
        <v>1.35</v>
      </c>
      <c r="BY206" s="485"/>
      <c r="BZ206" s="485"/>
      <c r="CA206" s="485"/>
      <c r="CB206" s="13">
        <v>0.95</v>
      </c>
      <c r="CC206" s="16">
        <v>0.9</v>
      </c>
      <c r="CD206" s="13"/>
      <c r="CE206" s="13"/>
      <c r="CF206" s="13"/>
      <c r="CG206" s="13"/>
      <c r="CO206" s="6">
        <v>8</v>
      </c>
      <c r="CP206" s="6">
        <v>10</v>
      </c>
      <c r="CX206" s="7" t="s">
        <v>102</v>
      </c>
      <c r="CY206" s="13">
        <v>548</v>
      </c>
      <c r="CZ206" s="13">
        <v>40</v>
      </c>
      <c r="DA206" s="13">
        <v>26</v>
      </c>
      <c r="DB206" s="13">
        <v>0.5</v>
      </c>
      <c r="DC206" s="13">
        <v>0.7</v>
      </c>
      <c r="DE206" s="13">
        <v>4</v>
      </c>
      <c r="DF206" s="13">
        <v>40</v>
      </c>
      <c r="DG206" s="13">
        <v>25</v>
      </c>
      <c r="DH206" s="13">
        <v>12</v>
      </c>
      <c r="DI206" s="13">
        <v>2</v>
      </c>
      <c r="DJ206" s="13">
        <v>2</v>
      </c>
      <c r="DK206" s="6">
        <v>2</v>
      </c>
      <c r="DL206" s="13">
        <v>0.8</v>
      </c>
    </row>
    <row r="207" spans="74:116" x14ac:dyDescent="0.25">
      <c r="BV207" s="13"/>
      <c r="BW207" s="13">
        <v>2.2000000000000002</v>
      </c>
      <c r="BX207" s="485">
        <v>1.35</v>
      </c>
      <c r="BY207" s="485"/>
      <c r="BZ207" s="485"/>
      <c r="CA207" s="485"/>
      <c r="CB207" s="13">
        <v>0.95</v>
      </c>
      <c r="CC207" s="16">
        <v>0.9</v>
      </c>
      <c r="CD207" s="13"/>
      <c r="CE207" s="13"/>
      <c r="CF207" s="1022" t="s">
        <v>240</v>
      </c>
      <c r="CG207" s="13">
        <v>1</v>
      </c>
      <c r="CH207" s="13">
        <v>20.100000000000001</v>
      </c>
      <c r="CI207" s="13">
        <v>21.2</v>
      </c>
      <c r="CJ207" s="13"/>
      <c r="CK207" s="13"/>
      <c r="CL207" s="13">
        <v>22.2</v>
      </c>
      <c r="CM207" s="13">
        <v>22.2</v>
      </c>
      <c r="CN207" s="13">
        <v>26.6</v>
      </c>
      <c r="CO207" s="13">
        <v>26</v>
      </c>
      <c r="CP207" s="13">
        <v>26</v>
      </c>
      <c r="CQ207" s="13">
        <v>26</v>
      </c>
      <c r="CX207" s="7" t="s">
        <v>108</v>
      </c>
      <c r="CY207" s="13">
        <v>5511</v>
      </c>
      <c r="CZ207" s="13">
        <v>10</v>
      </c>
      <c r="DA207" s="13">
        <v>7.2</v>
      </c>
      <c r="DB207" s="13">
        <v>0.3</v>
      </c>
      <c r="DC207" s="13">
        <v>0.6</v>
      </c>
      <c r="DE207" s="13">
        <v>5</v>
      </c>
      <c r="DF207" s="13">
        <v>40</v>
      </c>
      <c r="DG207" s="13">
        <v>25</v>
      </c>
      <c r="DH207" s="13">
        <v>12</v>
      </c>
      <c r="DI207" s="13">
        <v>2</v>
      </c>
      <c r="DJ207" s="13">
        <v>2</v>
      </c>
      <c r="DK207" s="6">
        <v>3</v>
      </c>
      <c r="DL207" s="13">
        <v>1</v>
      </c>
    </row>
    <row r="208" spans="74:116" x14ac:dyDescent="0.25">
      <c r="BV208" s="13"/>
      <c r="BW208" s="13">
        <v>2.2999999999999998</v>
      </c>
      <c r="BX208" s="485">
        <v>1.5</v>
      </c>
      <c r="BY208" s="485"/>
      <c r="BZ208" s="485"/>
      <c r="CA208" s="485"/>
      <c r="CB208" s="13">
        <v>0.9</v>
      </c>
      <c r="CC208" s="16">
        <v>0.85</v>
      </c>
      <c r="CD208" s="13"/>
      <c r="CE208" s="13"/>
      <c r="CF208" s="1022"/>
      <c r="CG208" s="13">
        <v>2</v>
      </c>
      <c r="CH208" s="13">
        <v>22.5</v>
      </c>
      <c r="CI208" s="13">
        <v>24</v>
      </c>
      <c r="CJ208" s="13"/>
      <c r="CK208" s="13"/>
      <c r="CL208" s="13">
        <v>25.1</v>
      </c>
      <c r="CM208" s="13">
        <v>25.1</v>
      </c>
      <c r="CN208" s="13">
        <v>30</v>
      </c>
      <c r="CO208" s="13">
        <v>29.3</v>
      </c>
      <c r="CP208" s="13">
        <v>29.3</v>
      </c>
      <c r="CQ208" s="13">
        <v>29.3</v>
      </c>
      <c r="CX208" s="7" t="s">
        <v>109</v>
      </c>
      <c r="CY208" s="13">
        <v>6507</v>
      </c>
      <c r="CZ208" s="13">
        <v>20</v>
      </c>
      <c r="DA208" s="13">
        <v>14.4</v>
      </c>
      <c r="DB208" s="13">
        <v>0.5</v>
      </c>
      <c r="DC208" s="13">
        <v>0.7</v>
      </c>
      <c r="DE208" s="13">
        <v>6.3</v>
      </c>
      <c r="DF208" s="13">
        <v>70</v>
      </c>
      <c r="DG208" s="13">
        <v>35</v>
      </c>
      <c r="DH208" s="13">
        <v>26</v>
      </c>
      <c r="DI208" s="13">
        <v>3</v>
      </c>
      <c r="DJ208" s="13">
        <v>3</v>
      </c>
      <c r="DK208" s="6">
        <v>4</v>
      </c>
      <c r="DL208" s="13">
        <v>1.2</v>
      </c>
    </row>
    <row r="209" spans="74:114" x14ac:dyDescent="0.25">
      <c r="BV209" s="13"/>
      <c r="BW209" s="13">
        <v>2.4</v>
      </c>
      <c r="BX209" s="485">
        <v>1.5</v>
      </c>
      <c r="BY209" s="485"/>
      <c r="BZ209" s="485"/>
      <c r="CA209" s="485"/>
      <c r="CB209" s="13">
        <v>0.9</v>
      </c>
      <c r="CC209" s="16">
        <v>0.85</v>
      </c>
      <c r="CD209" s="13"/>
      <c r="CE209" s="13"/>
      <c r="CF209" s="1022"/>
      <c r="CG209" s="13">
        <v>3</v>
      </c>
      <c r="CH209" s="13">
        <v>24.4</v>
      </c>
      <c r="CI209" s="13">
        <v>26.2</v>
      </c>
      <c r="CJ209" s="13"/>
      <c r="CK209" s="13"/>
      <c r="CL209" s="13">
        <v>27.4</v>
      </c>
      <c r="CM209" s="13">
        <v>27.4</v>
      </c>
      <c r="CN209" s="13">
        <v>32.9</v>
      </c>
      <c r="CO209" s="13">
        <v>32.1</v>
      </c>
      <c r="CP209" s="13">
        <v>32.1</v>
      </c>
      <c r="CQ209" s="13">
        <v>32.1</v>
      </c>
      <c r="CX209" s="7" t="s">
        <v>102</v>
      </c>
      <c r="CY209" s="13">
        <v>7509</v>
      </c>
      <c r="CZ209" s="13">
        <v>75</v>
      </c>
      <c r="DA209" s="13">
        <v>46</v>
      </c>
      <c r="DB209" s="13">
        <v>0.8</v>
      </c>
      <c r="DC209" s="13">
        <v>1.1000000000000001</v>
      </c>
      <c r="DE209" s="13">
        <v>8</v>
      </c>
      <c r="DF209" s="13">
        <v>60</v>
      </c>
      <c r="DG209" s="13">
        <v>28</v>
      </c>
      <c r="DH209" s="13">
        <v>17</v>
      </c>
      <c r="DI209" s="13">
        <v>3</v>
      </c>
      <c r="DJ209" s="13">
        <v>3</v>
      </c>
    </row>
    <row r="210" spans="74:114" x14ac:dyDescent="0.25">
      <c r="BV210" s="13">
        <v>4</v>
      </c>
      <c r="BW210" s="13">
        <v>2.5</v>
      </c>
      <c r="BX210" s="485">
        <v>1.5</v>
      </c>
      <c r="BY210" s="485"/>
      <c r="BZ210" s="485"/>
      <c r="CA210" s="485"/>
      <c r="CB210" s="13">
        <v>0.9</v>
      </c>
      <c r="CC210" s="16">
        <v>0.85</v>
      </c>
      <c r="CD210" s="13"/>
      <c r="CE210" s="13"/>
      <c r="CF210" s="1022"/>
      <c r="CG210" s="13">
        <v>4</v>
      </c>
      <c r="CH210" s="13">
        <v>25.8</v>
      </c>
      <c r="CI210" s="13">
        <v>28.1</v>
      </c>
      <c r="CJ210" s="13"/>
      <c r="CK210" s="13"/>
      <c r="CL210" s="13">
        <v>29.3</v>
      </c>
      <c r="CM210" s="13">
        <v>29.3</v>
      </c>
      <c r="CN210" s="13">
        <v>35.1</v>
      </c>
      <c r="CO210" s="13">
        <v>34.299999999999997</v>
      </c>
      <c r="CP210" s="13">
        <v>34.299999999999997</v>
      </c>
      <c r="CQ210" s="13">
        <v>34.299999999999997</v>
      </c>
      <c r="CX210" s="7" t="s">
        <v>102</v>
      </c>
      <c r="CY210" s="13">
        <v>7512</v>
      </c>
      <c r="CZ210" s="13">
        <v>120</v>
      </c>
      <c r="DA210" s="13">
        <v>61</v>
      </c>
      <c r="DB210" s="13">
        <v>0.8</v>
      </c>
      <c r="DC210" s="13">
        <v>1.1000000000000001</v>
      </c>
      <c r="DE210" s="13">
        <v>12.5</v>
      </c>
      <c r="DF210" s="13">
        <v>70</v>
      </c>
      <c r="DG210" s="13">
        <v>35</v>
      </c>
      <c r="DH210" s="13">
        <v>26</v>
      </c>
      <c r="DI210" s="13">
        <v>3</v>
      </c>
      <c r="DJ210" s="13">
        <v>3</v>
      </c>
    </row>
    <row r="211" spans="74:114" x14ac:dyDescent="0.25">
      <c r="BV211" s="13"/>
      <c r="BW211" s="13">
        <v>2.6</v>
      </c>
      <c r="BX211" s="485">
        <v>1.5</v>
      </c>
      <c r="BY211" s="485"/>
      <c r="BZ211" s="485"/>
      <c r="CA211" s="485"/>
      <c r="CB211" s="13">
        <v>0.9</v>
      </c>
      <c r="CC211" s="16">
        <v>0.85</v>
      </c>
      <c r="CD211" s="13"/>
      <c r="CE211" s="13"/>
      <c r="CF211" s="1022"/>
      <c r="CG211" s="13">
        <v>5</v>
      </c>
      <c r="CH211" s="13">
        <v>27.1</v>
      </c>
      <c r="CI211" s="13">
        <v>29.6</v>
      </c>
      <c r="CJ211" s="13"/>
      <c r="CK211" s="13"/>
      <c r="CL211" s="13">
        <v>30.8</v>
      </c>
      <c r="CM211" s="13">
        <v>30.8</v>
      </c>
      <c r="CN211" s="13">
        <v>36.4</v>
      </c>
      <c r="CO211" s="13">
        <v>35.6</v>
      </c>
      <c r="CP211" s="13">
        <v>35.6</v>
      </c>
      <c r="CQ211" s="13">
        <v>35.6</v>
      </c>
      <c r="CX211" s="7" t="s">
        <v>102</v>
      </c>
      <c r="CY211" s="13">
        <v>7519</v>
      </c>
      <c r="CZ211" s="13">
        <v>110</v>
      </c>
      <c r="DA211" s="13">
        <v>56</v>
      </c>
      <c r="DB211" s="13">
        <v>0.8</v>
      </c>
      <c r="DC211" s="13">
        <v>1.1000000000000001</v>
      </c>
      <c r="DE211" s="13">
        <v>16</v>
      </c>
      <c r="DF211" s="13">
        <v>70</v>
      </c>
      <c r="DG211" s="13">
        <v>35</v>
      </c>
      <c r="DH211" s="13">
        <v>26</v>
      </c>
      <c r="DI211" s="13">
        <v>3</v>
      </c>
      <c r="DJ211" s="13">
        <v>3</v>
      </c>
    </row>
    <row r="212" spans="74:114" x14ac:dyDescent="0.25">
      <c r="BV212" s="13"/>
      <c r="BW212" s="13">
        <v>2.7</v>
      </c>
      <c r="BX212" s="485">
        <v>1.5</v>
      </c>
      <c r="BY212" s="485"/>
      <c r="BZ212" s="485"/>
      <c r="CA212" s="485"/>
      <c r="CB212" s="13">
        <v>0.9</v>
      </c>
      <c r="CC212" s="16">
        <v>0.85</v>
      </c>
      <c r="CD212" s="13"/>
      <c r="CE212" s="13"/>
      <c r="CF212" s="13"/>
      <c r="CG212" s="13"/>
      <c r="CQ212" s="13"/>
      <c r="CX212" s="7" t="s">
        <v>102</v>
      </c>
      <c r="CY212" s="13">
        <v>7522</v>
      </c>
      <c r="CZ212" s="13">
        <v>30</v>
      </c>
      <c r="DA212" s="13">
        <v>18</v>
      </c>
      <c r="DB212" s="13">
        <v>0.5</v>
      </c>
      <c r="DC212" s="13">
        <v>0.7</v>
      </c>
      <c r="DE212" s="13">
        <v>20</v>
      </c>
      <c r="DF212" s="13">
        <v>90</v>
      </c>
      <c r="DG212" s="13">
        <v>40</v>
      </c>
      <c r="DH212" s="13">
        <v>28</v>
      </c>
      <c r="DI212" s="13">
        <v>4</v>
      </c>
      <c r="DJ212" s="13">
        <v>4</v>
      </c>
    </row>
    <row r="213" spans="74:114" x14ac:dyDescent="0.25">
      <c r="BV213" s="13"/>
      <c r="BW213" s="13">
        <v>2.8</v>
      </c>
      <c r="BX213" s="485">
        <v>1.5</v>
      </c>
      <c r="BY213" s="485"/>
      <c r="BZ213" s="485"/>
      <c r="CA213" s="485"/>
      <c r="CB213" s="13">
        <v>0.9</v>
      </c>
      <c r="CC213" s="16">
        <v>0.85</v>
      </c>
      <c r="CD213" s="13"/>
      <c r="CE213" s="13"/>
      <c r="CF213" s="1022" t="s">
        <v>241</v>
      </c>
      <c r="CG213" s="13">
        <v>1</v>
      </c>
      <c r="CH213" s="13">
        <v>2.6</v>
      </c>
      <c r="CI213" s="13">
        <v>2.6</v>
      </c>
      <c r="CJ213" s="13"/>
      <c r="CK213" s="13"/>
      <c r="CL213" s="13">
        <v>2.8</v>
      </c>
      <c r="CM213" s="13">
        <v>3</v>
      </c>
      <c r="CN213" s="13">
        <v>3</v>
      </c>
      <c r="CO213" s="13">
        <v>3</v>
      </c>
      <c r="CP213" s="13">
        <v>3</v>
      </c>
      <c r="CQ213" s="13">
        <v>2.8</v>
      </c>
      <c r="CR213" s="13"/>
      <c r="CX213" s="7" t="s">
        <v>102</v>
      </c>
      <c r="CY213" s="13">
        <v>7523</v>
      </c>
      <c r="CZ213" s="13">
        <v>42</v>
      </c>
      <c r="DA213" s="13">
        <v>26</v>
      </c>
      <c r="DB213" s="13">
        <v>0.5</v>
      </c>
      <c r="DC213" s="13">
        <v>0.7</v>
      </c>
    </row>
    <row r="214" spans="74:114" x14ac:dyDescent="0.25">
      <c r="BV214" s="13"/>
      <c r="BW214" s="13">
        <v>2.9</v>
      </c>
      <c r="BX214" s="485">
        <v>1.5</v>
      </c>
      <c r="BY214" s="485"/>
      <c r="BZ214" s="485"/>
      <c r="CA214" s="485"/>
      <c r="CB214" s="13">
        <v>0.9</v>
      </c>
      <c r="CC214" s="16">
        <v>0.85</v>
      </c>
      <c r="CD214" s="13"/>
      <c r="CE214" s="13"/>
      <c r="CF214" s="1022"/>
      <c r="CG214" s="13">
        <v>2</v>
      </c>
      <c r="CH214" s="13">
        <v>2.4</v>
      </c>
      <c r="CI214" s="13">
        <v>2.6</v>
      </c>
      <c r="CJ214" s="13"/>
      <c r="CK214" s="13"/>
      <c r="CL214" s="13">
        <v>2.6</v>
      </c>
      <c r="CM214" s="13">
        <v>2.6</v>
      </c>
      <c r="CN214" s="13">
        <v>2.8</v>
      </c>
      <c r="CO214" s="13">
        <v>2.8</v>
      </c>
      <c r="CP214" s="13">
        <v>2.8</v>
      </c>
      <c r="CQ214" s="13">
        <v>2.8</v>
      </c>
      <c r="CX214" s="7" t="s">
        <v>18</v>
      </c>
      <c r="CY214" s="13">
        <v>7525</v>
      </c>
      <c r="CZ214" s="13">
        <v>40</v>
      </c>
      <c r="DA214" s="13">
        <v>33.700000000000003</v>
      </c>
      <c r="DB214" s="13">
        <v>0.5</v>
      </c>
      <c r="DC214" s="13">
        <v>0.7</v>
      </c>
      <c r="DE214" s="13">
        <v>4</v>
      </c>
      <c r="DF214" s="13">
        <v>40</v>
      </c>
      <c r="DG214" s="13">
        <v>25</v>
      </c>
      <c r="DH214" s="13">
        <v>12</v>
      </c>
      <c r="DI214" s="13">
        <v>2</v>
      </c>
      <c r="DJ214" s="13">
        <v>2</v>
      </c>
    </row>
    <row r="215" spans="74:114" x14ac:dyDescent="0.25">
      <c r="BV215" s="13"/>
      <c r="BW215" s="13">
        <v>3</v>
      </c>
      <c r="BX215" s="485">
        <v>1.5</v>
      </c>
      <c r="BY215" s="485"/>
      <c r="BZ215" s="485"/>
      <c r="CA215" s="485"/>
      <c r="CB215" s="13">
        <v>0.9</v>
      </c>
      <c r="CC215" s="16">
        <v>0.85</v>
      </c>
      <c r="CD215" s="13"/>
      <c r="CE215" s="13"/>
      <c r="CF215" s="1022"/>
      <c r="CG215" s="13">
        <v>3</v>
      </c>
      <c r="CH215" s="13">
        <v>2.2000000000000002</v>
      </c>
      <c r="CI215" s="13">
        <v>2.4</v>
      </c>
      <c r="CJ215" s="13"/>
      <c r="CK215" s="13"/>
      <c r="CL215" s="13">
        <v>2.4</v>
      </c>
      <c r="CM215" s="13">
        <v>2.4</v>
      </c>
      <c r="CN215" s="13">
        <v>2.6</v>
      </c>
      <c r="CO215" s="13">
        <v>2.6</v>
      </c>
      <c r="CP215" s="13">
        <v>2.6</v>
      </c>
      <c r="CQ215" s="13">
        <v>2.6</v>
      </c>
      <c r="CX215" s="7" t="s">
        <v>102</v>
      </c>
      <c r="CY215" s="13">
        <v>7526</v>
      </c>
      <c r="CZ215" s="13">
        <v>30</v>
      </c>
      <c r="DA215" s="13">
        <v>23.5</v>
      </c>
      <c r="DB215" s="13">
        <v>0.5</v>
      </c>
      <c r="DC215" s="13">
        <v>0.7</v>
      </c>
      <c r="DE215" s="13">
        <v>5</v>
      </c>
      <c r="DF215" s="13">
        <v>40</v>
      </c>
      <c r="DG215" s="13">
        <v>25</v>
      </c>
      <c r="DH215" s="13">
        <v>12</v>
      </c>
      <c r="DI215" s="13">
        <v>2</v>
      </c>
      <c r="DJ215" s="13">
        <v>2</v>
      </c>
    </row>
    <row r="216" spans="74:114" x14ac:dyDescent="0.25">
      <c r="BV216" s="13"/>
      <c r="BW216" s="13">
        <v>3.1</v>
      </c>
      <c r="BX216" s="485">
        <v>1.6</v>
      </c>
      <c r="BY216" s="485"/>
      <c r="BZ216" s="485"/>
      <c r="CA216" s="485"/>
      <c r="CB216" s="13">
        <v>0.9</v>
      </c>
      <c r="CC216" s="16"/>
      <c r="CD216" s="13"/>
      <c r="CE216" s="13"/>
      <c r="CF216" s="1022"/>
      <c r="CG216" s="13">
        <v>4</v>
      </c>
      <c r="CH216" s="13">
        <v>2.2000000000000002</v>
      </c>
      <c r="CI216" s="13">
        <v>2.4</v>
      </c>
      <c r="CJ216" s="13"/>
      <c r="CK216" s="13"/>
      <c r="CL216" s="13">
        <v>2.4</v>
      </c>
      <c r="CM216" s="13">
        <v>2.4</v>
      </c>
      <c r="CN216" s="13">
        <v>2.6</v>
      </c>
      <c r="CO216" s="13">
        <v>2.6</v>
      </c>
      <c r="CP216" s="13">
        <v>2.6</v>
      </c>
      <c r="CQ216" s="13">
        <v>2.6</v>
      </c>
      <c r="CX216" s="7" t="s">
        <v>102</v>
      </c>
      <c r="CY216" s="13">
        <v>7527</v>
      </c>
      <c r="CZ216" s="13">
        <v>42</v>
      </c>
      <c r="DA216" s="13">
        <v>33.700000000000003</v>
      </c>
      <c r="DB216" s="13">
        <v>0.5</v>
      </c>
      <c r="DC216" s="13">
        <v>0.7</v>
      </c>
      <c r="DE216" s="13">
        <v>6</v>
      </c>
      <c r="DF216" s="13">
        <v>40</v>
      </c>
      <c r="DG216" s="13">
        <v>32</v>
      </c>
      <c r="DH216" s="13">
        <v>26</v>
      </c>
      <c r="DI216" s="13">
        <v>3</v>
      </c>
      <c r="DJ216" s="13">
        <v>3</v>
      </c>
    </row>
    <row r="217" spans="74:114" x14ac:dyDescent="0.25">
      <c r="BV217" s="13"/>
      <c r="BW217" s="13">
        <v>3.2</v>
      </c>
      <c r="BX217" s="485">
        <v>1.6</v>
      </c>
      <c r="BY217" s="485"/>
      <c r="BZ217" s="485"/>
      <c r="CA217" s="485"/>
      <c r="CB217" s="13">
        <v>0.9</v>
      </c>
      <c r="CC217" s="16"/>
      <c r="CD217" s="13"/>
      <c r="CE217" s="13"/>
      <c r="CF217" s="1022"/>
      <c r="CG217" s="13">
        <v>5</v>
      </c>
      <c r="CH217" s="13">
        <v>2.2000000000000002</v>
      </c>
      <c r="CI217" s="13">
        <v>2.4</v>
      </c>
      <c r="CJ217" s="13"/>
      <c r="CK217" s="13"/>
      <c r="CL217" s="13">
        <v>2.4</v>
      </c>
      <c r="CM217" s="13">
        <v>2.4</v>
      </c>
      <c r="CN217" s="13">
        <v>2.6</v>
      </c>
      <c r="CO217" s="13">
        <v>2.6</v>
      </c>
      <c r="CP217" s="13">
        <v>2.6</v>
      </c>
      <c r="CQ217" s="13">
        <v>2.6</v>
      </c>
      <c r="CX217" s="7" t="s">
        <v>102</v>
      </c>
      <c r="CY217" s="13">
        <v>7530</v>
      </c>
      <c r="CZ217" s="13">
        <v>200</v>
      </c>
      <c r="DA217" s="13">
        <v>115</v>
      </c>
      <c r="DB217" s="13">
        <v>0.8</v>
      </c>
      <c r="DC217" s="13">
        <v>1.1000000000000001</v>
      </c>
      <c r="DE217" s="13">
        <v>10</v>
      </c>
      <c r="DF217" s="13">
        <v>62</v>
      </c>
      <c r="DG217" s="13">
        <v>35</v>
      </c>
      <c r="DH217" s="13">
        <v>26</v>
      </c>
      <c r="DI217" s="13">
        <v>3</v>
      </c>
      <c r="DJ217" s="13">
        <v>3</v>
      </c>
    </row>
    <row r="218" spans="74:114" x14ac:dyDescent="0.25">
      <c r="BV218" s="13"/>
      <c r="BW218" s="13">
        <v>3.3</v>
      </c>
      <c r="BX218" s="485">
        <v>1.6</v>
      </c>
      <c r="BY218" s="485"/>
      <c r="BZ218" s="485"/>
      <c r="CA218" s="485"/>
      <c r="CB218" s="13">
        <v>0.9</v>
      </c>
      <c r="CC218" s="16"/>
      <c r="CD218" s="13"/>
      <c r="CE218" s="13"/>
      <c r="CF218" s="13"/>
      <c r="CG218" s="13"/>
      <c r="CH218" s="13">
        <f>CH$205</f>
        <v>3</v>
      </c>
      <c r="CI218" s="13">
        <f>CI$205</f>
        <v>4</v>
      </c>
      <c r="CJ218" s="13"/>
      <c r="CK218" s="13"/>
      <c r="CL218" s="13">
        <f t="shared" ref="CL218:CQ218" si="453">CL$205</f>
        <v>4.0999999999999996</v>
      </c>
      <c r="CM218" s="13">
        <f t="shared" si="453"/>
        <v>5</v>
      </c>
      <c r="CN218" s="13">
        <f t="shared" si="453"/>
        <v>6.3</v>
      </c>
      <c r="CO218" s="13" t="str">
        <f t="shared" si="453"/>
        <v>ЭКГ-8и</v>
      </c>
      <c r="CP218" s="13">
        <f t="shared" si="453"/>
        <v>8.1</v>
      </c>
      <c r="CQ218" s="13">
        <f t="shared" si="453"/>
        <v>10</v>
      </c>
      <c r="CR218" s="13">
        <v>12</v>
      </c>
      <c r="CS218" s="13">
        <v>12.5</v>
      </c>
      <c r="CT218" s="13">
        <v>15</v>
      </c>
      <c r="CX218" s="7" t="s">
        <v>102</v>
      </c>
      <c r="CY218" s="13">
        <v>7540</v>
      </c>
      <c r="CZ218" s="13">
        <v>30</v>
      </c>
      <c r="DA218" s="13">
        <v>18.5</v>
      </c>
      <c r="DB218" s="13">
        <v>0.5</v>
      </c>
      <c r="DC218" s="13">
        <v>0.7</v>
      </c>
      <c r="DE218" s="13">
        <v>13</v>
      </c>
      <c r="DF218" s="13">
        <v>62</v>
      </c>
      <c r="DG218" s="13">
        <v>35</v>
      </c>
      <c r="DH218" s="13">
        <v>26</v>
      </c>
      <c r="DI218" s="13">
        <v>3</v>
      </c>
      <c r="DJ218" s="13">
        <v>3</v>
      </c>
    </row>
    <row r="219" spans="74:114" x14ac:dyDescent="0.25">
      <c r="BV219" s="13"/>
      <c r="BW219" s="13">
        <v>3.4</v>
      </c>
      <c r="BX219" s="485">
        <v>1.6</v>
      </c>
      <c r="BY219" s="485"/>
      <c r="BZ219" s="485"/>
      <c r="CA219" s="485"/>
      <c r="CB219" s="13">
        <v>0.9</v>
      </c>
      <c r="CC219" s="16"/>
      <c r="CD219" s="13"/>
      <c r="CE219" s="13"/>
      <c r="CF219" s="1023" t="s">
        <v>239</v>
      </c>
      <c r="CG219" s="13">
        <v>1</v>
      </c>
      <c r="CH219" s="13">
        <v>22</v>
      </c>
      <c r="CI219" s="13">
        <v>24</v>
      </c>
      <c r="CJ219" s="13"/>
      <c r="CK219" s="13"/>
      <c r="CL219" s="13">
        <v>27.8</v>
      </c>
      <c r="CM219" s="13">
        <v>25</v>
      </c>
      <c r="CN219" s="13">
        <v>29.6</v>
      </c>
      <c r="CO219" s="13">
        <v>29</v>
      </c>
      <c r="CP219" s="13">
        <v>33.6</v>
      </c>
      <c r="CQ219" s="13">
        <v>30.3</v>
      </c>
      <c r="CR219" s="13">
        <v>34.4</v>
      </c>
      <c r="CS219" s="13">
        <v>31.5</v>
      </c>
      <c r="CT219" s="13">
        <v>34.9</v>
      </c>
      <c r="CU219" s="13"/>
      <c r="CX219" s="7" t="s">
        <v>102</v>
      </c>
      <c r="CY219" s="13">
        <v>7548</v>
      </c>
      <c r="CZ219" s="13">
        <v>42</v>
      </c>
      <c r="DA219" s="13">
        <v>26</v>
      </c>
      <c r="DB219" s="13">
        <v>0.5</v>
      </c>
      <c r="DC219" s="13">
        <v>0.7</v>
      </c>
      <c r="DE219" s="13">
        <v>14</v>
      </c>
      <c r="DF219" s="13">
        <v>120</v>
      </c>
      <c r="DG219" s="13">
        <v>50</v>
      </c>
      <c r="DH219" s="13">
        <v>35</v>
      </c>
      <c r="DI219" s="13">
        <v>4</v>
      </c>
      <c r="DJ219" s="13">
        <v>4</v>
      </c>
    </row>
    <row r="220" spans="74:114" x14ac:dyDescent="0.25">
      <c r="BV220" s="13">
        <v>5</v>
      </c>
      <c r="BW220" s="13">
        <v>3.5</v>
      </c>
      <c r="BX220" s="485">
        <v>1.6</v>
      </c>
      <c r="BY220" s="485"/>
      <c r="BZ220" s="485"/>
      <c r="CA220" s="485"/>
      <c r="CB220" s="13">
        <v>0.9</v>
      </c>
      <c r="CC220" s="16"/>
      <c r="CD220" s="13"/>
      <c r="CE220" s="13"/>
      <c r="CF220" s="1023"/>
      <c r="CG220" s="13">
        <v>2</v>
      </c>
      <c r="CH220" s="13">
        <v>24.9</v>
      </c>
      <c r="CI220" s="13">
        <v>26.6</v>
      </c>
      <c r="CJ220" s="13"/>
      <c r="CK220" s="13"/>
      <c r="CL220" s="13">
        <v>30.3</v>
      </c>
      <c r="CM220" s="13">
        <v>27.7</v>
      </c>
      <c r="CN220" s="13">
        <v>32.799999999999997</v>
      </c>
      <c r="CO220" s="13">
        <v>32.1</v>
      </c>
      <c r="CP220" s="13">
        <v>36.6</v>
      </c>
      <c r="CQ220" s="13">
        <v>33.4</v>
      </c>
      <c r="CR220" s="13">
        <v>38.799999999999997</v>
      </c>
      <c r="CS220" s="13">
        <v>34.799999999999997</v>
      </c>
      <c r="CT220" s="13">
        <v>37.5</v>
      </c>
      <c r="CU220" s="13"/>
      <c r="CX220" s="7" t="s">
        <v>102</v>
      </c>
      <c r="CY220" s="13">
        <v>7549</v>
      </c>
      <c r="CZ220" s="13">
        <v>80</v>
      </c>
      <c r="DA220" s="13">
        <v>50</v>
      </c>
      <c r="DB220" s="13">
        <v>0.8</v>
      </c>
      <c r="DC220" s="13">
        <v>1.1000000000000001</v>
      </c>
      <c r="DE220" s="13">
        <v>15</v>
      </c>
      <c r="DF220" s="13">
        <v>120</v>
      </c>
      <c r="DG220" s="13">
        <v>50</v>
      </c>
      <c r="DH220" s="13">
        <v>35</v>
      </c>
      <c r="DI220" s="13">
        <v>4</v>
      </c>
      <c r="DJ220" s="13">
        <v>4</v>
      </c>
    </row>
    <row r="221" spans="74:114" x14ac:dyDescent="0.25">
      <c r="BX221" s="8"/>
      <c r="BY221" s="8"/>
      <c r="BZ221" s="8"/>
      <c r="CA221" s="8"/>
      <c r="CC221" s="13"/>
      <c r="CF221" s="1023"/>
      <c r="CG221" s="13">
        <v>3</v>
      </c>
      <c r="CH221" s="13">
        <v>26.6</v>
      </c>
      <c r="CI221" s="13">
        <v>28.6</v>
      </c>
      <c r="CJ221" s="13"/>
      <c r="CK221" s="13"/>
      <c r="CL221" s="13">
        <v>32.799999999999997</v>
      </c>
      <c r="CM221" s="13">
        <v>29.8</v>
      </c>
      <c r="CN221" s="13">
        <v>35.5</v>
      </c>
      <c r="CO221" s="13">
        <v>34.700000000000003</v>
      </c>
      <c r="CP221" s="13">
        <v>39.799999999999997</v>
      </c>
      <c r="CQ221" s="13">
        <v>36</v>
      </c>
      <c r="CR221" s="13">
        <v>42.2</v>
      </c>
      <c r="CS221" s="13">
        <v>37.6</v>
      </c>
      <c r="CT221" s="13">
        <v>40.1</v>
      </c>
      <c r="CU221" s="13"/>
      <c r="CX221" s="7" t="s">
        <v>102</v>
      </c>
      <c r="CY221" s="13">
        <v>75128</v>
      </c>
      <c r="CZ221" s="13">
        <v>110</v>
      </c>
      <c r="DA221" s="13">
        <v>110</v>
      </c>
      <c r="DB221" s="13">
        <v>0.8</v>
      </c>
      <c r="DC221" s="13">
        <v>1.1000000000000001</v>
      </c>
      <c r="DE221" s="13">
        <v>20</v>
      </c>
      <c r="DF221" s="13">
        <v>120</v>
      </c>
      <c r="DG221" s="13">
        <v>50</v>
      </c>
      <c r="DH221" s="13">
        <v>35</v>
      </c>
      <c r="DI221" s="13">
        <v>4</v>
      </c>
      <c r="DJ221" s="13">
        <v>4</v>
      </c>
    </row>
    <row r="222" spans="74:114" x14ac:dyDescent="0.25">
      <c r="BX222" s="8"/>
      <c r="BY222" s="8"/>
      <c r="BZ222" s="8"/>
      <c r="CA222" s="8"/>
      <c r="CC222" s="13"/>
      <c r="CF222" s="1023"/>
      <c r="CG222" s="13">
        <v>4</v>
      </c>
      <c r="CH222" s="13">
        <v>28</v>
      </c>
      <c r="CI222" s="13">
        <v>30.5</v>
      </c>
      <c r="CJ222" s="13"/>
      <c r="CK222" s="13"/>
      <c r="CL222" s="13">
        <v>34.6</v>
      </c>
      <c r="CM222" s="13">
        <v>31.7</v>
      </c>
      <c r="CN222" s="13">
        <v>37.700000000000003</v>
      </c>
      <c r="CO222" s="13">
        <v>36.9</v>
      </c>
      <c r="CP222" s="13">
        <v>41.9</v>
      </c>
      <c r="CQ222" s="13">
        <v>38.200000000000003</v>
      </c>
      <c r="CR222" s="13">
        <v>44.6</v>
      </c>
      <c r="CS222" s="13">
        <v>39.799999999999997</v>
      </c>
      <c r="CT222" s="13">
        <v>42.3</v>
      </c>
      <c r="CU222" s="13"/>
      <c r="CX222" s="7" t="s">
        <v>102</v>
      </c>
      <c r="CY222" s="13">
        <v>75191</v>
      </c>
      <c r="CZ222" s="13">
        <v>110</v>
      </c>
      <c r="DA222" s="13">
        <v>56</v>
      </c>
      <c r="DB222" s="13">
        <v>0.8</v>
      </c>
      <c r="DC222" s="13">
        <v>1.1000000000000001</v>
      </c>
      <c r="DE222" s="13">
        <v>25</v>
      </c>
      <c r="DF222" s="13">
        <v>130</v>
      </c>
      <c r="DG222" s="13">
        <v>60</v>
      </c>
      <c r="DH222" s="13">
        <v>35</v>
      </c>
      <c r="DI222" s="13">
        <v>5</v>
      </c>
      <c r="DJ222" s="13">
        <v>5</v>
      </c>
    </row>
    <row r="223" spans="74:114" x14ac:dyDescent="0.25">
      <c r="BX223" s="8"/>
      <c r="BY223" s="8"/>
      <c r="BZ223" s="8"/>
      <c r="CA223" s="8"/>
      <c r="CC223" s="13"/>
      <c r="CF223" s="1023"/>
      <c r="CG223" s="13">
        <v>5</v>
      </c>
      <c r="CH223" s="13">
        <v>29.3</v>
      </c>
      <c r="CI223" s="13">
        <v>32</v>
      </c>
      <c r="CJ223" s="13"/>
      <c r="CK223" s="13"/>
      <c r="CL223" s="13">
        <v>34.6</v>
      </c>
      <c r="CM223" s="13">
        <v>33.200000000000003</v>
      </c>
      <c r="CN223" s="13">
        <v>39</v>
      </c>
      <c r="CO223" s="13">
        <v>38.200000000000003</v>
      </c>
      <c r="CP223" s="13">
        <v>41.9</v>
      </c>
      <c r="CQ223" s="13">
        <v>39.5</v>
      </c>
      <c r="CR223" s="13">
        <v>45.9</v>
      </c>
      <c r="CS223" s="13">
        <v>41.1</v>
      </c>
      <c r="CT223" s="13">
        <v>42.3</v>
      </c>
      <c r="CU223" s="13"/>
      <c r="CX223" s="7" t="s">
        <v>102</v>
      </c>
      <c r="CY223" s="13">
        <v>75199</v>
      </c>
      <c r="CZ223" s="13">
        <v>105</v>
      </c>
      <c r="DA223" s="13">
        <v>106</v>
      </c>
      <c r="DB223" s="13">
        <v>0.8</v>
      </c>
      <c r="DC223" s="13">
        <v>1.1000000000000001</v>
      </c>
      <c r="DE223" s="13">
        <v>40</v>
      </c>
      <c r="DF223" s="13">
        <v>130</v>
      </c>
      <c r="DG223" s="13">
        <v>60</v>
      </c>
      <c r="DH223" s="13">
        <v>35</v>
      </c>
      <c r="DI223" s="13">
        <v>5</v>
      </c>
      <c r="DJ223" s="13">
        <v>5</v>
      </c>
    </row>
    <row r="224" spans="74:114" x14ac:dyDescent="0.25">
      <c r="BX224" s="8"/>
      <c r="BY224" s="8"/>
      <c r="BZ224" s="8"/>
      <c r="CA224" s="8"/>
      <c r="CX224" s="7" t="s">
        <v>102</v>
      </c>
      <c r="CY224" s="13">
        <v>75211</v>
      </c>
      <c r="CZ224" s="13">
        <v>170</v>
      </c>
      <c r="DA224" s="13">
        <v>104</v>
      </c>
      <c r="DB224" s="13">
        <v>0.8</v>
      </c>
      <c r="DC224" s="13">
        <v>1.1000000000000001</v>
      </c>
      <c r="DE224" s="13">
        <v>100</v>
      </c>
      <c r="DF224" s="13">
        <v>150</v>
      </c>
      <c r="DG224" s="13">
        <v>75</v>
      </c>
      <c r="DH224" s="13">
        <v>45</v>
      </c>
      <c r="DI224" s="13">
        <v>5</v>
      </c>
      <c r="DJ224" s="13">
        <v>5</v>
      </c>
    </row>
    <row r="225" spans="76:121" x14ac:dyDescent="0.25">
      <c r="BX225" s="8"/>
      <c r="BY225" s="8"/>
      <c r="BZ225" s="8"/>
      <c r="CA225" s="8"/>
      <c r="CH225" s="13">
        <v>2.64</v>
      </c>
      <c r="CI225" s="13">
        <v>2.5</v>
      </c>
      <c r="CJ225" s="13"/>
      <c r="CK225" s="13"/>
      <c r="CL225" s="13">
        <v>2.4</v>
      </c>
      <c r="CM225" s="13">
        <v>2.4</v>
      </c>
      <c r="CN225" s="13">
        <v>2.0299999999999998</v>
      </c>
      <c r="CO225" s="13">
        <v>2.0699999999999998</v>
      </c>
      <c r="CP225" s="13">
        <v>2.0699999999999998</v>
      </c>
      <c r="CQ225" s="13">
        <v>2.0699999999999998</v>
      </c>
      <c r="CX225" s="7" t="s">
        <v>102</v>
      </c>
      <c r="CY225" s="13">
        <v>75213</v>
      </c>
      <c r="CZ225" s="13">
        <v>170</v>
      </c>
      <c r="DA225" s="13">
        <v>110</v>
      </c>
      <c r="DB225" s="13">
        <v>0.8</v>
      </c>
      <c r="DC225" s="13">
        <v>1.1000000000000001</v>
      </c>
    </row>
    <row r="226" spans="76:121" x14ac:dyDescent="0.25">
      <c r="BX226" s="8"/>
      <c r="BY226" s="8"/>
      <c r="BZ226" s="8"/>
      <c r="CA226" s="8"/>
      <c r="CH226" s="13">
        <v>2.41</v>
      </c>
      <c r="CI226" s="13">
        <v>2.2599999999999998</v>
      </c>
      <c r="CJ226" s="13"/>
      <c r="CK226" s="13"/>
      <c r="CL226" s="13">
        <v>2.17</v>
      </c>
      <c r="CM226" s="13">
        <v>2.17</v>
      </c>
      <c r="CN226" s="13">
        <v>1.83</v>
      </c>
      <c r="CO226" s="13">
        <v>1.87</v>
      </c>
      <c r="CP226" s="13">
        <v>1.87</v>
      </c>
      <c r="CQ226" s="13">
        <v>1.87</v>
      </c>
      <c r="CX226" s="7" t="s">
        <v>102</v>
      </c>
      <c r="CY226" s="13">
        <v>75214</v>
      </c>
      <c r="CZ226" s="13">
        <v>180</v>
      </c>
      <c r="DA226" s="13">
        <v>109</v>
      </c>
      <c r="DB226" s="13">
        <v>0.8</v>
      </c>
      <c r="DC226" s="13">
        <v>1.1000000000000001</v>
      </c>
    </row>
    <row r="227" spans="76:121" x14ac:dyDescent="0.25">
      <c r="BX227" s="8"/>
      <c r="BY227" s="8"/>
      <c r="BZ227" s="8"/>
      <c r="CA227" s="8"/>
      <c r="CH227" s="13">
        <v>2.2599999999999998</v>
      </c>
      <c r="CI227" s="13">
        <v>2.1</v>
      </c>
      <c r="CJ227" s="13"/>
      <c r="CK227" s="13"/>
      <c r="CL227" s="13">
        <v>2.0099999999999998</v>
      </c>
      <c r="CM227" s="13">
        <v>2.0099999999999998</v>
      </c>
      <c r="CN227" s="13">
        <v>1.69</v>
      </c>
      <c r="CO227" s="13">
        <v>1.73</v>
      </c>
      <c r="CP227" s="13">
        <v>1.73</v>
      </c>
      <c r="CQ227" s="13">
        <v>1.73</v>
      </c>
      <c r="CX227" s="7" t="s">
        <v>102</v>
      </c>
      <c r="CY227" s="13">
        <v>75405</v>
      </c>
      <c r="CZ227" s="13">
        <v>30</v>
      </c>
      <c r="DA227" s="13">
        <v>18.5</v>
      </c>
      <c r="DB227" s="13">
        <v>0.5</v>
      </c>
      <c r="DC227" s="13">
        <v>0.7</v>
      </c>
      <c r="DE227" s="128"/>
      <c r="DF227" s="128"/>
      <c r="DG227" s="183" t="s">
        <v>259</v>
      </c>
      <c r="DH227" s="183" t="s">
        <v>256</v>
      </c>
      <c r="DI227" s="183" t="s">
        <v>256</v>
      </c>
      <c r="DJ227" s="183" t="s">
        <v>254</v>
      </c>
      <c r="DK227" s="183" t="s">
        <v>15</v>
      </c>
      <c r="DL227" s="183" t="s">
        <v>15</v>
      </c>
      <c r="DM227" s="183" t="s">
        <v>15</v>
      </c>
      <c r="DN227" s="183" t="s">
        <v>245</v>
      </c>
      <c r="DO227" s="183" t="s">
        <v>245</v>
      </c>
      <c r="DP227" s="183" t="s">
        <v>280</v>
      </c>
      <c r="DQ227" s="183" t="s">
        <v>280</v>
      </c>
    </row>
    <row r="228" spans="76:121" x14ac:dyDescent="0.25">
      <c r="BX228" s="8"/>
      <c r="BY228" s="8"/>
      <c r="BZ228" s="8"/>
      <c r="CA228" s="8"/>
      <c r="CH228" s="13">
        <v>2.14</v>
      </c>
      <c r="CI228" s="13">
        <v>1.9</v>
      </c>
      <c r="CJ228" s="13"/>
      <c r="CK228" s="13"/>
      <c r="CL228" s="13">
        <v>1.89</v>
      </c>
      <c r="CM228" s="13">
        <v>1.89</v>
      </c>
      <c r="CN228" s="13">
        <v>1.59</v>
      </c>
      <c r="CO228" s="13">
        <v>1.63</v>
      </c>
      <c r="CP228" s="13">
        <v>1.63</v>
      </c>
      <c r="CQ228" s="13">
        <v>1.63</v>
      </c>
      <c r="CX228" s="7" t="s">
        <v>102</v>
      </c>
      <c r="CY228" s="13">
        <v>75485</v>
      </c>
      <c r="CZ228" s="13">
        <v>42</v>
      </c>
      <c r="DA228" s="13">
        <v>26</v>
      </c>
      <c r="DB228" s="13">
        <v>0.5</v>
      </c>
      <c r="DC228" s="13">
        <v>0.7</v>
      </c>
      <c r="DE228" s="128"/>
      <c r="DF228" s="128"/>
      <c r="DG228" s="183" t="s">
        <v>260</v>
      </c>
      <c r="DH228" s="183" t="s">
        <v>261</v>
      </c>
      <c r="DI228" s="183" t="s">
        <v>262</v>
      </c>
      <c r="DJ228" s="183" t="s">
        <v>260</v>
      </c>
      <c r="DK228" s="183" t="s">
        <v>281</v>
      </c>
      <c r="DL228" s="183" t="s">
        <v>261</v>
      </c>
      <c r="DM228" s="183" t="s">
        <v>262</v>
      </c>
      <c r="DN228" s="183" t="s">
        <v>261</v>
      </c>
      <c r="DO228" s="183" t="s">
        <v>262</v>
      </c>
      <c r="DP228" s="183" t="s">
        <v>281</v>
      </c>
      <c r="DQ228" s="183" t="s">
        <v>261</v>
      </c>
    </row>
    <row r="229" spans="76:121" x14ac:dyDescent="0.25">
      <c r="BX229" s="8"/>
      <c r="BY229" s="8"/>
      <c r="BZ229" s="8"/>
      <c r="CA229" s="8"/>
      <c r="CH229" s="13">
        <v>2.0499999999999998</v>
      </c>
      <c r="CI229" s="13">
        <v>1.88</v>
      </c>
      <c r="CJ229" s="13"/>
      <c r="CK229" s="13"/>
      <c r="CL229" s="13">
        <v>1.81</v>
      </c>
      <c r="CM229" s="13">
        <v>1.81</v>
      </c>
      <c r="CN229" s="13">
        <v>1.54</v>
      </c>
      <c r="CO229" s="13">
        <v>1.57</v>
      </c>
      <c r="CP229" s="13">
        <v>1.57</v>
      </c>
      <c r="CQ229" s="13">
        <v>1.57</v>
      </c>
      <c r="CX229" s="7" t="s">
        <v>102</v>
      </c>
      <c r="CY229" s="13">
        <v>75489</v>
      </c>
      <c r="CZ229" s="13">
        <v>42</v>
      </c>
      <c r="DA229" s="13">
        <v>40</v>
      </c>
      <c r="DB229" s="13">
        <v>0.5</v>
      </c>
      <c r="DC229" s="13">
        <v>0.7</v>
      </c>
      <c r="DE229" s="128" t="s">
        <v>263</v>
      </c>
      <c r="DF229" s="128"/>
      <c r="DG229" s="183">
        <v>4</v>
      </c>
      <c r="DH229" s="183">
        <v>6</v>
      </c>
      <c r="DI229" s="183">
        <v>6</v>
      </c>
      <c r="DJ229" s="183">
        <v>6</v>
      </c>
      <c r="DK229" s="183">
        <v>6</v>
      </c>
      <c r="DL229" s="183">
        <v>6</v>
      </c>
      <c r="DM229" s="183">
        <v>6</v>
      </c>
      <c r="DN229" s="183">
        <v>6</v>
      </c>
      <c r="DO229" s="183">
        <v>6</v>
      </c>
      <c r="DP229" s="183">
        <v>6</v>
      </c>
      <c r="DQ229" s="183">
        <v>6</v>
      </c>
    </row>
    <row r="230" spans="76:121" x14ac:dyDescent="0.25">
      <c r="BX230" s="8"/>
      <c r="BY230" s="8"/>
      <c r="BZ230" s="8"/>
      <c r="CA230" s="8"/>
      <c r="CX230" s="7" t="s">
        <v>102</v>
      </c>
      <c r="CY230" s="13">
        <v>75306</v>
      </c>
      <c r="CZ230" s="13">
        <v>220</v>
      </c>
      <c r="DA230" s="13">
        <v>130</v>
      </c>
      <c r="DB230" s="13">
        <v>0.8</v>
      </c>
      <c r="DC230" s="13">
        <v>1.1000000000000001</v>
      </c>
      <c r="DE230" s="128" t="s">
        <v>264</v>
      </c>
      <c r="DF230" s="128" t="s">
        <v>195</v>
      </c>
      <c r="DG230" s="183">
        <f>DG229*12-DG234-DG236-DG238</f>
        <v>44</v>
      </c>
      <c r="DH230" s="183">
        <f>DH229*12-DH234-DH236-DH238</f>
        <v>68</v>
      </c>
      <c r="DI230" s="183">
        <f>DI229*12-DI234-DI236-DI238</f>
        <v>68</v>
      </c>
      <c r="DJ230" s="183">
        <f t="shared" ref="DJ230:DQ230" si="454">DJ229*12-DJ234-DJ236-DJ238</f>
        <v>68</v>
      </c>
      <c r="DK230" s="183">
        <f t="shared" si="454"/>
        <v>68</v>
      </c>
      <c r="DL230" s="183">
        <f t="shared" si="454"/>
        <v>68</v>
      </c>
      <c r="DM230" s="183">
        <f t="shared" si="454"/>
        <v>68</v>
      </c>
      <c r="DN230" s="183">
        <f t="shared" si="454"/>
        <v>68</v>
      </c>
      <c r="DO230" s="183">
        <f t="shared" si="454"/>
        <v>68</v>
      </c>
      <c r="DP230" s="183">
        <f t="shared" si="454"/>
        <v>68</v>
      </c>
      <c r="DQ230" s="183">
        <f t="shared" si="454"/>
        <v>68</v>
      </c>
    </row>
    <row r="231" spans="76:121" x14ac:dyDescent="0.25">
      <c r="BX231" s="8"/>
      <c r="BY231" s="8"/>
      <c r="BZ231" s="8"/>
      <c r="CA231" s="8"/>
      <c r="CX231" s="7" t="s">
        <v>102</v>
      </c>
      <c r="CY231" s="13">
        <v>75131</v>
      </c>
      <c r="CZ231" s="13">
        <v>130</v>
      </c>
      <c r="DA231" s="13">
        <v>71.2</v>
      </c>
      <c r="DB231" s="13">
        <v>0.8</v>
      </c>
      <c r="DC231" s="13">
        <v>1.1000000000000001</v>
      </c>
      <c r="DE231" s="128"/>
      <c r="DF231" s="128" t="s">
        <v>265</v>
      </c>
      <c r="DG231" s="183">
        <v>2</v>
      </c>
      <c r="DH231" s="183">
        <v>3</v>
      </c>
      <c r="DI231" s="183">
        <v>3</v>
      </c>
      <c r="DJ231" s="183">
        <v>3</v>
      </c>
      <c r="DK231" s="183">
        <v>3</v>
      </c>
      <c r="DL231" s="183">
        <v>3</v>
      </c>
      <c r="DM231" s="183">
        <v>3</v>
      </c>
      <c r="DN231" s="183">
        <v>3</v>
      </c>
      <c r="DO231" s="183">
        <v>3</v>
      </c>
      <c r="DP231" s="183">
        <v>2</v>
      </c>
      <c r="DQ231" s="183">
        <v>2</v>
      </c>
    </row>
    <row r="232" spans="76:121" x14ac:dyDescent="0.25">
      <c r="BX232" s="8"/>
      <c r="BY232" s="8"/>
      <c r="BZ232" s="8"/>
      <c r="CA232" s="8"/>
      <c r="CC232" s="17"/>
      <c r="CD232" s="18"/>
      <c r="CE232" s="17"/>
      <c r="CF232" s="17"/>
      <c r="CG232" s="17"/>
      <c r="CH232" s="19"/>
      <c r="CI232" s="19"/>
      <c r="CJ232" s="19"/>
      <c r="CK232" s="19"/>
      <c r="CL232" s="17"/>
      <c r="CM232" s="17"/>
      <c r="CN232" s="17"/>
      <c r="CO232" s="17"/>
      <c r="CP232" s="17"/>
      <c r="CQ232" s="18"/>
      <c r="CR232" s="17"/>
      <c r="CS232" s="17"/>
      <c r="CT232" s="17"/>
      <c r="DE232" s="128" t="s">
        <v>266</v>
      </c>
      <c r="DF232" s="128" t="s">
        <v>195</v>
      </c>
      <c r="DG232" s="182">
        <f>DG229*2-DG234-DG236-DG238</f>
        <v>4</v>
      </c>
      <c r="DH232" s="182">
        <f>DH229*2-DH234-DH236-DH238</f>
        <v>8</v>
      </c>
      <c r="DI232" s="182">
        <f>DI229*2-DI234-DI236-DI238</f>
        <v>8</v>
      </c>
      <c r="DJ232" s="182">
        <f t="shared" ref="DJ232:DQ232" si="455">DJ229*2-DJ234-DJ236-DJ238</f>
        <v>8</v>
      </c>
      <c r="DK232" s="182">
        <f t="shared" si="455"/>
        <v>8</v>
      </c>
      <c r="DL232" s="182">
        <f t="shared" si="455"/>
        <v>8</v>
      </c>
      <c r="DM232" s="182">
        <f>DM229*2-DM234-DM236-DM238</f>
        <v>8</v>
      </c>
      <c r="DN232" s="182">
        <f t="shared" si="455"/>
        <v>8</v>
      </c>
      <c r="DO232" s="182">
        <f t="shared" si="455"/>
        <v>8</v>
      </c>
      <c r="DP232" s="182">
        <f t="shared" si="455"/>
        <v>8</v>
      </c>
      <c r="DQ232" s="182">
        <f t="shared" si="455"/>
        <v>8</v>
      </c>
    </row>
    <row r="233" spans="76:121" x14ac:dyDescent="0.25">
      <c r="BX233" s="8"/>
      <c r="BY233" s="8"/>
      <c r="BZ233" s="8"/>
      <c r="CA233" s="8"/>
      <c r="CC233" s="17"/>
      <c r="CD233" s="18"/>
      <c r="CE233" s="17"/>
      <c r="CF233" s="17"/>
      <c r="CG233" s="17"/>
      <c r="CH233" s="19"/>
      <c r="CI233" s="19"/>
      <c r="CJ233" s="19"/>
      <c r="CK233" s="19"/>
      <c r="CL233" s="17"/>
      <c r="CM233" s="17"/>
      <c r="CN233" s="17"/>
      <c r="CO233" s="17"/>
      <c r="CP233" s="17"/>
      <c r="CQ233" s="17"/>
      <c r="CR233" s="17"/>
      <c r="CS233" s="17"/>
      <c r="CT233" s="17"/>
      <c r="DE233" s="128"/>
      <c r="DF233" s="128" t="s">
        <v>265</v>
      </c>
      <c r="DG233" s="183">
        <v>2</v>
      </c>
      <c r="DH233" s="183">
        <v>3</v>
      </c>
      <c r="DI233" s="183">
        <v>3</v>
      </c>
      <c r="DJ233" s="183">
        <v>3</v>
      </c>
      <c r="DK233" s="183">
        <v>3</v>
      </c>
      <c r="DL233" s="183">
        <v>3</v>
      </c>
      <c r="DM233" s="183">
        <v>3</v>
      </c>
      <c r="DN233" s="183">
        <v>3</v>
      </c>
      <c r="DO233" s="183">
        <v>3</v>
      </c>
      <c r="DP233" s="183">
        <v>2</v>
      </c>
      <c r="DQ233" s="183">
        <v>2</v>
      </c>
    </row>
    <row r="234" spans="76:121" x14ac:dyDescent="0.25">
      <c r="BX234" s="8"/>
      <c r="BY234" s="8"/>
      <c r="BZ234" s="8"/>
      <c r="CA234" s="8"/>
      <c r="CC234" s="17"/>
      <c r="CD234" s="18"/>
      <c r="CE234" s="17"/>
      <c r="CF234" s="17"/>
      <c r="CG234" s="17"/>
      <c r="CH234" s="19"/>
      <c r="CI234" s="19"/>
      <c r="CJ234" s="19"/>
      <c r="CK234" s="19"/>
      <c r="CL234" s="17"/>
      <c r="CM234" s="17"/>
      <c r="CN234" s="17"/>
      <c r="CO234" s="17"/>
      <c r="CP234" s="17"/>
      <c r="CQ234" s="18"/>
      <c r="CR234" s="17"/>
      <c r="CS234" s="17"/>
      <c r="CT234" s="17"/>
      <c r="DE234" s="128" t="s">
        <v>267</v>
      </c>
      <c r="DF234" s="128" t="s">
        <v>195</v>
      </c>
      <c r="DG234" s="183">
        <v>1</v>
      </c>
      <c r="DH234" s="183">
        <v>1</v>
      </c>
      <c r="DI234" s="183">
        <v>1</v>
      </c>
      <c r="DJ234" s="183">
        <v>1</v>
      </c>
      <c r="DK234" s="183">
        <v>1</v>
      </c>
      <c r="DL234" s="183">
        <v>1</v>
      </c>
      <c r="DM234" s="183">
        <v>1</v>
      </c>
      <c r="DN234" s="183">
        <v>1</v>
      </c>
      <c r="DO234" s="183">
        <v>1</v>
      </c>
      <c r="DP234" s="183">
        <v>1</v>
      </c>
      <c r="DQ234" s="183">
        <v>1</v>
      </c>
    </row>
    <row r="235" spans="76:121" x14ac:dyDescent="0.25">
      <c r="BX235" s="8"/>
      <c r="BY235" s="8"/>
      <c r="BZ235" s="8"/>
      <c r="CA235" s="8"/>
      <c r="CC235" s="20"/>
      <c r="CD235" s="18"/>
      <c r="CE235" s="17"/>
      <c r="CF235" s="17"/>
      <c r="CG235" s="17"/>
      <c r="CH235" s="19"/>
      <c r="CI235" s="19"/>
      <c r="CJ235" s="19"/>
      <c r="CK235" s="19"/>
      <c r="CL235" s="17"/>
      <c r="CM235" s="17"/>
      <c r="CN235" s="17"/>
      <c r="CO235" s="17"/>
      <c r="CP235" s="17"/>
      <c r="CQ235" s="18"/>
      <c r="CR235" s="17"/>
      <c r="CS235" s="17"/>
      <c r="CT235" s="17"/>
      <c r="DE235" s="128"/>
      <c r="DF235" s="128" t="s">
        <v>265</v>
      </c>
      <c r="DG235" s="183">
        <v>40</v>
      </c>
      <c r="DH235" s="183">
        <v>62</v>
      </c>
      <c r="DI235" s="183">
        <v>62</v>
      </c>
      <c r="DJ235" s="183">
        <v>62</v>
      </c>
      <c r="DK235" s="183">
        <v>60</v>
      </c>
      <c r="DL235" s="183">
        <v>70</v>
      </c>
      <c r="DM235" s="183">
        <v>70</v>
      </c>
      <c r="DN235" s="183">
        <v>70</v>
      </c>
      <c r="DO235" s="183">
        <v>70</v>
      </c>
      <c r="DP235" s="183">
        <v>40</v>
      </c>
      <c r="DQ235" s="183">
        <v>40</v>
      </c>
    </row>
    <row r="236" spans="76:121" x14ac:dyDescent="0.25">
      <c r="BX236" s="8"/>
      <c r="BY236" s="8"/>
      <c r="BZ236" s="8"/>
      <c r="CA236" s="8"/>
      <c r="CC236" s="17"/>
      <c r="CD236" s="18"/>
      <c r="CE236" s="17"/>
      <c r="CF236" s="17"/>
      <c r="CG236" s="17"/>
      <c r="CH236" s="19"/>
      <c r="CI236" s="19"/>
      <c r="CJ236" s="19"/>
      <c r="CK236" s="19"/>
      <c r="CL236" s="17"/>
      <c r="CM236" s="17"/>
      <c r="CN236" s="17"/>
      <c r="CO236" s="17"/>
      <c r="CP236" s="17"/>
      <c r="CQ236" s="21"/>
      <c r="CR236" s="17"/>
      <c r="CS236" s="17"/>
      <c r="CT236" s="17"/>
      <c r="DE236" s="128" t="s">
        <v>268</v>
      </c>
      <c r="DF236" s="128" t="s">
        <v>195</v>
      </c>
      <c r="DG236" s="183">
        <v>1</v>
      </c>
      <c r="DH236" s="183">
        <v>1</v>
      </c>
      <c r="DI236" s="183">
        <v>1</v>
      </c>
      <c r="DJ236" s="183">
        <v>1</v>
      </c>
      <c r="DK236" s="183">
        <v>1</v>
      </c>
      <c r="DL236" s="183">
        <v>1</v>
      </c>
      <c r="DM236" s="183">
        <v>1</v>
      </c>
      <c r="DN236" s="183">
        <v>1</v>
      </c>
      <c r="DO236" s="183">
        <v>1</v>
      </c>
      <c r="DP236" s="183">
        <v>1</v>
      </c>
      <c r="DQ236" s="183">
        <v>1</v>
      </c>
    </row>
    <row r="237" spans="76:121" x14ac:dyDescent="0.25">
      <c r="BX237" s="8"/>
      <c r="BY237" s="8"/>
      <c r="BZ237" s="8"/>
      <c r="CA237" s="8"/>
      <c r="CC237" s="17"/>
      <c r="CD237" s="17"/>
      <c r="CE237" s="17"/>
      <c r="CF237" s="17"/>
      <c r="CG237" s="18" t="s">
        <v>67</v>
      </c>
      <c r="CH237" s="17"/>
      <c r="CI237" s="17"/>
      <c r="CJ237" s="17"/>
      <c r="CK237" s="17"/>
      <c r="CL237" s="17"/>
      <c r="CM237" s="19"/>
      <c r="CN237" s="19"/>
      <c r="CO237" s="17"/>
      <c r="CP237" s="17"/>
      <c r="CQ237" s="17"/>
      <c r="CR237" s="17"/>
      <c r="CS237" s="18"/>
      <c r="CT237" s="17"/>
      <c r="CU237" s="17"/>
      <c r="CV237" s="17"/>
      <c r="DE237" s="128"/>
      <c r="DF237" s="128" t="s">
        <v>265</v>
      </c>
      <c r="DG237" s="183">
        <v>25</v>
      </c>
      <c r="DH237" s="183">
        <v>35</v>
      </c>
      <c r="DI237" s="183">
        <v>35</v>
      </c>
      <c r="DJ237" s="183">
        <v>35</v>
      </c>
      <c r="DK237" s="183">
        <v>28</v>
      </c>
      <c r="DL237" s="183">
        <v>35</v>
      </c>
      <c r="DM237" s="183">
        <v>35</v>
      </c>
      <c r="DN237" s="183">
        <v>35</v>
      </c>
      <c r="DO237" s="183">
        <v>35</v>
      </c>
      <c r="DP237" s="183">
        <v>25</v>
      </c>
      <c r="DQ237" s="183">
        <v>25</v>
      </c>
    </row>
    <row r="238" spans="76:121" x14ac:dyDescent="0.25">
      <c r="BX238" s="8"/>
      <c r="BY238" s="8"/>
      <c r="BZ238" s="8"/>
      <c r="CA238" s="8"/>
      <c r="CC238" s="17"/>
      <c r="CD238" s="18"/>
      <c r="CE238" s="17"/>
      <c r="CF238" s="17"/>
      <c r="CG238" s="18" t="s">
        <v>68</v>
      </c>
      <c r="CH238" s="17"/>
      <c r="CI238" s="17"/>
      <c r="CJ238" s="17"/>
      <c r="CK238" s="17"/>
      <c r="CL238" s="17"/>
      <c r="CM238" s="19"/>
      <c r="CN238" s="19"/>
      <c r="CO238" s="17"/>
      <c r="CP238" s="17"/>
      <c r="CQ238" s="17"/>
      <c r="CR238" s="17"/>
      <c r="CS238" s="17"/>
      <c r="CT238" s="17"/>
      <c r="CU238" s="17"/>
      <c r="CV238" s="17"/>
      <c r="DE238" s="128" t="s">
        <v>269</v>
      </c>
      <c r="DF238" s="128" t="s">
        <v>195</v>
      </c>
      <c r="DG238" s="183">
        <v>2</v>
      </c>
      <c r="DH238" s="183">
        <v>2</v>
      </c>
      <c r="DI238" s="183">
        <v>2</v>
      </c>
      <c r="DJ238" s="183">
        <v>2</v>
      </c>
      <c r="DK238" s="183">
        <v>2</v>
      </c>
      <c r="DL238" s="183">
        <v>2</v>
      </c>
      <c r="DM238" s="183">
        <v>2</v>
      </c>
      <c r="DN238" s="183">
        <v>2</v>
      </c>
      <c r="DO238" s="183">
        <v>2</v>
      </c>
      <c r="DP238" s="183">
        <v>2</v>
      </c>
      <c r="DQ238" s="183">
        <v>2</v>
      </c>
    </row>
    <row r="239" spans="76:121" x14ac:dyDescent="0.25">
      <c r="BX239" s="8"/>
      <c r="BY239" s="8"/>
      <c r="BZ239" s="8"/>
      <c r="CA239" s="8"/>
      <c r="CC239" s="20"/>
      <c r="CD239" s="18"/>
      <c r="CE239" s="17"/>
      <c r="CF239" s="17"/>
      <c r="CG239" s="18" t="s">
        <v>69</v>
      </c>
      <c r="CH239" s="17"/>
      <c r="CI239" s="17"/>
      <c r="CJ239" s="17"/>
      <c r="CK239" s="17"/>
      <c r="CL239" s="17"/>
      <c r="CM239" s="19"/>
      <c r="CN239" s="19"/>
      <c r="CO239" s="17"/>
      <c r="CP239" s="17"/>
      <c r="CQ239" s="17"/>
      <c r="CR239" s="17"/>
      <c r="CS239" s="18"/>
      <c r="CT239" s="17"/>
      <c r="CU239" s="17"/>
      <c r="CV239" s="17"/>
      <c r="DE239" s="128"/>
      <c r="DF239" s="128" t="s">
        <v>265</v>
      </c>
      <c r="DG239" s="183">
        <v>12</v>
      </c>
      <c r="DH239" s="183">
        <v>26</v>
      </c>
      <c r="DI239" s="183">
        <v>26</v>
      </c>
      <c r="DJ239" s="183">
        <v>26</v>
      </c>
      <c r="DK239" s="183">
        <v>17</v>
      </c>
      <c r="DL239" s="183">
        <v>26</v>
      </c>
      <c r="DM239" s="183">
        <v>26</v>
      </c>
      <c r="DN239" s="183">
        <v>26</v>
      </c>
      <c r="DO239" s="183">
        <v>26</v>
      </c>
      <c r="DP239" s="183">
        <v>12</v>
      </c>
      <c r="DQ239" s="183">
        <v>12</v>
      </c>
    </row>
    <row r="240" spans="76:121" x14ac:dyDescent="0.25">
      <c r="BX240" s="8"/>
      <c r="BY240" s="8"/>
      <c r="BZ240" s="8"/>
      <c r="CA240" s="8"/>
      <c r="CC240" s="17"/>
      <c r="CD240" s="18"/>
      <c r="CE240" s="17"/>
      <c r="CF240" s="20" t="s">
        <v>19</v>
      </c>
      <c r="CG240" s="18" t="s">
        <v>70</v>
      </c>
      <c r="CH240" s="17"/>
      <c r="CI240" s="17"/>
      <c r="CJ240" s="17"/>
      <c r="CK240" s="17"/>
      <c r="CL240" s="17"/>
      <c r="CM240" s="19"/>
      <c r="CN240" s="19"/>
      <c r="CO240" s="17"/>
      <c r="CP240" s="17"/>
      <c r="CQ240" s="17"/>
      <c r="CR240" s="17"/>
      <c r="CS240" s="18"/>
      <c r="CT240" s="17"/>
      <c r="CU240" s="17"/>
      <c r="CV240" s="17"/>
      <c r="DE240" s="1024" t="s">
        <v>270</v>
      </c>
      <c r="DF240" s="1025"/>
      <c r="DG240" s="182">
        <v>0.8</v>
      </c>
      <c r="DH240" s="182">
        <v>1</v>
      </c>
      <c r="DI240" s="182">
        <v>1.2</v>
      </c>
      <c r="DJ240" s="182">
        <v>0.8</v>
      </c>
      <c r="DK240" s="182">
        <v>0.8</v>
      </c>
      <c r="DL240" s="182">
        <v>1</v>
      </c>
      <c r="DM240" s="182">
        <v>1.2</v>
      </c>
      <c r="DN240" s="182">
        <v>1</v>
      </c>
      <c r="DO240" s="182">
        <v>1.2</v>
      </c>
      <c r="DP240" s="182">
        <v>0.8</v>
      </c>
      <c r="DQ240" s="182">
        <v>1</v>
      </c>
    </row>
    <row r="241" spans="76:121" x14ac:dyDescent="0.25">
      <c r="BX241" s="8"/>
      <c r="BY241" s="8"/>
      <c r="BZ241" s="8"/>
      <c r="CA241" s="8"/>
      <c r="CC241" s="20"/>
      <c r="CD241" s="17"/>
      <c r="CE241" s="17"/>
      <c r="CF241" s="17"/>
      <c r="CG241" s="18" t="s">
        <v>110</v>
      </c>
      <c r="CH241" s="17"/>
      <c r="CI241" s="17"/>
      <c r="CJ241" s="17"/>
      <c r="CK241" s="17"/>
      <c r="CL241" s="17"/>
      <c r="CM241" s="19"/>
      <c r="CN241" s="19"/>
      <c r="CO241" s="17"/>
      <c r="CP241" s="17"/>
      <c r="CQ241" s="17"/>
      <c r="CR241" s="17"/>
      <c r="CS241" s="21"/>
      <c r="CT241" s="17"/>
      <c r="CU241" s="17"/>
      <c r="CV241" s="17"/>
      <c r="DE241" s="129" t="s">
        <v>271</v>
      </c>
      <c r="DF241" s="130"/>
      <c r="DG241" s="183">
        <f>ROUND((DG230*DG231+DG240*(DG233*DG232+DG234*DG235+DG236*DG237+DG238*DG239))/DG229,0)</f>
        <v>41</v>
      </c>
      <c r="DH241" s="183">
        <f t="shared" ref="DH241:DQ241" si="456">ROUND((DH230*DH231+DH240*(DH233*DH232+DH234*DH235+DH236*DH237+DH238*DH239))/DH229,0)</f>
        <v>63</v>
      </c>
      <c r="DI241" s="183">
        <f t="shared" si="456"/>
        <v>69</v>
      </c>
      <c r="DJ241" s="183">
        <f t="shared" si="456"/>
        <v>57</v>
      </c>
      <c r="DK241" s="183">
        <f t="shared" si="456"/>
        <v>53</v>
      </c>
      <c r="DL241" s="183">
        <f t="shared" si="456"/>
        <v>64</v>
      </c>
      <c r="DM241" s="183">
        <f t="shared" si="456"/>
        <v>70</v>
      </c>
      <c r="DN241" s="183">
        <f t="shared" si="456"/>
        <v>64</v>
      </c>
      <c r="DO241" s="183">
        <f t="shared" si="456"/>
        <v>70</v>
      </c>
      <c r="DP241" s="183">
        <f t="shared" si="456"/>
        <v>37</v>
      </c>
      <c r="DQ241" s="183">
        <f t="shared" si="456"/>
        <v>40</v>
      </c>
    </row>
    <row r="242" spans="76:121" x14ac:dyDescent="0.25">
      <c r="BX242" s="8"/>
      <c r="BY242" s="8"/>
      <c r="BZ242" s="8"/>
      <c r="CA242" s="8"/>
      <c r="CC242" s="20"/>
      <c r="CD242" s="17"/>
      <c r="CE242" s="17"/>
      <c r="CF242" s="17"/>
      <c r="CG242" s="17"/>
      <c r="CH242" s="17"/>
      <c r="CI242" s="17"/>
      <c r="CJ242" s="17"/>
      <c r="CK242" s="17"/>
      <c r="CL242" s="17"/>
      <c r="CM242" s="19"/>
      <c r="CN242" s="19"/>
      <c r="CO242" s="17"/>
      <c r="CP242" s="17"/>
      <c r="CQ242" s="17"/>
      <c r="CR242" s="17"/>
      <c r="CS242" s="21"/>
      <c r="CT242" s="21"/>
      <c r="CU242" s="17"/>
      <c r="CV242" s="17"/>
    </row>
    <row r="243" spans="76:121" x14ac:dyDescent="0.25">
      <c r="BX243" s="8"/>
      <c r="BY243" s="8"/>
      <c r="BZ243" s="8"/>
      <c r="CA243" s="8"/>
      <c r="CC243" s="20"/>
      <c r="CD243" s="18"/>
      <c r="CE243" s="17"/>
      <c r="CF243" s="17"/>
      <c r="CG243" s="18" t="s">
        <v>111</v>
      </c>
      <c r="CH243" s="17"/>
      <c r="CI243" s="17"/>
      <c r="CJ243" s="17"/>
      <c r="CK243" s="17"/>
      <c r="CL243" s="17"/>
      <c r="CM243" s="19"/>
      <c r="CN243" s="19"/>
      <c r="CO243" s="17"/>
      <c r="CP243" s="17"/>
      <c r="CQ243" s="17"/>
      <c r="CR243" s="17"/>
      <c r="CS243" s="21"/>
      <c r="CT243" s="21"/>
      <c r="CU243" s="17"/>
      <c r="CV243" s="17"/>
    </row>
    <row r="244" spans="76:121" x14ac:dyDescent="0.25">
      <c r="BX244" s="8"/>
      <c r="BY244" s="8"/>
      <c r="BZ244" s="8"/>
      <c r="CA244" s="8"/>
      <c r="CC244" s="20"/>
      <c r="CD244" s="18"/>
      <c r="CE244" s="18"/>
      <c r="CF244" s="20" t="s">
        <v>19</v>
      </c>
      <c r="CG244" s="18" t="s">
        <v>112</v>
      </c>
      <c r="CH244" s="17"/>
      <c r="CI244" s="17"/>
      <c r="CJ244" s="17"/>
      <c r="CK244" s="17"/>
      <c r="CL244" s="17"/>
      <c r="CM244" s="19"/>
      <c r="CN244" s="19"/>
      <c r="CO244" s="17"/>
      <c r="CP244" s="17"/>
      <c r="CQ244" s="17"/>
      <c r="CR244" s="17"/>
      <c r="CS244" s="21"/>
      <c r="CT244" s="21"/>
      <c r="CU244" s="17"/>
      <c r="CV244" s="17"/>
    </row>
    <row r="245" spans="76:121" x14ac:dyDescent="0.25">
      <c r="CC245" s="20"/>
      <c r="CD245" s="18"/>
      <c r="CE245" s="18"/>
      <c r="CF245" s="17"/>
      <c r="CG245" s="18" t="s">
        <v>113</v>
      </c>
      <c r="CH245" s="17"/>
      <c r="CI245" s="17"/>
      <c r="CJ245" s="17"/>
      <c r="CK245" s="17"/>
      <c r="CL245" s="17"/>
      <c r="CM245" s="19"/>
      <c r="CN245" s="19"/>
      <c r="CO245" s="17"/>
      <c r="CP245" s="17"/>
      <c r="CQ245" s="17"/>
      <c r="CR245" s="17"/>
      <c r="CS245" s="21"/>
      <c r="CT245" s="21"/>
      <c r="CU245" s="17"/>
      <c r="CV245" s="17"/>
    </row>
    <row r="246" spans="76:121" x14ac:dyDescent="0.25">
      <c r="CC246" s="20"/>
      <c r="CD246" s="17"/>
      <c r="CE246" s="18"/>
      <c r="CF246" s="20" t="s">
        <v>19</v>
      </c>
      <c r="CG246" s="17"/>
      <c r="CH246" s="17"/>
      <c r="CI246" s="17"/>
      <c r="CJ246" s="17"/>
      <c r="CK246" s="17"/>
      <c r="CL246" s="17"/>
      <c r="CM246" s="19"/>
      <c r="CN246" s="19"/>
      <c r="CO246" s="17"/>
      <c r="CP246" s="17"/>
      <c r="CQ246" s="17"/>
      <c r="CR246" s="17"/>
      <c r="CS246" s="17"/>
      <c r="CT246" s="21"/>
      <c r="CU246" s="17"/>
      <c r="CV246" s="17"/>
    </row>
    <row r="247" spans="76:121" x14ac:dyDescent="0.25">
      <c r="CC247" s="20"/>
      <c r="CD247" s="17"/>
      <c r="CE247" s="18"/>
      <c r="CF247" s="20" t="s">
        <v>19</v>
      </c>
      <c r="CG247" s="17"/>
      <c r="CH247" s="17"/>
      <c r="CI247" s="17"/>
      <c r="CJ247" s="17"/>
      <c r="CK247" s="17"/>
      <c r="CL247" s="17"/>
      <c r="CM247" s="19"/>
      <c r="CN247" s="19"/>
      <c r="CO247" s="17"/>
      <c r="CP247" s="17"/>
      <c r="CQ247" s="17"/>
      <c r="CR247" s="17"/>
      <c r="CS247" s="17"/>
      <c r="CT247" s="17"/>
      <c r="CU247" s="17"/>
      <c r="CV247" s="17"/>
    </row>
    <row r="248" spans="76:121" x14ac:dyDescent="0.25">
      <c r="CC248" s="20"/>
      <c r="CD248" s="17"/>
      <c r="CE248" s="18"/>
      <c r="CF248" s="303"/>
      <c r="CG248" s="303"/>
      <c r="CH248" s="17"/>
      <c r="CI248" s="17"/>
      <c r="CJ248" s="17"/>
      <c r="CK248" s="17"/>
      <c r="CL248" s="17"/>
      <c r="CM248" s="19"/>
      <c r="CN248" s="19"/>
      <c r="CO248" s="17"/>
      <c r="CP248" s="17"/>
      <c r="CQ248" s="17"/>
      <c r="CR248" s="17"/>
      <c r="CS248" s="17"/>
      <c r="CT248" s="17"/>
      <c r="CU248" s="17"/>
      <c r="CV248" s="17"/>
    </row>
    <row r="249" spans="76:121" x14ac:dyDescent="0.25">
      <c r="CC249" s="20"/>
      <c r="CD249" s="17"/>
      <c r="CE249" s="17"/>
      <c r="CF249" s="303"/>
      <c r="CG249" s="303"/>
      <c r="CH249" s="303"/>
      <c r="CI249" s="303"/>
      <c r="CJ249" s="303"/>
      <c r="CK249" s="303"/>
      <c r="CL249" s="17"/>
      <c r="CM249" s="302"/>
      <c r="CN249" s="19"/>
      <c r="CO249" s="17"/>
      <c r="CP249" s="17"/>
      <c r="CQ249" s="17"/>
      <c r="CR249" s="17"/>
      <c r="CS249" s="17"/>
      <c r="CT249" s="17"/>
      <c r="CU249" s="17"/>
      <c r="CV249" s="17"/>
    </row>
    <row r="250" spans="76:121" x14ac:dyDescent="0.25">
      <c r="BX250" s="22" t="s">
        <v>75</v>
      </c>
      <c r="BY250" s="22"/>
      <c r="BZ250" s="22"/>
      <c r="CA250" s="22"/>
      <c r="CB250" s="303"/>
      <c r="CC250" s="18" t="s">
        <v>75</v>
      </c>
      <c r="CD250" s="303"/>
      <c r="CE250" s="17"/>
      <c r="CF250" s="23" t="s">
        <v>96</v>
      </c>
      <c r="CG250" s="19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</row>
    <row r="251" spans="76:121" ht="16.5" thickBot="1" x14ac:dyDescent="0.3">
      <c r="BX251" s="18" t="s">
        <v>114</v>
      </c>
      <c r="BY251" s="18"/>
      <c r="BZ251" s="18"/>
      <c r="CA251" s="18"/>
      <c r="CB251" s="17"/>
      <c r="CC251" s="18" t="s">
        <v>77</v>
      </c>
      <c r="CD251" s="303"/>
      <c r="CE251" s="17"/>
      <c r="CF251" s="19"/>
      <c r="CG251" s="19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</row>
    <row r="252" spans="76:121" x14ac:dyDescent="0.25">
      <c r="BX252" s="18" t="s">
        <v>115</v>
      </c>
      <c r="BY252" s="18"/>
      <c r="BZ252" s="18"/>
      <c r="CA252" s="18"/>
      <c r="CB252" s="17"/>
      <c r="CC252" s="18" t="s">
        <v>82</v>
      </c>
      <c r="CD252" s="1026" t="s">
        <v>277</v>
      </c>
      <c r="CE252" s="1020"/>
      <c r="CF252" s="1020"/>
      <c r="CG252" s="1020"/>
      <c r="CH252" s="1020"/>
      <c r="CI252" s="1020"/>
      <c r="CJ252" s="1020"/>
      <c r="CK252" s="1020"/>
      <c r="CL252" s="1020"/>
      <c r="CM252" s="1027"/>
      <c r="CN252" s="1028" t="s">
        <v>275</v>
      </c>
      <c r="CO252" s="1029"/>
      <c r="CP252" s="1029"/>
      <c r="CQ252" s="1029"/>
      <c r="CR252" s="1029"/>
      <c r="CS252" s="1029"/>
      <c r="CT252" s="1029"/>
      <c r="CU252" s="1029"/>
      <c r="CV252" s="1030"/>
      <c r="CW252" s="1026" t="s">
        <v>276</v>
      </c>
      <c r="CX252" s="1020"/>
      <c r="CY252" s="1027"/>
      <c r="CZ252" s="1026" t="s">
        <v>272</v>
      </c>
      <c r="DA252" s="1020"/>
      <c r="DB252" s="1020"/>
      <c r="DC252" s="1020"/>
      <c r="DD252" s="1020"/>
      <c r="DE252" s="1020"/>
      <c r="DF252" s="1020"/>
      <c r="DG252" s="1020"/>
      <c r="DH252" s="1020"/>
      <c r="DI252" s="1020"/>
      <c r="DJ252" s="1020"/>
      <c r="DK252" s="1027"/>
      <c r="DL252" s="1020" t="s">
        <v>274</v>
      </c>
      <c r="DM252" s="1020"/>
      <c r="DN252" s="1020"/>
      <c r="DO252" s="1020"/>
    </row>
    <row r="253" spans="76:121" x14ac:dyDescent="0.25">
      <c r="BX253" s="20"/>
      <c r="BY253" s="20"/>
      <c r="BZ253" s="20"/>
      <c r="CA253" s="20"/>
      <c r="CB253" s="17"/>
      <c r="CC253" s="18" t="s">
        <v>86</v>
      </c>
      <c r="CD253" s="138">
        <v>2.5</v>
      </c>
      <c r="CE253" s="103">
        <v>3</v>
      </c>
      <c r="CF253" s="110">
        <v>4</v>
      </c>
      <c r="CG253" s="110">
        <v>4.5999999999999996</v>
      </c>
      <c r="CH253" s="103">
        <v>5</v>
      </c>
      <c r="CI253" s="103">
        <v>6</v>
      </c>
      <c r="CJ253" s="103"/>
      <c r="CK253" s="103"/>
      <c r="CL253" s="102" t="s">
        <v>246</v>
      </c>
      <c r="CM253" s="134" t="s">
        <v>14</v>
      </c>
      <c r="CN253" s="133" t="s">
        <v>12</v>
      </c>
      <c r="CO253" s="102" t="s">
        <v>14</v>
      </c>
      <c r="CP253" s="102" t="s">
        <v>244</v>
      </c>
      <c r="CQ253" s="102" t="s">
        <v>16</v>
      </c>
      <c r="CR253" s="102" t="s">
        <v>242</v>
      </c>
      <c r="CS253" s="102" t="s">
        <v>246</v>
      </c>
      <c r="CT253" s="102" t="s">
        <v>243</v>
      </c>
      <c r="CU253" s="131" t="s">
        <v>254</v>
      </c>
      <c r="CV253" s="134" t="s">
        <v>124</v>
      </c>
      <c r="CW253" s="161" t="s">
        <v>15</v>
      </c>
      <c r="CX253" s="162" t="s">
        <v>253</v>
      </c>
      <c r="CY253" s="163" t="s">
        <v>13</v>
      </c>
      <c r="CZ253" s="133" t="s">
        <v>247</v>
      </c>
      <c r="DA253" s="102" t="s">
        <v>12</v>
      </c>
      <c r="DB253" s="102" t="s">
        <v>14</v>
      </c>
      <c r="DC253" s="102" t="s">
        <v>246</v>
      </c>
      <c r="DD253" s="102" t="s">
        <v>15</v>
      </c>
      <c r="DE253" s="102" t="s">
        <v>248</v>
      </c>
      <c r="DF253" s="102" t="s">
        <v>244</v>
      </c>
      <c r="DG253" s="102" t="s">
        <v>16</v>
      </c>
      <c r="DH253" s="102" t="s">
        <v>242</v>
      </c>
      <c r="DI253" s="102" t="s">
        <v>13</v>
      </c>
      <c r="DJ253" s="102" t="s">
        <v>255</v>
      </c>
      <c r="DK253" s="134" t="s">
        <v>273</v>
      </c>
      <c r="DL253" s="158" t="s">
        <v>247</v>
      </c>
      <c r="DM253" s="102" t="s">
        <v>14</v>
      </c>
      <c r="DN253" s="102" t="s">
        <v>14</v>
      </c>
      <c r="DO253" s="102" t="s">
        <v>244</v>
      </c>
    </row>
    <row r="254" spans="76:121" x14ac:dyDescent="0.25">
      <c r="BX254" s="20"/>
      <c r="BY254" s="20"/>
      <c r="BZ254" s="20"/>
      <c r="CA254" s="20"/>
      <c r="CB254" s="17"/>
      <c r="CC254" s="17"/>
      <c r="CD254" s="152">
        <v>2.5</v>
      </c>
      <c r="CE254" s="98">
        <v>3</v>
      </c>
      <c r="CF254" s="114">
        <v>4</v>
      </c>
      <c r="CG254" s="115">
        <v>4.5999999999999996</v>
      </c>
      <c r="CH254" s="106">
        <v>5</v>
      </c>
      <c r="CI254" s="106">
        <v>6</v>
      </c>
      <c r="CJ254" s="106"/>
      <c r="CK254" s="106"/>
      <c r="CL254" s="106">
        <v>6.3</v>
      </c>
      <c r="CM254" s="153">
        <v>8</v>
      </c>
      <c r="CN254" s="138"/>
      <c r="CO254" s="103"/>
      <c r="CP254" s="103"/>
      <c r="CQ254" s="103"/>
      <c r="CR254" s="103"/>
      <c r="CS254" s="103"/>
      <c r="CT254" s="103">
        <v>25.2</v>
      </c>
      <c r="CU254" s="132">
        <v>13</v>
      </c>
      <c r="CV254" s="136">
        <v>33.6</v>
      </c>
      <c r="CW254" s="159">
        <v>10</v>
      </c>
      <c r="CX254" s="94">
        <v>12</v>
      </c>
      <c r="CY254" s="136">
        <v>5</v>
      </c>
      <c r="CZ254" s="135">
        <v>4.5999999999999996</v>
      </c>
      <c r="DA254" s="94">
        <v>5</v>
      </c>
      <c r="DB254" s="96"/>
      <c r="DC254" s="96">
        <v>6.3</v>
      </c>
      <c r="DD254" s="96">
        <v>10</v>
      </c>
      <c r="DE254" s="96">
        <v>10</v>
      </c>
      <c r="DF254" s="94">
        <v>12.5</v>
      </c>
      <c r="DG254" s="94">
        <v>15</v>
      </c>
      <c r="DH254" s="103">
        <v>4</v>
      </c>
      <c r="DI254" s="103">
        <v>5</v>
      </c>
      <c r="DJ254" s="103">
        <v>6.3</v>
      </c>
      <c r="DK254" s="141">
        <v>10</v>
      </c>
      <c r="DL254" s="158">
        <v>4.5999999999999996</v>
      </c>
      <c r="DM254" s="102">
        <v>8</v>
      </c>
      <c r="DN254" s="102">
        <v>10</v>
      </c>
      <c r="DO254" s="102">
        <v>12.5</v>
      </c>
    </row>
    <row r="255" spans="76:121" x14ac:dyDescent="0.25">
      <c r="BX255" s="18" t="s">
        <v>118</v>
      </c>
      <c r="BY255" s="18"/>
      <c r="BZ255" s="18"/>
      <c r="CA255" s="18"/>
      <c r="CB255" s="17"/>
      <c r="CC255" s="21">
        <v>1</v>
      </c>
      <c r="CD255" s="139">
        <v>20</v>
      </c>
      <c r="CE255" s="108">
        <v>20.100000000000001</v>
      </c>
      <c r="CF255" s="112">
        <v>21.2</v>
      </c>
      <c r="CG255" s="112">
        <v>22.2</v>
      </c>
      <c r="CH255" s="108">
        <v>22.2</v>
      </c>
      <c r="CI255" s="108">
        <v>24.1</v>
      </c>
      <c r="CJ255" s="108"/>
      <c r="CK255" s="108"/>
      <c r="CL255" s="108">
        <v>26.6</v>
      </c>
      <c r="CM255" s="140">
        <v>26</v>
      </c>
      <c r="CN255" s="138"/>
      <c r="CO255" s="103"/>
      <c r="CP255" s="103"/>
      <c r="CQ255" s="103"/>
      <c r="CR255" s="103"/>
      <c r="CS255" s="103"/>
      <c r="CT255" s="103"/>
      <c r="CU255" s="132"/>
      <c r="CV255" s="136"/>
      <c r="CW255" s="135">
        <v>27.3</v>
      </c>
      <c r="CX255" s="4"/>
      <c r="CY255" s="136"/>
      <c r="CZ255" s="135">
        <v>21.9</v>
      </c>
      <c r="DA255" s="94">
        <v>22.8</v>
      </c>
      <c r="DB255" s="96">
        <v>26</v>
      </c>
      <c r="DC255" s="96">
        <v>26.6</v>
      </c>
      <c r="DD255" s="96">
        <v>26.2</v>
      </c>
      <c r="DE255" s="96">
        <v>31.8</v>
      </c>
      <c r="DF255" s="104">
        <v>28</v>
      </c>
      <c r="DG255" s="96">
        <v>31.6</v>
      </c>
      <c r="DH255" s="105">
        <v>24.3</v>
      </c>
      <c r="DI255" s="105">
        <v>25.8</v>
      </c>
      <c r="DJ255" s="105">
        <v>29.3</v>
      </c>
      <c r="DK255" s="137">
        <v>36.1</v>
      </c>
      <c r="DL255" s="158">
        <v>21.2</v>
      </c>
      <c r="DM255" s="102">
        <v>25.5</v>
      </c>
      <c r="DN255" s="102">
        <v>26.1</v>
      </c>
      <c r="DO255" s="102">
        <v>27.8</v>
      </c>
    </row>
    <row r="256" spans="76:121" x14ac:dyDescent="0.25">
      <c r="BX256" s="17"/>
      <c r="BY256" s="17"/>
      <c r="BZ256" s="17"/>
      <c r="CA256" s="17"/>
      <c r="CB256" s="17"/>
      <c r="CC256" s="21">
        <v>2</v>
      </c>
      <c r="CD256" s="139">
        <v>22.4</v>
      </c>
      <c r="CE256" s="108">
        <v>22.5</v>
      </c>
      <c r="CF256" s="112">
        <v>24</v>
      </c>
      <c r="CG256" s="112">
        <v>25.1</v>
      </c>
      <c r="CH256" s="108">
        <v>25.1</v>
      </c>
      <c r="CI256" s="108">
        <v>26.6</v>
      </c>
      <c r="CJ256" s="108"/>
      <c r="CK256" s="108"/>
      <c r="CL256" s="108">
        <v>30</v>
      </c>
      <c r="CM256" s="140">
        <v>29.3</v>
      </c>
      <c r="CN256" s="138"/>
      <c r="CO256" s="103"/>
      <c r="CP256" s="103"/>
      <c r="CQ256" s="103"/>
      <c r="CR256" s="103"/>
      <c r="CS256" s="103"/>
      <c r="CT256" s="103"/>
      <c r="CU256" s="132"/>
      <c r="CV256" s="136"/>
      <c r="CW256" s="135">
        <v>30.599999999999998</v>
      </c>
      <c r="CX256" s="4"/>
      <c r="CY256" s="136"/>
      <c r="CZ256" s="135">
        <v>24.3</v>
      </c>
      <c r="DA256" s="94">
        <v>25.2</v>
      </c>
      <c r="DB256" s="96">
        <v>28.9</v>
      </c>
      <c r="DC256" s="106">
        <v>30</v>
      </c>
      <c r="DD256" s="106">
        <v>29.1</v>
      </c>
      <c r="DE256" s="106">
        <v>34.799999999999997</v>
      </c>
      <c r="DF256" s="104">
        <v>31.5</v>
      </c>
      <c r="DG256" s="104">
        <v>34.6</v>
      </c>
      <c r="DH256" s="104">
        <v>27</v>
      </c>
      <c r="DI256" s="104">
        <v>28.9</v>
      </c>
      <c r="DJ256" s="104">
        <v>32.799999999999997</v>
      </c>
      <c r="DK256" s="137">
        <v>42</v>
      </c>
      <c r="DL256" s="158">
        <v>23</v>
      </c>
      <c r="DM256" s="102">
        <v>27.6</v>
      </c>
      <c r="DN256" s="102">
        <v>28.2</v>
      </c>
      <c r="DO256" s="102">
        <v>30.1</v>
      </c>
    </row>
    <row r="257" spans="76:119" x14ac:dyDescent="0.25">
      <c r="BX257" s="17"/>
      <c r="BY257" s="17"/>
      <c r="BZ257" s="17"/>
      <c r="CA257" s="17"/>
      <c r="CB257" s="17"/>
      <c r="CC257" s="21">
        <v>3</v>
      </c>
      <c r="CD257" s="139">
        <v>24.1</v>
      </c>
      <c r="CE257" s="108">
        <v>24.4</v>
      </c>
      <c r="CF257" s="112">
        <v>26.2</v>
      </c>
      <c r="CG257" s="112">
        <v>27.4</v>
      </c>
      <c r="CH257" s="108">
        <v>27.4</v>
      </c>
      <c r="CI257" s="108">
        <v>29</v>
      </c>
      <c r="CJ257" s="108"/>
      <c r="CK257" s="108"/>
      <c r="CL257" s="108">
        <v>32.9</v>
      </c>
      <c r="CM257" s="140">
        <v>32.1</v>
      </c>
      <c r="CN257" s="138"/>
      <c r="CO257" s="103"/>
      <c r="CP257" s="103"/>
      <c r="CQ257" s="103"/>
      <c r="CR257" s="103"/>
      <c r="CS257" s="103"/>
      <c r="CT257" s="103"/>
      <c r="CU257" s="132"/>
      <c r="CV257" s="136"/>
      <c r="CW257" s="135">
        <v>33.4</v>
      </c>
      <c r="CX257" s="4"/>
      <c r="CY257" s="136"/>
      <c r="CZ257" s="135">
        <v>26.8</v>
      </c>
      <c r="DA257" s="94">
        <v>27.6</v>
      </c>
      <c r="DB257" s="96">
        <v>31.8</v>
      </c>
      <c r="DC257" s="96">
        <v>32.799999999999997</v>
      </c>
      <c r="DD257" s="96">
        <v>32.1</v>
      </c>
      <c r="DE257" s="96">
        <v>37.4</v>
      </c>
      <c r="DF257" s="104">
        <v>34.6</v>
      </c>
      <c r="DG257" s="96">
        <v>37.1</v>
      </c>
      <c r="DH257" s="105">
        <v>29.8</v>
      </c>
      <c r="DI257" s="105">
        <v>31.8</v>
      </c>
      <c r="DJ257" s="105">
        <v>36</v>
      </c>
      <c r="DK257" s="137">
        <v>48.6</v>
      </c>
      <c r="DL257" s="158">
        <v>25.2</v>
      </c>
      <c r="DM257" s="102">
        <v>30.2</v>
      </c>
      <c r="DN257" s="102">
        <v>30.9</v>
      </c>
      <c r="DO257" s="102">
        <v>33</v>
      </c>
    </row>
    <row r="258" spans="76:119" x14ac:dyDescent="0.25">
      <c r="BX258" s="17"/>
      <c r="BY258" s="17"/>
      <c r="BZ258" s="17"/>
      <c r="CA258" s="17"/>
      <c r="CB258" s="17"/>
      <c r="CC258" s="21">
        <v>4</v>
      </c>
      <c r="CD258" s="139">
        <v>25.5</v>
      </c>
      <c r="CE258" s="108">
        <v>25.8</v>
      </c>
      <c r="CF258" s="112">
        <v>28.1</v>
      </c>
      <c r="CG258" s="112">
        <v>29.3</v>
      </c>
      <c r="CH258" s="108">
        <v>29.3</v>
      </c>
      <c r="CI258" s="108">
        <v>31</v>
      </c>
      <c r="CJ258" s="108"/>
      <c r="CK258" s="108"/>
      <c r="CL258" s="108">
        <v>35.1</v>
      </c>
      <c r="CM258" s="140">
        <v>34.299999999999997</v>
      </c>
      <c r="CN258" s="138"/>
      <c r="CO258" s="103"/>
      <c r="CP258" s="103"/>
      <c r="CQ258" s="103"/>
      <c r="CR258" s="103"/>
      <c r="CS258" s="103"/>
      <c r="CT258" s="103"/>
      <c r="CU258" s="132"/>
      <c r="CV258" s="136"/>
      <c r="CW258" s="135">
        <v>35.6</v>
      </c>
      <c r="CX258" s="4"/>
      <c r="CY258" s="136"/>
      <c r="CZ258" s="135">
        <v>28.4</v>
      </c>
      <c r="DA258" s="94">
        <v>29.2</v>
      </c>
      <c r="DB258" s="96">
        <v>34</v>
      </c>
      <c r="DC258" s="96">
        <v>34.6</v>
      </c>
      <c r="DD258" s="96">
        <v>34.299999999999997</v>
      </c>
      <c r="DE258" s="96">
        <v>39.799999999999997</v>
      </c>
      <c r="DF258" s="104">
        <v>36.799999999999997</v>
      </c>
      <c r="DG258" s="96">
        <v>39.299999999999997</v>
      </c>
      <c r="DH258" s="105">
        <v>31.3</v>
      </c>
      <c r="DI258" s="105">
        <v>33.5</v>
      </c>
      <c r="DJ258" s="105">
        <v>38.700000000000003</v>
      </c>
      <c r="DK258" s="137">
        <v>52.8</v>
      </c>
      <c r="DL258" s="158">
        <v>26.4</v>
      </c>
      <c r="DM258" s="102">
        <v>31.7</v>
      </c>
      <c r="DN258" s="102">
        <v>32.4</v>
      </c>
      <c r="DO258" s="102">
        <v>34.5</v>
      </c>
    </row>
    <row r="259" spans="76:119" x14ac:dyDescent="0.25">
      <c r="BX259" s="17"/>
      <c r="BY259" s="17"/>
      <c r="BZ259" s="17"/>
      <c r="CA259" s="17"/>
      <c r="CB259" s="17"/>
      <c r="CC259" s="21">
        <v>5</v>
      </c>
      <c r="CD259" s="139">
        <v>26.7</v>
      </c>
      <c r="CE259" s="108">
        <v>27.1</v>
      </c>
      <c r="CF259" s="112">
        <v>29.6</v>
      </c>
      <c r="CG259" s="112">
        <v>30.8</v>
      </c>
      <c r="CH259" s="108">
        <v>30.8</v>
      </c>
      <c r="CI259" s="108">
        <v>32.299999999999997</v>
      </c>
      <c r="CJ259" s="108"/>
      <c r="CK259" s="108"/>
      <c r="CL259" s="108">
        <v>36.4</v>
      </c>
      <c r="CM259" s="140">
        <v>35.6</v>
      </c>
      <c r="CN259" s="138"/>
      <c r="CO259" s="103"/>
      <c r="CP259" s="103"/>
      <c r="CQ259" s="103"/>
      <c r="CR259" s="103"/>
      <c r="CS259" s="103"/>
      <c r="CT259" s="103"/>
      <c r="CU259" s="132"/>
      <c r="CV259" s="136"/>
      <c r="CW259" s="135">
        <v>36.9</v>
      </c>
      <c r="CX259" s="4"/>
      <c r="CY259" s="136"/>
      <c r="CZ259" s="135">
        <v>29.9</v>
      </c>
      <c r="DA259" s="94">
        <v>30.5</v>
      </c>
      <c r="DB259" s="96">
        <v>35.6</v>
      </c>
      <c r="DC259" s="96">
        <v>36.4</v>
      </c>
      <c r="DD259" s="96">
        <v>35.799999999999997</v>
      </c>
      <c r="DE259" s="96">
        <v>41.8</v>
      </c>
      <c r="DF259" s="104">
        <v>38.1</v>
      </c>
      <c r="DG259" s="96">
        <v>41.1</v>
      </c>
      <c r="DH259" s="105">
        <v>32.5</v>
      </c>
      <c r="DI259" s="105">
        <v>34.799999999999997</v>
      </c>
      <c r="DJ259" s="105">
        <v>40.5</v>
      </c>
      <c r="DK259" s="137">
        <v>56.7</v>
      </c>
      <c r="DL259" s="158"/>
      <c r="DM259" s="102"/>
      <c r="DN259" s="102"/>
      <c r="DO259" s="102"/>
    </row>
    <row r="260" spans="76:119" x14ac:dyDescent="0.25">
      <c r="BX260" s="18" t="s">
        <v>119</v>
      </c>
      <c r="BY260" s="18"/>
      <c r="BZ260" s="18"/>
      <c r="CA260" s="18"/>
      <c r="CB260" s="17"/>
      <c r="CC260" s="17"/>
      <c r="CD260" s="135"/>
      <c r="CE260" s="94"/>
      <c r="CF260" s="111"/>
      <c r="CG260" s="111"/>
      <c r="CH260" s="94"/>
      <c r="CI260" s="94"/>
      <c r="CJ260" s="94"/>
      <c r="CK260" s="94"/>
      <c r="CL260" s="94"/>
      <c r="CM260" s="141"/>
      <c r="CN260" s="138"/>
      <c r="CO260" s="103"/>
      <c r="CP260" s="103"/>
      <c r="CQ260" s="103"/>
      <c r="CR260" s="103"/>
      <c r="CS260" s="103"/>
      <c r="CT260" s="103"/>
      <c r="CU260" s="132"/>
      <c r="CV260" s="136"/>
      <c r="CW260" s="138"/>
      <c r="CX260" s="94"/>
      <c r="CY260" s="136"/>
      <c r="CZ260" s="138"/>
      <c r="DA260" s="107"/>
      <c r="DB260" s="107"/>
      <c r="DC260" s="107"/>
      <c r="DD260" s="107"/>
      <c r="DE260" s="107"/>
      <c r="DF260" s="94"/>
      <c r="DG260" s="94"/>
      <c r="DH260" s="103"/>
      <c r="DI260" s="103"/>
      <c r="DJ260" s="103"/>
      <c r="DK260" s="141"/>
      <c r="DL260" s="158"/>
      <c r="DM260" s="102"/>
      <c r="DN260" s="102"/>
      <c r="DO260" s="102"/>
    </row>
    <row r="261" spans="76:119" x14ac:dyDescent="0.25">
      <c r="BX261" s="17"/>
      <c r="BY261" s="17"/>
      <c r="BZ261" s="17"/>
      <c r="CA261" s="17"/>
      <c r="CB261" s="17"/>
      <c r="CC261" s="21">
        <v>1</v>
      </c>
      <c r="CD261" s="139">
        <v>2.6</v>
      </c>
      <c r="CE261" s="112">
        <v>2.6</v>
      </c>
      <c r="CF261" s="112">
        <v>2.8</v>
      </c>
      <c r="CG261" s="108">
        <v>3</v>
      </c>
      <c r="CH261" s="108">
        <v>3</v>
      </c>
      <c r="CI261" s="108">
        <v>3</v>
      </c>
      <c r="CJ261" s="108"/>
      <c r="CK261" s="108"/>
      <c r="CL261" s="108">
        <v>3</v>
      </c>
      <c r="CM261" s="140">
        <v>3</v>
      </c>
      <c r="CN261" s="138"/>
      <c r="CO261" s="103"/>
      <c r="CP261" s="103"/>
      <c r="CQ261" s="103"/>
      <c r="CR261" s="103"/>
      <c r="CS261" s="103"/>
      <c r="CT261" s="103"/>
      <c r="CU261" s="132"/>
      <c r="CV261" s="136"/>
      <c r="CW261" s="139">
        <v>3</v>
      </c>
      <c r="CX261" s="94"/>
      <c r="CY261" s="136"/>
      <c r="CZ261" s="139">
        <v>2.8</v>
      </c>
      <c r="DA261" s="108">
        <v>2.8</v>
      </c>
      <c r="DB261" s="108">
        <v>3</v>
      </c>
      <c r="DC261" s="108">
        <v>3</v>
      </c>
      <c r="DD261" s="108">
        <v>3</v>
      </c>
      <c r="DE261" s="108">
        <v>3</v>
      </c>
      <c r="DF261" s="104">
        <v>3.3</v>
      </c>
      <c r="DG261" s="104">
        <v>3.3</v>
      </c>
      <c r="DH261" s="108">
        <v>2.8</v>
      </c>
      <c r="DI261" s="108">
        <v>3</v>
      </c>
      <c r="DJ261" s="108">
        <v>3</v>
      </c>
      <c r="DK261" s="137">
        <v>4</v>
      </c>
      <c r="DL261" s="158">
        <v>6</v>
      </c>
      <c r="DM261" s="102">
        <v>6.4</v>
      </c>
      <c r="DN261" s="102">
        <v>6.5</v>
      </c>
      <c r="DO261" s="102">
        <v>6.6</v>
      </c>
    </row>
    <row r="262" spans="76:119" x14ac:dyDescent="0.25">
      <c r="BX262" s="17"/>
      <c r="BY262" s="17"/>
      <c r="BZ262" s="17"/>
      <c r="CA262" s="17"/>
      <c r="CB262" s="17"/>
      <c r="CC262" s="21">
        <v>2</v>
      </c>
      <c r="CD262" s="139">
        <v>2.4</v>
      </c>
      <c r="CE262" s="108">
        <v>2.4</v>
      </c>
      <c r="CF262" s="112">
        <v>2.6</v>
      </c>
      <c r="CG262" s="112">
        <v>2.6</v>
      </c>
      <c r="CH262" s="108">
        <v>2.6</v>
      </c>
      <c r="CI262" s="108">
        <v>2.8</v>
      </c>
      <c r="CJ262" s="108"/>
      <c r="CK262" s="108"/>
      <c r="CL262" s="108">
        <v>2.8</v>
      </c>
      <c r="CM262" s="140">
        <v>2.8</v>
      </c>
      <c r="CN262" s="138"/>
      <c r="CO262" s="103"/>
      <c r="CP262" s="103"/>
      <c r="CQ262" s="103"/>
      <c r="CR262" s="103"/>
      <c r="CS262" s="103"/>
      <c r="CT262" s="103"/>
      <c r="CU262" s="132"/>
      <c r="CV262" s="136"/>
      <c r="CW262" s="139">
        <v>2.8</v>
      </c>
      <c r="CX262" s="94"/>
      <c r="CY262" s="136"/>
      <c r="CZ262" s="139">
        <v>2.6</v>
      </c>
      <c r="DA262" s="108">
        <v>2.6</v>
      </c>
      <c r="DB262" s="108">
        <v>2.8</v>
      </c>
      <c r="DC262" s="108">
        <v>2.8</v>
      </c>
      <c r="DD262" s="108">
        <v>2.8</v>
      </c>
      <c r="DE262" s="108">
        <v>2.8</v>
      </c>
      <c r="DF262" s="104">
        <v>3</v>
      </c>
      <c r="DG262" s="104">
        <v>3</v>
      </c>
      <c r="DH262" s="108">
        <v>2.6</v>
      </c>
      <c r="DI262" s="108">
        <v>2.8</v>
      </c>
      <c r="DJ262" s="108">
        <v>2.8</v>
      </c>
      <c r="DK262" s="137">
        <v>3.8</v>
      </c>
      <c r="DL262" s="158">
        <v>5.9</v>
      </c>
      <c r="DM262" s="102">
        <v>6.4</v>
      </c>
      <c r="DN262" s="102">
        <v>6.5</v>
      </c>
      <c r="DO262" s="102">
        <v>6.6</v>
      </c>
    </row>
    <row r="263" spans="76:119" x14ac:dyDescent="0.25">
      <c r="BX263" s="17"/>
      <c r="BY263" s="17"/>
      <c r="BZ263" s="17"/>
      <c r="CA263" s="17"/>
      <c r="CB263" s="17"/>
      <c r="CC263" s="21">
        <v>3</v>
      </c>
      <c r="CD263" s="139">
        <v>2.2000000000000002</v>
      </c>
      <c r="CE263" s="108">
        <v>2.2000000000000002</v>
      </c>
      <c r="CF263" s="112">
        <v>2.4</v>
      </c>
      <c r="CG263" s="112">
        <v>2.4</v>
      </c>
      <c r="CH263" s="108">
        <v>2.4</v>
      </c>
      <c r="CI263" s="108">
        <v>2.6</v>
      </c>
      <c r="CJ263" s="108"/>
      <c r="CK263" s="108"/>
      <c r="CL263" s="108">
        <v>2.6</v>
      </c>
      <c r="CM263" s="140">
        <v>2.6</v>
      </c>
      <c r="CN263" s="138"/>
      <c r="CO263" s="103"/>
      <c r="CP263" s="103"/>
      <c r="CQ263" s="103"/>
      <c r="CR263" s="103"/>
      <c r="CS263" s="103"/>
      <c r="CT263" s="103"/>
      <c r="CU263" s="132"/>
      <c r="CV263" s="136"/>
      <c r="CW263" s="139">
        <v>2.6</v>
      </c>
      <c r="CX263" s="94"/>
      <c r="CY263" s="136"/>
      <c r="CZ263" s="139">
        <v>2.4</v>
      </c>
      <c r="DA263" s="108">
        <v>2.4</v>
      </c>
      <c r="DB263" s="108">
        <v>2.6</v>
      </c>
      <c r="DC263" s="108">
        <v>2.6</v>
      </c>
      <c r="DD263" s="108">
        <v>2.6</v>
      </c>
      <c r="DE263" s="108">
        <v>2.8</v>
      </c>
      <c r="DF263" s="104">
        <v>3</v>
      </c>
      <c r="DG263" s="104">
        <v>3</v>
      </c>
      <c r="DH263" s="108">
        <v>2.4</v>
      </c>
      <c r="DI263" s="108">
        <v>2.6</v>
      </c>
      <c r="DJ263" s="108">
        <v>2.6</v>
      </c>
      <c r="DK263" s="137">
        <v>3.7</v>
      </c>
      <c r="DL263" s="158">
        <v>5.8</v>
      </c>
      <c r="DM263" s="102">
        <v>6.3</v>
      </c>
      <c r="DN263" s="102">
        <v>6.4</v>
      </c>
      <c r="DO263" s="102">
        <v>6.6</v>
      </c>
    </row>
    <row r="264" spans="76:119" x14ac:dyDescent="0.25">
      <c r="BX264" s="17"/>
      <c r="BY264" s="17"/>
      <c r="BZ264" s="17"/>
      <c r="CA264" s="17"/>
      <c r="CB264" s="17"/>
      <c r="CC264" s="21">
        <v>4</v>
      </c>
      <c r="CD264" s="139">
        <v>2.2000000000000002</v>
      </c>
      <c r="CE264" s="108">
        <v>2.2000000000000002</v>
      </c>
      <c r="CF264" s="112">
        <v>2.4</v>
      </c>
      <c r="CG264" s="112">
        <v>2.4</v>
      </c>
      <c r="CH264" s="108">
        <v>2.4</v>
      </c>
      <c r="CI264" s="108">
        <v>2.6</v>
      </c>
      <c r="CJ264" s="108"/>
      <c r="CK264" s="108"/>
      <c r="CL264" s="108">
        <v>2.6</v>
      </c>
      <c r="CM264" s="140">
        <v>2.6</v>
      </c>
      <c r="CN264" s="138"/>
      <c r="CO264" s="103"/>
      <c r="CP264" s="103"/>
      <c r="CQ264" s="103"/>
      <c r="CR264" s="103"/>
      <c r="CS264" s="103"/>
      <c r="CT264" s="103"/>
      <c r="CU264" s="132"/>
      <c r="CV264" s="136"/>
      <c r="CW264" s="139">
        <v>2.6</v>
      </c>
      <c r="CX264" s="94"/>
      <c r="CY264" s="136"/>
      <c r="CZ264" s="139">
        <v>2.4</v>
      </c>
      <c r="DA264" s="108">
        <v>2.4</v>
      </c>
      <c r="DB264" s="108">
        <v>2.6</v>
      </c>
      <c r="DC264" s="108">
        <v>2.6</v>
      </c>
      <c r="DD264" s="108">
        <v>2.6</v>
      </c>
      <c r="DE264" s="108">
        <v>2.8</v>
      </c>
      <c r="DF264" s="104">
        <v>3</v>
      </c>
      <c r="DG264" s="104">
        <v>3</v>
      </c>
      <c r="DH264" s="108">
        <v>2.4</v>
      </c>
      <c r="DI264" s="108">
        <v>2.6</v>
      </c>
      <c r="DJ264" s="108">
        <v>2.6</v>
      </c>
      <c r="DK264" s="137">
        <v>3.7</v>
      </c>
      <c r="DL264" s="158">
        <v>5.9</v>
      </c>
      <c r="DM264" s="102">
        <v>6.5</v>
      </c>
      <c r="DN264" s="102">
        <v>6.5</v>
      </c>
      <c r="DO264" s="102">
        <v>6.7</v>
      </c>
    </row>
    <row r="265" spans="76:119" x14ac:dyDescent="0.25">
      <c r="BX265" s="17"/>
      <c r="BY265" s="17"/>
      <c r="BZ265" s="17"/>
      <c r="CA265" s="17"/>
      <c r="CB265" s="17"/>
      <c r="CC265" s="21">
        <v>5</v>
      </c>
      <c r="CD265" s="139">
        <v>2.2000000000000002</v>
      </c>
      <c r="CE265" s="108">
        <v>2.2000000000000002</v>
      </c>
      <c r="CF265" s="112">
        <v>2.4</v>
      </c>
      <c r="CG265" s="112">
        <v>2.4</v>
      </c>
      <c r="CH265" s="108">
        <v>2.4</v>
      </c>
      <c r="CI265" s="108">
        <v>2.6</v>
      </c>
      <c r="CJ265" s="108"/>
      <c r="CK265" s="108"/>
      <c r="CL265" s="108">
        <v>2.6</v>
      </c>
      <c r="CM265" s="140">
        <v>2.6</v>
      </c>
      <c r="CN265" s="138"/>
      <c r="CO265" s="103"/>
      <c r="CP265" s="103"/>
      <c r="CQ265" s="103"/>
      <c r="CR265" s="103"/>
      <c r="CS265" s="103"/>
      <c r="CT265" s="103"/>
      <c r="CU265" s="132"/>
      <c r="CV265" s="136"/>
      <c r="CW265" s="139">
        <v>2.6</v>
      </c>
      <c r="CX265" s="94"/>
      <c r="CY265" s="136"/>
      <c r="CZ265" s="139">
        <v>2.4</v>
      </c>
      <c r="DA265" s="108">
        <v>2.4</v>
      </c>
      <c r="DB265" s="108">
        <v>2.6</v>
      </c>
      <c r="DC265" s="108">
        <v>2.6</v>
      </c>
      <c r="DD265" s="108">
        <v>2.6</v>
      </c>
      <c r="DE265" s="108">
        <v>2.8</v>
      </c>
      <c r="DF265" s="104">
        <v>3</v>
      </c>
      <c r="DG265" s="104">
        <v>3</v>
      </c>
      <c r="DH265" s="108">
        <v>2.4</v>
      </c>
      <c r="DI265" s="108">
        <v>2.6</v>
      </c>
      <c r="DJ265" s="108">
        <v>2.6</v>
      </c>
      <c r="DK265" s="137">
        <v>3.7</v>
      </c>
      <c r="DL265" s="158"/>
      <c r="DM265" s="102"/>
      <c r="DN265" s="102"/>
      <c r="DO265" s="102"/>
    </row>
    <row r="266" spans="76:119" x14ac:dyDescent="0.25">
      <c r="BX266" s="18" t="s">
        <v>120</v>
      </c>
      <c r="BY266" s="18"/>
      <c r="BZ266" s="18"/>
      <c r="CA266" s="18"/>
      <c r="CB266" s="21"/>
      <c r="CC266" s="17"/>
      <c r="CD266" s="138"/>
      <c r="CE266" s="103"/>
      <c r="CF266" s="110"/>
      <c r="CG266" s="110"/>
      <c r="CH266" s="103"/>
      <c r="CI266" s="103"/>
      <c r="CJ266" s="103"/>
      <c r="CK266" s="103"/>
      <c r="CL266" s="103"/>
      <c r="CM266" s="136"/>
      <c r="CN266" s="138"/>
      <c r="CO266" s="103"/>
      <c r="CP266" s="103"/>
      <c r="CQ266" s="103"/>
      <c r="CR266" s="103"/>
      <c r="CS266" s="103"/>
      <c r="CT266" s="103"/>
      <c r="CU266" s="132"/>
      <c r="CV266" s="136"/>
      <c r="CW266" s="138"/>
      <c r="CX266" s="103"/>
      <c r="CY266" s="136"/>
      <c r="CZ266" s="138"/>
      <c r="DA266" s="107"/>
      <c r="DB266" s="107"/>
      <c r="DC266" s="107"/>
      <c r="DD266" s="107"/>
      <c r="DE266" s="107"/>
      <c r="DF266" s="103"/>
      <c r="DG266" s="103"/>
      <c r="DH266" s="103"/>
      <c r="DI266" s="103"/>
      <c r="DJ266" s="103"/>
      <c r="DK266" s="136"/>
      <c r="DL266" s="158"/>
      <c r="DM266" s="102"/>
      <c r="DN266" s="102"/>
      <c r="DO266" s="102"/>
    </row>
    <row r="267" spans="76:119" x14ac:dyDescent="0.25">
      <c r="BX267" s="303"/>
      <c r="BY267" s="303"/>
      <c r="BZ267" s="303"/>
      <c r="CA267" s="303"/>
      <c r="CB267" s="21"/>
      <c r="CC267" s="21">
        <v>1</v>
      </c>
      <c r="CD267" s="139">
        <v>22.6</v>
      </c>
      <c r="CE267" s="108">
        <v>22.7</v>
      </c>
      <c r="CF267" s="112">
        <v>24</v>
      </c>
      <c r="CG267" s="112">
        <v>25</v>
      </c>
      <c r="CH267" s="108">
        <v>25</v>
      </c>
      <c r="CI267" s="108">
        <v>27.1</v>
      </c>
      <c r="CJ267" s="108"/>
      <c r="CK267" s="108"/>
      <c r="CL267" s="108">
        <v>29.6</v>
      </c>
      <c r="CM267" s="140">
        <v>29</v>
      </c>
      <c r="CN267" s="138">
        <v>25</v>
      </c>
      <c r="CO267" s="103">
        <v>29</v>
      </c>
      <c r="CP267" s="103">
        <v>31.5</v>
      </c>
      <c r="CQ267" s="103">
        <v>34.9</v>
      </c>
      <c r="CR267" s="103">
        <v>27.8</v>
      </c>
      <c r="CS267" s="103">
        <v>29.6</v>
      </c>
      <c r="CT267" s="103">
        <v>27.8</v>
      </c>
      <c r="CU267" s="132">
        <v>54.2</v>
      </c>
      <c r="CV267" s="136"/>
      <c r="CW267" s="139">
        <v>30.3</v>
      </c>
      <c r="CX267" s="108">
        <v>34.4</v>
      </c>
      <c r="CY267" s="136"/>
      <c r="CZ267" s="139">
        <v>24.7</v>
      </c>
      <c r="DA267" s="108">
        <v>25.6</v>
      </c>
      <c r="DB267" s="108">
        <v>29</v>
      </c>
      <c r="DC267" s="108">
        <v>29.6</v>
      </c>
      <c r="DD267" s="108">
        <v>29.2</v>
      </c>
      <c r="DE267" s="108">
        <v>34.799999999999997</v>
      </c>
      <c r="DF267" s="108">
        <v>31.3</v>
      </c>
      <c r="DG267" s="108">
        <v>34.9</v>
      </c>
      <c r="DH267" s="108">
        <v>27.1</v>
      </c>
      <c r="DI267" s="108">
        <v>28.8</v>
      </c>
      <c r="DJ267" s="108">
        <v>32.299999999999997</v>
      </c>
      <c r="DK267" s="140">
        <v>40.1</v>
      </c>
      <c r="DL267" s="158">
        <f>DL255+DL261</f>
        <v>27.2</v>
      </c>
      <c r="DM267" s="102">
        <f t="shared" ref="DM267:DO267" si="457">DM255+DM261</f>
        <v>31.9</v>
      </c>
      <c r="DN267" s="102">
        <f t="shared" si="457"/>
        <v>32.6</v>
      </c>
      <c r="DO267" s="102">
        <f t="shared" si="457"/>
        <v>34.4</v>
      </c>
    </row>
    <row r="268" spans="76:119" x14ac:dyDescent="0.25">
      <c r="BX268" s="303"/>
      <c r="BY268" s="303"/>
      <c r="BZ268" s="303"/>
      <c r="CA268" s="303"/>
      <c r="CB268" s="21"/>
      <c r="CC268" s="21">
        <v>2</v>
      </c>
      <c r="CD268" s="139">
        <v>24.8</v>
      </c>
      <c r="CE268" s="108">
        <v>24.9</v>
      </c>
      <c r="CF268" s="112">
        <v>26.6</v>
      </c>
      <c r="CG268" s="112">
        <v>27.7</v>
      </c>
      <c r="CH268" s="108">
        <v>27.7</v>
      </c>
      <c r="CI268" s="108">
        <v>29.4</v>
      </c>
      <c r="CJ268" s="108"/>
      <c r="CK268" s="108"/>
      <c r="CL268" s="108">
        <v>32.799999999999997</v>
      </c>
      <c r="CM268" s="140">
        <v>32.1</v>
      </c>
      <c r="CN268" s="138">
        <v>27.7</v>
      </c>
      <c r="CO268" s="103">
        <v>32.1</v>
      </c>
      <c r="CP268" s="103">
        <v>34.799999999999997</v>
      </c>
      <c r="CQ268" s="103">
        <v>37.5</v>
      </c>
      <c r="CR268" s="103">
        <v>30.3</v>
      </c>
      <c r="CS268" s="103">
        <v>32.799999999999997</v>
      </c>
      <c r="CT268" s="103">
        <v>29.4</v>
      </c>
      <c r="CU268" s="132"/>
      <c r="CV268" s="137"/>
      <c r="CW268" s="139">
        <v>33.4</v>
      </c>
      <c r="CX268" s="108">
        <v>38.799999999999997</v>
      </c>
      <c r="CY268" s="137">
        <v>33.200000000000003</v>
      </c>
      <c r="CZ268" s="139">
        <v>26.900000000000002</v>
      </c>
      <c r="DA268" s="108">
        <v>27.8</v>
      </c>
      <c r="DB268" s="108">
        <v>31.7</v>
      </c>
      <c r="DC268" s="108">
        <v>32.799999999999997</v>
      </c>
      <c r="DD268" s="108">
        <v>31.900000000000002</v>
      </c>
      <c r="DE268" s="108">
        <v>37.599999999999994</v>
      </c>
      <c r="DF268" s="108">
        <v>34.5</v>
      </c>
      <c r="DG268" s="108">
        <v>37.6</v>
      </c>
      <c r="DH268" s="108">
        <v>29.6</v>
      </c>
      <c r="DI268" s="108">
        <v>31.7</v>
      </c>
      <c r="DJ268" s="108">
        <v>35.599999999999994</v>
      </c>
      <c r="DK268" s="140">
        <v>45.8</v>
      </c>
      <c r="DL268" s="158">
        <f t="shared" ref="DL268:DO270" si="458">DL256+DL262</f>
        <v>28.9</v>
      </c>
      <c r="DM268" s="102">
        <f t="shared" si="458"/>
        <v>34</v>
      </c>
      <c r="DN268" s="102">
        <f t="shared" si="458"/>
        <v>34.700000000000003</v>
      </c>
      <c r="DO268" s="102">
        <f t="shared" si="458"/>
        <v>36.700000000000003</v>
      </c>
    </row>
    <row r="269" spans="76:119" x14ac:dyDescent="0.25">
      <c r="BX269" s="303"/>
      <c r="BY269" s="303"/>
      <c r="BZ269" s="303"/>
      <c r="CA269" s="303"/>
      <c r="CB269" s="21"/>
      <c r="CC269" s="21">
        <v>3</v>
      </c>
      <c r="CD269" s="139">
        <v>26.3</v>
      </c>
      <c r="CE269" s="108">
        <v>26.6</v>
      </c>
      <c r="CF269" s="112">
        <v>28.6</v>
      </c>
      <c r="CG269" s="112">
        <v>29.8</v>
      </c>
      <c r="CH269" s="108">
        <v>29.8</v>
      </c>
      <c r="CI269" s="108">
        <v>31.6</v>
      </c>
      <c r="CJ269" s="108"/>
      <c r="CK269" s="108"/>
      <c r="CL269" s="108">
        <v>35.5</v>
      </c>
      <c r="CM269" s="140">
        <v>34.700000000000003</v>
      </c>
      <c r="CN269" s="138">
        <v>29.8</v>
      </c>
      <c r="CO269" s="103">
        <v>34.700000000000003</v>
      </c>
      <c r="CP269" s="103">
        <v>37.6</v>
      </c>
      <c r="CQ269" s="103">
        <v>40.1</v>
      </c>
      <c r="CR269" s="103">
        <v>32.799999999999997</v>
      </c>
      <c r="CS269" s="103">
        <v>35.5</v>
      </c>
      <c r="CT269" s="103">
        <v>31.8</v>
      </c>
      <c r="CU269" s="132"/>
      <c r="CV269" s="137">
        <v>36.9</v>
      </c>
      <c r="CW269" s="139">
        <v>36</v>
      </c>
      <c r="CX269" s="108">
        <v>42.2</v>
      </c>
      <c r="CY269" s="137">
        <v>35.799999999999997</v>
      </c>
      <c r="CZ269" s="139">
        <v>29.2</v>
      </c>
      <c r="DA269" s="108">
        <v>30</v>
      </c>
      <c r="DB269" s="108">
        <v>34.4</v>
      </c>
      <c r="DC269" s="108">
        <v>35.4</v>
      </c>
      <c r="DD269" s="108">
        <v>34.700000000000003</v>
      </c>
      <c r="DE269" s="108">
        <v>40.199999999999996</v>
      </c>
      <c r="DF269" s="108">
        <v>37.6</v>
      </c>
      <c r="DG269" s="108">
        <v>40.1</v>
      </c>
      <c r="DH269" s="108">
        <v>32.200000000000003</v>
      </c>
      <c r="DI269" s="108">
        <v>34.4</v>
      </c>
      <c r="DJ269" s="108">
        <v>38.6</v>
      </c>
      <c r="DK269" s="140">
        <v>52.3</v>
      </c>
      <c r="DL269" s="158">
        <f t="shared" si="458"/>
        <v>31</v>
      </c>
      <c r="DM269" s="102">
        <f t="shared" si="458"/>
        <v>36.5</v>
      </c>
      <c r="DN269" s="102">
        <f t="shared" si="458"/>
        <v>37.299999999999997</v>
      </c>
      <c r="DO269" s="102">
        <f t="shared" si="458"/>
        <v>39.6</v>
      </c>
    </row>
    <row r="270" spans="76:119" x14ac:dyDescent="0.25">
      <c r="BX270" s="303"/>
      <c r="BY270" s="303"/>
      <c r="BZ270" s="303"/>
      <c r="CA270" s="303"/>
      <c r="CB270" s="21"/>
      <c r="CC270" s="21">
        <v>4</v>
      </c>
      <c r="CD270" s="139">
        <v>27.7</v>
      </c>
      <c r="CE270" s="108">
        <v>28</v>
      </c>
      <c r="CF270" s="112">
        <v>30.5</v>
      </c>
      <c r="CG270" s="112">
        <v>31.7</v>
      </c>
      <c r="CH270" s="108">
        <v>31.7</v>
      </c>
      <c r="CI270" s="108">
        <v>33.6</v>
      </c>
      <c r="CJ270" s="108"/>
      <c r="CK270" s="108"/>
      <c r="CL270" s="108">
        <v>37.700000000000003</v>
      </c>
      <c r="CM270" s="140">
        <v>36.9</v>
      </c>
      <c r="CN270" s="138">
        <v>31.7</v>
      </c>
      <c r="CO270" s="103">
        <v>36.9</v>
      </c>
      <c r="CP270" s="103">
        <v>39.799999999999997</v>
      </c>
      <c r="CQ270" s="103">
        <v>42.3</v>
      </c>
      <c r="CR270" s="103">
        <v>34.6</v>
      </c>
      <c r="CS270" s="103">
        <v>37.700000000000003</v>
      </c>
      <c r="CT270" s="103">
        <v>38.799999999999997</v>
      </c>
      <c r="CU270" s="132"/>
      <c r="CV270" s="137">
        <v>40.4</v>
      </c>
      <c r="CW270" s="139">
        <v>38.200000000000003</v>
      </c>
      <c r="CX270" s="108">
        <v>44.6</v>
      </c>
      <c r="CY270" s="137">
        <v>38</v>
      </c>
      <c r="CZ270" s="139">
        <v>30.799999999999997</v>
      </c>
      <c r="DA270" s="108">
        <v>31.599999999999998</v>
      </c>
      <c r="DB270" s="108">
        <v>36.6</v>
      </c>
      <c r="DC270" s="108">
        <v>37.200000000000003</v>
      </c>
      <c r="DD270" s="108">
        <v>36.9</v>
      </c>
      <c r="DE270" s="108">
        <v>42.599999999999994</v>
      </c>
      <c r="DF270" s="108">
        <v>39.799999999999997</v>
      </c>
      <c r="DG270" s="108">
        <v>42.3</v>
      </c>
      <c r="DH270" s="108">
        <v>33.700000000000003</v>
      </c>
      <c r="DI270" s="108">
        <v>36.1</v>
      </c>
      <c r="DJ270" s="108">
        <v>41.300000000000004</v>
      </c>
      <c r="DK270" s="140">
        <v>56.5</v>
      </c>
      <c r="DL270" s="158">
        <f t="shared" si="458"/>
        <v>32.299999999999997</v>
      </c>
      <c r="DM270" s="102">
        <f t="shared" si="458"/>
        <v>38.200000000000003</v>
      </c>
      <c r="DN270" s="102">
        <f t="shared" si="458"/>
        <v>38.9</v>
      </c>
      <c r="DO270" s="102">
        <f t="shared" si="458"/>
        <v>41.2</v>
      </c>
    </row>
    <row r="271" spans="76:119" x14ac:dyDescent="0.25">
      <c r="BX271" s="303"/>
      <c r="BY271" s="303"/>
      <c r="BZ271" s="303"/>
      <c r="CA271" s="303"/>
      <c r="CB271" s="17"/>
      <c r="CC271" s="21">
        <v>5</v>
      </c>
      <c r="CD271" s="139">
        <v>28.9</v>
      </c>
      <c r="CE271" s="108">
        <v>29.3</v>
      </c>
      <c r="CF271" s="112">
        <v>32</v>
      </c>
      <c r="CG271" s="112">
        <v>33.200000000000003</v>
      </c>
      <c r="CH271" s="108">
        <v>33.200000000000003</v>
      </c>
      <c r="CI271" s="108">
        <v>34.9</v>
      </c>
      <c r="CJ271" s="108"/>
      <c r="CK271" s="108"/>
      <c r="CL271" s="108">
        <v>39</v>
      </c>
      <c r="CM271" s="140">
        <v>38.200000000000003</v>
      </c>
      <c r="CN271" s="138">
        <v>33.200000000000003</v>
      </c>
      <c r="CO271" s="103">
        <v>38.200000000000003</v>
      </c>
      <c r="CP271" s="103">
        <v>41.1</v>
      </c>
      <c r="CQ271" s="103"/>
      <c r="CR271" s="103"/>
      <c r="CS271" s="103">
        <v>39</v>
      </c>
      <c r="CT271" s="103"/>
      <c r="CU271" s="132"/>
      <c r="CV271" s="136"/>
      <c r="CW271" s="139">
        <v>39.5</v>
      </c>
      <c r="CX271" s="108">
        <v>45.9</v>
      </c>
      <c r="CY271" s="136"/>
      <c r="CZ271" s="139">
        <v>32.299999999999997</v>
      </c>
      <c r="DA271" s="108">
        <v>32.9</v>
      </c>
      <c r="DB271" s="108">
        <v>38.200000000000003</v>
      </c>
      <c r="DC271" s="108">
        <v>39</v>
      </c>
      <c r="DD271" s="108">
        <v>38.4</v>
      </c>
      <c r="DE271" s="108">
        <v>44.599999999999994</v>
      </c>
      <c r="DF271" s="108">
        <v>41.1</v>
      </c>
      <c r="DG271" s="108">
        <v>44.1</v>
      </c>
      <c r="DH271" s="108">
        <v>34.9</v>
      </c>
      <c r="DI271" s="108">
        <v>37.4</v>
      </c>
      <c r="DJ271" s="108">
        <v>43.1</v>
      </c>
      <c r="DK271" s="140">
        <v>60.4</v>
      </c>
      <c r="DL271" s="158"/>
      <c r="DM271" s="102"/>
      <c r="DN271" s="102"/>
      <c r="DO271" s="102"/>
    </row>
    <row r="272" spans="76:119" x14ac:dyDescent="0.25">
      <c r="BX272" s="17"/>
      <c r="BY272" s="17"/>
      <c r="BZ272" s="17"/>
      <c r="CA272" s="17"/>
      <c r="CB272" s="17"/>
      <c r="CC272" s="17"/>
      <c r="CD272" s="135"/>
      <c r="CE272" s="94"/>
      <c r="CF272" s="111"/>
      <c r="CG272" s="111"/>
      <c r="CH272" s="94"/>
      <c r="CI272" s="94"/>
      <c r="CJ272" s="94"/>
      <c r="CK272" s="94"/>
      <c r="CL272" s="94"/>
      <c r="CM272" s="141"/>
      <c r="CN272" s="138"/>
      <c r="CO272" s="103"/>
      <c r="CP272" s="103"/>
      <c r="CQ272" s="103"/>
      <c r="CR272" s="103"/>
      <c r="CS272" s="103"/>
      <c r="CT272" s="103"/>
      <c r="CU272" s="132"/>
      <c r="CV272" s="136"/>
      <c r="CW272" s="135"/>
      <c r="CX272" s="94"/>
      <c r="CY272" s="136"/>
      <c r="CZ272" s="135"/>
      <c r="DA272" s="107"/>
      <c r="DB272" s="107"/>
      <c r="DC272" s="107"/>
      <c r="DD272" s="107"/>
      <c r="DE272" s="107"/>
      <c r="DF272" s="94"/>
      <c r="DG272" s="94"/>
      <c r="DH272" s="94"/>
      <c r="DI272" s="94"/>
      <c r="DJ272" s="94"/>
      <c r="DK272" s="141"/>
      <c r="DL272" s="158"/>
      <c r="DM272" s="102"/>
      <c r="DN272" s="102"/>
      <c r="DO272" s="102"/>
    </row>
    <row r="273" spans="76:119" x14ac:dyDescent="0.25">
      <c r="BX273" s="18" t="s">
        <v>121</v>
      </c>
      <c r="BY273" s="18"/>
      <c r="BZ273" s="18"/>
      <c r="CA273" s="18"/>
      <c r="CB273" s="17"/>
      <c r="CC273" s="21">
        <v>1</v>
      </c>
      <c r="CD273" s="142">
        <v>2.65</v>
      </c>
      <c r="CE273" s="109">
        <v>2.64</v>
      </c>
      <c r="CF273" s="113">
        <v>2.5</v>
      </c>
      <c r="CG273" s="113">
        <v>2.4</v>
      </c>
      <c r="CH273" s="109">
        <v>2.4</v>
      </c>
      <c r="CI273" s="109">
        <v>2.21</v>
      </c>
      <c r="CJ273" s="109"/>
      <c r="CK273" s="109"/>
      <c r="CL273" s="109">
        <v>2.0299999999999998</v>
      </c>
      <c r="CM273" s="154">
        <v>2.0699999999999998</v>
      </c>
      <c r="CN273" s="138">
        <v>2.4</v>
      </c>
      <c r="CO273" s="103">
        <v>2.0699999999999998</v>
      </c>
      <c r="CP273" s="103">
        <v>1.9</v>
      </c>
      <c r="CQ273" s="103">
        <v>1.72</v>
      </c>
      <c r="CR273" s="103">
        <v>2.16</v>
      </c>
      <c r="CS273" s="103">
        <v>2.0299999999999998</v>
      </c>
      <c r="CT273" s="103"/>
      <c r="CU273" s="132">
        <v>1.1100000000000001</v>
      </c>
      <c r="CV273" s="136"/>
      <c r="CW273" s="142">
        <v>1.98</v>
      </c>
      <c r="CX273" s="97">
        <v>1.74</v>
      </c>
      <c r="CY273" s="136"/>
      <c r="CZ273" s="142">
        <v>2.4291497975708505</v>
      </c>
      <c r="DA273" s="109">
        <v>2.34375</v>
      </c>
      <c r="DB273" s="109"/>
      <c r="DC273" s="109">
        <v>2.0270270270270268</v>
      </c>
      <c r="DD273" s="109">
        <v>2.0547945205479454</v>
      </c>
      <c r="DE273" s="109">
        <v>1.7241379310344829</v>
      </c>
      <c r="DF273" s="97">
        <v>1.9</v>
      </c>
      <c r="DG273" s="97">
        <v>1.7191977077363898</v>
      </c>
      <c r="DH273" s="97">
        <v>2.214022140221402</v>
      </c>
      <c r="DI273" s="116">
        <v>2.0833333333333335</v>
      </c>
      <c r="DJ273" s="116">
        <v>1.8575851393188856</v>
      </c>
      <c r="DK273" s="143"/>
      <c r="DL273" s="158"/>
      <c r="DM273" s="102"/>
      <c r="DN273" s="102"/>
      <c r="DO273" s="102"/>
    </row>
    <row r="274" spans="76:119" x14ac:dyDescent="0.25">
      <c r="BX274" s="17"/>
      <c r="BY274" s="17"/>
      <c r="BZ274" s="17"/>
      <c r="CA274" s="17"/>
      <c r="CB274" s="17"/>
      <c r="CC274" s="21">
        <v>2</v>
      </c>
      <c r="CD274" s="142">
        <v>2.42</v>
      </c>
      <c r="CE274" s="109">
        <v>2.41</v>
      </c>
      <c r="CF274" s="113">
        <v>2.2599999999999998</v>
      </c>
      <c r="CG274" s="113">
        <v>2.17</v>
      </c>
      <c r="CH274" s="109">
        <v>2.17</v>
      </c>
      <c r="CI274" s="109">
        <v>2.04</v>
      </c>
      <c r="CJ274" s="109"/>
      <c r="CK274" s="109"/>
      <c r="CL274" s="109">
        <v>1.83</v>
      </c>
      <c r="CM274" s="154">
        <v>1.87</v>
      </c>
      <c r="CN274" s="138">
        <v>2.17</v>
      </c>
      <c r="CO274" s="103">
        <v>1.87</v>
      </c>
      <c r="CP274" s="103">
        <v>1.72</v>
      </c>
      <c r="CQ274" s="103">
        <v>1.6</v>
      </c>
      <c r="CR274" s="103">
        <v>1.98</v>
      </c>
      <c r="CS274" s="103">
        <v>1.83</v>
      </c>
      <c r="CT274" s="103"/>
      <c r="CU274" s="132"/>
      <c r="CV274" s="136"/>
      <c r="CW274" s="142">
        <v>1.8</v>
      </c>
      <c r="CX274" s="97">
        <v>1.55</v>
      </c>
      <c r="CY274" s="136"/>
      <c r="CZ274" s="142">
        <v>2.2304832713754643</v>
      </c>
      <c r="DA274" s="109">
        <v>2.1582733812949639</v>
      </c>
      <c r="DB274" s="109"/>
      <c r="DC274" s="109">
        <v>1.8292682926829269</v>
      </c>
      <c r="DD274" s="109">
        <v>1.8808777429467083</v>
      </c>
      <c r="DE274" s="109">
        <v>1.595744680851064</v>
      </c>
      <c r="DF274" s="97">
        <v>1.72</v>
      </c>
      <c r="DG274" s="97">
        <v>1.5957446808510638</v>
      </c>
      <c r="DH274" s="97">
        <v>2.0270270270270268</v>
      </c>
      <c r="DI274" s="116">
        <v>1.8927444794952681</v>
      </c>
      <c r="DJ274" s="116">
        <v>1.6853932584269666</v>
      </c>
      <c r="DK274" s="143"/>
      <c r="DL274" s="158"/>
      <c r="DM274" s="102"/>
      <c r="DN274" s="102"/>
      <c r="DO274" s="102"/>
    </row>
    <row r="275" spans="76:119" x14ac:dyDescent="0.25">
      <c r="BX275" s="17"/>
      <c r="BY275" s="17"/>
      <c r="BZ275" s="17"/>
      <c r="CA275" s="17"/>
      <c r="CB275" s="17"/>
      <c r="CC275" s="21">
        <v>3</v>
      </c>
      <c r="CD275" s="142">
        <v>2.2799999999999998</v>
      </c>
      <c r="CE275" s="109">
        <v>2.2599999999999998</v>
      </c>
      <c r="CF275" s="113">
        <v>2.1</v>
      </c>
      <c r="CG275" s="113">
        <v>2.0099999999999998</v>
      </c>
      <c r="CH275" s="109">
        <v>2.0099999999999998</v>
      </c>
      <c r="CI275" s="109">
        <v>1.9</v>
      </c>
      <c r="CJ275" s="109"/>
      <c r="CK275" s="109"/>
      <c r="CL275" s="109">
        <v>1.69</v>
      </c>
      <c r="CM275" s="154">
        <v>1.73</v>
      </c>
      <c r="CN275" s="138">
        <v>2.0099999999999998</v>
      </c>
      <c r="CO275" s="103">
        <v>1.73</v>
      </c>
      <c r="CP275" s="103">
        <v>1.6</v>
      </c>
      <c r="CQ275" s="103">
        <v>1.5</v>
      </c>
      <c r="CR275" s="103">
        <v>1.83</v>
      </c>
      <c r="CS275" s="103">
        <v>1.69</v>
      </c>
      <c r="CT275" s="103"/>
      <c r="CU275" s="132"/>
      <c r="CV275" s="136"/>
      <c r="CW275" s="142">
        <v>1.67</v>
      </c>
      <c r="CX275" s="97">
        <v>1.42</v>
      </c>
      <c r="CY275" s="136"/>
      <c r="CZ275" s="142">
        <v>2.0547945205479454</v>
      </c>
      <c r="DA275" s="109">
        <v>2</v>
      </c>
      <c r="DB275" s="109"/>
      <c r="DC275" s="109">
        <v>1.6949152542372883</v>
      </c>
      <c r="DD275" s="109">
        <v>1.7291066282420748</v>
      </c>
      <c r="DE275" s="109">
        <v>1.4925373134328359</v>
      </c>
      <c r="DF275" s="97">
        <v>1.6</v>
      </c>
      <c r="DG275" s="97">
        <v>1.4962593516209475</v>
      </c>
      <c r="DH275" s="97">
        <v>1.8633540372670805</v>
      </c>
      <c r="DI275" s="116">
        <v>1.7441860465116279</v>
      </c>
      <c r="DJ275" s="116">
        <v>1.5544041450777202</v>
      </c>
      <c r="DK275" s="143"/>
      <c r="DL275" s="158"/>
      <c r="DM275" s="102"/>
      <c r="DN275" s="102"/>
      <c r="DO275" s="102"/>
    </row>
    <row r="276" spans="76:119" x14ac:dyDescent="0.25">
      <c r="BX276" s="17"/>
      <c r="BY276" s="17"/>
      <c r="BZ276" s="17"/>
      <c r="CA276" s="17"/>
      <c r="CB276" s="17"/>
      <c r="CC276" s="21">
        <v>4</v>
      </c>
      <c r="CD276" s="142">
        <v>2.17</v>
      </c>
      <c r="CE276" s="109">
        <v>2.14</v>
      </c>
      <c r="CF276" s="113">
        <v>1.97</v>
      </c>
      <c r="CG276" s="113">
        <v>1.89</v>
      </c>
      <c r="CH276" s="109">
        <v>1.89</v>
      </c>
      <c r="CI276" s="109">
        <v>1.79</v>
      </c>
      <c r="CJ276" s="109"/>
      <c r="CK276" s="109"/>
      <c r="CL276" s="109">
        <v>1.59</v>
      </c>
      <c r="CM276" s="154">
        <v>1.63</v>
      </c>
      <c r="CN276" s="138">
        <v>1.89</v>
      </c>
      <c r="CO276" s="103">
        <v>1.63</v>
      </c>
      <c r="CP276" s="103">
        <v>1.51</v>
      </c>
      <c r="CQ276" s="103">
        <v>1.42</v>
      </c>
      <c r="CR276" s="103">
        <v>1.8</v>
      </c>
      <c r="CS276" s="103">
        <v>1.59</v>
      </c>
      <c r="CT276" s="103"/>
      <c r="CU276" s="132"/>
      <c r="CV276" s="136"/>
      <c r="CW276" s="142">
        <v>1.57</v>
      </c>
      <c r="CX276" s="97">
        <v>1.35</v>
      </c>
      <c r="CY276" s="136"/>
      <c r="CZ276" s="142">
        <v>1.9480519480519483</v>
      </c>
      <c r="DA276" s="109">
        <v>1.89873417721519</v>
      </c>
      <c r="DB276" s="109"/>
      <c r="DC276" s="109">
        <v>1.6129032258064515</v>
      </c>
      <c r="DD276" s="109">
        <v>1.6260162601626016</v>
      </c>
      <c r="DE276" s="109">
        <v>1.4084507042253522</v>
      </c>
      <c r="DF276" s="97">
        <v>1.51</v>
      </c>
      <c r="DG276" s="97">
        <v>1.4184397163120568</v>
      </c>
      <c r="DH276" s="97">
        <v>1.7804154302670621</v>
      </c>
      <c r="DI276" s="116">
        <v>1.6620498614958448</v>
      </c>
      <c r="DJ276" s="116">
        <v>1.4527845036319611</v>
      </c>
      <c r="DK276" s="143"/>
      <c r="DL276" s="158"/>
      <c r="DM276" s="102"/>
      <c r="DN276" s="102"/>
      <c r="DO276" s="102"/>
    </row>
    <row r="277" spans="76:119" ht="16.5" thickBot="1" x14ac:dyDescent="0.3">
      <c r="BX277" s="17"/>
      <c r="BY277" s="17"/>
      <c r="BZ277" s="17"/>
      <c r="CA277" s="17"/>
      <c r="CB277" s="32"/>
      <c r="CC277" s="21">
        <v>5</v>
      </c>
      <c r="CD277" s="144">
        <v>2.08</v>
      </c>
      <c r="CE277" s="145">
        <v>2.0499999999999998</v>
      </c>
      <c r="CF277" s="155">
        <v>1.88</v>
      </c>
      <c r="CG277" s="155">
        <v>1.81</v>
      </c>
      <c r="CH277" s="145">
        <v>1.81</v>
      </c>
      <c r="CI277" s="145">
        <v>1.72</v>
      </c>
      <c r="CJ277" s="145"/>
      <c r="CK277" s="145"/>
      <c r="CL277" s="145">
        <v>1.54</v>
      </c>
      <c r="CM277" s="156">
        <v>1.57</v>
      </c>
      <c r="CN277" s="149">
        <v>1.81</v>
      </c>
      <c r="CO277" s="150">
        <v>1.57</v>
      </c>
      <c r="CP277" s="150">
        <v>1.46</v>
      </c>
      <c r="CQ277" s="150"/>
      <c r="CR277" s="150"/>
      <c r="CS277" s="150">
        <v>1.54</v>
      </c>
      <c r="CT277" s="150"/>
      <c r="CU277" s="157"/>
      <c r="CV277" s="151"/>
      <c r="CW277" s="144">
        <v>1.52</v>
      </c>
      <c r="CX277" s="146">
        <v>1.31</v>
      </c>
      <c r="CY277" s="151"/>
      <c r="CZ277" s="144">
        <v>1.8575851393188856</v>
      </c>
      <c r="DA277" s="145">
        <v>1.8237082066869301</v>
      </c>
      <c r="DB277" s="145"/>
      <c r="DC277" s="145">
        <v>1.5384615384615385</v>
      </c>
      <c r="DD277" s="145">
        <v>1.5625</v>
      </c>
      <c r="DE277" s="145">
        <v>1.3452914798206279</v>
      </c>
      <c r="DF277" s="146">
        <v>1.46</v>
      </c>
      <c r="DG277" s="146">
        <v>1.3605442176870748</v>
      </c>
      <c r="DH277" s="146">
        <v>1.7191977077363898</v>
      </c>
      <c r="DI277" s="160">
        <v>1.6042780748663101</v>
      </c>
      <c r="DJ277" s="160">
        <v>1.3921113689095128</v>
      </c>
      <c r="DK277" s="147"/>
      <c r="DL277" s="164"/>
      <c r="DM277" s="148"/>
      <c r="DN277" s="148"/>
      <c r="DO277" s="148"/>
    </row>
  </sheetData>
  <mergeCells count="51">
    <mergeCell ref="B50:B51"/>
    <mergeCell ref="B52:B53"/>
    <mergeCell ref="B74:B77"/>
    <mergeCell ref="C75:C77"/>
    <mergeCell ref="D74:D75"/>
    <mergeCell ref="B78:B81"/>
    <mergeCell ref="D78:D79"/>
    <mergeCell ref="C79:C81"/>
    <mergeCell ref="D66:D67"/>
    <mergeCell ref="C67:C69"/>
    <mergeCell ref="B66:B69"/>
    <mergeCell ref="B70:B73"/>
    <mergeCell ref="C71:C73"/>
    <mergeCell ref="D70:D71"/>
    <mergeCell ref="DL252:DO252"/>
    <mergeCell ref="CB197:CC197"/>
    <mergeCell ref="CB198:CC198"/>
    <mergeCell ref="DB201:DC201"/>
    <mergeCell ref="CF207:CF211"/>
    <mergeCell ref="CF213:CF217"/>
    <mergeCell ref="CF219:CF223"/>
    <mergeCell ref="DE240:DF240"/>
    <mergeCell ref="CD252:CM252"/>
    <mergeCell ref="CN252:CV252"/>
    <mergeCell ref="CW252:CY252"/>
    <mergeCell ref="CZ252:DK252"/>
    <mergeCell ref="D2:D5"/>
    <mergeCell ref="C7:C9"/>
    <mergeCell ref="B10:B12"/>
    <mergeCell ref="C10:C12"/>
    <mergeCell ref="B13:B15"/>
    <mergeCell ref="C13:C15"/>
    <mergeCell ref="B2:B5"/>
    <mergeCell ref="C2:C5"/>
    <mergeCell ref="B16:B18"/>
    <mergeCell ref="C16:C18"/>
    <mergeCell ref="B19:B21"/>
    <mergeCell ref="C19:C21"/>
    <mergeCell ref="B7:B9"/>
    <mergeCell ref="B22:B24"/>
    <mergeCell ref="C22:C24"/>
    <mergeCell ref="B27:B29"/>
    <mergeCell ref="C27:C29"/>
    <mergeCell ref="B30:B32"/>
    <mergeCell ref="C30:C32"/>
    <mergeCell ref="B34:B36"/>
    <mergeCell ref="C34:C36"/>
    <mergeCell ref="B37:B39"/>
    <mergeCell ref="C37:C39"/>
    <mergeCell ref="C40:C42"/>
    <mergeCell ref="B40:B42"/>
  </mergeCells>
  <printOptions horizontalCentered="1"/>
  <pageMargins left="0.70866141732283472" right="0.70866141732283472" top="0" bottom="0" header="0.31496062992125984" footer="0.31496062992125984"/>
  <pageSetup paperSize="9" scale="52" fitToWidth="6" orientation="landscape" r:id="rId1"/>
  <ignoredErrors>
    <ignoredError sqref="D51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zoomScaleNormal="100" workbookViewId="0">
      <selection activeCell="D1" sqref="D1"/>
    </sheetView>
  </sheetViews>
  <sheetFormatPr defaultRowHeight="12.75" x14ac:dyDescent="0.2"/>
  <sheetData>
    <row r="1" spans="1:2" x14ac:dyDescent="0.2">
      <c r="A1" t="s">
        <v>381</v>
      </c>
      <c r="B1" t="s">
        <v>3</v>
      </c>
    </row>
    <row r="2" spans="1:2" x14ac:dyDescent="0.2">
      <c r="B2" t="s">
        <v>529</v>
      </c>
    </row>
    <row r="3" spans="1:2" x14ac:dyDescent="0.2">
      <c r="B3" t="s">
        <v>530</v>
      </c>
    </row>
    <row r="4" spans="1:2" x14ac:dyDescent="0.2">
      <c r="B4" t="s">
        <v>531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Календарь</vt:lpstr>
      <vt:lpstr>Самосвалы</vt:lpstr>
      <vt:lpstr>Бурстанки</vt:lpstr>
      <vt:lpstr>Бульдозера</vt:lpstr>
      <vt:lpstr>Оборудование</vt:lpstr>
      <vt:lpstr>Экскаваторы II</vt:lpstr>
      <vt:lpstr>Лист1</vt:lpstr>
      <vt:lpstr>'Экскаваторы II'!Заголовки_для_печати</vt:lpstr>
      <vt:lpstr>Календарь!Область_печати</vt:lpstr>
    </vt:vector>
  </TitlesOfParts>
  <Company>КГШ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ООР</dc:creator>
  <cp:lastModifiedBy>Дворовенко Дмитрий Игоревич</cp:lastModifiedBy>
  <cp:lastPrinted>2017-06-19T03:49:58Z</cp:lastPrinted>
  <dcterms:created xsi:type="dcterms:W3CDTF">2000-09-05T06:00:25Z</dcterms:created>
  <dcterms:modified xsi:type="dcterms:W3CDTF">2017-08-22T10:26:49Z</dcterms:modified>
</cp:coreProperties>
</file>