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neha\MY THINGS\_DATA SCIENCE\DS Projects\"/>
    </mc:Choice>
  </mc:AlternateContent>
  <xr:revisionPtr revIDLastSave="0" documentId="13_ncr:1_{D38169F2-5E7A-4261-8C4B-401DC61877F4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NZ Staff" sheetId="3" r:id="rId1"/>
    <sheet name="India Staff" sheetId="2" r:id="rId2"/>
    <sheet name="All Staff" sheetId="5" r:id="rId3"/>
    <sheet name="Pivot Tables" sheetId="7" r:id="rId4"/>
    <sheet name="Analysis" sheetId="8" r:id="rId5"/>
    <sheet name="NZ vs IND Report" sheetId="9" r:id="rId6"/>
  </sheets>
  <definedNames>
    <definedName name="_xlnm._FilterDatabase" localSheetId="1" hidden="1">'India Staff'!$B$2:$H$114</definedName>
    <definedName name="_xlchart.v1.0" hidden="1">'All Staff'!$G$1</definedName>
    <definedName name="_xlchart.v1.1" hidden="1">'All Staff'!$G$2:$G$185</definedName>
    <definedName name="_xlchart.v1.2" hidden="1">'All Staff'!$G$1</definedName>
    <definedName name="_xlchart.v1.3" hidden="1">'All Staff'!$G$2:$G$185</definedName>
    <definedName name="ExternalData_1" localSheetId="2" hidden="1">'All Staff'!$A$1:$H$184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8" l="1"/>
  <c r="M6" i="8"/>
  <c r="M9" i="8"/>
  <c r="M8" i="8"/>
  <c r="M7" i="8"/>
  <c r="N7" i="9"/>
  <c r="L7" i="9"/>
  <c r="J7" i="9"/>
  <c r="G7" i="9"/>
  <c r="E7" i="9"/>
  <c r="C7" i="9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2" i="5"/>
  <c r="N24" i="5"/>
  <c r="N23" i="5"/>
  <c r="N22" i="5"/>
  <c r="N21" i="5"/>
  <c r="N20" i="5"/>
  <c r="N19" i="5"/>
  <c r="N18" i="5"/>
  <c r="N11" i="5"/>
  <c r="N9" i="5"/>
  <c r="I162" i="5"/>
  <c r="J162" i="5" s="1"/>
  <c r="I18" i="5"/>
  <c r="J18" i="5" s="1"/>
  <c r="I142" i="5"/>
  <c r="J142" i="5" s="1"/>
  <c r="I20" i="5"/>
  <c r="J20" i="5" s="1"/>
  <c r="I175" i="5"/>
  <c r="J175" i="5" s="1"/>
  <c r="I46" i="5"/>
  <c r="J46" i="5" s="1"/>
  <c r="I130" i="5"/>
  <c r="J130" i="5" s="1"/>
  <c r="I124" i="5"/>
  <c r="J124" i="5" s="1"/>
  <c r="I90" i="5"/>
  <c r="J90" i="5" s="1"/>
  <c r="I156" i="5"/>
  <c r="J156" i="5" s="1"/>
  <c r="I146" i="5"/>
  <c r="J146" i="5" s="1"/>
  <c r="I134" i="5"/>
  <c r="J134" i="5" s="1"/>
  <c r="I24" i="5"/>
  <c r="J24" i="5" s="1"/>
  <c r="I8" i="5"/>
  <c r="J8" i="5" s="1"/>
  <c r="I163" i="5"/>
  <c r="J163" i="5" s="1"/>
  <c r="I32" i="5"/>
  <c r="J32" i="5" s="1"/>
  <c r="I181" i="5"/>
  <c r="J181" i="5" s="1"/>
  <c r="I82" i="5"/>
  <c r="J82" i="5" s="1"/>
  <c r="I108" i="5"/>
  <c r="J108" i="5" s="1"/>
  <c r="I102" i="5"/>
  <c r="J102" i="5" s="1"/>
  <c r="I44" i="5"/>
  <c r="J44" i="5" s="1"/>
  <c r="I120" i="5"/>
  <c r="J120" i="5" s="1"/>
  <c r="I6" i="5"/>
  <c r="J6" i="5" s="1"/>
  <c r="I92" i="5"/>
  <c r="J92" i="5" s="1"/>
  <c r="I10" i="5"/>
  <c r="J10" i="5" s="1"/>
  <c r="I140" i="5"/>
  <c r="J140" i="5" s="1"/>
  <c r="I50" i="5"/>
  <c r="J50" i="5" s="1"/>
  <c r="I171" i="5"/>
  <c r="J171" i="5" s="1"/>
  <c r="I12" i="5"/>
  <c r="J12" i="5" s="1"/>
  <c r="I160" i="5"/>
  <c r="J160" i="5" s="1"/>
  <c r="I22" i="5"/>
  <c r="J22" i="5" s="1"/>
  <c r="I70" i="5"/>
  <c r="J70" i="5" s="1"/>
  <c r="I138" i="5"/>
  <c r="J138" i="5" s="1"/>
  <c r="I110" i="5"/>
  <c r="J110" i="5" s="1"/>
  <c r="I34" i="5"/>
  <c r="J34" i="5" s="1"/>
  <c r="I158" i="5"/>
  <c r="J158" i="5" s="1"/>
  <c r="I183" i="5"/>
  <c r="J183" i="5" s="1"/>
  <c r="I165" i="5"/>
  <c r="J165" i="5" s="1"/>
  <c r="I173" i="5"/>
  <c r="J173" i="5" s="1"/>
  <c r="I30" i="5"/>
  <c r="J30" i="5" s="1"/>
  <c r="I98" i="5"/>
  <c r="J98" i="5" s="1"/>
  <c r="I36" i="5"/>
  <c r="J36" i="5" s="1"/>
  <c r="I114" i="5"/>
  <c r="J114" i="5" s="1"/>
  <c r="I2" i="5"/>
  <c r="J2" i="5" s="1"/>
  <c r="I94" i="5"/>
  <c r="J94" i="5" s="1"/>
  <c r="I52" i="5"/>
  <c r="J52" i="5" s="1"/>
  <c r="I148" i="5"/>
  <c r="J148" i="5" s="1"/>
  <c r="I48" i="5"/>
  <c r="J48" i="5" s="1"/>
  <c r="I126" i="5"/>
  <c r="J126" i="5" s="1"/>
  <c r="I84" i="5"/>
  <c r="J84" i="5" s="1"/>
  <c r="I100" i="5"/>
  <c r="J100" i="5" s="1"/>
  <c r="I122" i="5"/>
  <c r="J122" i="5" s="1"/>
  <c r="I60" i="5"/>
  <c r="J60" i="5" s="1"/>
  <c r="I177" i="5"/>
  <c r="J177" i="5" s="1"/>
  <c r="I66" i="5"/>
  <c r="J66" i="5" s="1"/>
  <c r="I64" i="5"/>
  <c r="J64" i="5" s="1"/>
  <c r="I128" i="5"/>
  <c r="J128" i="5" s="1"/>
  <c r="I28" i="5"/>
  <c r="J28" i="5" s="1"/>
  <c r="I112" i="5"/>
  <c r="J112" i="5" s="1"/>
  <c r="I118" i="5"/>
  <c r="J118" i="5" s="1"/>
  <c r="I76" i="5"/>
  <c r="J76" i="5" s="1"/>
  <c r="I38" i="5"/>
  <c r="J38" i="5" s="1"/>
  <c r="I16" i="5"/>
  <c r="J16" i="5" s="1"/>
  <c r="I154" i="5"/>
  <c r="J154" i="5" s="1"/>
  <c r="I136" i="5"/>
  <c r="J136" i="5" s="1"/>
  <c r="I14" i="5"/>
  <c r="J14" i="5" s="1"/>
  <c r="I88" i="5"/>
  <c r="J88" i="5" s="1"/>
  <c r="I167" i="5"/>
  <c r="J167" i="5" s="1"/>
  <c r="I116" i="5"/>
  <c r="J116" i="5" s="1"/>
  <c r="I39" i="5"/>
  <c r="J39" i="5" s="1"/>
  <c r="I78" i="5"/>
  <c r="J78" i="5" s="1"/>
  <c r="I72" i="5"/>
  <c r="J72" i="5" s="1"/>
  <c r="I80" i="5"/>
  <c r="J80" i="5" s="1"/>
  <c r="I58" i="5"/>
  <c r="J58" i="5" s="1"/>
  <c r="I150" i="5"/>
  <c r="J150" i="5" s="1"/>
  <c r="I179" i="5"/>
  <c r="J179" i="5" s="1"/>
  <c r="I104" i="5"/>
  <c r="J104" i="5" s="1"/>
  <c r="I169" i="5"/>
  <c r="J169" i="5" s="1"/>
  <c r="I144" i="5"/>
  <c r="J144" i="5" s="1"/>
  <c r="I74" i="5"/>
  <c r="J74" i="5" s="1"/>
  <c r="I4" i="5"/>
  <c r="J4" i="5" s="1"/>
  <c r="I62" i="5"/>
  <c r="J62" i="5" s="1"/>
  <c r="I152" i="5"/>
  <c r="J152" i="5" s="1"/>
  <c r="I68" i="5"/>
  <c r="J68" i="5" s="1"/>
  <c r="I96" i="5"/>
  <c r="J96" i="5" s="1"/>
  <c r="I42" i="5"/>
  <c r="J42" i="5" s="1"/>
  <c r="I106" i="5"/>
  <c r="J106" i="5" s="1"/>
  <c r="I54" i="5"/>
  <c r="J54" i="5" s="1"/>
  <c r="I86" i="5"/>
  <c r="J86" i="5" s="1"/>
  <c r="I56" i="5"/>
  <c r="J56" i="5" s="1"/>
  <c r="I26" i="5"/>
  <c r="J26" i="5" s="1"/>
  <c r="I132" i="5"/>
  <c r="J132" i="5" s="1"/>
  <c r="I166" i="5"/>
  <c r="J166" i="5" s="1"/>
  <c r="I87" i="5"/>
  <c r="J87" i="5" s="1"/>
  <c r="I37" i="5"/>
  <c r="J37" i="5" s="1"/>
  <c r="I176" i="5"/>
  <c r="J176" i="5" s="1"/>
  <c r="I40" i="5"/>
  <c r="J40" i="5" s="1"/>
  <c r="I161" i="5"/>
  <c r="J161" i="5" s="1"/>
  <c r="I27" i="5"/>
  <c r="J27" i="5" s="1"/>
  <c r="I63" i="5"/>
  <c r="J63" i="5" s="1"/>
  <c r="I43" i="5"/>
  <c r="J43" i="5" s="1"/>
  <c r="I184" i="5"/>
  <c r="J184" i="5" s="1"/>
  <c r="I159" i="5"/>
  <c r="J159" i="5" s="1"/>
  <c r="I69" i="5"/>
  <c r="J69" i="5" s="1"/>
  <c r="I79" i="5"/>
  <c r="J79" i="5" s="1"/>
  <c r="I153" i="5"/>
  <c r="J153" i="5" s="1"/>
  <c r="I19" i="5"/>
  <c r="J19" i="5" s="1"/>
  <c r="I137" i="5"/>
  <c r="J137" i="5" s="1"/>
  <c r="I9" i="5"/>
  <c r="J9" i="5" s="1"/>
  <c r="I49" i="5"/>
  <c r="J49" i="5" s="1"/>
  <c r="I15" i="5"/>
  <c r="J15" i="5" s="1"/>
  <c r="I99" i="5"/>
  <c r="J99" i="5" s="1"/>
  <c r="I53" i="5"/>
  <c r="J53" i="5" s="1"/>
  <c r="I73" i="5"/>
  <c r="J73" i="5" s="1"/>
  <c r="I51" i="5"/>
  <c r="J51" i="5" s="1"/>
  <c r="I31" i="5"/>
  <c r="J31" i="5" s="1"/>
  <c r="I65" i="5"/>
  <c r="J65" i="5" s="1"/>
  <c r="I93" i="5"/>
  <c r="J93" i="5" s="1"/>
  <c r="I119" i="5"/>
  <c r="J119" i="5" s="1"/>
  <c r="I5" i="5"/>
  <c r="J5" i="5" s="1"/>
  <c r="I101" i="5"/>
  <c r="J101" i="5" s="1"/>
  <c r="I59" i="5"/>
  <c r="J59" i="5" s="1"/>
  <c r="I97" i="5"/>
  <c r="J97" i="5" s="1"/>
  <c r="I178" i="5"/>
  <c r="J178" i="5" s="1"/>
  <c r="I107" i="5"/>
  <c r="J107" i="5" s="1"/>
  <c r="I157" i="5"/>
  <c r="J157" i="5" s="1"/>
  <c r="I33" i="5"/>
  <c r="J33" i="5" s="1"/>
  <c r="I139" i="5"/>
  <c r="J139" i="5" s="1"/>
  <c r="I133" i="5"/>
  <c r="J133" i="5" s="1"/>
  <c r="I143" i="5"/>
  <c r="J143" i="5" s="1"/>
  <c r="I29" i="5"/>
  <c r="J29" i="5" s="1"/>
  <c r="I35" i="5"/>
  <c r="J35" i="5" s="1"/>
  <c r="I105" i="5"/>
  <c r="J105" i="5" s="1"/>
  <c r="I117" i="5"/>
  <c r="J117" i="5" s="1"/>
  <c r="I113" i="5"/>
  <c r="J113" i="5" s="1"/>
  <c r="I129" i="5"/>
  <c r="J129" i="5" s="1"/>
  <c r="I164" i="5"/>
  <c r="J164" i="5" s="1"/>
  <c r="I109" i="5"/>
  <c r="J109" i="5" s="1"/>
  <c r="I77" i="5"/>
  <c r="J77" i="5" s="1"/>
  <c r="I111" i="5"/>
  <c r="J111" i="5" s="1"/>
  <c r="I55" i="5"/>
  <c r="J55" i="5" s="1"/>
  <c r="I182" i="5"/>
  <c r="J182" i="5" s="1"/>
  <c r="I25" i="5"/>
  <c r="J25" i="5" s="1"/>
  <c r="I21" i="5"/>
  <c r="J21" i="5" s="1"/>
  <c r="I174" i="5"/>
  <c r="J174" i="5" s="1"/>
  <c r="I83" i="5"/>
  <c r="J83" i="5" s="1"/>
  <c r="I89" i="5"/>
  <c r="J89" i="5" s="1"/>
  <c r="I155" i="5"/>
  <c r="J155" i="5" s="1"/>
  <c r="I168" i="5"/>
  <c r="J168" i="5" s="1"/>
  <c r="I81" i="5"/>
  <c r="J81" i="5" s="1"/>
  <c r="I180" i="5"/>
  <c r="J180" i="5" s="1"/>
  <c r="I103" i="5"/>
  <c r="J103" i="5" s="1"/>
  <c r="I172" i="5"/>
  <c r="J172" i="5" s="1"/>
  <c r="I125" i="5"/>
  <c r="J125" i="5" s="1"/>
  <c r="I149" i="5"/>
  <c r="J149" i="5" s="1"/>
  <c r="I45" i="5"/>
  <c r="J45" i="5" s="1"/>
  <c r="I123" i="5"/>
  <c r="J123" i="5" s="1"/>
  <c r="I47" i="5"/>
  <c r="J47" i="5" s="1"/>
  <c r="I131" i="5"/>
  <c r="J131" i="5" s="1"/>
  <c r="I71" i="5"/>
  <c r="J71" i="5" s="1"/>
  <c r="I23" i="5"/>
  <c r="J23" i="5" s="1"/>
  <c r="I61" i="5"/>
  <c r="J61" i="5" s="1"/>
  <c r="I145" i="5"/>
  <c r="J145" i="5" s="1"/>
  <c r="I121" i="5"/>
  <c r="J121" i="5" s="1"/>
  <c r="I141" i="5"/>
  <c r="J141" i="5" s="1"/>
  <c r="I170" i="5"/>
  <c r="J170" i="5" s="1"/>
  <c r="I3" i="5"/>
  <c r="J3" i="5" s="1"/>
  <c r="I151" i="5"/>
  <c r="J151" i="5" s="1"/>
  <c r="I11" i="5"/>
  <c r="J11" i="5" s="1"/>
  <c r="I127" i="5"/>
  <c r="J127" i="5" s="1"/>
  <c r="I7" i="5"/>
  <c r="J7" i="5" s="1"/>
  <c r="I147" i="5"/>
  <c r="J147" i="5" s="1"/>
  <c r="I135" i="5"/>
  <c r="J135" i="5" s="1"/>
  <c r="I115" i="5"/>
  <c r="J115" i="5" s="1"/>
  <c r="I17" i="5"/>
  <c r="J17" i="5" s="1"/>
  <c r="I57" i="5"/>
  <c r="J57" i="5" s="1"/>
  <c r="I67" i="5"/>
  <c r="J67" i="5" s="1"/>
  <c r="I13" i="5"/>
  <c r="J13" i="5" s="1"/>
  <c r="I95" i="5"/>
  <c r="J95" i="5" s="1"/>
  <c r="I91" i="5"/>
  <c r="J91" i="5" s="1"/>
  <c r="I75" i="5"/>
  <c r="J75" i="5" s="1"/>
  <c r="I85" i="5"/>
  <c r="J85" i="5" s="1"/>
  <c r="I41" i="5"/>
  <c r="J41" i="5" s="1"/>
  <c r="N7" i="5"/>
  <c r="N6" i="5"/>
  <c r="N5" i="5"/>
  <c r="N4" i="5"/>
  <c r="N3" i="5"/>
  <c r="D115" i="2"/>
  <c r="H115" i="2"/>
  <c r="E103" i="3"/>
  <c r="G103" i="3"/>
  <c r="H103" i="3"/>
  <c r="N10" i="5" l="1"/>
  <c r="N12" i="5"/>
  <c r="N25" i="5"/>
  <c r="N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DC927-BDC5-411D-92D7-E72530026F99}" keepAlive="1" name="Query - All_Staff" description="Connection to the 'All_Staff' query in the workbook." type="5" refreshedVersion="8" background="1" saveData="1">
    <dbPr connection="Provider=Microsoft.Mashup.OleDb.1;Data Source=$Workbook$;Location=All_Staff;Extended Properties=&quot;&quot;" command="SELECT * FROM [All_Staff]"/>
  </connection>
  <connection id="2" xr16:uid="{FB518E94-518A-4FCA-BF2B-3C42A508EE5E}" keepAlive="1" name="Query - India_Staff" description="Connection to the 'India_Staff' query in the workbook." type="5" refreshedVersion="0" background="1">
    <dbPr connection="Provider=Microsoft.Mashup.OleDb.1;Data Source=$Workbook$;Location=India_Staff;Extended Properties=&quot;&quot;" command="SELECT * FROM [India_Staff]"/>
  </connection>
  <connection id="3" xr16:uid="{5D5A807E-0AB4-4EF1-ACA8-BB74DDA55529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</connections>
</file>

<file path=xl/sharedStrings.xml><?xml version="1.0" encoding="utf-8"?>
<sst xmlns="http://schemas.openxmlformats.org/spreadsheetml/2006/main" count="1923" uniqueCount="274">
  <si>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</si>
  <si>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</si>
  <si>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</si>
  <si>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</si>
  <si>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</si>
  <si>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</si>
  <si>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</si>
  <si>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</si>
  <si>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</si>
  <si>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</si>
  <si>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</si>
  <si>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</si>
  <si>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</si>
  <si>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</si>
  <si>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</si>
  <si>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</si>
  <si>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</si>
  <si>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</si>
  <si>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</si>
  <si>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</si>
  <si>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</si>
  <si>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</si>
  <si>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</si>
  <si>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</si>
  <si>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</si>
  <si>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</si>
  <si>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</si>
  <si>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</si>
  <si>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</si>
  <si>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</si>
  <si>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</si>
  <si>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</si>
  <si>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</si>
  <si>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</si>
  <si>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</si>
  <si>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</si>
  <si>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</si>
  <si>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</si>
  <si>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</si>
  <si>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</si>
  <si>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</si>
  <si>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</si>
  <si>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</si>
  <si>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</si>
  <si>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</si>
  <si>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</si>
  <si>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</si>
  <si>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</si>
  <si>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</si>
  <si>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</si>
  <si>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</si>
  <si>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</si>
  <si>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</si>
  <si>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</si>
  <si>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</si>
  <si>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</si>
  <si>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</si>
  <si>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</si>
  <si>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</si>
  <si>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</si>
  <si>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</si>
  <si>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</si>
  <si>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</si>
  <si>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</si>
  <si>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</si>
  <si>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</si>
  <si>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</si>
  <si>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</si>
  <si>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</si>
  <si>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</si>
  <si>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</si>
  <si>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</si>
  <si>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</si>
  <si>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</si>
  <si>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</si>
  <si>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</si>
  <si>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</si>
  <si>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</si>
  <si>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</si>
  <si>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</si>
  <si>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</si>
  <si>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</si>
  <si>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</si>
  <si>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</si>
  <si>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</si>
  <si>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</si>
  <si>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</si>
  <si>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</si>
  <si>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</si>
  <si>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</si>
  <si>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</si>
  <si>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</si>
  <si>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</si>
  <si>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</si>
  <si>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</si>
  <si>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</si>
  <si>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</si>
  <si>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</si>
  <si>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</si>
  <si>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</si>
  <si>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</si>
  <si>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</si>
  <si>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</si>
  <si>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</si>
  <si>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</si>
  <si>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</si>
  <si>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</si>
  <si>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</si>
  <si>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</si>
  <si>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</si>
  <si>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</si>
  <si>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</si>
  <si>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</si>
  <si>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</si>
  <si>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</si>
  <si>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</si>
  <si>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</si>
  <si>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</si>
  <si>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</si>
  <si>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</si>
  <si>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</si>
  <si>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</si>
  <si>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</si>
  <si>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</si>
  <si>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</si>
  <si>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</si>
  <si>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</si>
  <si>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</si>
  <si>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</si>
  <si>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</si>
  <si>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</si>
  <si>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</si>
  <si>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</si>
  <si>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</si>
  <si>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</si>
  <si>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</si>
  <si>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</si>
  <si>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</si>
  <si>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</si>
  <si>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</si>
  <si>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</si>
  <si>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</si>
  <si>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</si>
  <si>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</si>
  <si>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</si>
  <si>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</si>
  <si>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</si>
  <si>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</si>
  <si>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</si>
  <si>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</si>
  <si>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</si>
  <si>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</si>
  <si>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</si>
  <si>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</si>
  <si>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</si>
  <si>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</si>
  <si>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</si>
  <si>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</si>
  <si>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</si>
  <si>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</si>
  <si>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</si>
  <si>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</si>
  <si>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</si>
  <si>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</si>
  <si>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</si>
  <si>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</si>
  <si>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</si>
  <si>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</si>
  <si>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</si>
  <si>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</si>
  <si>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</si>
  <si>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</si>
  <si>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</si>
  <si>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</si>
  <si>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</si>
  <si>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</si>
  <si>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</si>
  <si>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</si>
  <si>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</si>
  <si>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</si>
  <si>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</si>
  <si>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</si>
  <si>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</si>
  <si>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</si>
  <si>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</si>
  <si>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</si>
  <si>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</si>
  <si>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</si>
  <si>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</si>
  <si>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</si>
  <si>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</si>
  <si>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</si>
  <si>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</si>
  <si>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</si>
  <si>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</si>
  <si>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</si>
  <si>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</si>
  <si>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</si>
  <si>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</si>
  <si>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</si>
  <si>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</si>
  <si>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</si>
  <si>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</si>
  <si>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</si>
  <si>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</si>
  <si>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</si>
  <si>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</si>
  <si>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 xml:space="preserve">Count of Employees </t>
  </si>
  <si>
    <t>Average Salary</t>
  </si>
  <si>
    <t>Median Salary</t>
  </si>
  <si>
    <t>Average Age</t>
  </si>
  <si>
    <t>Median Age</t>
  </si>
  <si>
    <t>Average Tenure</t>
  </si>
  <si>
    <t>Female Count</t>
  </si>
  <si>
    <t>Female Ratio %</t>
  </si>
  <si>
    <t>Count of Employees with salary &gt; 90,000</t>
  </si>
  <si>
    <t>Ratio of Employees with salary &gt; 90,0000</t>
  </si>
  <si>
    <t>Tenure</t>
  </si>
  <si>
    <t>Quick Analysis</t>
  </si>
  <si>
    <t>Employee Details</t>
  </si>
  <si>
    <t>Date joined</t>
  </si>
  <si>
    <t>Column Labels</t>
  </si>
  <si>
    <t>Count of Name</t>
  </si>
  <si>
    <t>Average of Age</t>
  </si>
  <si>
    <t>Average of Salary</t>
  </si>
  <si>
    <t>Values</t>
  </si>
  <si>
    <t>Average of Tenure</t>
  </si>
  <si>
    <t>Bonus</t>
  </si>
  <si>
    <t>Row Labels</t>
  </si>
  <si>
    <t>Grand Total</t>
  </si>
  <si>
    <t>Ratings</t>
  </si>
  <si>
    <t>Ratings as Numbers</t>
  </si>
  <si>
    <t>2020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</si>
  <si>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</si>
  <si>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</si>
  <si>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</si>
  <si>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</si>
  <si>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</si>
  <si>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</si>
  <si>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</si>
  <si>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</si>
  <si>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</si>
  <si>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</si>
  <si>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</si>
  <si>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</si>
  <si>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</si>
  <si>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2022</t>
  </si>
  <si>
    <t>2023</t>
  </si>
  <si>
    <t>Sr. No.</t>
  </si>
  <si>
    <t>Month</t>
  </si>
  <si>
    <t>Head Count</t>
  </si>
  <si>
    <t>Running Total</t>
  </si>
  <si>
    <t>NEW ZEALAND</t>
  </si>
  <si>
    <t>INDIA</t>
  </si>
  <si>
    <t>TOTAL EMPLOYEES</t>
  </si>
  <si>
    <t>FEMALE RATIO</t>
  </si>
  <si>
    <t xml:space="preserve">AVERAGE SALARY </t>
  </si>
  <si>
    <t>NEW ZEALAND VS INDIA REPORT (MAY 2020 - APRIL 2023)</t>
  </si>
  <si>
    <t>HEAD COUNT BY DEPARTMENT</t>
  </si>
  <si>
    <t>Quartile 1</t>
  </si>
  <si>
    <t>Median</t>
  </si>
  <si>
    <t>Minimum</t>
  </si>
  <si>
    <t>Maximum</t>
  </si>
  <si>
    <t>Measures</t>
  </si>
  <si>
    <t>Descriptive Statistics</t>
  </si>
  <si>
    <t>Minimum salary earned by employees is $33920</t>
  </si>
  <si>
    <t>Low salaried employees have income less than $56980</t>
  </si>
  <si>
    <t>50% of the employees have more than $75000</t>
  </si>
  <si>
    <t>Quartile 3</t>
  </si>
  <si>
    <t>High salaried employees have income more than $99970</t>
  </si>
  <si>
    <t>Maximum salary given by the company is $11910</t>
  </si>
  <si>
    <t>Analysis of Salary and its Spread</t>
  </si>
  <si>
    <t>Study of Relation between Salary and Ratings</t>
  </si>
  <si>
    <t>Year on Year Hiring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</si>
</sst>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[$$-409]#,##0.00"/>
    <numFmt numFmtId="165" formatCode="[$$-409]#,##0_ ;[Red]\-[$$-409]#,##0\ "/>
    <numFmt numFmtId="166" formatCode="[$$-409]#,##0.00_ ;[Red]\-[$$-409]#,##0.0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5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4" borderId="0" xfId="0" applyFont="1" applyFill="1" applyAlignment="1">
      <alignment horizontal="center" vertical="center"/>
    </xf>
    <xf numFmtId="9" fontId="3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9" fontId="3" fillId="5" borderId="0" xfId="0" applyNumberFormat="1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right"/>
    </xf>
    <xf numFmtId="166" fontId="0" fillId="0" borderId="0" xfId="0" applyNumberFormat="1"/>
    <xf numFmtId="0" fontId="8" fillId="0" borderId="1" xfId="0" applyFont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$$-409]#,##0.00_ ;[Red]\-[$$-409]#,##0.00\ "/>
    </dxf>
    <dxf>
      <numFmt numFmtId="1" formatCode="0"/>
    </dxf>
    <dxf>
      <numFmt numFmtId="166" formatCode="[$$-409]#,##0.00_ ;[Red]\-[$$-409]#,##0.00\ "/>
    </dxf>
    <dxf>
      <numFmt numFmtId="166" formatCode="[$$-409]#,##0.00_ ;[Red]\-[$$-409]#,##0.00\ "/>
    </dxf>
    <dxf>
      <numFmt numFmtId="1" formatCode="0"/>
    </dxf>
    <dxf>
      <numFmt numFmtId="0" formatCode="General"/>
    </dxf>
    <dxf>
      <numFmt numFmtId="165" formatCode="[$$-409]#,##0_ ;[Red]\-[$$-409]#,##0\ "/>
    </dxf>
    <dxf>
      <numFmt numFmtId="0" formatCode="General"/>
    </dxf>
    <dxf>
      <numFmt numFmtId="165" formatCode="[$$-409]#,##0_ ;[Red]\-[$$-409]#,##0\ 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20" formatCode="dd/mmm/yy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vs Ratings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Staff'!$K$1</c:f>
              <c:strCache>
                <c:ptCount val="1"/>
                <c:pt idx="0">
                  <c:v>Ratings as Numbers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Staff'!$G$2:$G$184</c:f>
              <c:numCache>
                <c:formatCode>[$$-409]#,##0_ ;[Red]\-[$$-409]#,##0\ </c:formatCode>
                <c:ptCount val="183"/>
                <c:pt idx="0">
                  <c:v>33920</c:v>
                </c:pt>
                <c:pt idx="1">
                  <c:v>33920</c:v>
                </c:pt>
                <c:pt idx="2">
                  <c:v>34980</c:v>
                </c:pt>
                <c:pt idx="3">
                  <c:v>34980</c:v>
                </c:pt>
                <c:pt idx="4">
                  <c:v>36040</c:v>
                </c:pt>
                <c:pt idx="5">
                  <c:v>36040</c:v>
                </c:pt>
                <c:pt idx="6">
                  <c:v>37920</c:v>
                </c:pt>
                <c:pt idx="7">
                  <c:v>37920</c:v>
                </c:pt>
                <c:pt idx="8">
                  <c:v>40400</c:v>
                </c:pt>
                <c:pt idx="9">
                  <c:v>40400</c:v>
                </c:pt>
                <c:pt idx="10">
                  <c:v>41570</c:v>
                </c:pt>
                <c:pt idx="11">
                  <c:v>41570</c:v>
                </c:pt>
                <c:pt idx="12">
                  <c:v>41980</c:v>
                </c:pt>
                <c:pt idx="13">
                  <c:v>41980</c:v>
                </c:pt>
                <c:pt idx="14">
                  <c:v>43510</c:v>
                </c:pt>
                <c:pt idx="15">
                  <c:v>43510</c:v>
                </c:pt>
                <c:pt idx="16">
                  <c:v>43840</c:v>
                </c:pt>
                <c:pt idx="17">
                  <c:v>43840</c:v>
                </c:pt>
                <c:pt idx="18">
                  <c:v>45510</c:v>
                </c:pt>
                <c:pt idx="19">
                  <c:v>45510</c:v>
                </c:pt>
                <c:pt idx="20">
                  <c:v>47360</c:v>
                </c:pt>
                <c:pt idx="21">
                  <c:v>47360</c:v>
                </c:pt>
                <c:pt idx="22">
                  <c:v>48170</c:v>
                </c:pt>
                <c:pt idx="23">
                  <c:v>48170</c:v>
                </c:pt>
                <c:pt idx="24">
                  <c:v>48530</c:v>
                </c:pt>
                <c:pt idx="25">
                  <c:v>48530</c:v>
                </c:pt>
                <c:pt idx="26">
                  <c:v>48950</c:v>
                </c:pt>
                <c:pt idx="27">
                  <c:v>48950</c:v>
                </c:pt>
                <c:pt idx="28">
                  <c:v>48980</c:v>
                </c:pt>
                <c:pt idx="29">
                  <c:v>48980</c:v>
                </c:pt>
                <c:pt idx="30">
                  <c:v>49630</c:v>
                </c:pt>
                <c:pt idx="31">
                  <c:v>49630</c:v>
                </c:pt>
                <c:pt idx="32">
                  <c:v>52610</c:v>
                </c:pt>
                <c:pt idx="33">
                  <c:v>52610</c:v>
                </c:pt>
                <c:pt idx="34">
                  <c:v>53240</c:v>
                </c:pt>
                <c:pt idx="35">
                  <c:v>53240</c:v>
                </c:pt>
                <c:pt idx="36">
                  <c:v>53540</c:v>
                </c:pt>
                <c:pt idx="37">
                  <c:v>53540</c:v>
                </c:pt>
                <c:pt idx="38">
                  <c:v>53540</c:v>
                </c:pt>
                <c:pt idx="39">
                  <c:v>53540</c:v>
                </c:pt>
                <c:pt idx="40">
                  <c:v>53870</c:v>
                </c:pt>
                <c:pt idx="41">
                  <c:v>53870</c:v>
                </c:pt>
                <c:pt idx="42">
                  <c:v>54970</c:v>
                </c:pt>
                <c:pt idx="43">
                  <c:v>54970</c:v>
                </c:pt>
                <c:pt idx="44">
                  <c:v>56870</c:v>
                </c:pt>
                <c:pt idx="45">
                  <c:v>56870</c:v>
                </c:pt>
                <c:pt idx="46">
                  <c:v>57090</c:v>
                </c:pt>
                <c:pt idx="47">
                  <c:v>57090</c:v>
                </c:pt>
                <c:pt idx="48">
                  <c:v>58100</c:v>
                </c:pt>
                <c:pt idx="49">
                  <c:v>58100</c:v>
                </c:pt>
                <c:pt idx="50">
                  <c:v>58940</c:v>
                </c:pt>
                <c:pt idx="51">
                  <c:v>58940</c:v>
                </c:pt>
                <c:pt idx="52">
                  <c:v>58960</c:v>
                </c:pt>
                <c:pt idx="53">
                  <c:v>58960</c:v>
                </c:pt>
                <c:pt idx="54">
                  <c:v>59430</c:v>
                </c:pt>
                <c:pt idx="55">
                  <c:v>59430</c:v>
                </c:pt>
                <c:pt idx="56">
                  <c:v>60130</c:v>
                </c:pt>
                <c:pt idx="57">
                  <c:v>60130</c:v>
                </c:pt>
                <c:pt idx="58">
                  <c:v>60570</c:v>
                </c:pt>
                <c:pt idx="59">
                  <c:v>60570</c:v>
                </c:pt>
                <c:pt idx="60">
                  <c:v>62780</c:v>
                </c:pt>
                <c:pt idx="61">
                  <c:v>62780</c:v>
                </c:pt>
                <c:pt idx="62">
                  <c:v>64000</c:v>
                </c:pt>
                <c:pt idx="63">
                  <c:v>64000</c:v>
                </c:pt>
                <c:pt idx="64">
                  <c:v>65360</c:v>
                </c:pt>
                <c:pt idx="65">
                  <c:v>65360</c:v>
                </c:pt>
                <c:pt idx="66">
                  <c:v>65700</c:v>
                </c:pt>
                <c:pt idx="67">
                  <c:v>65700</c:v>
                </c:pt>
                <c:pt idx="68">
                  <c:v>65920</c:v>
                </c:pt>
                <c:pt idx="69">
                  <c:v>65920</c:v>
                </c:pt>
                <c:pt idx="70">
                  <c:v>67910</c:v>
                </c:pt>
                <c:pt idx="71">
                  <c:v>67910</c:v>
                </c:pt>
                <c:pt idx="72">
                  <c:v>67950</c:v>
                </c:pt>
                <c:pt idx="73">
                  <c:v>67950</c:v>
                </c:pt>
                <c:pt idx="74">
                  <c:v>68900</c:v>
                </c:pt>
                <c:pt idx="75">
                  <c:v>68900</c:v>
                </c:pt>
                <c:pt idx="76">
                  <c:v>69070</c:v>
                </c:pt>
                <c:pt idx="77">
                  <c:v>69070</c:v>
                </c:pt>
                <c:pt idx="78">
                  <c:v>69120</c:v>
                </c:pt>
                <c:pt idx="79">
                  <c:v>69120</c:v>
                </c:pt>
                <c:pt idx="80">
                  <c:v>69710</c:v>
                </c:pt>
                <c:pt idx="81">
                  <c:v>69710</c:v>
                </c:pt>
                <c:pt idx="82">
                  <c:v>70270</c:v>
                </c:pt>
                <c:pt idx="83">
                  <c:v>70270</c:v>
                </c:pt>
                <c:pt idx="84">
                  <c:v>70610</c:v>
                </c:pt>
                <c:pt idx="85">
                  <c:v>70610</c:v>
                </c:pt>
                <c:pt idx="86">
                  <c:v>71380</c:v>
                </c:pt>
                <c:pt idx="87">
                  <c:v>71380</c:v>
                </c:pt>
                <c:pt idx="88">
                  <c:v>74550</c:v>
                </c:pt>
                <c:pt idx="89">
                  <c:v>74550</c:v>
                </c:pt>
                <c:pt idx="90">
                  <c:v>75000</c:v>
                </c:pt>
                <c:pt idx="91">
                  <c:v>75000</c:v>
                </c:pt>
                <c:pt idx="92">
                  <c:v>75280</c:v>
                </c:pt>
                <c:pt idx="93">
                  <c:v>75280</c:v>
                </c:pt>
                <c:pt idx="94">
                  <c:v>75480</c:v>
                </c:pt>
                <c:pt idx="95">
                  <c:v>75480</c:v>
                </c:pt>
                <c:pt idx="96">
                  <c:v>75880</c:v>
                </c:pt>
                <c:pt idx="97">
                  <c:v>75880</c:v>
                </c:pt>
                <c:pt idx="98">
                  <c:v>75970</c:v>
                </c:pt>
                <c:pt idx="99">
                  <c:v>75970</c:v>
                </c:pt>
                <c:pt idx="100">
                  <c:v>76900</c:v>
                </c:pt>
                <c:pt idx="101">
                  <c:v>76900</c:v>
                </c:pt>
                <c:pt idx="102">
                  <c:v>78390</c:v>
                </c:pt>
                <c:pt idx="103">
                  <c:v>78390</c:v>
                </c:pt>
                <c:pt idx="104">
                  <c:v>78540</c:v>
                </c:pt>
                <c:pt idx="105">
                  <c:v>78540</c:v>
                </c:pt>
                <c:pt idx="106">
                  <c:v>79570</c:v>
                </c:pt>
                <c:pt idx="107">
                  <c:v>79570</c:v>
                </c:pt>
                <c:pt idx="108">
                  <c:v>80700</c:v>
                </c:pt>
                <c:pt idx="109">
                  <c:v>80700</c:v>
                </c:pt>
                <c:pt idx="110">
                  <c:v>83750</c:v>
                </c:pt>
                <c:pt idx="111">
                  <c:v>83750</c:v>
                </c:pt>
                <c:pt idx="112">
                  <c:v>85000</c:v>
                </c:pt>
                <c:pt idx="113">
                  <c:v>85000</c:v>
                </c:pt>
                <c:pt idx="114">
                  <c:v>86570</c:v>
                </c:pt>
                <c:pt idx="115">
                  <c:v>86570</c:v>
                </c:pt>
                <c:pt idx="116">
                  <c:v>87620</c:v>
                </c:pt>
                <c:pt idx="117">
                  <c:v>87620</c:v>
                </c:pt>
                <c:pt idx="118">
                  <c:v>88050</c:v>
                </c:pt>
                <c:pt idx="119">
                  <c:v>88050</c:v>
                </c:pt>
                <c:pt idx="120">
                  <c:v>90700</c:v>
                </c:pt>
                <c:pt idx="121">
                  <c:v>90700</c:v>
                </c:pt>
                <c:pt idx="122">
                  <c:v>91310</c:v>
                </c:pt>
                <c:pt idx="123">
                  <c:v>91310</c:v>
                </c:pt>
                <c:pt idx="124">
                  <c:v>91650</c:v>
                </c:pt>
                <c:pt idx="125">
                  <c:v>91650</c:v>
                </c:pt>
                <c:pt idx="126">
                  <c:v>92450</c:v>
                </c:pt>
                <c:pt idx="127">
                  <c:v>92450</c:v>
                </c:pt>
                <c:pt idx="128">
                  <c:v>92700</c:v>
                </c:pt>
                <c:pt idx="129">
                  <c:v>92700</c:v>
                </c:pt>
                <c:pt idx="130">
                  <c:v>96140</c:v>
                </c:pt>
                <c:pt idx="131">
                  <c:v>96140</c:v>
                </c:pt>
                <c:pt idx="132">
                  <c:v>96800</c:v>
                </c:pt>
                <c:pt idx="133">
                  <c:v>96800</c:v>
                </c:pt>
                <c:pt idx="134">
                  <c:v>99750</c:v>
                </c:pt>
                <c:pt idx="135">
                  <c:v>99750</c:v>
                </c:pt>
                <c:pt idx="136">
                  <c:v>99970</c:v>
                </c:pt>
                <c:pt idx="137">
                  <c:v>99970</c:v>
                </c:pt>
                <c:pt idx="138">
                  <c:v>100420</c:v>
                </c:pt>
                <c:pt idx="139">
                  <c:v>100420</c:v>
                </c:pt>
                <c:pt idx="140">
                  <c:v>103550</c:v>
                </c:pt>
                <c:pt idx="141">
                  <c:v>103550</c:v>
                </c:pt>
                <c:pt idx="142">
                  <c:v>104120</c:v>
                </c:pt>
                <c:pt idx="143">
                  <c:v>104120</c:v>
                </c:pt>
                <c:pt idx="144">
                  <c:v>104410</c:v>
                </c:pt>
                <c:pt idx="145">
                  <c:v>104410</c:v>
                </c:pt>
                <c:pt idx="146">
                  <c:v>104770</c:v>
                </c:pt>
                <c:pt idx="147">
                  <c:v>104770</c:v>
                </c:pt>
                <c:pt idx="148">
                  <c:v>106460</c:v>
                </c:pt>
                <c:pt idx="149">
                  <c:v>106460</c:v>
                </c:pt>
                <c:pt idx="150">
                  <c:v>107700</c:v>
                </c:pt>
                <c:pt idx="151">
                  <c:v>107700</c:v>
                </c:pt>
                <c:pt idx="152">
                  <c:v>109160</c:v>
                </c:pt>
                <c:pt idx="153">
                  <c:v>109160</c:v>
                </c:pt>
                <c:pt idx="154">
                  <c:v>109190</c:v>
                </c:pt>
                <c:pt idx="155">
                  <c:v>109190</c:v>
                </c:pt>
                <c:pt idx="156">
                  <c:v>112110</c:v>
                </c:pt>
                <c:pt idx="157">
                  <c:v>112110</c:v>
                </c:pt>
                <c:pt idx="158">
                  <c:v>112570</c:v>
                </c:pt>
                <c:pt idx="159">
                  <c:v>112570</c:v>
                </c:pt>
                <c:pt idx="160">
                  <c:v>112650</c:v>
                </c:pt>
                <c:pt idx="161">
                  <c:v>112650</c:v>
                </c:pt>
                <c:pt idx="162">
                  <c:v>112650</c:v>
                </c:pt>
                <c:pt idx="163">
                  <c:v>112780</c:v>
                </c:pt>
                <c:pt idx="164">
                  <c:v>112780</c:v>
                </c:pt>
                <c:pt idx="165">
                  <c:v>113280</c:v>
                </c:pt>
                <c:pt idx="166">
                  <c:v>113280</c:v>
                </c:pt>
                <c:pt idx="167">
                  <c:v>114180</c:v>
                </c:pt>
                <c:pt idx="168">
                  <c:v>114180</c:v>
                </c:pt>
                <c:pt idx="169">
                  <c:v>114870</c:v>
                </c:pt>
                <c:pt idx="170">
                  <c:v>114870</c:v>
                </c:pt>
                <c:pt idx="171">
                  <c:v>114890</c:v>
                </c:pt>
                <c:pt idx="172">
                  <c:v>114890</c:v>
                </c:pt>
                <c:pt idx="173">
                  <c:v>115440</c:v>
                </c:pt>
                <c:pt idx="174">
                  <c:v>115440</c:v>
                </c:pt>
                <c:pt idx="175">
                  <c:v>115920</c:v>
                </c:pt>
                <c:pt idx="176">
                  <c:v>115920</c:v>
                </c:pt>
                <c:pt idx="177">
                  <c:v>118100</c:v>
                </c:pt>
                <c:pt idx="178">
                  <c:v>118100</c:v>
                </c:pt>
                <c:pt idx="179">
                  <c:v>118840</c:v>
                </c:pt>
                <c:pt idx="180">
                  <c:v>118840</c:v>
                </c:pt>
                <c:pt idx="181">
                  <c:v>119110</c:v>
                </c:pt>
                <c:pt idx="182">
                  <c:v>119110</c:v>
                </c:pt>
              </c:numCache>
            </c:numRef>
          </c:xVal>
          <c:yVal>
            <c:numRef>
              <c:f>'All Staff'!$K$2:$K$184</c:f>
              <c:numCache>
                <c:formatCode>General</c:formatCode>
                <c:ptCount val="18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F-46BD-AD88-BBC181F5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52616"/>
        <c:axId val="614349016"/>
      </c:scatterChart>
      <c:valAx>
        <c:axId val="61435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[Red]\-[$$-409]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9016"/>
        <c:crosses val="autoZero"/>
        <c:crossBetween val="midCat"/>
      </c:valAx>
      <c:valAx>
        <c:axId val="6143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Chocolates Adv Excel.xlsx]Pivot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</a:t>
            </a:r>
            <a:r>
              <a:rPr lang="en-US" baseline="0"/>
              <a:t> of employees YOY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946-4033-9FD2-F5B1BCA152E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946-4033-9FD2-F5B1BCA152E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946-4033-9FD2-F5B1BCA152E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946-4033-9FD2-F5B1BCA152E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946-4033-9FD2-F5B1BCA152E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946-4033-9FD2-F5B1BCA152E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946-4033-9FD2-F5B1BCA152E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946-4033-9FD2-F5B1BCA152E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946-4033-9FD2-F5B1BCA152E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946-4033-9FD2-F5B1BCA152E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946-4033-9FD2-F5B1BCA152E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B946-4033-9FD2-F5B1BCA152E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946-4033-9FD2-F5B1BCA152E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946-4033-9FD2-F5B1BCA152E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946-4033-9FD2-F5B1BCA152E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946-4033-9FD2-F5B1BCA152E7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946-4033-9FD2-F5B1BCA152E7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946-4033-9FD2-F5B1BCA152E7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946-4033-9FD2-F5B1BCA152E7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946-4033-9FD2-F5B1BCA152E7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946-4033-9FD2-F5B1BCA152E7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B946-4033-9FD2-F5B1BCA152E7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B946-4033-9FD2-F5B1BCA152E7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B946-4033-9FD2-F5B1BCA152E7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B946-4033-9FD2-F5B1BCA152E7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46-4033-9FD2-F5B1BCA152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46-4033-9FD2-F5B1BCA152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46-4033-9FD2-F5B1BCA152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46-4033-9FD2-F5B1BCA152E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46-4033-9FD2-F5B1BCA152E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46-4033-9FD2-F5B1BCA152E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46-4033-9FD2-F5B1BCA152E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46-4033-9FD2-F5B1BCA152E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46-4033-9FD2-F5B1BCA152E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46-4033-9FD2-F5B1BCA152E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46-4033-9FD2-F5B1BCA152E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46-4033-9FD2-F5B1BCA152E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46-4033-9FD2-F5B1BCA152E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46-4033-9FD2-F5B1BCA152E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946-4033-9FD2-F5B1BCA152E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946-4033-9FD2-F5B1BCA152E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946-4033-9FD2-F5B1BCA152E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946-4033-9FD2-F5B1BCA152E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946-4033-9FD2-F5B1BCA152E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946-4033-9FD2-F5B1BCA152E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946-4033-9FD2-F5B1BCA152E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946-4033-9FD2-F5B1BCA152E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946-4033-9FD2-F5B1BCA152E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946-4033-9FD2-F5B1BCA152E7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946-4033-9FD2-F5B1BCA152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Tables'!$B$33:$B$69</c:f>
              <c:multiLvlStrCache>
                <c:ptCount val="3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Feb</c:v>
                  </c:pt>
                  <c:pt idx="31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  <c:pt idx="20">
                    <c:v>2022</c:v>
                  </c:pt>
                  <c:pt idx="30">
                    <c:v>2023</c:v>
                  </c:pt>
                </c:lvl>
              </c:multiLvlStrCache>
            </c:multiLvlStrRef>
          </c:cat>
          <c:val>
            <c:numRef>
              <c:f>'Pivot Tables'!$C$33:$C$69</c:f>
              <c:numCache>
                <c:formatCode>General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6</c:v>
                </c:pt>
                <c:pt idx="9">
                  <c:v>10</c:v>
                </c:pt>
                <c:pt idx="10">
                  <c:v>19</c:v>
                </c:pt>
                <c:pt idx="11">
                  <c:v>24</c:v>
                </c:pt>
                <c:pt idx="12">
                  <c:v>34</c:v>
                </c:pt>
                <c:pt idx="13">
                  <c:v>40</c:v>
                </c:pt>
                <c:pt idx="14">
                  <c:v>53</c:v>
                </c:pt>
                <c:pt idx="15">
                  <c:v>57</c:v>
                </c:pt>
                <c:pt idx="16">
                  <c:v>68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3</c:v>
                </c:pt>
                <c:pt idx="21">
                  <c:v>13</c:v>
                </c:pt>
                <c:pt idx="22">
                  <c:v>22</c:v>
                </c:pt>
                <c:pt idx="23">
                  <c:v>31</c:v>
                </c:pt>
                <c:pt idx="24">
                  <c:v>40</c:v>
                </c:pt>
                <c:pt idx="25">
                  <c:v>47</c:v>
                </c:pt>
                <c:pt idx="26">
                  <c:v>52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9-4DA4-A427-A2D925BB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71336"/>
        <c:axId val="614377456"/>
      </c:lineChart>
      <c:catAx>
        <c:axId val="6143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7456"/>
        <c:crosses val="autoZero"/>
        <c:auto val="1"/>
        <c:lblAlgn val="ctr"/>
        <c:lblOffset val="100"/>
        <c:noMultiLvlLbl val="0"/>
      </c:catAx>
      <c:valAx>
        <c:axId val="6143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Tables'!$J$3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'Pivot Tables'!$H$4:$H$39</c:f>
              <c:numCache>
                <c:formatCode>mmm\-yy</c:formatCode>
                <c:ptCount val="36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  <c:pt idx="31">
                  <c:v>44896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</c:numCache>
            </c:numRef>
          </c:cat>
          <c:val>
            <c:numRef>
              <c:f>'Pivot Tables'!$J$4:$J$39</c:f>
              <c:numCache>
                <c:formatCode>General</c:formatCode>
                <c:ptCount val="36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43</c:v>
                </c:pt>
                <c:pt idx="9">
                  <c:v>47</c:v>
                </c:pt>
                <c:pt idx="10">
                  <c:v>56</c:v>
                </c:pt>
                <c:pt idx="11">
                  <c:v>61</c:v>
                </c:pt>
                <c:pt idx="12">
                  <c:v>71</c:v>
                </c:pt>
                <c:pt idx="13">
                  <c:v>77</c:v>
                </c:pt>
                <c:pt idx="14">
                  <c:v>90</c:v>
                </c:pt>
                <c:pt idx="15">
                  <c:v>94</c:v>
                </c:pt>
                <c:pt idx="16">
                  <c:v>105</c:v>
                </c:pt>
                <c:pt idx="17">
                  <c:v>108</c:v>
                </c:pt>
                <c:pt idx="18">
                  <c:v>112</c:v>
                </c:pt>
                <c:pt idx="19">
                  <c:v>119</c:v>
                </c:pt>
                <c:pt idx="20">
                  <c:v>122</c:v>
                </c:pt>
                <c:pt idx="21">
                  <c:v>132</c:v>
                </c:pt>
                <c:pt idx="22">
                  <c:v>141</c:v>
                </c:pt>
                <c:pt idx="23">
                  <c:v>150</c:v>
                </c:pt>
                <c:pt idx="24">
                  <c:v>159</c:v>
                </c:pt>
                <c:pt idx="25">
                  <c:v>166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182</c:v>
                </c:pt>
                <c:pt idx="34">
                  <c:v>182</c:v>
                </c:pt>
                <c:pt idx="35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1-4BDC-97FB-8988D497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38600"/>
        <c:axId val="366541480"/>
      </c:lineChart>
      <c:dateAx>
        <c:axId val="366538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41480"/>
        <c:crosses val="autoZero"/>
        <c:auto val="1"/>
        <c:lblOffset val="100"/>
        <c:baseTimeUnit val="months"/>
      </c:dateAx>
      <c:valAx>
        <c:axId val="3665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Chocolates Adv Excel.xlsx]Pivot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Departmentwise</a:t>
            </a:r>
            <a:r>
              <a:rPr lang="en-US" baseline="0"/>
              <a:t>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Tables'!$B$74:$B$79</c:f>
              <c:strCache>
                <c:ptCount val="5"/>
                <c:pt idx="0">
                  <c:v>Website</c:v>
                </c:pt>
                <c:pt idx="1">
                  <c:v>Procurement</c:v>
                </c:pt>
                <c:pt idx="2">
                  <c:v>Finance</c:v>
                </c:pt>
                <c:pt idx="3">
                  <c:v>Sales</c:v>
                </c:pt>
                <c:pt idx="4">
                  <c:v>HR</c:v>
                </c:pt>
              </c:strCache>
            </c:strRef>
          </c:cat>
          <c:val>
            <c:numRef>
              <c:f>'Pivot Tables'!$C$74:$C$79</c:f>
              <c:numCache>
                <c:formatCode>General</c:formatCode>
                <c:ptCount val="5"/>
                <c:pt idx="0">
                  <c:v>27</c:v>
                </c:pt>
                <c:pt idx="1">
                  <c:v>27</c:v>
                </c:pt>
                <c:pt idx="2">
                  <c:v>19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D0D-A466-5F36B074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4664728"/>
        <c:axId val="134666528"/>
      </c:barChart>
      <c:catAx>
        <c:axId val="134664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528"/>
        <c:crosses val="autoZero"/>
        <c:auto val="1"/>
        <c:lblAlgn val="ctr"/>
        <c:lblOffset val="100"/>
        <c:noMultiLvlLbl val="0"/>
      </c:catAx>
      <c:valAx>
        <c:axId val="1346665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Chocolates Adv Excel.xlsx]Pivot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wise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Tables'!$E$74:$E$79</c:f>
              <c:strCache>
                <c:ptCount val="5"/>
                <c:pt idx="0">
                  <c:v>Procurement</c:v>
                </c:pt>
                <c:pt idx="1">
                  <c:v>Website</c:v>
                </c:pt>
                <c:pt idx="2">
                  <c:v>Finance</c:v>
                </c:pt>
                <c:pt idx="3">
                  <c:v>Sales</c:v>
                </c:pt>
                <c:pt idx="4">
                  <c:v>HR</c:v>
                </c:pt>
              </c:strCache>
            </c:strRef>
          </c:cat>
          <c:val>
            <c:numRef>
              <c:f>'Pivot Tables'!$F$74:$F$79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19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186-B2B2-D4DECA1C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17052976"/>
        <c:axId val="617053336"/>
      </c:barChart>
      <c:catAx>
        <c:axId val="61705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3336"/>
        <c:crosses val="autoZero"/>
        <c:auto val="1"/>
        <c:lblAlgn val="ctr"/>
        <c:lblOffset val="100"/>
        <c:noMultiLvlLbl val="0"/>
      </c:catAx>
      <c:valAx>
        <c:axId val="617053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Spread by 10K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 by 10K</a:t>
          </a:r>
        </a:p>
      </cx:txPr>
    </cx:title>
    <cx:plotArea>
      <cx:plotAreaRegion>
        <cx:series layoutId="clusteredColumn" uniqueId="{09462BCC-4A95-4DBD-AE9E-ABF20B32F7B4}">
          <cx:tx>
            <cx:txData>
              <cx:f>_xlchart.v1.0</cx:f>
              <cx:v>Salary</cx:v>
            </cx:txData>
          </cx:tx>
          <cx:dataLabels/>
          <cx:dataId val="0"/>
          <cx:layoutPr>
            <cx:binning intervalClosed="r" underflow="40000">
              <cx:binSize val="1000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Salary Spread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Spread Box PLot</a:t>
          </a:r>
        </a:p>
      </cx:txPr>
    </cx:title>
    <cx:plotArea>
      <cx:plotAreaRegion>
        <cx:series layoutId="boxWhisker" uniqueId="{9C6CC04F-5599-43EA-97E7-A558E5E272CA}">
          <cx:tx>
            <cx:txData>
              <cx:f>_xlchart.v1.2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28575</xdr:rowOff>
    </xdr:from>
    <xdr:to>
      <xdr:col>15</xdr:col>
      <xdr:colOff>28575</xdr:colOff>
      <xdr:row>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9055EF-9D2D-4393-4B28-E58C7FC9517A}"/>
            </a:ext>
          </a:extLst>
        </xdr:cNvPr>
        <xdr:cNvSpPr txBox="1"/>
      </xdr:nvSpPr>
      <xdr:spPr>
        <a:xfrm>
          <a:off x="7391400" y="219075"/>
          <a:ext cx="3676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Problem Statement :</a:t>
          </a:r>
        </a:p>
        <a:p>
          <a:r>
            <a:rPr lang="en-IN" sz="1100" b="0" u="none"/>
            <a:t>To prepare annual report of employees</a:t>
          </a:r>
          <a:r>
            <a:rPr lang="en-IN" sz="1100" b="0" u="none" baseline="0"/>
            <a:t> of Chocolate Company in New Zealand and India.</a:t>
          </a:r>
        </a:p>
        <a:p>
          <a:endParaRPr lang="en-IN" sz="1100" b="0" u="none" baseline="0"/>
        </a:p>
        <a:p>
          <a:endParaRPr lang="en-IN" sz="1100" b="0" u="none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381000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D0D36B-3004-4D04-9AB8-F6DCF9538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838200"/>
              <a:ext cx="62484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21</xdr:row>
      <xdr:rowOff>0</xdr:rowOff>
    </xdr:from>
    <xdr:to>
      <xdr:col>6</xdr:col>
      <xdr:colOff>209551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F09DE6-AAB6-4CE5-88FB-A8F892BEC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1" y="4076700"/>
              <a:ext cx="3257550" cy="409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304800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B2A20-8B28-4153-AD2F-06AEA0F10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476C8-CB0A-435B-952E-C15C174B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8</xdr:col>
      <xdr:colOff>304800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0BA9-C13B-4299-99BB-3B3E6C217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47</xdr:row>
      <xdr:rowOff>0</xdr:rowOff>
    </xdr:from>
    <xdr:to>
      <xdr:col>13</xdr:col>
      <xdr:colOff>3657601</xdr:colOff>
      <xdr:row>61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A43368-0105-479E-AFBE-CAE50BDE4B12}"/>
            </a:ext>
          </a:extLst>
        </xdr:cNvPr>
        <xdr:cNvSpPr txBox="1"/>
      </xdr:nvSpPr>
      <xdr:spPr>
        <a:xfrm>
          <a:off x="8858251" y="9105900"/>
          <a:ext cx="3657600" cy="2686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 :</a:t>
          </a:r>
        </a:p>
        <a:p>
          <a:endParaRPr lang="en-IN" sz="1100" b="1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rating has a wide spread implying that average ratings has been given to low paid employees to high paid employees.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Very poor and exceptional ratings are recieved by just 3 and 2 employees as majority of employees have been average ratings.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While exceptional employees are paid very high rest of all them are paid almost in the same band.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Infact average salary of employees with very poor and poor ratings are more than people with average and above average ratings.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All these leads to the conclusion that ratings don't play major role in salary credited.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u="sng"/>
        </a:p>
      </xdr:txBody>
    </xdr:sp>
    <xdr:clientData/>
  </xdr:twoCellAnchor>
  <xdr:twoCellAnchor>
    <xdr:from>
      <xdr:col>11</xdr:col>
      <xdr:colOff>19050</xdr:colOff>
      <xdr:row>10</xdr:row>
      <xdr:rowOff>180975</xdr:rowOff>
    </xdr:from>
    <xdr:to>
      <xdr:col>14</xdr:col>
      <xdr:colOff>28575</xdr:colOff>
      <xdr:row>17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60AAEF-8E1E-6009-9FDB-20F876E7837B}"/>
            </a:ext>
          </a:extLst>
        </xdr:cNvPr>
        <xdr:cNvSpPr txBox="1"/>
      </xdr:nvSpPr>
      <xdr:spPr>
        <a:xfrm>
          <a:off x="7439025" y="1704975"/>
          <a:ext cx="51435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 :</a:t>
          </a:r>
        </a:p>
        <a:p>
          <a:endParaRPr lang="en-IN" sz="1100" b="1" u="sng"/>
        </a:p>
        <a:p>
          <a:r>
            <a:rPr lang="en-IN" sz="1100" b="0" u="none"/>
            <a:t>1.</a:t>
          </a:r>
          <a:r>
            <a:rPr lang="en-IN" sz="1100" b="0" u="none" baseline="0"/>
            <a:t> Least number of employees i.e 8 employees </a:t>
          </a:r>
          <a:r>
            <a:rPr lang="en-IN" sz="1100" b="0" u="none"/>
            <a:t>have less than $ 40000.</a:t>
          </a:r>
        </a:p>
        <a:p>
          <a:r>
            <a:rPr lang="en-IN" sz="1100" b="0" u="none"/>
            <a:t>2.</a:t>
          </a:r>
          <a:r>
            <a:rPr lang="en-IN" sz="1100" b="0" u="none" baseline="0"/>
            <a:t> Equal distribution of employees in all salary band except in the case of $80000 - $90000, $90000 - $100000, $100000 - $ 110000.</a:t>
          </a:r>
        </a:p>
        <a:p>
          <a:r>
            <a:rPr lang="en-IN" sz="1100" b="0" u="none" baseline="0"/>
            <a:t>3. Highest salary band has high number of employees.</a:t>
          </a:r>
          <a:endParaRPr lang="en-IN" sz="1100" b="0" u="none"/>
        </a:p>
      </xdr:txBody>
    </xdr:sp>
    <xdr:clientData/>
  </xdr:twoCellAnchor>
  <xdr:twoCellAnchor>
    <xdr:from>
      <xdr:col>8</xdr:col>
      <xdr:colOff>19050</xdr:colOff>
      <xdr:row>24</xdr:row>
      <xdr:rowOff>38100</xdr:rowOff>
    </xdr:from>
    <xdr:to>
      <xdr:col>13</xdr:col>
      <xdr:colOff>161925</xdr:colOff>
      <xdr:row>30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CC16FC4-9A00-806A-FCC3-FA6053A2AF66}"/>
            </a:ext>
          </a:extLst>
        </xdr:cNvPr>
        <xdr:cNvSpPr txBox="1"/>
      </xdr:nvSpPr>
      <xdr:spPr>
        <a:xfrm>
          <a:off x="4895850" y="4229100"/>
          <a:ext cx="3790950" cy="1200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 :</a:t>
          </a:r>
        </a:p>
        <a:p>
          <a:endParaRPr lang="en-IN" sz="1100" b="1" u="sng"/>
        </a:p>
        <a:p>
          <a:r>
            <a:rPr lang="en-IN" sz="1100" b="0" u="none"/>
            <a:t>1.</a:t>
          </a:r>
          <a:r>
            <a:rPr lang="en-IN" sz="1100" b="0" u="none" baseline="0"/>
            <a:t> Average salary earned by employees is greater than median salary recieved by the employees.</a:t>
          </a:r>
          <a:endParaRPr lang="en-IN" sz="1100" b="0" u="none"/>
        </a:p>
        <a:p>
          <a:endParaRPr lang="en-IN" sz="1100"/>
        </a:p>
      </xdr:txBody>
    </xdr:sp>
    <xdr:clientData/>
  </xdr:twoCellAnchor>
  <xdr:twoCellAnchor>
    <xdr:from>
      <xdr:col>10</xdr:col>
      <xdr:colOff>9525</xdr:colOff>
      <xdr:row>66</xdr:row>
      <xdr:rowOff>9525</xdr:rowOff>
    </xdr:from>
    <xdr:to>
      <xdr:col>13</xdr:col>
      <xdr:colOff>1828800</xdr:colOff>
      <xdr:row>72</xdr:row>
      <xdr:rowOff>123825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9228AC7-167B-4E95-C393-B09B04F22C40}"/>
            </a:ext>
          </a:extLst>
        </xdr:cNvPr>
        <xdr:cNvSpPr txBox="1"/>
      </xdr:nvSpPr>
      <xdr:spPr>
        <a:xfrm>
          <a:off x="6486525" y="12811125"/>
          <a:ext cx="4200525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</a:t>
          </a:r>
          <a:r>
            <a:rPr lang="en-IN" sz="1100" b="1" u="sng" baseline="0"/>
            <a:t> :</a:t>
          </a:r>
        </a:p>
        <a:p>
          <a:endParaRPr lang="en-IN" sz="1100"/>
        </a:p>
        <a:p>
          <a:r>
            <a:rPr lang="en-IN" sz="1100"/>
            <a:t>1.</a:t>
          </a:r>
          <a:r>
            <a:rPr lang="en-IN" sz="1100" baseline="0"/>
            <a:t> Least number of employees hired from 2020 till present is just 2 employees in a month.</a:t>
          </a:r>
        </a:p>
        <a:p>
          <a:r>
            <a:rPr lang="en-IN" sz="1100" baseline="0"/>
            <a:t>2. Highest number of employees hired in a month is 82 which happened in the year 2021.</a:t>
          </a:r>
          <a:endParaRPr lang="en-IN" sz="1100"/>
        </a:p>
      </xdr:txBody>
    </xdr:sp>
    <xdr:clientData/>
  </xdr:twoCellAnchor>
  <xdr:twoCellAnchor>
    <xdr:from>
      <xdr:col>9</xdr:col>
      <xdr:colOff>47625</xdr:colOff>
      <xdr:row>83</xdr:row>
      <xdr:rowOff>0</xdr:rowOff>
    </xdr:from>
    <xdr:to>
      <xdr:col>13</xdr:col>
      <xdr:colOff>676275</xdr:colOff>
      <xdr:row>89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AF7773-2BA3-13C4-D2FD-2006268158B6}"/>
            </a:ext>
          </a:extLst>
        </xdr:cNvPr>
        <xdr:cNvSpPr txBox="1"/>
      </xdr:nvSpPr>
      <xdr:spPr>
        <a:xfrm>
          <a:off x="5534025" y="16040100"/>
          <a:ext cx="4000500" cy="1209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Analysis</a:t>
          </a:r>
          <a:r>
            <a:rPr lang="en-IN" sz="1100" b="1" u="sng" baseline="0"/>
            <a:t> :</a:t>
          </a:r>
        </a:p>
        <a:p>
          <a:endParaRPr lang="en-IN" sz="1100" b="1" u="sng" baseline="0"/>
        </a:p>
        <a:p>
          <a:r>
            <a:rPr lang="en-IN" sz="1100" b="0" u="none" baseline="0"/>
            <a:t>1. Recuirtment of employees were steadily increasing which became almost stable after September 2022.</a:t>
          </a:r>
        </a:p>
        <a:p>
          <a:r>
            <a:rPr lang="en-IN" sz="1100" b="0" u="none" baseline="0"/>
            <a:t>2. This may be because the company might have become efficient in terms of man power by the last quarter of 2022.</a:t>
          </a:r>
        </a:p>
        <a:p>
          <a:endParaRPr lang="en-IN" sz="1100" b="0" u="none" baseline="0"/>
        </a:p>
        <a:p>
          <a:endParaRPr lang="en-IN" sz="1100" baseline="0"/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7</xdr:col>
      <xdr:colOff>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B7BDE-1EE1-4C79-93C5-9B169F8AA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13</xdr:col>
      <xdr:colOff>1295400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7A689-CBB8-459E-B988-961FD9F0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3</xdr:row>
      <xdr:rowOff>0</xdr:rowOff>
    </xdr:from>
    <xdr:to>
      <xdr:col>8</xdr:col>
      <xdr:colOff>0</xdr:colOff>
      <xdr:row>28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CA13ABD-6E1B-34C0-79C9-B11AD78CBE99}"/>
            </a:ext>
          </a:extLst>
        </xdr:cNvPr>
        <xdr:cNvCxnSpPr/>
      </xdr:nvCxnSpPr>
      <xdr:spPr>
        <a:xfrm flipH="1">
          <a:off x="6105525" y="190500"/>
          <a:ext cx="9525" cy="612457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ooj" refreshedDate="45116.593860416666" createdVersion="8" refreshedVersion="8" minRefreshableVersion="3" recordCount="183" xr:uid="{89526E79-F819-4914-A853-B7FA443467D4}">
  <cacheSource type="worksheet">
    <worksheetSource name="Table_All_Staff"/>
  </cacheSource>
  <cacheFields count="12">
    <cacheField name="Name" numFmtId="0">
      <sharedItems/>
    </cacheField>
    <cacheField name="Gender" numFmtId="0">
      <sharedItems count="3">
        <s v="Male"/>
        <s v="Female"/>
        <s v="Other"/>
      </sharedItems>
    </cacheField>
    <cacheField name="Age" numFmtId="0">
      <sharedItems containsSemiMixedTypes="0" containsString="0" containsNumber="1" containsInteger="1" minValue="19" maxValue="46"/>
    </cacheField>
    <cacheField name="Rating" numFmtId="0">
      <sharedItems count="5">
        <s v="Average"/>
        <s v="Above average"/>
        <s v="Poor"/>
        <s v="Exceptional"/>
        <s v="Very poor"/>
      </sharedItems>
    </cacheField>
    <cacheField name="Date Joined" numFmtId="14">
      <sharedItems containsSemiMixedTypes="0" containsNonDate="0" containsDate="1" containsString="0" minDate="2020-05-07T00:00:00" maxDate="2023-04-30T00:00:00" count="160">
        <d v="2020-10-18T00:00:00"/>
        <d v="2021-04-07T00:00:00"/>
        <d v="2022-04-12T00:00:00"/>
        <d v="2021-05-23T00:00:00"/>
        <d v="2020-09-11T00:00:00"/>
        <d v="2021-03-13T00:00:00"/>
        <d v="2020-11-09T00:00:00"/>
        <d v="2022-06-01T00:00:00"/>
        <d v="2021-05-08T00:00:00"/>
        <d v="2022-04-14T00:00:00"/>
        <d v="2021-05-04T00:00:00"/>
        <d v="2021-12-14T00:00:00"/>
        <d v="2020-05-29T00:00:00"/>
        <d v="2020-07-30T00:00:00"/>
        <d v="2022-03-22T00:00:00"/>
        <d v="2022-04-09T00:00:00"/>
        <d v="2020-05-07T00:00:00"/>
        <d v="2022-08-16T00:00:00"/>
        <d v="2022-05-02T00:00:00"/>
        <d v="2021-07-11T00:00:00"/>
        <d v="2020-08-30T00:00:00"/>
        <d v="2021-03-22T00:00:00"/>
        <d v="2021-12-28T00:00:00"/>
        <d v="2022-06-06T00:00:00"/>
        <d v="2022-04-15T00:00:00"/>
        <d v="2022-03-05T00:00:00"/>
        <d v="2022-02-12T00:00:00"/>
        <d v="2023-02-28T00:00:00"/>
        <d v="2021-12-19T00:00:00"/>
        <d v="2022-08-27T00:00:00"/>
        <d v="2020-11-29T00:00:00"/>
        <d v="2021-03-01T00:00:00"/>
        <d v="2022-01-10T00:00:00"/>
        <d v="2022-03-13T00:00:00"/>
        <d v="2021-06-28T00:00:00"/>
        <d v="2020-10-15T00:00:00"/>
        <d v="2020-08-18T00:00:00"/>
        <d v="2021-07-07T00:00:00"/>
        <d v="2020-07-11T00:00:00"/>
        <d v="2021-11-06T00:00:00"/>
        <d v="2020-12-15T00:00:00"/>
        <d v="2021-04-10T00:00:00"/>
        <d v="2021-07-20T00:00:00"/>
        <d v="2022-02-27T00:00:00"/>
        <d v="2021-02-26T00:00:00"/>
        <d v="2022-02-02T00:00:00"/>
        <d v="2021-08-17T00:00:00"/>
        <d v="2022-05-20T00:00:00"/>
        <d v="2020-12-09T00:00:00"/>
        <d v="2022-04-19T00:00:00"/>
        <d v="2020-10-20T00:00:00"/>
        <d v="2021-01-16T00:00:00"/>
        <d v="2022-02-15T00:00:00"/>
        <d v="2020-09-29T00:00:00"/>
        <d v="2020-06-24T00:00:00"/>
        <d v="2021-12-05T00:00:00"/>
        <d v="2021-07-06T00:00:00"/>
        <d v="2021-09-11T00:00:00"/>
        <d v="2021-03-21T00:00:00"/>
        <d v="2021-10-07T00:00:00"/>
        <d v="2021-07-26T00:00:00"/>
        <d v="2022-07-16T00:00:00"/>
        <d v="2021-04-30T00:00:00"/>
        <d v="2021-01-08T00:00:00"/>
        <d v="2020-09-10T00:00:00"/>
        <d v="2021-03-17T00:00:00"/>
        <d v="2021-12-17T00:00:00"/>
        <d v="2022-07-05T00:00:00"/>
        <d v="2021-06-03T00:00:00"/>
        <d v="2022-03-20T00:00:00"/>
        <d v="2021-05-12T00:00:00"/>
        <d v="2021-01-18T00:00:00"/>
        <d v="2021-12-20T00:00:00"/>
        <d v="2021-07-01T00:00:00"/>
        <d v="2021-07-12T00:00:00"/>
        <d v="2021-09-29T00:00:00"/>
        <d v="2022-01-29T00:00:00"/>
        <d v="2020-05-11T00:00:00"/>
        <d v="2020-09-13T00:00:00"/>
        <d v="2021-05-06T00:00:00"/>
        <d v="2021-04-27T00:00:00"/>
        <d v="2021-09-09T00:00:00"/>
        <d v="2021-08-25T00:00:00"/>
        <d v="2021-01-22T00:00:00"/>
        <d v="2022-05-16T00:00:00"/>
        <d v="2020-12-16T00:00:00"/>
        <d v="2020-10-25T00:00:00"/>
        <d v="2021-09-07T00:00:00"/>
        <d v="2021-06-10T00:00:00"/>
        <d v="2020-11-11T00:00:00"/>
        <d v="2021-09-26T00:00:00"/>
        <d v="2022-10-27T00:00:00"/>
        <d v="2020-11-13T00:00:00"/>
        <d v="2021-11-09T00:00:00"/>
        <d v="2021-09-20T00:00:00"/>
        <d v="2021-06-07T00:00:00"/>
        <d v="2021-03-08T00:00:00"/>
        <d v="2020-09-30T00:00:00"/>
        <d v="2022-07-20T00:00:00"/>
        <d v="2020-11-10T00:00:00"/>
        <d v="2021-02-15T00:00:00"/>
        <d v="2022-04-02T00:00:00"/>
        <d v="2022-01-06T00:00:00"/>
        <d v="2022-02-05T00:00:00"/>
        <d v="2022-08-06T00:00:00"/>
        <d v="2021-05-21T00:00:00"/>
        <d v="2020-12-20T00:00:00"/>
        <d v="2022-02-20T00:00:00"/>
        <d v="2021-06-27T00:00:00"/>
        <d v="2021-10-25T00:00:00"/>
        <d v="2022-06-14T00:00:00"/>
        <d v="2022-06-09T00:00:00"/>
        <d v="2022-03-10T00:00:00"/>
        <d v="2020-12-25T00:00:00"/>
        <d v="2022-06-12T00:00:00"/>
        <d v="2021-11-11T00:00:00"/>
        <d v="2021-08-28T00:00:00"/>
        <d v="2021-11-29T00:00:00"/>
        <d v="2022-09-05T00:00:00"/>
        <d v="2022-05-05T00:00:00"/>
        <d v="2021-09-06T00:00:00"/>
        <d v="2020-12-18T00:00:00"/>
        <d v="2022-07-02T00:00:00"/>
        <d v="2021-12-07T00:00:00"/>
        <d v="2022-05-13T00:00:00"/>
        <d v="2020-07-07T00:00:00"/>
        <d v="2020-07-29T00:00:00"/>
        <d v="2021-07-23T00:00:00"/>
        <d v="2022-10-16T00:00:00"/>
        <d v="2021-05-17T00:00:00"/>
        <d v="2021-06-30T00:00:00"/>
        <d v="2022-02-17T00:00:00"/>
        <d v="2021-03-18T00:00:00"/>
        <d v="2021-09-12T00:00:00"/>
        <d v="2023-04-29T00:00:00"/>
        <d v="2022-08-01T00:00:00"/>
        <d v="2021-10-17T00:00:00"/>
        <d v="2020-10-30T00:00:00"/>
        <d v="2021-03-16T00:00:00"/>
        <d v="2021-05-13T00:00:00"/>
        <d v="2021-01-09T00:00:00"/>
        <d v="2021-05-01T00:00:00"/>
        <d v="2021-01-29T00:00:00"/>
        <d v="2022-03-29T00:00:00"/>
        <d v="2021-05-22T00:00:00"/>
        <d v="2022-04-27T00:00:00"/>
        <d v="2021-09-01T00:00:00"/>
        <d v="2022-06-15T00:00:00"/>
        <d v="2021-02-09T00:00:00"/>
        <d v="2022-02-28T00:00:00"/>
        <d v="2021-07-04T00:00:00"/>
        <d v="2022-02-14T00:00:00"/>
        <d v="2022-09-16T00:00:00"/>
        <d v="2021-02-16T00:00:00"/>
        <d v="2020-08-24T00:00:00"/>
        <d v="2022-02-19T00:00:00"/>
        <d v="2021-04-26T00:00:00"/>
        <d v="2021-07-08T00:00:00"/>
        <d v="2022-06-19T00:00:00"/>
        <d v="2021-08-03T00:00:00"/>
      </sharedItems>
      <fieldGroup par="11"/>
    </cacheField>
    <cacheField name="Department" numFmtId="0">
      <sharedItems count="5">
        <s v="Website"/>
        <s v="Procurement"/>
        <s v="HR"/>
        <s v="Finance"/>
        <s v="Sales"/>
      </sharedItems>
    </cacheField>
    <cacheField name="Salary" numFmtId="0">
      <sharedItems containsSemiMixedTypes="0" containsString="0" containsNumber="1" containsInteger="1" minValue="33920" maxValue="119110"/>
    </cacheField>
    <cacheField name="Country" numFmtId="0">
      <sharedItems count="2">
        <s v="IND"/>
        <s v="NZ"/>
      </sharedItems>
    </cacheField>
    <cacheField name="Tenure" numFmtId="0">
      <sharedItems containsSemiMixedTypes="0" containsString="0" containsNumber="1" minValue="0.19452054794520549" maxValue="3.1726027397260275"/>
    </cacheField>
    <cacheField name="Months (Date Joined)" numFmtId="0" databaseField="0">
      <fieldGroup base="4">
        <rangePr groupBy="months" startDate="2020-05-07T00:00:00" endDate="2023-04-30T00:00:00"/>
        <groupItems count="14">
          <s v="&lt;07-05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3"/>
        </groupItems>
      </fieldGroup>
    </cacheField>
    <cacheField name="Quarters (Date Joined)" numFmtId="0" databaseField="0">
      <fieldGroup base="4">
        <rangePr groupBy="quarters" startDate="2020-05-07T00:00:00" endDate="2023-04-30T00:00:00"/>
        <groupItems count="6">
          <s v="&lt;07-05-2020"/>
          <s v="Qtr1"/>
          <s v="Qtr2"/>
          <s v="Qtr3"/>
          <s v="Qtr4"/>
          <s v="&gt;30-04-2023"/>
        </groupItems>
      </fieldGroup>
    </cacheField>
    <cacheField name="Years (Date Joined)" numFmtId="0" databaseField="0">
      <fieldGroup base="4">
        <rangePr groupBy="years" startDate="2020-05-07T00:00:00" endDate="2023-04-30T00:00:00"/>
        <groupItems count="6">
          <s v="&lt;07-05-2020"/>
          <s v="2020"/>
          <s v="2021"/>
          <s v="2022"/>
          <s v="2023"/>
          <s v="&gt;30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Deepali Charan"/>
    <x v="0"/>
    <n v="20"/>
    <x v="0"/>
    <x v="0"/>
    <x v="0"/>
    <n v="112650"/>
    <x v="0"/>
    <n v="2.7232876712328768"/>
  </r>
  <r>
    <s v="Yagna Sujeev"/>
    <x v="1"/>
    <n v="32"/>
    <x v="1"/>
    <x v="1"/>
    <x v="0"/>
    <n v="43840"/>
    <x v="0"/>
    <n v="2.2547945205479452"/>
  </r>
  <r>
    <s v="Satyendra Venkatadri"/>
    <x v="0"/>
    <n v="31"/>
    <x v="0"/>
    <x v="2"/>
    <x v="1"/>
    <n v="103550"/>
    <x v="0"/>
    <n v="1.2410958904109588"/>
  </r>
  <r>
    <s v="Madhavdas Buhpathi"/>
    <x v="1"/>
    <n v="32"/>
    <x v="0"/>
    <x v="3"/>
    <x v="2"/>
    <n v="45510"/>
    <x v="0"/>
    <n v="2.128767123287671"/>
  </r>
  <r>
    <s v="Sahila Chandrasekhar"/>
    <x v="2"/>
    <n v="37"/>
    <x v="2"/>
    <x v="4"/>
    <x v="3"/>
    <n v="115440"/>
    <x v="0"/>
    <n v="2.8246575342465752"/>
  </r>
  <r>
    <s v="Mirium Seemantini Shivakumar"/>
    <x v="1"/>
    <n v="38"/>
    <x v="1"/>
    <x v="5"/>
    <x v="4"/>
    <n v="56870"/>
    <x v="0"/>
    <n v="2.3232876712328765"/>
  </r>
  <r>
    <s v="Purnendu Vijayarangan"/>
    <x v="1"/>
    <n v="25"/>
    <x v="0"/>
    <x v="6"/>
    <x v="4"/>
    <n v="92700"/>
    <x v="0"/>
    <n v="2.6630136986301371"/>
  </r>
  <r>
    <s v="Rukma Vinita"/>
    <x v="2"/>
    <n v="32"/>
    <x v="0"/>
    <x v="7"/>
    <x v="0"/>
    <n v="91310"/>
    <x v="0"/>
    <n v="1.1041095890410959"/>
  </r>
  <r>
    <s v="Yauvani Tarpa"/>
    <x v="0"/>
    <n v="33"/>
    <x v="0"/>
    <x v="8"/>
    <x v="4"/>
    <n v="74550"/>
    <x v="0"/>
    <n v="2.1698630136986301"/>
  </r>
  <r>
    <s v="Damayanti Thangavadivelu"/>
    <x v="0"/>
    <n v="25"/>
    <x v="1"/>
    <x v="9"/>
    <x v="1"/>
    <n v="109190"/>
    <x v="0"/>
    <n v="1.2356164383561643"/>
  </r>
  <r>
    <s v="Manjusri Ruchi"/>
    <x v="1"/>
    <n v="40"/>
    <x v="0"/>
    <x v="10"/>
    <x v="0"/>
    <n v="104410"/>
    <x v="0"/>
    <n v="2.1808219178082191"/>
  </r>
  <r>
    <s v="Mithil Nadkarni"/>
    <x v="0"/>
    <n v="30"/>
    <x v="0"/>
    <x v="11"/>
    <x v="3"/>
    <n v="96800"/>
    <x v="0"/>
    <n v="1.5671232876712329"/>
  </r>
  <r>
    <s v="Ardhendu Abhichandra Jayakar"/>
    <x v="0"/>
    <n v="28"/>
    <x v="1"/>
    <x v="12"/>
    <x v="3"/>
    <n v="48170"/>
    <x v="0"/>
    <n v="3.1123287671232878"/>
  </r>
  <r>
    <s v="Akbar Sorabhjee"/>
    <x v="0"/>
    <n v="21"/>
    <x v="0"/>
    <x v="13"/>
    <x v="1"/>
    <n v="37920"/>
    <x v="0"/>
    <n v="2.9424657534246577"/>
  </r>
  <r>
    <s v="Bandhula Sathyanna"/>
    <x v="0"/>
    <n v="34"/>
    <x v="0"/>
    <x v="14"/>
    <x v="1"/>
    <n v="112650"/>
    <x v="0"/>
    <n v="1.2986301369863014"/>
  </r>
  <r>
    <s v="Daruka Ghazali"/>
    <x v="1"/>
    <n v="34"/>
    <x v="2"/>
    <x v="15"/>
    <x v="4"/>
    <n v="49630"/>
    <x v="0"/>
    <n v="1.2493150684931507"/>
  </r>
  <r>
    <s v="Heer Pennathur"/>
    <x v="0"/>
    <n v="36"/>
    <x v="0"/>
    <x v="16"/>
    <x v="0"/>
    <n v="118840"/>
    <x v="0"/>
    <n v="3.1726027397260275"/>
  </r>
  <r>
    <s v="Shekhar Eswara"/>
    <x v="0"/>
    <n v="30"/>
    <x v="0"/>
    <x v="17"/>
    <x v="0"/>
    <n v="69710"/>
    <x v="0"/>
    <n v="0.89589041095890409"/>
  </r>
  <r>
    <s v="Udyan Lanka"/>
    <x v="0"/>
    <n v="20"/>
    <x v="0"/>
    <x v="18"/>
    <x v="1"/>
    <n v="79570"/>
    <x v="0"/>
    <n v="1.1863013698630136"/>
  </r>
  <r>
    <s v="Shreela Ramasubraman"/>
    <x v="1"/>
    <n v="22"/>
    <x v="1"/>
    <x v="19"/>
    <x v="1"/>
    <n v="76900"/>
    <x v="0"/>
    <n v="1.9945205479452055"/>
  </r>
  <r>
    <s v="Sanchali Shirish"/>
    <x v="0"/>
    <n v="27"/>
    <x v="0"/>
    <x v="20"/>
    <x v="4"/>
    <n v="54970"/>
    <x v="0"/>
    <n v="2.8575342465753426"/>
  </r>
  <r>
    <s v="Gangadutt Ragha"/>
    <x v="0"/>
    <n v="37"/>
    <x v="2"/>
    <x v="21"/>
    <x v="0"/>
    <n v="88050"/>
    <x v="0"/>
    <n v="2.2986301369863016"/>
  </r>
  <r>
    <s v="Waheeda Vasuman"/>
    <x v="0"/>
    <n v="43"/>
    <x v="0"/>
    <x v="22"/>
    <x v="4"/>
    <n v="36040"/>
    <x v="0"/>
    <n v="1.5287671232876712"/>
  </r>
  <r>
    <s v="Nanak Sapna"/>
    <x v="1"/>
    <n v="42"/>
    <x v="3"/>
    <x v="23"/>
    <x v="1"/>
    <n v="75000"/>
    <x v="0"/>
    <n v="1.0904109589041096"/>
  </r>
  <r>
    <s v="Shobhana Samuel"/>
    <x v="0"/>
    <n v="35"/>
    <x v="0"/>
    <x v="24"/>
    <x v="1"/>
    <n v="40400"/>
    <x v="0"/>
    <n v="1.2328767123287672"/>
  </r>
  <r>
    <s v="Amlankusum Rajabhushan"/>
    <x v="0"/>
    <n v="24"/>
    <x v="0"/>
    <x v="25"/>
    <x v="0"/>
    <n v="100420"/>
    <x v="0"/>
    <n v="1.3452054794520547"/>
  </r>
  <r>
    <s v="Pratigya Rema"/>
    <x v="1"/>
    <n v="31"/>
    <x v="0"/>
    <x v="26"/>
    <x v="0"/>
    <n v="58100"/>
    <x v="0"/>
    <n v="1.4027397260273973"/>
  </r>
  <r>
    <s v="Ramnath Ravuri"/>
    <x v="1"/>
    <n v="44"/>
    <x v="0"/>
    <x v="27"/>
    <x v="0"/>
    <n v="114870"/>
    <x v="0"/>
    <n v="0.35890410958904112"/>
  </r>
  <r>
    <s v="Prerana Nishita"/>
    <x v="1"/>
    <n v="32"/>
    <x v="0"/>
    <x v="28"/>
    <x v="1"/>
    <n v="41570"/>
    <x v="0"/>
    <n v="1.5534246575342465"/>
  </r>
  <r>
    <s v="Makshi Vinutha"/>
    <x v="1"/>
    <n v="30"/>
    <x v="0"/>
    <x v="29"/>
    <x v="1"/>
    <n v="112570"/>
    <x v="0"/>
    <n v="0.86575342465753424"/>
  </r>
  <r>
    <s v="Shiuli Sapna"/>
    <x v="0"/>
    <n v="26"/>
    <x v="0"/>
    <x v="30"/>
    <x v="1"/>
    <n v="47360"/>
    <x v="0"/>
    <n v="2.6082191780821917"/>
  </r>
  <r>
    <s v="Agrata Rajarama"/>
    <x v="1"/>
    <n v="21"/>
    <x v="0"/>
    <x v="31"/>
    <x v="3"/>
    <n v="65920"/>
    <x v="0"/>
    <n v="2.3561643835616439"/>
  </r>
  <r>
    <s v="Vasu Nandin"/>
    <x v="1"/>
    <n v="28"/>
    <x v="0"/>
    <x v="32"/>
    <x v="1"/>
    <n v="99970"/>
    <x v="0"/>
    <n v="1.4931506849315068"/>
  </r>
  <r>
    <s v="Bhuvan Pals"/>
    <x v="1"/>
    <n v="25"/>
    <x v="1"/>
    <x v="33"/>
    <x v="0"/>
    <n v="80700"/>
    <x v="0"/>
    <n v="1.3232876712328767"/>
  </r>
  <r>
    <s v="Gumwant Veera"/>
    <x v="0"/>
    <n v="24"/>
    <x v="2"/>
    <x v="34"/>
    <x v="3"/>
    <n v="52610"/>
    <x v="0"/>
    <n v="2.0301369863013701"/>
  </r>
  <r>
    <s v="Narois Motiwala"/>
    <x v="0"/>
    <n v="29"/>
    <x v="2"/>
    <x v="35"/>
    <x v="0"/>
    <n v="112110"/>
    <x v="0"/>
    <n v="2.7315068493150685"/>
  </r>
  <r>
    <s v="Anjushri Chandiramani"/>
    <x v="1"/>
    <n v="27"/>
    <x v="0"/>
    <x v="36"/>
    <x v="2"/>
    <n v="119110"/>
    <x v="0"/>
    <n v="2.8904109589041096"/>
  </r>
  <r>
    <s v="Krishnakanta Vellanki"/>
    <x v="0"/>
    <n v="22"/>
    <x v="1"/>
    <x v="37"/>
    <x v="4"/>
    <n v="112780"/>
    <x v="0"/>
    <n v="2.0054794520547947"/>
  </r>
  <r>
    <s v="Dhruv Manjunath"/>
    <x v="1"/>
    <n v="36"/>
    <x v="0"/>
    <x v="38"/>
    <x v="1"/>
    <n v="114890"/>
    <x v="0"/>
    <n v="2.9945205479452053"/>
  </r>
  <r>
    <s v="Vanmala Shriharsha"/>
    <x v="0"/>
    <n v="27"/>
    <x v="0"/>
    <x v="39"/>
    <x v="3"/>
    <n v="48980"/>
    <x v="0"/>
    <n v="1.6712328767123288"/>
  </r>
  <r>
    <s v="Sameer Shashank Sapra"/>
    <x v="0"/>
    <n v="21"/>
    <x v="0"/>
    <x v="40"/>
    <x v="2"/>
    <n v="75880"/>
    <x v="0"/>
    <n v="2.5643835616438357"/>
  </r>
  <r>
    <s v="Anumati Shyamari Meherhomji"/>
    <x v="1"/>
    <n v="28"/>
    <x v="0"/>
    <x v="41"/>
    <x v="4"/>
    <n v="53240"/>
    <x v="0"/>
    <n v="2.2465753424657535"/>
  </r>
  <r>
    <s v="Tarala Vishaal"/>
    <x v="1"/>
    <n v="34"/>
    <x v="0"/>
    <x v="42"/>
    <x v="3"/>
    <n v="85000"/>
    <x v="0"/>
    <n v="1.9698630136986301"/>
  </r>
  <r>
    <s v="Shubhra Potla"/>
    <x v="1"/>
    <n v="21"/>
    <x v="0"/>
    <x v="43"/>
    <x v="0"/>
    <n v="33920"/>
    <x v="0"/>
    <n v="1.3616438356164384"/>
  </r>
  <r>
    <s v="Hemavati Muthiah"/>
    <x v="1"/>
    <n v="33"/>
    <x v="0"/>
    <x v="44"/>
    <x v="0"/>
    <n v="75280"/>
    <x v="0"/>
    <n v="2.3643835616438356"/>
  </r>
  <r>
    <s v="Krittika Gaekwad"/>
    <x v="1"/>
    <n v="34"/>
    <x v="0"/>
    <x v="45"/>
    <x v="3"/>
    <n v="58940"/>
    <x v="0"/>
    <n v="1.4301369863013698"/>
  </r>
  <r>
    <s v="Shevantilal Muppala"/>
    <x v="1"/>
    <n v="28"/>
    <x v="0"/>
    <x v="46"/>
    <x v="1"/>
    <n v="104770"/>
    <x v="0"/>
    <n v="1.893150684931507"/>
  </r>
  <r>
    <s v="Shattesh Utpat"/>
    <x v="0"/>
    <n v="21"/>
    <x v="0"/>
    <x v="47"/>
    <x v="1"/>
    <n v="57090"/>
    <x v="0"/>
    <n v="1.1369863013698631"/>
  </r>
  <r>
    <s v="Kamalakshi Mukundan"/>
    <x v="0"/>
    <n v="27"/>
    <x v="1"/>
    <x v="48"/>
    <x v="3"/>
    <n v="91650"/>
    <x v="0"/>
    <n v="2.580821917808219"/>
  </r>
  <r>
    <s v="Chandana Sannidhi Surnilla"/>
    <x v="0"/>
    <n v="42"/>
    <x v="2"/>
    <x v="49"/>
    <x v="3"/>
    <n v="70270"/>
    <x v="0"/>
    <n v="1.2219178082191782"/>
  </r>
  <r>
    <s v="Indu Varada Sumedh"/>
    <x v="1"/>
    <n v="28"/>
    <x v="0"/>
    <x v="50"/>
    <x v="3"/>
    <n v="75970"/>
    <x v="0"/>
    <n v="2.7178082191780821"/>
  </r>
  <r>
    <s v="Karuna Pashupathy"/>
    <x v="2"/>
    <n v="27"/>
    <x v="1"/>
    <x v="51"/>
    <x v="0"/>
    <n v="90700"/>
    <x v="0"/>
    <n v="2.4767123287671233"/>
  </r>
  <r>
    <s v="Mardav Ramaswami"/>
    <x v="0"/>
    <n v="30"/>
    <x v="0"/>
    <x v="52"/>
    <x v="1"/>
    <n v="60570"/>
    <x v="0"/>
    <n v="1.3945205479452054"/>
  </r>
  <r>
    <s v="Sarayu Ragunathan"/>
    <x v="0"/>
    <n v="33"/>
    <x v="0"/>
    <x v="53"/>
    <x v="1"/>
    <n v="115920"/>
    <x v="0"/>
    <n v="2.7753424657534245"/>
  </r>
  <r>
    <s v="Kevalkumar Solanki"/>
    <x v="1"/>
    <n v="33"/>
    <x v="0"/>
    <x v="54"/>
    <x v="3"/>
    <n v="65360"/>
    <x v="0"/>
    <n v="3.0410958904109591"/>
  </r>
  <r>
    <s v="Upendra Swati"/>
    <x v="2"/>
    <n v="30"/>
    <x v="0"/>
    <x v="55"/>
    <x v="3"/>
    <n v="64000"/>
    <x v="0"/>
    <n v="1.5917808219178082"/>
  </r>
  <r>
    <s v="Deepit Ranjana"/>
    <x v="1"/>
    <n v="34"/>
    <x v="0"/>
    <x v="56"/>
    <x v="3"/>
    <n v="92450"/>
    <x v="0"/>
    <n v="2.0082191780821916"/>
  </r>
  <r>
    <s v="Amal Nimesh"/>
    <x v="0"/>
    <n v="31"/>
    <x v="0"/>
    <x v="57"/>
    <x v="0"/>
    <n v="48950"/>
    <x v="0"/>
    <n v="1.8246575342465754"/>
  </r>
  <r>
    <s v="Kunja Prashanta Vibha"/>
    <x v="1"/>
    <n v="27"/>
    <x v="0"/>
    <x v="25"/>
    <x v="0"/>
    <n v="83750"/>
    <x v="0"/>
    <n v="1.3452054794520547"/>
  </r>
  <r>
    <s v="Godavari Veena"/>
    <x v="1"/>
    <n v="40"/>
    <x v="0"/>
    <x v="58"/>
    <x v="0"/>
    <n v="87620"/>
    <x v="0"/>
    <n v="2.3013698630136985"/>
  </r>
  <r>
    <s v="Devasree Fullara Saurin"/>
    <x v="1"/>
    <n v="20"/>
    <x v="2"/>
    <x v="59"/>
    <x v="4"/>
    <n v="68900"/>
    <x v="0"/>
    <n v="1.7534246575342465"/>
  </r>
  <r>
    <s v="Geena Raghavanpillai"/>
    <x v="0"/>
    <n v="32"/>
    <x v="0"/>
    <x v="60"/>
    <x v="4"/>
    <n v="53540"/>
    <x v="0"/>
    <n v="1.9534246575342467"/>
  </r>
  <r>
    <s v="Rupak Mehra"/>
    <x v="0"/>
    <n v="28"/>
    <x v="4"/>
    <x v="61"/>
    <x v="4"/>
    <n v="43510"/>
    <x v="0"/>
    <n v="0.98082191780821915"/>
  </r>
  <r>
    <s v="Sawini Chandan"/>
    <x v="1"/>
    <n v="38"/>
    <x v="3"/>
    <x v="62"/>
    <x v="4"/>
    <n v="109160"/>
    <x v="0"/>
    <n v="2.1917808219178081"/>
  </r>
  <r>
    <s v="Baruna Ogale"/>
    <x v="0"/>
    <n v="40"/>
    <x v="0"/>
    <x v="63"/>
    <x v="1"/>
    <n v="99750"/>
    <x v="0"/>
    <n v="2.4986301369863013"/>
  </r>
  <r>
    <s v="Jagajeet Viraj"/>
    <x v="1"/>
    <n v="31"/>
    <x v="0"/>
    <x v="64"/>
    <x v="0"/>
    <n v="41980"/>
    <x v="0"/>
    <n v="2.8273972602739725"/>
  </r>
  <r>
    <s v="Kulbhushan Moorthy"/>
    <x v="0"/>
    <n v="36"/>
    <x v="0"/>
    <x v="65"/>
    <x v="3"/>
    <n v="71380"/>
    <x v="0"/>
    <n v="2.3123287671232875"/>
  </r>
  <r>
    <s v="Ilesh Dasgupta"/>
    <x v="0"/>
    <n v="27"/>
    <x v="4"/>
    <x v="66"/>
    <x v="1"/>
    <n v="113280"/>
    <x v="0"/>
    <n v="1.558904109589041"/>
  </r>
  <r>
    <s v="Madhumati Gazala Soumitra"/>
    <x v="1"/>
    <n v="33"/>
    <x v="0"/>
    <x v="67"/>
    <x v="3"/>
    <n v="86570"/>
    <x v="0"/>
    <n v="1.010958904109589"/>
  </r>
  <r>
    <s v="Chitrasen Laul"/>
    <x v="0"/>
    <n v="26"/>
    <x v="0"/>
    <x v="68"/>
    <x v="1"/>
    <n v="53540"/>
    <x v="0"/>
    <n v="2.0986301369863014"/>
  </r>
  <r>
    <s v="Jaishree Atasi Yavatkar"/>
    <x v="0"/>
    <n v="37"/>
    <x v="0"/>
    <x v="69"/>
    <x v="0"/>
    <n v="69070"/>
    <x v="0"/>
    <n v="1.3041095890410959"/>
  </r>
  <r>
    <s v="Kantimoy Pritish"/>
    <x v="1"/>
    <n v="30"/>
    <x v="2"/>
    <x v="70"/>
    <x v="3"/>
    <n v="67910"/>
    <x v="0"/>
    <n v="2.1589041095890411"/>
  </r>
  <r>
    <s v="Rameshwari Chikodi"/>
    <x v="0"/>
    <n v="30"/>
    <x v="0"/>
    <x v="71"/>
    <x v="0"/>
    <n v="69120"/>
    <x v="0"/>
    <n v="2.4712328767123286"/>
  </r>
  <r>
    <s v="Lalit Kothari"/>
    <x v="1"/>
    <n v="34"/>
    <x v="0"/>
    <x v="72"/>
    <x v="3"/>
    <n v="60130"/>
    <x v="0"/>
    <n v="1.5506849315068494"/>
  </r>
  <r>
    <s v="Sahas Sanabhi Shrikant"/>
    <x v="0"/>
    <n v="23"/>
    <x v="0"/>
    <x v="73"/>
    <x v="1"/>
    <n v="106460"/>
    <x v="0"/>
    <n v="2.021917808219178"/>
  </r>
  <r>
    <s v="Kaishori Harathi Kateel"/>
    <x v="1"/>
    <n v="37"/>
    <x v="0"/>
    <x v="74"/>
    <x v="2"/>
    <n v="118100"/>
    <x v="0"/>
    <n v="1.9917808219178081"/>
  </r>
  <r>
    <s v="Rushil Kripa"/>
    <x v="1"/>
    <n v="36"/>
    <x v="0"/>
    <x v="75"/>
    <x v="1"/>
    <n v="78390"/>
    <x v="0"/>
    <n v="1.7753424657534247"/>
  </r>
  <r>
    <s v="Sarojini Naueshwara"/>
    <x v="1"/>
    <n v="30"/>
    <x v="0"/>
    <x v="17"/>
    <x v="1"/>
    <n v="114180"/>
    <x v="0"/>
    <n v="0.89589041095890409"/>
  </r>
  <r>
    <s v="Sartaj Probal"/>
    <x v="1"/>
    <n v="28"/>
    <x v="0"/>
    <x v="76"/>
    <x v="1"/>
    <n v="104120"/>
    <x v="0"/>
    <n v="1.441095890410959"/>
  </r>
  <r>
    <s v="Mahindra Sreedharan"/>
    <x v="0"/>
    <n v="30"/>
    <x v="0"/>
    <x v="69"/>
    <x v="1"/>
    <n v="67950"/>
    <x v="0"/>
    <n v="1.3041095890410959"/>
  </r>
  <r>
    <s v="Suchira Bhanupriya Tapti"/>
    <x v="1"/>
    <n v="29"/>
    <x v="0"/>
    <x v="77"/>
    <x v="0"/>
    <n v="34980"/>
    <x v="0"/>
    <n v="3.1616438356164385"/>
  </r>
  <r>
    <s v="Fullara Sushanti Mokate"/>
    <x v="1"/>
    <n v="24"/>
    <x v="0"/>
    <x v="78"/>
    <x v="0"/>
    <n v="62780"/>
    <x v="0"/>
    <n v="2.8191780821917809"/>
  </r>
  <r>
    <s v="Hridaynath Tendulkar"/>
    <x v="0"/>
    <n v="20"/>
    <x v="0"/>
    <x v="42"/>
    <x v="0"/>
    <n v="107700"/>
    <x v="0"/>
    <n v="1.9698630136986301"/>
  </r>
  <r>
    <s v="Abhaya Priyavardhan"/>
    <x v="0"/>
    <n v="25"/>
    <x v="0"/>
    <x v="79"/>
    <x v="4"/>
    <n v="65700"/>
    <x v="0"/>
    <n v="2.1753424657534248"/>
  </r>
  <r>
    <s v="Ayog Chakrabarti"/>
    <x v="1"/>
    <n v="33"/>
    <x v="4"/>
    <x v="80"/>
    <x v="0"/>
    <n v="75480"/>
    <x v="0"/>
    <n v="2.2000000000000002"/>
  </r>
  <r>
    <s v="Pragya Nilufar"/>
    <x v="0"/>
    <n v="33"/>
    <x v="0"/>
    <x v="81"/>
    <x v="0"/>
    <n v="53870"/>
    <x v="0"/>
    <n v="1.8301369863013699"/>
  </r>
  <r>
    <s v="Shulabh Qutub Sundaramoorthy"/>
    <x v="1"/>
    <n v="36"/>
    <x v="0"/>
    <x v="82"/>
    <x v="4"/>
    <n v="78540"/>
    <x v="0"/>
    <n v="1.8712328767123287"/>
  </r>
  <r>
    <s v="Vinanti Choudhari"/>
    <x v="0"/>
    <n v="19"/>
    <x v="0"/>
    <x v="83"/>
    <x v="1"/>
    <n v="58960"/>
    <x v="0"/>
    <n v="2.4602739726027396"/>
  </r>
  <r>
    <s v="Ranajay Kailashnath Richa"/>
    <x v="0"/>
    <n v="46"/>
    <x v="0"/>
    <x v="84"/>
    <x v="1"/>
    <n v="70610"/>
    <x v="0"/>
    <n v="1.1479452054794521"/>
  </r>
  <r>
    <s v="Asija Pothireddy"/>
    <x v="0"/>
    <n v="33"/>
    <x v="0"/>
    <x v="85"/>
    <x v="3"/>
    <n v="59430"/>
    <x v="0"/>
    <n v="2.5616438356164384"/>
  </r>
  <r>
    <s v="Piyali Mahanthapa"/>
    <x v="0"/>
    <n v="33"/>
    <x v="1"/>
    <x v="69"/>
    <x v="1"/>
    <n v="48530"/>
    <x v="0"/>
    <n v="1.3041095890410959"/>
  </r>
  <r>
    <s v="Sukhdev Nageshwar"/>
    <x v="1"/>
    <n v="33"/>
    <x v="0"/>
    <x v="86"/>
    <x v="0"/>
    <n v="96140"/>
    <x v="0"/>
    <n v="2.7041095890410958"/>
  </r>
  <r>
    <s v="Lindy Guillet"/>
    <x v="0"/>
    <n v="22"/>
    <x v="1"/>
    <x v="87"/>
    <x v="4"/>
    <n v="112780"/>
    <x v="1"/>
    <n v="1.8356164383561644"/>
  </r>
  <r>
    <s v="Ambros Murthwaite"/>
    <x v="0"/>
    <n v="46"/>
    <x v="0"/>
    <x v="61"/>
    <x v="1"/>
    <n v="70610"/>
    <x v="1"/>
    <n v="0.98082191780821915"/>
  </r>
  <r>
    <s v="Tatum Hush"/>
    <x v="1"/>
    <n v="28"/>
    <x v="0"/>
    <x v="88"/>
    <x v="4"/>
    <n v="53240"/>
    <x v="1"/>
    <n v="2.0794520547945203"/>
  </r>
  <r>
    <s v="Benny Karolovsky"/>
    <x v="2"/>
    <n v="37"/>
    <x v="2"/>
    <x v="89"/>
    <x v="3"/>
    <n v="115440"/>
    <x v="1"/>
    <n v="2.6575342465753424"/>
  </r>
  <r>
    <s v="Hoyt D'Alesco"/>
    <x v="0"/>
    <n v="32"/>
    <x v="0"/>
    <x v="90"/>
    <x v="4"/>
    <n v="53540"/>
    <x v="1"/>
    <n v="1.7835616438356163"/>
  </r>
  <r>
    <s v="Halimeda Kuscha"/>
    <x v="1"/>
    <n v="30"/>
    <x v="0"/>
    <x v="91"/>
    <x v="1"/>
    <n v="112570"/>
    <x v="1"/>
    <n v="0.69863013698630139"/>
  </r>
  <r>
    <s v="Erin Androsik"/>
    <x v="0"/>
    <n v="33"/>
    <x v="1"/>
    <x v="47"/>
    <x v="1"/>
    <n v="48530"/>
    <x v="1"/>
    <n v="1.1369863013698631"/>
  </r>
  <r>
    <s v="Vic Radolf"/>
    <x v="1"/>
    <n v="24"/>
    <x v="0"/>
    <x v="92"/>
    <x v="0"/>
    <n v="62780"/>
    <x v="1"/>
    <n v="2.6520547945205482"/>
  </r>
  <r>
    <s v="William Reeveley"/>
    <x v="0"/>
    <n v="33"/>
    <x v="0"/>
    <x v="93"/>
    <x v="0"/>
    <n v="53870"/>
    <x v="1"/>
    <n v="1.6630136986301369"/>
  </r>
  <r>
    <s v="Ewart Laphorn"/>
    <x v="1"/>
    <n v="27"/>
    <x v="0"/>
    <x v="0"/>
    <x v="2"/>
    <n v="119110"/>
    <x v="1"/>
    <n v="2.7232876712328768"/>
  </r>
  <r>
    <s v="Bev Lashley"/>
    <x v="0"/>
    <n v="29"/>
    <x v="2"/>
    <x v="40"/>
    <x v="0"/>
    <n v="112110"/>
    <x v="1"/>
    <n v="2.5643835616438357"/>
  </r>
  <r>
    <s v="Kath Bletsoe"/>
    <x v="0"/>
    <n v="25"/>
    <x v="0"/>
    <x v="56"/>
    <x v="4"/>
    <n v="65700"/>
    <x v="1"/>
    <n v="2.0082191780821916"/>
  </r>
  <r>
    <s v="Murry Dryburgh"/>
    <x v="0"/>
    <n v="37"/>
    <x v="0"/>
    <x v="47"/>
    <x v="0"/>
    <n v="69070"/>
    <x v="1"/>
    <n v="1.1369863013698631"/>
  </r>
  <r>
    <s v="Kaine Padly"/>
    <x v="0"/>
    <n v="20"/>
    <x v="0"/>
    <x v="94"/>
    <x v="0"/>
    <n v="107700"/>
    <x v="1"/>
    <n v="1.8"/>
  </r>
  <r>
    <s v="Kassi Jonson"/>
    <x v="1"/>
    <n v="32"/>
    <x v="1"/>
    <x v="95"/>
    <x v="0"/>
    <n v="43840"/>
    <x v="1"/>
    <n v="2.0876712328767124"/>
  </r>
  <r>
    <s v="Simon Kembery"/>
    <x v="0"/>
    <n v="40"/>
    <x v="0"/>
    <x v="96"/>
    <x v="1"/>
    <n v="99750"/>
    <x v="1"/>
    <n v="2.3369863013698629"/>
  </r>
  <r>
    <s v="Orton Livick"/>
    <x v="0"/>
    <n v="21"/>
    <x v="0"/>
    <x v="97"/>
    <x v="1"/>
    <n v="37920"/>
    <x v="1"/>
    <n v="2.7726027397260276"/>
  </r>
  <r>
    <s v="Kelci Walkden"/>
    <x v="0"/>
    <n v="21"/>
    <x v="0"/>
    <x v="98"/>
    <x v="1"/>
    <n v="57090"/>
    <x v="1"/>
    <n v="0.96986301369863015"/>
  </r>
  <r>
    <s v="Dotty Strutley"/>
    <x v="1"/>
    <n v="31"/>
    <x v="0"/>
    <x v="99"/>
    <x v="0"/>
    <n v="41980"/>
    <x v="1"/>
    <n v="2.6602739726027398"/>
  </r>
  <r>
    <s v="Shari McNee"/>
    <x v="0"/>
    <n v="21"/>
    <x v="0"/>
    <x v="100"/>
    <x v="2"/>
    <n v="75880"/>
    <x v="1"/>
    <n v="2.3945205479452056"/>
  </r>
  <r>
    <s v="Oby Sorrel"/>
    <x v="1"/>
    <n v="34"/>
    <x v="0"/>
    <x v="101"/>
    <x v="3"/>
    <n v="58940"/>
    <x v="1"/>
    <n v="1.2684931506849315"/>
  </r>
  <r>
    <s v="Husein Augar"/>
    <x v="1"/>
    <n v="30"/>
    <x v="2"/>
    <x v="74"/>
    <x v="3"/>
    <n v="67910"/>
    <x v="1"/>
    <n v="1.9917808219178081"/>
  </r>
  <r>
    <s v="Brien Boise"/>
    <x v="1"/>
    <n v="31"/>
    <x v="0"/>
    <x v="2"/>
    <x v="0"/>
    <n v="58100"/>
    <x v="1"/>
    <n v="1.2410958904109588"/>
  </r>
  <r>
    <s v="Esmaria Denecamp"/>
    <x v="0"/>
    <n v="27"/>
    <x v="0"/>
    <x v="102"/>
    <x v="3"/>
    <n v="48980"/>
    <x v="1"/>
    <n v="1.5041095890410958"/>
  </r>
  <r>
    <s v="Curtice Advani"/>
    <x v="2"/>
    <n v="30"/>
    <x v="0"/>
    <x v="103"/>
    <x v="3"/>
    <n v="64000"/>
    <x v="1"/>
    <n v="1.4219178082191781"/>
  </r>
  <r>
    <s v="Barr Faughny"/>
    <x v="1"/>
    <n v="42"/>
    <x v="3"/>
    <x v="104"/>
    <x v="1"/>
    <n v="75000"/>
    <x v="1"/>
    <n v="0.92328767123287669"/>
  </r>
  <r>
    <s v="Merrilee Plenty"/>
    <x v="1"/>
    <n v="40"/>
    <x v="0"/>
    <x v="105"/>
    <x v="0"/>
    <n v="87620"/>
    <x v="1"/>
    <n v="2.1342465753424658"/>
  </r>
  <r>
    <s v="Niall Selesnick"/>
    <x v="1"/>
    <n v="29"/>
    <x v="0"/>
    <x v="38"/>
    <x v="0"/>
    <n v="34980"/>
    <x v="1"/>
    <n v="2.9945205479452053"/>
  </r>
  <r>
    <s v="Beverie Moffet"/>
    <x v="1"/>
    <n v="28"/>
    <x v="0"/>
    <x v="106"/>
    <x v="3"/>
    <n v="75970"/>
    <x v="1"/>
    <n v="2.5506849315068494"/>
  </r>
  <r>
    <s v="Jehu Rudeforth"/>
    <x v="1"/>
    <n v="34"/>
    <x v="0"/>
    <x v="107"/>
    <x v="3"/>
    <n v="60130"/>
    <x v="1"/>
    <n v="1.3808219178082193"/>
  </r>
  <r>
    <s v="Camilla Castle"/>
    <x v="1"/>
    <n v="33"/>
    <x v="4"/>
    <x v="108"/>
    <x v="0"/>
    <n v="75480"/>
    <x v="1"/>
    <n v="2.032876712328767"/>
  </r>
  <r>
    <s v="Roddy Speechley"/>
    <x v="0"/>
    <n v="33"/>
    <x v="0"/>
    <x v="30"/>
    <x v="1"/>
    <n v="115920"/>
    <x v="1"/>
    <n v="2.6082191780821917"/>
  </r>
  <r>
    <s v="Gray Seamon"/>
    <x v="1"/>
    <n v="36"/>
    <x v="0"/>
    <x v="109"/>
    <x v="4"/>
    <n v="78540"/>
    <x v="1"/>
    <n v="1.704109589041096"/>
  </r>
  <r>
    <s v="Madelene Upcott"/>
    <x v="0"/>
    <n v="25"/>
    <x v="1"/>
    <x v="110"/>
    <x v="1"/>
    <n v="109190"/>
    <x v="1"/>
    <n v="1.0684931506849316"/>
  </r>
  <r>
    <s v="Violante Courtonne"/>
    <x v="1"/>
    <n v="34"/>
    <x v="2"/>
    <x v="111"/>
    <x v="4"/>
    <n v="49630"/>
    <x v="1"/>
    <n v="1.0821917808219179"/>
  </r>
  <r>
    <s v="Bernie Gorges"/>
    <x v="1"/>
    <n v="28"/>
    <x v="0"/>
    <x v="112"/>
    <x v="1"/>
    <n v="99970"/>
    <x v="1"/>
    <n v="1.3315068493150686"/>
  </r>
  <r>
    <s v="Torrance Collier"/>
    <x v="1"/>
    <n v="33"/>
    <x v="0"/>
    <x v="113"/>
    <x v="0"/>
    <n v="96140"/>
    <x v="1"/>
    <n v="2.536986301369863"/>
  </r>
  <r>
    <s v="Dyna Doucette"/>
    <x v="0"/>
    <n v="31"/>
    <x v="0"/>
    <x v="114"/>
    <x v="1"/>
    <n v="103550"/>
    <x v="1"/>
    <n v="1.0739726027397261"/>
  </r>
  <r>
    <s v="Gunar Cockshoot"/>
    <x v="0"/>
    <n v="31"/>
    <x v="0"/>
    <x v="115"/>
    <x v="0"/>
    <n v="48950"/>
    <x v="1"/>
    <n v="1.6575342465753424"/>
  </r>
  <r>
    <s v="Kaye Crocroft"/>
    <x v="0"/>
    <n v="24"/>
    <x v="2"/>
    <x v="116"/>
    <x v="3"/>
    <n v="52610"/>
    <x v="1"/>
    <n v="1.8630136986301369"/>
  </r>
  <r>
    <s v="Allene Gobbet"/>
    <x v="1"/>
    <n v="36"/>
    <x v="0"/>
    <x v="117"/>
    <x v="1"/>
    <n v="78390"/>
    <x v="1"/>
    <n v="1.6082191780821917"/>
  </r>
  <r>
    <s v="Sibyl Dunkirk"/>
    <x v="1"/>
    <n v="33"/>
    <x v="0"/>
    <x v="118"/>
    <x v="3"/>
    <n v="86570"/>
    <x v="1"/>
    <n v="0.84109589041095889"/>
  </r>
  <r>
    <s v="Agnes Collicott"/>
    <x v="1"/>
    <n v="27"/>
    <x v="0"/>
    <x v="119"/>
    <x v="0"/>
    <n v="83750"/>
    <x v="1"/>
    <n v="1.178082191780822"/>
  </r>
  <r>
    <s v="Leilah Yesinin"/>
    <x v="1"/>
    <n v="34"/>
    <x v="0"/>
    <x v="120"/>
    <x v="3"/>
    <n v="92450"/>
    <x v="1"/>
    <n v="1.8383561643835618"/>
  </r>
  <r>
    <s v="Mollie Hanway"/>
    <x v="0"/>
    <n v="20"/>
    <x v="0"/>
    <x v="121"/>
    <x v="0"/>
    <n v="112650"/>
    <x v="1"/>
    <n v="2.5561643835616437"/>
  </r>
  <r>
    <s v="Kellsie Waby"/>
    <x v="0"/>
    <n v="20"/>
    <x v="0"/>
    <x v="122"/>
    <x v="1"/>
    <n v="79570"/>
    <x v="1"/>
    <n v="1.0191780821917809"/>
  </r>
  <r>
    <s v="Hyacinthie Braybrooke"/>
    <x v="1"/>
    <n v="20"/>
    <x v="2"/>
    <x v="123"/>
    <x v="4"/>
    <n v="68900"/>
    <x v="1"/>
    <n v="1.5863013698630137"/>
  </r>
  <r>
    <s v="Van Tuxwell"/>
    <x v="1"/>
    <n v="25"/>
    <x v="1"/>
    <x v="124"/>
    <x v="0"/>
    <n v="80700"/>
    <x v="1"/>
    <n v="1.1561643835616437"/>
  </r>
  <r>
    <s v="Lilyan Klimpt"/>
    <x v="0"/>
    <n v="19"/>
    <x v="0"/>
    <x v="21"/>
    <x v="1"/>
    <n v="58960"/>
    <x v="1"/>
    <n v="2.2986301369863016"/>
  </r>
  <r>
    <s v="Tawnya Tickel"/>
    <x v="0"/>
    <n v="36"/>
    <x v="0"/>
    <x v="125"/>
    <x v="0"/>
    <n v="118840"/>
    <x v="1"/>
    <n v="3.0054794520547947"/>
  </r>
  <r>
    <s v="Jan Morforth"/>
    <x v="0"/>
    <n v="28"/>
    <x v="1"/>
    <x v="126"/>
    <x v="3"/>
    <n v="48170"/>
    <x v="1"/>
    <n v="2.9452054794520546"/>
  </r>
  <r>
    <s v="Florinda Crace"/>
    <x v="1"/>
    <n v="32"/>
    <x v="0"/>
    <x v="127"/>
    <x v="2"/>
    <n v="45510"/>
    <x v="1"/>
    <n v="1.9616438356164383"/>
  </r>
  <r>
    <s v="Tracy Renad"/>
    <x v="1"/>
    <n v="36"/>
    <x v="0"/>
    <x v="4"/>
    <x v="1"/>
    <n v="114890"/>
    <x v="1"/>
    <n v="2.8246575342465752"/>
  </r>
  <r>
    <s v="Myer McCory"/>
    <x v="0"/>
    <n v="30"/>
    <x v="0"/>
    <x v="128"/>
    <x v="0"/>
    <n v="69710"/>
    <x v="1"/>
    <n v="0.72876712328767124"/>
  </r>
  <r>
    <s v="Bennie Pepis"/>
    <x v="0"/>
    <n v="36"/>
    <x v="0"/>
    <x v="129"/>
    <x v="3"/>
    <n v="71380"/>
    <x v="1"/>
    <n v="2.1452054794520548"/>
  </r>
  <r>
    <s v="Rafaelita Blaksland"/>
    <x v="1"/>
    <n v="38"/>
    <x v="3"/>
    <x v="130"/>
    <x v="4"/>
    <n v="109160"/>
    <x v="1"/>
    <n v="2.0246575342465754"/>
  </r>
  <r>
    <s v="Mahalia Larcher"/>
    <x v="0"/>
    <n v="27"/>
    <x v="4"/>
    <x v="131"/>
    <x v="1"/>
    <n v="113280"/>
    <x v="1"/>
    <n v="1.3890410958904109"/>
  </r>
  <r>
    <s v="Andria Kimpton"/>
    <x v="0"/>
    <n v="30"/>
    <x v="0"/>
    <x v="132"/>
    <x v="0"/>
    <n v="69120"/>
    <x v="1"/>
    <n v="2.3095890410958906"/>
  </r>
  <r>
    <s v="Valentia Etteridge"/>
    <x v="1"/>
    <n v="37"/>
    <x v="0"/>
    <x v="133"/>
    <x v="2"/>
    <n v="118100"/>
    <x v="1"/>
    <n v="1.821917808219178"/>
  </r>
  <r>
    <s v="Virginia McConville"/>
    <x v="1"/>
    <n v="22"/>
    <x v="1"/>
    <x v="57"/>
    <x v="1"/>
    <n v="76900"/>
    <x v="1"/>
    <n v="1.8246575342465754"/>
  </r>
  <r>
    <s v="Wilone O'Kielt"/>
    <x v="1"/>
    <n v="43"/>
    <x v="0"/>
    <x v="134"/>
    <x v="0"/>
    <n v="114870"/>
    <x v="1"/>
    <n v="0.19452054794520549"/>
  </r>
  <r>
    <s v="Madge McCloughen"/>
    <x v="2"/>
    <n v="32"/>
    <x v="0"/>
    <x v="135"/>
    <x v="0"/>
    <n v="91310"/>
    <x v="1"/>
    <n v="0.93698630136986305"/>
  </r>
  <r>
    <s v="Janene Hairsine"/>
    <x v="1"/>
    <n v="28"/>
    <x v="0"/>
    <x v="136"/>
    <x v="1"/>
    <n v="104770"/>
    <x v="1"/>
    <n v="1.726027397260274"/>
  </r>
  <r>
    <s v="Alta Kaszper"/>
    <x v="0"/>
    <n v="27"/>
    <x v="0"/>
    <x v="137"/>
    <x v="4"/>
    <n v="54970"/>
    <x v="1"/>
    <n v="2.6904109589041094"/>
  </r>
  <r>
    <s v="Dennison Crosswaite"/>
    <x v="2"/>
    <n v="26"/>
    <x v="1"/>
    <x v="138"/>
    <x v="0"/>
    <n v="90700"/>
    <x v="1"/>
    <n v="2.3150684931506849"/>
  </r>
  <r>
    <s v="Oran Buxcy"/>
    <x v="1"/>
    <n v="38"/>
    <x v="1"/>
    <x v="139"/>
    <x v="4"/>
    <n v="56870"/>
    <x v="1"/>
    <n v="2.1561643835616437"/>
  </r>
  <r>
    <s v="Hinda Label"/>
    <x v="1"/>
    <n v="25"/>
    <x v="0"/>
    <x v="140"/>
    <x v="4"/>
    <n v="92700"/>
    <x v="1"/>
    <n v="2.495890410958904"/>
  </r>
  <r>
    <s v="Marney O'Breen"/>
    <x v="1"/>
    <n v="21"/>
    <x v="0"/>
    <x v="141"/>
    <x v="3"/>
    <n v="65920"/>
    <x v="1"/>
    <n v="2.1890410958904107"/>
  </r>
  <r>
    <s v="Dell Molloy"/>
    <x v="0"/>
    <n v="26"/>
    <x v="0"/>
    <x v="142"/>
    <x v="1"/>
    <n v="47360"/>
    <x v="1"/>
    <n v="2.441095890410959"/>
  </r>
  <r>
    <s v="Mallorie Waber"/>
    <x v="0"/>
    <n v="30"/>
    <x v="0"/>
    <x v="24"/>
    <x v="1"/>
    <n v="60570"/>
    <x v="1"/>
    <n v="1.2328767123287672"/>
  </r>
  <r>
    <s v="Cherlyn Barter"/>
    <x v="1"/>
    <n v="28"/>
    <x v="0"/>
    <x v="143"/>
    <x v="1"/>
    <n v="104120"/>
    <x v="1"/>
    <n v="1.2794520547945205"/>
  </r>
  <r>
    <s v="Ches Bonnell"/>
    <x v="0"/>
    <n v="37"/>
    <x v="2"/>
    <x v="144"/>
    <x v="0"/>
    <n v="88050"/>
    <x v="1"/>
    <n v="2.1315068493150684"/>
  </r>
  <r>
    <s v="Collin Jagson"/>
    <x v="0"/>
    <n v="24"/>
    <x v="0"/>
    <x v="119"/>
    <x v="0"/>
    <n v="100420"/>
    <x v="1"/>
    <n v="1.178082191780822"/>
  </r>
  <r>
    <s v="Hogan Iles"/>
    <x v="1"/>
    <n v="30"/>
    <x v="0"/>
    <x v="128"/>
    <x v="1"/>
    <n v="114180"/>
    <x v="1"/>
    <n v="0.72876712328767124"/>
  </r>
  <r>
    <s v="Gretchen Callow"/>
    <x v="1"/>
    <n v="21"/>
    <x v="0"/>
    <x v="145"/>
    <x v="0"/>
    <n v="33920"/>
    <x v="1"/>
    <n v="1.2"/>
  </r>
  <r>
    <s v="Kissiah Maydway"/>
    <x v="0"/>
    <n v="23"/>
    <x v="0"/>
    <x v="146"/>
    <x v="1"/>
    <n v="106460"/>
    <x v="1"/>
    <n v="1.8520547945205479"/>
  </r>
  <r>
    <s v="Archibald Filliskirk"/>
    <x v="0"/>
    <n v="35"/>
    <x v="0"/>
    <x v="147"/>
    <x v="1"/>
    <n v="40400"/>
    <x v="1"/>
    <n v="1.0657534246575342"/>
  </r>
  <r>
    <s v="Enoch Dowrey"/>
    <x v="0"/>
    <n v="27"/>
    <x v="1"/>
    <x v="148"/>
    <x v="3"/>
    <n v="91650"/>
    <x v="1"/>
    <n v="2.4109589041095889"/>
  </r>
  <r>
    <s v="Bili Sizey"/>
    <x v="0"/>
    <n v="43"/>
    <x v="0"/>
    <x v="149"/>
    <x v="4"/>
    <n v="36040"/>
    <x v="1"/>
    <n v="1.3589041095890411"/>
  </r>
  <r>
    <s v="Caro Chappel"/>
    <x v="1"/>
    <n v="40"/>
    <x v="0"/>
    <x v="150"/>
    <x v="0"/>
    <n v="104410"/>
    <x v="1"/>
    <n v="2.0136986301369864"/>
  </r>
  <r>
    <s v="Constantino Espley"/>
    <x v="0"/>
    <n v="30"/>
    <x v="0"/>
    <x v="151"/>
    <x v="3"/>
    <n v="96800"/>
    <x v="1"/>
    <n v="1.3972602739726028"/>
  </r>
  <r>
    <s v="Karlen McCaffrey"/>
    <x v="1"/>
    <n v="34"/>
    <x v="0"/>
    <x v="94"/>
    <x v="3"/>
    <n v="85000"/>
    <x v="1"/>
    <n v="1.8"/>
  </r>
  <r>
    <s v="Drusy MacCombe"/>
    <x v="0"/>
    <n v="28"/>
    <x v="4"/>
    <x v="152"/>
    <x v="4"/>
    <n v="43510"/>
    <x v="1"/>
    <n v="0.81095890410958904"/>
  </r>
  <r>
    <s v="My Hanscome"/>
    <x v="0"/>
    <n v="33"/>
    <x v="0"/>
    <x v="153"/>
    <x v="3"/>
    <n v="59430"/>
    <x v="1"/>
    <n v="2.3917808219178083"/>
  </r>
  <r>
    <s v="Teressa Udden"/>
    <x v="1"/>
    <n v="33"/>
    <x v="0"/>
    <x v="154"/>
    <x v="3"/>
    <n v="65360"/>
    <x v="1"/>
    <n v="2.8739726027397259"/>
  </r>
  <r>
    <s v="Crissie Cordel"/>
    <x v="1"/>
    <n v="32"/>
    <x v="0"/>
    <x v="155"/>
    <x v="1"/>
    <n v="41570"/>
    <x v="1"/>
    <n v="1.3835616438356164"/>
  </r>
  <r>
    <s v="Elia Cockton"/>
    <x v="1"/>
    <n v="33"/>
    <x v="0"/>
    <x v="156"/>
    <x v="0"/>
    <n v="75280"/>
    <x v="1"/>
    <n v="2.2027397260273971"/>
  </r>
  <r>
    <s v="Gigi Bohling"/>
    <x v="0"/>
    <n v="33"/>
    <x v="0"/>
    <x v="157"/>
    <x v="4"/>
    <n v="74550"/>
    <x v="1"/>
    <n v="2.0027397260273974"/>
  </r>
  <r>
    <s v="Ebonee Roxburgh"/>
    <x v="0"/>
    <n v="30"/>
    <x v="0"/>
    <x v="47"/>
    <x v="1"/>
    <n v="67950"/>
    <x v="1"/>
    <n v="1.1369863013698631"/>
  </r>
  <r>
    <s v="Shayne Stegel"/>
    <x v="0"/>
    <n v="42"/>
    <x v="2"/>
    <x v="158"/>
    <x v="3"/>
    <n v="70270"/>
    <x v="1"/>
    <n v="1.0547945205479452"/>
  </r>
  <r>
    <s v="Zach Polon"/>
    <x v="0"/>
    <n v="26"/>
    <x v="0"/>
    <x v="159"/>
    <x v="1"/>
    <n v="53540"/>
    <x v="1"/>
    <n v="1.93150684931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90085-95E4-43BA-ACD3-3303513CED5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73:F79" firstHeaderRow="1" firstDataRow="1" firstDataCol="1" rowPageCount="1" colPageCount="1"/>
  <pivotFields count="12">
    <pivotField dataField="1" showAll="0"/>
    <pivotField showAll="0"/>
    <pivotField showAll="0"/>
    <pivotField showAll="0"/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axis="axisRow" showAll="0" sortType="descending">
      <items count="6">
        <item x="3"/>
        <item x="2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pageFields count="1">
    <pageField fld="7" item="0" hier="-1"/>
  </pageFields>
  <dataFields count="1">
    <dataField name="Count of Name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4F74A-8D54-464B-81FB-7FB0CB87F53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73:C79" firstHeaderRow="1" firstDataRow="1" firstDataCol="1" rowPageCount="1" colPageCount="1"/>
  <pivotFields count="12">
    <pivotField dataField="1" showAll="0"/>
    <pivotField showAll="0"/>
    <pivotField showAll="0"/>
    <pivotField showAll="0"/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axis="axisRow" showAll="0" sortType="descending">
      <items count="6">
        <item x="3"/>
        <item x="2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4"/>
    </i>
    <i>
      <x v="2"/>
    </i>
    <i>
      <x/>
    </i>
    <i>
      <x v="3"/>
    </i>
    <i>
      <x v="1"/>
    </i>
    <i t="grand">
      <x/>
    </i>
  </rowItems>
  <colItems count="1">
    <i/>
  </colItems>
  <pageFields count="1">
    <pageField fld="7" item="1" hier="-1"/>
  </pageFields>
  <dataFields count="1">
    <dataField name="Count of Name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26895-7341-47CD-A761-2401FB36CB9D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D8" firstHeaderRow="1" firstDataRow="2" firstDataCol="1"/>
  <pivotFields count="12">
    <pivotField dataField="1" showAll="0"/>
    <pivotField axis="axisCol" showAll="0">
      <items count="4">
        <item x="1"/>
        <item x="0"/>
        <item h="1" x="2"/>
        <item t="default"/>
      </items>
    </pivotField>
    <pivotField dataField="1" showAll="0"/>
    <pivotField showAll="0"/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showAll="0"/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2">
    <i>
      <x/>
    </i>
    <i>
      <x v="1"/>
    </i>
  </colItems>
  <dataFields count="4">
    <dataField name="Count of Name" fld="0" subtotal="count" baseField="0" baseItem="0"/>
    <dataField name="Average of Tenure" fld="8" subtotal="average" baseField="0" baseItem="0"/>
    <dataField name="Average of Age" fld="2" subtotal="average" baseField="0" baseItem="0"/>
    <dataField name="Average of Salary" fld="6" subtotal="average" baseField="0" baseItem="0"/>
  </dataFields>
  <formats count="1">
    <format dxfId="4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5CBA6-52B5-43E2-8BAB-AADF00A84AE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2:C69" firstHeaderRow="1" firstDataRow="1" firstDataCol="1"/>
  <pivotFields count="12">
    <pivotField dataField="1" showAll="0"/>
    <pivotField showAll="0"/>
    <pivotField showAll="0"/>
    <pivotField showAll="0"/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1"/>
    <field x="9"/>
  </rowFields>
  <rowItems count="37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Name" fld="0" subtotal="count" showDataAs="runTotal" baseField="9" baseItem="0"/>
  </dataFields>
  <chartFormats count="2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1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1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1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1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11"/>
          </reference>
          <reference field="11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2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2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1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1" count="1" selected="0">
            <x v="2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1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1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1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1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9" count="1" selected="0">
            <x v="11"/>
          </reference>
          <reference field="11" count="1" selected="0">
            <x v="2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3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1" count="1" selected="0">
            <x v="3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1" count="1" selected="0">
            <x v="3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1" count="1" selected="0">
            <x v="3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1" count="1" selected="0">
            <x v="3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1" count="1" selected="0">
            <x v="3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3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6423A-3027-4C52-9CFA-4829838961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D19" firstHeaderRow="0" firstDataRow="1" firstDataCol="1"/>
  <pivotFields count="12">
    <pivotField dataField="1"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Average of Salary" fld="6" subtotal="average" baseField="0" baseItem="0" numFmtId="166"/>
  </dataFields>
  <formats count="2">
    <format dxfId="6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55E33-9F28-4713-AAF5-4DE9DA74B7A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8:L54" firstHeaderRow="0" firstDataRow="1" firstDataCol="1"/>
  <pivotFields count="12">
    <pivotField dataField="1"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numFmtId="14" showAll="0">
      <items count="161">
        <item x="16"/>
        <item x="77"/>
        <item x="12"/>
        <item x="54"/>
        <item x="125"/>
        <item x="38"/>
        <item x="126"/>
        <item x="13"/>
        <item x="36"/>
        <item x="154"/>
        <item x="20"/>
        <item x="64"/>
        <item x="4"/>
        <item x="78"/>
        <item x="53"/>
        <item x="97"/>
        <item x="35"/>
        <item x="0"/>
        <item x="50"/>
        <item x="86"/>
        <item x="137"/>
        <item x="6"/>
        <item x="99"/>
        <item x="89"/>
        <item x="92"/>
        <item x="30"/>
        <item x="48"/>
        <item x="40"/>
        <item x="85"/>
        <item x="121"/>
        <item x="106"/>
        <item x="113"/>
        <item x="63"/>
        <item x="140"/>
        <item x="51"/>
        <item x="71"/>
        <item x="83"/>
        <item x="142"/>
        <item x="148"/>
        <item x="100"/>
        <item x="153"/>
        <item x="44"/>
        <item x="31"/>
        <item x="96"/>
        <item x="5"/>
        <item x="138"/>
        <item x="65"/>
        <item x="132"/>
        <item x="58"/>
        <item x="21"/>
        <item x="1"/>
        <item x="41"/>
        <item x="156"/>
        <item x="80"/>
        <item x="62"/>
        <item x="141"/>
        <item x="10"/>
        <item x="79"/>
        <item x="8"/>
        <item x="70"/>
        <item x="139"/>
        <item x="129"/>
        <item x="105"/>
        <item x="144"/>
        <item x="3"/>
        <item x="68"/>
        <item x="95"/>
        <item x="88"/>
        <item x="108"/>
        <item x="34"/>
        <item x="130"/>
        <item x="73"/>
        <item x="150"/>
        <item x="56"/>
        <item x="37"/>
        <item x="157"/>
        <item x="19"/>
        <item x="74"/>
        <item x="42"/>
        <item x="127"/>
        <item x="60"/>
        <item x="159"/>
        <item x="46"/>
        <item x="82"/>
        <item x="116"/>
        <item x="146"/>
        <item x="120"/>
        <item x="87"/>
        <item x="81"/>
        <item x="57"/>
        <item x="133"/>
        <item x="94"/>
        <item x="90"/>
        <item x="75"/>
        <item x="59"/>
        <item x="136"/>
        <item x="109"/>
        <item x="39"/>
        <item x="93"/>
        <item x="115"/>
        <item x="117"/>
        <item x="55"/>
        <item x="123"/>
        <item x="11"/>
        <item x="66"/>
        <item x="28"/>
        <item x="72"/>
        <item x="22"/>
        <item x="102"/>
        <item x="32"/>
        <item x="76"/>
        <item x="45"/>
        <item x="103"/>
        <item x="26"/>
        <item x="151"/>
        <item x="52"/>
        <item x="131"/>
        <item x="155"/>
        <item x="107"/>
        <item x="43"/>
        <item x="149"/>
        <item x="25"/>
        <item x="112"/>
        <item x="33"/>
        <item x="69"/>
        <item x="14"/>
        <item x="143"/>
        <item x="101"/>
        <item x="15"/>
        <item x="2"/>
        <item x="9"/>
        <item x="24"/>
        <item x="49"/>
        <item x="145"/>
        <item x="18"/>
        <item x="119"/>
        <item x="124"/>
        <item x="84"/>
        <item x="47"/>
        <item x="7"/>
        <item x="23"/>
        <item x="111"/>
        <item x="114"/>
        <item x="110"/>
        <item x="147"/>
        <item x="158"/>
        <item x="122"/>
        <item x="67"/>
        <item x="61"/>
        <item x="98"/>
        <item x="135"/>
        <item x="104"/>
        <item x="17"/>
        <item x="29"/>
        <item x="118"/>
        <item x="152"/>
        <item x="128"/>
        <item x="91"/>
        <item x="27"/>
        <item x="134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Average of Salary" fld="6" subtotal="average" baseField="0" baseItem="0" numFmtId="166"/>
  </dataFields>
  <formats count="2">
    <format dxfId="3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51AE8-20E5-4230-A814-20B8F9577A29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Name" tableColumnId="1"/>
      <queryTableField id="2" name="Gender" tableColumnId="2"/>
      <queryTableField id="3" name="Age" tableColumnId="3"/>
      <queryTableField id="4" name="Rating" tableColumnId="4"/>
      <queryTableField id="5" name="Date Joined" tableColumnId="5"/>
      <queryTableField id="6" name="Department" tableColumnId="6"/>
      <queryTableField id="7" name="Salary" tableColumnId="7"/>
      <queryTableField id="8" name="Country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30C0B-48F4-44A1-8AD9-27A10465D26D}" name="NZ_Staff" displayName="NZ_Staff" ref="B2:H103" totalsRowCount="1">
  <autoFilter ref="B2:H102" xr:uid="{04F30C0B-48F4-44A1-8AD9-27A10465D26D}"/>
  <tableColumns count="7">
    <tableColumn id="1" xr3:uid="{7E30C2F9-3D6F-431B-A6ED-2BA39CDBC009}" name="Name" totalsRowLabel="Total"/>
    <tableColumn id="2" xr3:uid="{737AED72-BFC3-4F2F-BB66-0831392B02DF}" name="Gender"/>
    <tableColumn id="3" xr3:uid="{CBEE54E1-A358-439D-B0EF-E7FE45533A7E}" name="Department"/>
    <tableColumn id="4" xr3:uid="{A4E58829-6FDB-4641-AD17-329F61BE8EE8}" name="Age" totalsRowFunction="average"/>
    <tableColumn id="5" xr3:uid="{2C3ED1AE-EA24-48C6-A2B6-4B1E0D06FD91}" name="Date Joined"/>
    <tableColumn id="6" xr3:uid="{0EEBF056-B7BB-4AB4-BE33-98139F3A9277}" name="Salary" totalsRowFunction="average" dataDxfId="19" totalsRowDxfId="18"/>
    <tableColumn id="7" xr3:uid="{38D315DC-DE2C-4FEB-8492-D1C1F91BD71C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AED64-9779-4FEA-8DDD-A46BD7BB6E47}" name="India_Staff" displayName="India_Staff" ref="B2:H115" totalsRowCount="1">
  <autoFilter ref="B2:H114" xr:uid="{3FCAED64-9779-4FEA-8DDD-A46BD7BB6E47}"/>
  <tableColumns count="7">
    <tableColumn id="1" xr3:uid="{E47B6C7D-62B8-4822-B6C4-2A1424CFB136}" name="Name" totalsRowLabel="Total"/>
    <tableColumn id="2" xr3:uid="{BF0B38E0-AA90-4954-8E45-62EAB8F0C215}" name="Gender"/>
    <tableColumn id="3" xr3:uid="{D2891CA1-9025-4FFC-B16D-39D818C06099}" name="Age" totalsRowFunction="average"/>
    <tableColumn id="4" xr3:uid="{D4F43A57-B170-43C2-B082-2427E9E6002D}" name="Rating"/>
    <tableColumn id="5" xr3:uid="{9F689851-89DC-41E6-959D-1639C9A13392}" name="Date Joined" dataDxfId="17"/>
    <tableColumn id="6" xr3:uid="{8992D24B-8C7E-43AB-B74D-A61F8BC930B8}" name="Department"/>
    <tableColumn id="7" xr3:uid="{2F99CD3C-0221-418A-A99A-DB998B6355DE}" name="Salary" totalsRowFunction="sum" dataDxfId="16" totalsRowDxfId="15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2E33E4-034D-4B6F-A418-541F25C4F71D}" name="Table_All_Staff" displayName="Table_All_Staff" ref="A1:K184" tableType="queryTable" totalsRowShown="0">
  <autoFilter ref="A1:K184" xr:uid="{AC2E33E4-034D-4B6F-A418-541F25C4F71D}"/>
  <sortState xmlns:xlrd2="http://schemas.microsoft.com/office/spreadsheetml/2017/richdata2" ref="A2:J184">
    <sortCondition ref="G1:G184"/>
  </sortState>
  <tableColumns count="11">
    <tableColumn id="1" xr3:uid="{3F220269-DB7C-4144-AF85-DC90EE0EE375}" uniqueName="1" name="Name" queryTableFieldId="1" dataDxfId="14"/>
    <tableColumn id="2" xr3:uid="{F436759D-4D2B-4F7F-9B70-C8C3E6F0B57F}" uniqueName="2" name="Gender" queryTableFieldId="2" dataDxfId="13"/>
    <tableColumn id="3" xr3:uid="{1C0C35D0-02C4-4D62-8B8F-741785CB16D1}" uniqueName="3" name="Age" queryTableFieldId="3"/>
    <tableColumn id="4" xr3:uid="{CAB9B2F1-C09A-4823-AFE0-B258AEA55FCD}" uniqueName="4" name="Rating" queryTableFieldId="4"/>
    <tableColumn id="5" xr3:uid="{EBCDBA8B-6E3E-4BD4-9BE0-8A06F26B1650}" uniqueName="5" name="Date Joined" queryTableFieldId="5" dataDxfId="12"/>
    <tableColumn id="6" xr3:uid="{2253E03C-0552-4883-B288-77FDA7633E6C}" uniqueName="6" name="Department" queryTableFieldId="6" dataDxfId="11"/>
    <tableColumn id="7" xr3:uid="{528BF612-06BD-4216-ADA2-CA2DF684EC84}" uniqueName="7" name="Salary" queryTableFieldId="7" dataDxfId="10"/>
    <tableColumn id="8" xr3:uid="{2D74513A-C840-4396-9F58-17A9777C4A77}" uniqueName="8" name="Country" queryTableFieldId="8"/>
    <tableColumn id="9" xr3:uid="{5F1E0AA9-C463-4F75-8773-79B82543B903}" uniqueName="9" name="Tenure" queryTableFieldId="9" dataDxfId="9">
      <calculatedColumnFormula>(TODAY()-Table_All_Staff[[#This Row],[Date Joined]])/365</calculatedColumnFormula>
    </tableColumn>
    <tableColumn id="10" xr3:uid="{4AB5D06B-DFFA-4D53-8F38-7431D7E0556B}" uniqueName="10" name="Bonus" queryTableFieldId="10" dataDxfId="8">
      <calculatedColumnFormula>ROUNDUP(IF(Table_All_Staff[Tenure]&gt;2,3%,2%)*Table_All_Staff[Salary],0)</calculatedColumnFormula>
    </tableColumn>
    <tableColumn id="11" xr3:uid="{FE795577-1759-414C-A55D-175541724B21}" uniqueName="11" name="Ratings as Numbers" queryTableFieldId="11" dataDxfId="7">
      <calculatedColumnFormula>VLOOKUP(Table_All_Staff[[#This Row],[Rating]],'Pivot Tables'!$B$23:$C$27,2,FALSE)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8B83-49FF-416B-96C0-AAD41422461C}">
  <dimension ref="B2:H103"/>
  <sheetViews>
    <sheetView tabSelected="1" workbookViewId="0">
      <selection activeCell="K8" sqref="K8"/>
    </sheetView>
  </sheetViews>
  <sheetFormatPr defaultRowHeight="15" x14ac:dyDescent="0.25"/>
  <cols>
    <col min="2" max="2" width="21.42578125" bestFit="1" customWidth="1"/>
    <col min="3" max="3" width="10" bestFit="1" customWidth="1"/>
    <col min="4" max="4" width="14" bestFit="1" customWidth="1"/>
    <col min="5" max="5" width="6.7109375" bestFit="1" customWidth="1"/>
    <col min="6" max="6" width="13.7109375" bestFit="1" customWidth="1"/>
    <col min="7" max="7" width="12.28515625" style="30" bestFit="1" customWidth="1"/>
    <col min="8" max="8" width="14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s="1" t="s">
        <v>4</v>
      </c>
      <c r="G2" s="30" t="s">
        <v>5</v>
      </c>
      <c r="H2" t="s">
        <v>6</v>
      </c>
    </row>
    <row r="3" spans="2:8" x14ac:dyDescent="0.25">
      <c r="B3" t="s">
        <v>58</v>
      </c>
      <c r="C3" t="s">
        <v>15</v>
      </c>
      <c r="D3" t="s">
        <v>19</v>
      </c>
      <c r="E3">
        <v>22</v>
      </c>
      <c r="F3" s="1">
        <v>44446</v>
      </c>
      <c r="G3" s="30">
        <v>112780</v>
      </c>
      <c r="H3" t="s">
        <v>13</v>
      </c>
    </row>
    <row r="4" spans="2:8" x14ac:dyDescent="0.25">
      <c r="B4" t="s">
        <v>70</v>
      </c>
      <c r="C4" t="s">
        <v>15</v>
      </c>
      <c r="D4" t="s">
        <v>9</v>
      </c>
      <c r="E4">
        <v>46</v>
      </c>
      <c r="F4" s="1">
        <v>44758</v>
      </c>
      <c r="G4" s="30">
        <v>70610</v>
      </c>
      <c r="H4" t="s">
        <v>16</v>
      </c>
    </row>
    <row r="5" spans="2:8" x14ac:dyDescent="0.25">
      <c r="B5" t="s">
        <v>75</v>
      </c>
      <c r="C5" t="s">
        <v>8</v>
      </c>
      <c r="D5" t="s">
        <v>19</v>
      </c>
      <c r="E5">
        <v>28</v>
      </c>
      <c r="F5" s="1">
        <v>44357</v>
      </c>
      <c r="G5" s="30">
        <v>53240</v>
      </c>
      <c r="H5" t="s">
        <v>16</v>
      </c>
    </row>
    <row r="6" spans="2:8" x14ac:dyDescent="0.25">
      <c r="B6" t="s">
        <v>49</v>
      </c>
      <c r="D6" t="s">
        <v>21</v>
      </c>
      <c r="E6">
        <v>37</v>
      </c>
      <c r="F6" s="1">
        <v>44146</v>
      </c>
      <c r="G6" s="30">
        <v>115440</v>
      </c>
      <c r="H6" t="s">
        <v>24</v>
      </c>
    </row>
    <row r="7" spans="2:8" x14ac:dyDescent="0.25">
      <c r="B7" t="s">
        <v>65</v>
      </c>
      <c r="C7" t="s">
        <v>15</v>
      </c>
      <c r="D7" t="s">
        <v>19</v>
      </c>
      <c r="E7">
        <v>32</v>
      </c>
      <c r="F7" s="1">
        <v>44465</v>
      </c>
      <c r="G7" s="30">
        <v>53540</v>
      </c>
      <c r="H7" t="s">
        <v>16</v>
      </c>
    </row>
    <row r="8" spans="2:8" x14ac:dyDescent="0.25">
      <c r="B8" t="s">
        <v>81</v>
      </c>
      <c r="C8" t="s">
        <v>8</v>
      </c>
      <c r="D8" t="s">
        <v>9</v>
      </c>
      <c r="E8">
        <v>30</v>
      </c>
      <c r="F8" s="1">
        <v>44861</v>
      </c>
      <c r="G8" s="30">
        <v>112570</v>
      </c>
      <c r="H8" t="s">
        <v>16</v>
      </c>
    </row>
    <row r="9" spans="2:8" x14ac:dyDescent="0.25">
      <c r="B9" t="s">
        <v>51</v>
      </c>
      <c r="C9" t="s">
        <v>15</v>
      </c>
      <c r="D9" t="s">
        <v>9</v>
      </c>
      <c r="E9">
        <v>33</v>
      </c>
      <c r="F9" s="1">
        <v>44701</v>
      </c>
      <c r="G9" s="30">
        <v>48530</v>
      </c>
      <c r="H9" t="s">
        <v>13</v>
      </c>
    </row>
    <row r="10" spans="2:8" x14ac:dyDescent="0.25">
      <c r="B10" t="s">
        <v>61</v>
      </c>
      <c r="C10" t="s">
        <v>8</v>
      </c>
      <c r="D10" t="s">
        <v>12</v>
      </c>
      <c r="E10">
        <v>24</v>
      </c>
      <c r="F10" s="1">
        <v>44148</v>
      </c>
      <c r="G10" s="30">
        <v>62780</v>
      </c>
      <c r="H10" t="s">
        <v>16</v>
      </c>
    </row>
    <row r="11" spans="2:8" x14ac:dyDescent="0.25">
      <c r="B11" t="s">
        <v>82</v>
      </c>
      <c r="C11" t="s">
        <v>15</v>
      </c>
      <c r="D11" t="s">
        <v>12</v>
      </c>
      <c r="E11">
        <v>33</v>
      </c>
      <c r="F11" s="1">
        <v>44509</v>
      </c>
      <c r="G11" s="30">
        <v>53870</v>
      </c>
      <c r="H11" t="s">
        <v>16</v>
      </c>
    </row>
    <row r="12" spans="2:8" x14ac:dyDescent="0.25">
      <c r="B12" t="s">
        <v>60</v>
      </c>
      <c r="C12" t="s">
        <v>8</v>
      </c>
      <c r="D12" t="s">
        <v>56</v>
      </c>
      <c r="E12">
        <v>27</v>
      </c>
      <c r="F12" s="1">
        <v>44122</v>
      </c>
      <c r="G12" s="30">
        <v>119110</v>
      </c>
      <c r="H12" t="s">
        <v>16</v>
      </c>
    </row>
    <row r="13" spans="2:8" x14ac:dyDescent="0.25">
      <c r="B13" t="s">
        <v>87</v>
      </c>
      <c r="C13" t="s">
        <v>15</v>
      </c>
      <c r="D13" t="s">
        <v>12</v>
      </c>
      <c r="E13">
        <v>29</v>
      </c>
      <c r="F13" s="1">
        <v>44180</v>
      </c>
      <c r="G13" s="30">
        <v>112110</v>
      </c>
      <c r="H13" t="s">
        <v>24</v>
      </c>
    </row>
    <row r="14" spans="2:8" x14ac:dyDescent="0.25">
      <c r="B14" t="s">
        <v>76</v>
      </c>
      <c r="C14" t="s">
        <v>15</v>
      </c>
      <c r="D14" t="s">
        <v>19</v>
      </c>
      <c r="E14">
        <v>25</v>
      </c>
      <c r="F14" s="1">
        <v>44383</v>
      </c>
      <c r="G14" s="30">
        <v>65700</v>
      </c>
      <c r="H14" t="s">
        <v>16</v>
      </c>
    </row>
    <row r="15" spans="2:8" x14ac:dyDescent="0.25">
      <c r="B15" t="s">
        <v>97</v>
      </c>
      <c r="C15" t="s">
        <v>15</v>
      </c>
      <c r="D15" t="s">
        <v>12</v>
      </c>
      <c r="E15">
        <v>37</v>
      </c>
      <c r="F15" s="1">
        <v>44701</v>
      </c>
      <c r="G15" s="30">
        <v>69070</v>
      </c>
      <c r="H15" t="s">
        <v>16</v>
      </c>
    </row>
    <row r="16" spans="2:8" x14ac:dyDescent="0.25">
      <c r="B16" t="s">
        <v>22</v>
      </c>
      <c r="C16" t="s">
        <v>15</v>
      </c>
      <c r="D16" t="s">
        <v>12</v>
      </c>
      <c r="E16">
        <v>20</v>
      </c>
      <c r="F16" s="1">
        <v>44459</v>
      </c>
      <c r="G16" s="30">
        <v>107700</v>
      </c>
      <c r="H16" t="s">
        <v>16</v>
      </c>
    </row>
    <row r="17" spans="2:8" x14ac:dyDescent="0.25">
      <c r="B17" t="s">
        <v>84</v>
      </c>
      <c r="C17" t="s">
        <v>8</v>
      </c>
      <c r="D17" t="s">
        <v>12</v>
      </c>
      <c r="E17">
        <v>32</v>
      </c>
      <c r="F17" s="1">
        <v>44354</v>
      </c>
      <c r="G17" s="30">
        <v>43840</v>
      </c>
      <c r="H17" t="s">
        <v>13</v>
      </c>
    </row>
    <row r="18" spans="2:8" x14ac:dyDescent="0.25">
      <c r="B18" t="s">
        <v>105</v>
      </c>
      <c r="C18" t="s">
        <v>15</v>
      </c>
      <c r="D18" t="s">
        <v>9</v>
      </c>
      <c r="E18">
        <v>40</v>
      </c>
      <c r="F18" s="1">
        <v>44263</v>
      </c>
      <c r="G18" s="30">
        <v>99750</v>
      </c>
      <c r="H18" t="s">
        <v>16</v>
      </c>
    </row>
    <row r="19" spans="2:8" x14ac:dyDescent="0.25">
      <c r="B19" t="s">
        <v>47</v>
      </c>
      <c r="C19" t="s">
        <v>15</v>
      </c>
      <c r="D19" t="s">
        <v>9</v>
      </c>
      <c r="E19">
        <v>21</v>
      </c>
      <c r="F19" s="1">
        <v>44104</v>
      </c>
      <c r="G19" s="30">
        <v>37920</v>
      </c>
      <c r="H19" t="s">
        <v>16</v>
      </c>
    </row>
    <row r="20" spans="2:8" x14ac:dyDescent="0.25">
      <c r="B20" t="s">
        <v>31</v>
      </c>
      <c r="C20" t="s">
        <v>15</v>
      </c>
      <c r="D20" t="s">
        <v>9</v>
      </c>
      <c r="E20">
        <v>21</v>
      </c>
      <c r="F20" s="1">
        <v>44762</v>
      </c>
      <c r="G20" s="30">
        <v>57090</v>
      </c>
      <c r="H20" t="s">
        <v>16</v>
      </c>
    </row>
    <row r="21" spans="2:8" x14ac:dyDescent="0.25">
      <c r="B21" t="s">
        <v>30</v>
      </c>
      <c r="C21" t="s">
        <v>8</v>
      </c>
      <c r="D21" t="s">
        <v>12</v>
      </c>
      <c r="E21">
        <v>31</v>
      </c>
      <c r="F21" s="1">
        <v>44145</v>
      </c>
      <c r="G21" s="30">
        <v>41980</v>
      </c>
      <c r="H21" t="s">
        <v>16</v>
      </c>
    </row>
    <row r="22" spans="2:8" x14ac:dyDescent="0.25">
      <c r="B22" t="s">
        <v>78</v>
      </c>
      <c r="C22" t="s">
        <v>15</v>
      </c>
      <c r="D22" t="s">
        <v>56</v>
      </c>
      <c r="E22">
        <v>21</v>
      </c>
      <c r="F22" s="1">
        <v>44242</v>
      </c>
      <c r="G22" s="30">
        <v>75880</v>
      </c>
      <c r="H22" t="s">
        <v>16</v>
      </c>
    </row>
    <row r="23" spans="2:8" x14ac:dyDescent="0.25">
      <c r="B23" t="s">
        <v>36</v>
      </c>
      <c r="C23" t="s">
        <v>8</v>
      </c>
      <c r="D23" t="s">
        <v>21</v>
      </c>
      <c r="E23">
        <v>34</v>
      </c>
      <c r="F23" s="1">
        <v>44653</v>
      </c>
      <c r="G23" s="30">
        <v>58940</v>
      </c>
      <c r="H23" t="s">
        <v>16</v>
      </c>
    </row>
    <row r="24" spans="2:8" x14ac:dyDescent="0.25">
      <c r="B24" t="s">
        <v>27</v>
      </c>
      <c r="C24" t="s">
        <v>8</v>
      </c>
      <c r="D24" t="s">
        <v>21</v>
      </c>
      <c r="E24">
        <v>30</v>
      </c>
      <c r="F24" s="1">
        <v>44389</v>
      </c>
      <c r="G24" s="30">
        <v>67910</v>
      </c>
      <c r="H24" t="s">
        <v>24</v>
      </c>
    </row>
    <row r="25" spans="2:8" x14ac:dyDescent="0.25">
      <c r="B25" t="s">
        <v>26</v>
      </c>
      <c r="C25" t="s">
        <v>8</v>
      </c>
      <c r="D25" t="s">
        <v>12</v>
      </c>
      <c r="E25">
        <v>31</v>
      </c>
      <c r="F25" s="1">
        <v>44663</v>
      </c>
      <c r="G25" s="30">
        <v>58100</v>
      </c>
      <c r="H25" t="s">
        <v>16</v>
      </c>
    </row>
    <row r="26" spans="2:8" x14ac:dyDescent="0.25">
      <c r="B26" t="s">
        <v>53</v>
      </c>
      <c r="C26" t="s">
        <v>15</v>
      </c>
      <c r="D26" t="s">
        <v>21</v>
      </c>
      <c r="E26">
        <v>27</v>
      </c>
      <c r="F26" s="1">
        <v>44567</v>
      </c>
      <c r="G26" s="30">
        <v>48980</v>
      </c>
      <c r="H26" t="s">
        <v>16</v>
      </c>
    </row>
    <row r="27" spans="2:8" x14ac:dyDescent="0.25">
      <c r="B27" t="s">
        <v>20</v>
      </c>
      <c r="D27" t="s">
        <v>21</v>
      </c>
      <c r="E27">
        <v>30</v>
      </c>
      <c r="F27" s="1">
        <v>44597</v>
      </c>
      <c r="G27" s="30">
        <v>64000</v>
      </c>
      <c r="H27" t="s">
        <v>16</v>
      </c>
    </row>
    <row r="28" spans="2:8" x14ac:dyDescent="0.25">
      <c r="B28" t="s">
        <v>7</v>
      </c>
      <c r="C28" t="s">
        <v>8</v>
      </c>
      <c r="D28" t="s">
        <v>9</v>
      </c>
      <c r="E28">
        <v>42</v>
      </c>
      <c r="F28" s="1">
        <v>44779</v>
      </c>
      <c r="G28" s="30">
        <v>75000</v>
      </c>
      <c r="H28" t="s">
        <v>10</v>
      </c>
    </row>
    <row r="29" spans="2:8" x14ac:dyDescent="0.25">
      <c r="B29" t="s">
        <v>74</v>
      </c>
      <c r="C29" t="s">
        <v>8</v>
      </c>
      <c r="D29" t="s">
        <v>12</v>
      </c>
      <c r="E29">
        <v>40</v>
      </c>
      <c r="F29" s="1">
        <v>44337</v>
      </c>
      <c r="G29" s="30">
        <v>87620</v>
      </c>
      <c r="H29" t="s">
        <v>16</v>
      </c>
    </row>
    <row r="30" spans="2:8" x14ac:dyDescent="0.25">
      <c r="B30" t="s">
        <v>44</v>
      </c>
      <c r="C30" t="s">
        <v>8</v>
      </c>
      <c r="D30" t="s">
        <v>12</v>
      </c>
      <c r="E30">
        <v>29</v>
      </c>
      <c r="F30" s="1">
        <v>44023</v>
      </c>
      <c r="G30" s="30">
        <v>34980</v>
      </c>
      <c r="H30" t="s">
        <v>16</v>
      </c>
    </row>
    <row r="31" spans="2:8" x14ac:dyDescent="0.25">
      <c r="B31" t="s">
        <v>35</v>
      </c>
      <c r="C31" t="s">
        <v>8</v>
      </c>
      <c r="D31" t="s">
        <v>21</v>
      </c>
      <c r="E31">
        <v>28</v>
      </c>
      <c r="F31" s="1">
        <v>44185</v>
      </c>
      <c r="G31" s="30">
        <v>75970</v>
      </c>
      <c r="H31" t="s">
        <v>16</v>
      </c>
    </row>
    <row r="32" spans="2:8" x14ac:dyDescent="0.25">
      <c r="B32" t="s">
        <v>38</v>
      </c>
      <c r="C32" t="s">
        <v>8</v>
      </c>
      <c r="D32" t="s">
        <v>21</v>
      </c>
      <c r="E32">
        <v>34</v>
      </c>
      <c r="F32" s="1">
        <v>44612</v>
      </c>
      <c r="G32" s="30">
        <v>60130</v>
      </c>
      <c r="H32" t="s">
        <v>16</v>
      </c>
    </row>
    <row r="33" spans="2:8" x14ac:dyDescent="0.25">
      <c r="B33" t="s">
        <v>41</v>
      </c>
      <c r="C33" t="s">
        <v>8</v>
      </c>
      <c r="D33" t="s">
        <v>12</v>
      </c>
      <c r="E33">
        <v>33</v>
      </c>
      <c r="F33" s="1">
        <v>44374</v>
      </c>
      <c r="G33" s="30">
        <v>75480</v>
      </c>
      <c r="H33" t="s">
        <v>42</v>
      </c>
    </row>
    <row r="34" spans="2:8" x14ac:dyDescent="0.25">
      <c r="B34" t="s">
        <v>40</v>
      </c>
      <c r="C34" t="s">
        <v>15</v>
      </c>
      <c r="D34" t="s">
        <v>9</v>
      </c>
      <c r="E34">
        <v>33</v>
      </c>
      <c r="F34" s="1">
        <v>44164</v>
      </c>
      <c r="G34" s="30">
        <v>115920</v>
      </c>
      <c r="H34" t="s">
        <v>16</v>
      </c>
    </row>
    <row r="35" spans="2:8" x14ac:dyDescent="0.25">
      <c r="B35" t="s">
        <v>48</v>
      </c>
      <c r="C35" t="s">
        <v>8</v>
      </c>
      <c r="D35" t="s">
        <v>19</v>
      </c>
      <c r="E35">
        <v>36</v>
      </c>
      <c r="F35" s="1">
        <v>44494</v>
      </c>
      <c r="G35" s="30">
        <v>78540</v>
      </c>
      <c r="H35" t="s">
        <v>16</v>
      </c>
    </row>
    <row r="36" spans="2:8" x14ac:dyDescent="0.25">
      <c r="B36" t="s">
        <v>34</v>
      </c>
      <c r="C36" t="s">
        <v>15</v>
      </c>
      <c r="D36" t="s">
        <v>9</v>
      </c>
      <c r="E36">
        <v>25</v>
      </c>
      <c r="F36" s="1">
        <v>44726</v>
      </c>
      <c r="G36" s="30">
        <v>109190</v>
      </c>
      <c r="H36" t="s">
        <v>13</v>
      </c>
    </row>
    <row r="37" spans="2:8" x14ac:dyDescent="0.25">
      <c r="B37" t="s">
        <v>73</v>
      </c>
      <c r="C37" t="s">
        <v>8</v>
      </c>
      <c r="D37" t="s">
        <v>19</v>
      </c>
      <c r="E37">
        <v>34</v>
      </c>
      <c r="F37" s="1">
        <v>44721</v>
      </c>
      <c r="G37" s="30">
        <v>49630</v>
      </c>
      <c r="H37" t="s">
        <v>24</v>
      </c>
    </row>
    <row r="38" spans="2:8" x14ac:dyDescent="0.25">
      <c r="B38" t="s">
        <v>107</v>
      </c>
      <c r="C38" t="s">
        <v>8</v>
      </c>
      <c r="D38" t="s">
        <v>9</v>
      </c>
      <c r="E38">
        <v>28</v>
      </c>
      <c r="F38" s="1">
        <v>44630</v>
      </c>
      <c r="G38" s="30">
        <v>99970</v>
      </c>
      <c r="H38" t="s">
        <v>16</v>
      </c>
    </row>
    <row r="39" spans="2:8" x14ac:dyDescent="0.25">
      <c r="B39" t="s">
        <v>71</v>
      </c>
      <c r="C39" t="s">
        <v>8</v>
      </c>
      <c r="D39" t="s">
        <v>12</v>
      </c>
      <c r="E39">
        <v>33</v>
      </c>
      <c r="F39" s="1">
        <v>44190</v>
      </c>
      <c r="G39" s="30">
        <v>96140</v>
      </c>
      <c r="H39" t="s">
        <v>16</v>
      </c>
    </row>
    <row r="40" spans="2:8" x14ac:dyDescent="0.25">
      <c r="B40" t="s">
        <v>50</v>
      </c>
      <c r="C40" t="s">
        <v>15</v>
      </c>
      <c r="D40" t="s">
        <v>9</v>
      </c>
      <c r="E40">
        <v>31</v>
      </c>
      <c r="F40" s="1">
        <v>44724</v>
      </c>
      <c r="G40" s="30">
        <v>103550</v>
      </c>
      <c r="H40" t="s">
        <v>16</v>
      </c>
    </row>
    <row r="41" spans="2:8" x14ac:dyDescent="0.25">
      <c r="B41" t="s">
        <v>14</v>
      </c>
      <c r="C41" t="s">
        <v>15</v>
      </c>
      <c r="D41" t="s">
        <v>12</v>
      </c>
      <c r="E41">
        <v>31</v>
      </c>
      <c r="F41" s="1">
        <v>44511</v>
      </c>
      <c r="G41" s="30">
        <v>48950</v>
      </c>
      <c r="H41" t="s">
        <v>16</v>
      </c>
    </row>
    <row r="42" spans="2:8" x14ac:dyDescent="0.25">
      <c r="B42" t="s">
        <v>63</v>
      </c>
      <c r="C42" t="s">
        <v>15</v>
      </c>
      <c r="D42" t="s">
        <v>21</v>
      </c>
      <c r="E42">
        <v>24</v>
      </c>
      <c r="F42" s="1">
        <v>44436</v>
      </c>
      <c r="G42" s="30">
        <v>52610</v>
      </c>
      <c r="H42" t="s">
        <v>24</v>
      </c>
    </row>
    <row r="43" spans="2:8" x14ac:dyDescent="0.25">
      <c r="B43" t="s">
        <v>72</v>
      </c>
      <c r="C43" t="s">
        <v>8</v>
      </c>
      <c r="D43" t="s">
        <v>9</v>
      </c>
      <c r="E43">
        <v>36</v>
      </c>
      <c r="F43" s="1">
        <v>44529</v>
      </c>
      <c r="G43" s="30">
        <v>78390</v>
      </c>
      <c r="H43" t="s">
        <v>16</v>
      </c>
    </row>
    <row r="44" spans="2:8" x14ac:dyDescent="0.25">
      <c r="B44" t="s">
        <v>88</v>
      </c>
      <c r="C44" t="s">
        <v>8</v>
      </c>
      <c r="D44" t="s">
        <v>21</v>
      </c>
      <c r="E44">
        <v>33</v>
      </c>
      <c r="F44" s="1">
        <v>44809</v>
      </c>
      <c r="G44" s="30">
        <v>86570</v>
      </c>
      <c r="H44" t="s">
        <v>16</v>
      </c>
    </row>
    <row r="45" spans="2:8" x14ac:dyDescent="0.25">
      <c r="B45" t="s">
        <v>92</v>
      </c>
      <c r="C45" t="s">
        <v>8</v>
      </c>
      <c r="D45" t="s">
        <v>12</v>
      </c>
      <c r="E45">
        <v>27</v>
      </c>
      <c r="F45" s="1">
        <v>44686</v>
      </c>
      <c r="G45" s="30">
        <v>83750</v>
      </c>
      <c r="H45" t="s">
        <v>16</v>
      </c>
    </row>
    <row r="46" spans="2:8" x14ac:dyDescent="0.25">
      <c r="B46" t="s">
        <v>102</v>
      </c>
      <c r="C46" t="s">
        <v>8</v>
      </c>
      <c r="D46" t="s">
        <v>21</v>
      </c>
      <c r="E46">
        <v>34</v>
      </c>
      <c r="F46" s="1">
        <v>44445</v>
      </c>
      <c r="G46" s="30">
        <v>92450</v>
      </c>
      <c r="H46" t="s">
        <v>16</v>
      </c>
    </row>
    <row r="47" spans="2:8" x14ac:dyDescent="0.25">
      <c r="B47" t="s">
        <v>64</v>
      </c>
      <c r="C47" t="s">
        <v>15</v>
      </c>
      <c r="D47" t="s">
        <v>12</v>
      </c>
      <c r="E47">
        <v>20</v>
      </c>
      <c r="F47" s="1">
        <v>44183</v>
      </c>
      <c r="G47" s="30">
        <v>112650</v>
      </c>
      <c r="H47" t="s">
        <v>16</v>
      </c>
    </row>
    <row r="48" spans="2:8" x14ac:dyDescent="0.25">
      <c r="B48" t="s">
        <v>104</v>
      </c>
      <c r="C48" t="s">
        <v>15</v>
      </c>
      <c r="D48" t="s">
        <v>9</v>
      </c>
      <c r="E48">
        <v>20</v>
      </c>
      <c r="F48" s="1">
        <v>44744</v>
      </c>
      <c r="G48" s="30">
        <v>79570</v>
      </c>
      <c r="H48" t="s">
        <v>16</v>
      </c>
    </row>
    <row r="49" spans="2:8" x14ac:dyDescent="0.25">
      <c r="B49" t="s">
        <v>91</v>
      </c>
      <c r="C49" t="s">
        <v>8</v>
      </c>
      <c r="D49" t="s">
        <v>19</v>
      </c>
      <c r="E49">
        <v>20</v>
      </c>
      <c r="F49" s="1">
        <v>44537</v>
      </c>
      <c r="G49" s="30">
        <v>68900</v>
      </c>
      <c r="H49" t="s">
        <v>24</v>
      </c>
    </row>
    <row r="50" spans="2:8" x14ac:dyDescent="0.25">
      <c r="B50" t="s">
        <v>39</v>
      </c>
      <c r="C50" t="s">
        <v>8</v>
      </c>
      <c r="D50" t="s">
        <v>12</v>
      </c>
      <c r="E50">
        <v>25</v>
      </c>
      <c r="F50" s="1">
        <v>44694</v>
      </c>
      <c r="G50" s="30">
        <v>80700</v>
      </c>
      <c r="H50" t="s">
        <v>13</v>
      </c>
    </row>
    <row r="51" spans="2:8" x14ac:dyDescent="0.25">
      <c r="B51" t="s">
        <v>100</v>
      </c>
      <c r="C51" t="s">
        <v>15</v>
      </c>
      <c r="D51" t="s">
        <v>9</v>
      </c>
      <c r="E51">
        <v>19</v>
      </c>
      <c r="F51" s="1">
        <v>44277</v>
      </c>
      <c r="G51" s="30">
        <v>58960</v>
      </c>
      <c r="H51" t="s">
        <v>16</v>
      </c>
    </row>
    <row r="52" spans="2:8" x14ac:dyDescent="0.25">
      <c r="B52" t="s">
        <v>106</v>
      </c>
      <c r="C52" t="s">
        <v>15</v>
      </c>
      <c r="D52" t="s">
        <v>12</v>
      </c>
      <c r="E52">
        <v>36</v>
      </c>
      <c r="F52" s="1">
        <v>44019</v>
      </c>
      <c r="G52" s="30">
        <v>118840</v>
      </c>
      <c r="H52" t="s">
        <v>16</v>
      </c>
    </row>
    <row r="53" spans="2:8" x14ac:dyDescent="0.25">
      <c r="B53" t="s">
        <v>29</v>
      </c>
      <c r="C53" t="s">
        <v>15</v>
      </c>
      <c r="D53" t="s">
        <v>21</v>
      </c>
      <c r="E53">
        <v>28</v>
      </c>
      <c r="F53" s="1">
        <v>44041</v>
      </c>
      <c r="G53" s="30">
        <v>48170</v>
      </c>
      <c r="H53" t="s">
        <v>13</v>
      </c>
    </row>
    <row r="54" spans="2:8" x14ac:dyDescent="0.25">
      <c r="B54" t="s">
        <v>108</v>
      </c>
      <c r="C54" t="s">
        <v>8</v>
      </c>
      <c r="D54" t="s">
        <v>56</v>
      </c>
      <c r="E54">
        <v>32</v>
      </c>
      <c r="F54" s="1">
        <v>44400</v>
      </c>
      <c r="G54" s="30">
        <v>45510</v>
      </c>
      <c r="H54" t="s">
        <v>16</v>
      </c>
    </row>
    <row r="55" spans="2:8" x14ac:dyDescent="0.25">
      <c r="B55" t="s">
        <v>64</v>
      </c>
      <c r="C55" t="s">
        <v>15</v>
      </c>
      <c r="D55" t="s">
        <v>9</v>
      </c>
      <c r="E55">
        <v>34</v>
      </c>
      <c r="F55" s="1">
        <v>44703</v>
      </c>
      <c r="G55" s="30">
        <v>112650</v>
      </c>
      <c r="H55" t="s">
        <v>16</v>
      </c>
    </row>
    <row r="56" spans="2:8" x14ac:dyDescent="0.25">
      <c r="B56" t="s">
        <v>83</v>
      </c>
      <c r="C56" t="s">
        <v>8</v>
      </c>
      <c r="D56" t="s">
        <v>9</v>
      </c>
      <c r="E56">
        <v>36</v>
      </c>
      <c r="F56" s="1">
        <v>44085</v>
      </c>
      <c r="G56" s="30">
        <v>114890</v>
      </c>
      <c r="H56" t="s">
        <v>16</v>
      </c>
    </row>
    <row r="57" spans="2:8" x14ac:dyDescent="0.25">
      <c r="B57" t="s">
        <v>67</v>
      </c>
      <c r="C57" t="s">
        <v>15</v>
      </c>
      <c r="D57" t="s">
        <v>12</v>
      </c>
      <c r="E57">
        <v>30</v>
      </c>
      <c r="F57" s="1">
        <v>44850</v>
      </c>
      <c r="G57" s="30">
        <v>69710</v>
      </c>
      <c r="H57" t="s">
        <v>16</v>
      </c>
    </row>
    <row r="58" spans="2:8" x14ac:dyDescent="0.25">
      <c r="B58" t="s">
        <v>94</v>
      </c>
      <c r="C58" t="s">
        <v>15</v>
      </c>
      <c r="D58" t="s">
        <v>21</v>
      </c>
      <c r="E58">
        <v>36</v>
      </c>
      <c r="F58" s="1">
        <v>44333</v>
      </c>
      <c r="G58" s="30">
        <v>71380</v>
      </c>
      <c r="H58" t="s">
        <v>16</v>
      </c>
    </row>
    <row r="59" spans="2:8" x14ac:dyDescent="0.25">
      <c r="B59" t="s">
        <v>33</v>
      </c>
      <c r="C59" t="s">
        <v>8</v>
      </c>
      <c r="D59" t="s">
        <v>19</v>
      </c>
      <c r="E59">
        <v>38</v>
      </c>
      <c r="F59" s="1">
        <v>44377</v>
      </c>
      <c r="G59" s="30">
        <v>109160</v>
      </c>
      <c r="H59" t="s">
        <v>10</v>
      </c>
    </row>
    <row r="60" spans="2:8" x14ac:dyDescent="0.25">
      <c r="B60" t="s">
        <v>98</v>
      </c>
      <c r="C60" t="s">
        <v>15</v>
      </c>
      <c r="D60" t="s">
        <v>9</v>
      </c>
      <c r="E60">
        <v>27</v>
      </c>
      <c r="F60" s="1">
        <v>44609</v>
      </c>
      <c r="G60" s="30">
        <v>113280</v>
      </c>
      <c r="H60" t="s">
        <v>42</v>
      </c>
    </row>
    <row r="61" spans="2:8" x14ac:dyDescent="0.25">
      <c r="B61" t="s">
        <v>25</v>
      </c>
      <c r="C61" t="s">
        <v>15</v>
      </c>
      <c r="D61" t="s">
        <v>12</v>
      </c>
      <c r="E61">
        <v>30</v>
      </c>
      <c r="F61" s="1">
        <v>44273</v>
      </c>
      <c r="G61" s="30">
        <v>69120</v>
      </c>
      <c r="H61" t="s">
        <v>16</v>
      </c>
    </row>
    <row r="62" spans="2:8" x14ac:dyDescent="0.25">
      <c r="B62" t="s">
        <v>55</v>
      </c>
      <c r="C62" t="s">
        <v>8</v>
      </c>
      <c r="D62" t="s">
        <v>56</v>
      </c>
      <c r="E62">
        <v>37</v>
      </c>
      <c r="F62" s="1">
        <v>44451</v>
      </c>
      <c r="G62" s="30">
        <v>118100</v>
      </c>
      <c r="H62" t="s">
        <v>16</v>
      </c>
    </row>
    <row r="63" spans="2:8" x14ac:dyDescent="0.25">
      <c r="B63" t="s">
        <v>62</v>
      </c>
      <c r="C63" t="s">
        <v>8</v>
      </c>
      <c r="D63" t="s">
        <v>9</v>
      </c>
      <c r="E63">
        <v>22</v>
      </c>
      <c r="F63" s="1">
        <v>44450</v>
      </c>
      <c r="G63" s="30">
        <v>76900</v>
      </c>
      <c r="H63" t="s">
        <v>13</v>
      </c>
    </row>
    <row r="64" spans="2:8" x14ac:dyDescent="0.25">
      <c r="B64" t="s">
        <v>17</v>
      </c>
      <c r="C64" t="s">
        <v>8</v>
      </c>
      <c r="D64" t="s">
        <v>12</v>
      </c>
      <c r="E64">
        <v>43</v>
      </c>
      <c r="F64" s="1">
        <v>45045</v>
      </c>
      <c r="G64" s="30">
        <v>114870</v>
      </c>
      <c r="H64" t="s">
        <v>16</v>
      </c>
    </row>
    <row r="65" spans="2:8" x14ac:dyDescent="0.25">
      <c r="B65" t="s">
        <v>52</v>
      </c>
      <c r="D65" t="s">
        <v>12</v>
      </c>
      <c r="E65">
        <v>32</v>
      </c>
      <c r="F65" s="1">
        <v>44774</v>
      </c>
      <c r="G65" s="30">
        <v>91310</v>
      </c>
      <c r="H65" t="s">
        <v>16</v>
      </c>
    </row>
    <row r="66" spans="2:8" x14ac:dyDescent="0.25">
      <c r="B66" t="s">
        <v>43</v>
      </c>
      <c r="C66" t="s">
        <v>8</v>
      </c>
      <c r="D66" t="s">
        <v>9</v>
      </c>
      <c r="E66">
        <v>28</v>
      </c>
      <c r="F66" s="1">
        <v>44486</v>
      </c>
      <c r="G66" s="30">
        <v>104770</v>
      </c>
      <c r="H66" t="s">
        <v>16</v>
      </c>
    </row>
    <row r="67" spans="2:8" x14ac:dyDescent="0.25">
      <c r="B67" t="s">
        <v>89</v>
      </c>
      <c r="C67" t="s">
        <v>15</v>
      </c>
      <c r="D67" t="s">
        <v>19</v>
      </c>
      <c r="E67">
        <v>27</v>
      </c>
      <c r="F67" s="1">
        <v>44134</v>
      </c>
      <c r="G67" s="30">
        <v>54970</v>
      </c>
      <c r="H67" t="s">
        <v>16</v>
      </c>
    </row>
    <row r="68" spans="2:8" x14ac:dyDescent="0.25">
      <c r="B68" t="s">
        <v>11</v>
      </c>
      <c r="D68" t="s">
        <v>12</v>
      </c>
      <c r="E68">
        <v>26</v>
      </c>
      <c r="F68" s="1">
        <v>44271</v>
      </c>
      <c r="G68" s="30">
        <v>90700</v>
      </c>
      <c r="H68" t="s">
        <v>13</v>
      </c>
    </row>
    <row r="69" spans="2:8" x14ac:dyDescent="0.25">
      <c r="B69" t="s">
        <v>109</v>
      </c>
      <c r="C69" t="s">
        <v>8</v>
      </c>
      <c r="D69" t="s">
        <v>19</v>
      </c>
      <c r="E69">
        <v>38</v>
      </c>
      <c r="F69" s="1">
        <v>44329</v>
      </c>
      <c r="G69" s="30">
        <v>56870</v>
      </c>
      <c r="H69" t="s">
        <v>13</v>
      </c>
    </row>
    <row r="70" spans="2:8" x14ac:dyDescent="0.25">
      <c r="B70" t="s">
        <v>77</v>
      </c>
      <c r="C70" t="s">
        <v>8</v>
      </c>
      <c r="D70" t="s">
        <v>19</v>
      </c>
      <c r="E70">
        <v>25</v>
      </c>
      <c r="F70" s="1">
        <v>44205</v>
      </c>
      <c r="G70" s="30">
        <v>92700</v>
      </c>
      <c r="H70" t="s">
        <v>16</v>
      </c>
    </row>
    <row r="71" spans="2:8" x14ac:dyDescent="0.25">
      <c r="B71" t="s">
        <v>32</v>
      </c>
      <c r="C71" t="s">
        <v>8</v>
      </c>
      <c r="D71" t="s">
        <v>21</v>
      </c>
      <c r="E71">
        <v>21</v>
      </c>
      <c r="F71" s="1">
        <v>44317</v>
      </c>
      <c r="G71" s="30">
        <v>65920</v>
      </c>
      <c r="H71" t="s">
        <v>16</v>
      </c>
    </row>
    <row r="72" spans="2:8" x14ac:dyDescent="0.25">
      <c r="B72" t="s">
        <v>59</v>
      </c>
      <c r="C72" t="s">
        <v>15</v>
      </c>
      <c r="D72" t="s">
        <v>9</v>
      </c>
      <c r="E72">
        <v>26</v>
      </c>
      <c r="F72" s="1">
        <v>44225</v>
      </c>
      <c r="G72" s="30">
        <v>47360</v>
      </c>
      <c r="H72" t="s">
        <v>16</v>
      </c>
    </row>
    <row r="73" spans="2:8" x14ac:dyDescent="0.25">
      <c r="B73" t="s">
        <v>37</v>
      </c>
      <c r="C73" t="s">
        <v>15</v>
      </c>
      <c r="D73" t="s">
        <v>9</v>
      </c>
      <c r="E73">
        <v>30</v>
      </c>
      <c r="F73" s="1">
        <v>44666</v>
      </c>
      <c r="G73" s="30">
        <v>60570</v>
      </c>
      <c r="H73" t="s">
        <v>16</v>
      </c>
    </row>
    <row r="74" spans="2:8" x14ac:dyDescent="0.25">
      <c r="B74" t="s">
        <v>96</v>
      </c>
      <c r="C74" t="s">
        <v>8</v>
      </c>
      <c r="D74" t="s">
        <v>9</v>
      </c>
      <c r="E74">
        <v>28</v>
      </c>
      <c r="F74" s="1">
        <v>44649</v>
      </c>
      <c r="G74" s="30">
        <v>104120</v>
      </c>
      <c r="H74" t="s">
        <v>16</v>
      </c>
    </row>
    <row r="75" spans="2:8" x14ac:dyDescent="0.25">
      <c r="B75" t="s">
        <v>23</v>
      </c>
      <c r="C75" t="s">
        <v>15</v>
      </c>
      <c r="D75" t="s">
        <v>12</v>
      </c>
      <c r="E75">
        <v>37</v>
      </c>
      <c r="F75" s="1">
        <v>44338</v>
      </c>
      <c r="G75" s="30">
        <v>88050</v>
      </c>
      <c r="H75" t="s">
        <v>24</v>
      </c>
    </row>
    <row r="76" spans="2:8" x14ac:dyDescent="0.25">
      <c r="B76" t="s">
        <v>103</v>
      </c>
      <c r="C76" t="s">
        <v>15</v>
      </c>
      <c r="D76" t="s">
        <v>12</v>
      </c>
      <c r="E76">
        <v>24</v>
      </c>
      <c r="F76" s="1">
        <v>44686</v>
      </c>
      <c r="G76" s="30">
        <v>100420</v>
      </c>
      <c r="H76" t="s">
        <v>16</v>
      </c>
    </row>
    <row r="77" spans="2:8" x14ac:dyDescent="0.25">
      <c r="B77" t="s">
        <v>54</v>
      </c>
      <c r="C77" t="s">
        <v>8</v>
      </c>
      <c r="D77" t="s">
        <v>9</v>
      </c>
      <c r="E77">
        <v>30</v>
      </c>
      <c r="F77" s="1">
        <v>44850</v>
      </c>
      <c r="G77" s="30">
        <v>114180</v>
      </c>
      <c r="H77" t="s">
        <v>16</v>
      </c>
    </row>
    <row r="78" spans="2:8" x14ac:dyDescent="0.25">
      <c r="B78" t="s">
        <v>86</v>
      </c>
      <c r="C78" t="s">
        <v>8</v>
      </c>
      <c r="D78" t="s">
        <v>12</v>
      </c>
      <c r="E78">
        <v>21</v>
      </c>
      <c r="F78" s="1">
        <v>44678</v>
      </c>
      <c r="G78" s="30">
        <v>33920</v>
      </c>
      <c r="H78" t="s">
        <v>16</v>
      </c>
    </row>
    <row r="79" spans="2:8" x14ac:dyDescent="0.25">
      <c r="B79" t="s">
        <v>69</v>
      </c>
      <c r="C79" t="s">
        <v>15</v>
      </c>
      <c r="D79" t="s">
        <v>9</v>
      </c>
      <c r="E79">
        <v>23</v>
      </c>
      <c r="F79" s="1">
        <v>44440</v>
      </c>
      <c r="G79" s="30">
        <v>106460</v>
      </c>
      <c r="H79" t="s">
        <v>16</v>
      </c>
    </row>
    <row r="80" spans="2:8" x14ac:dyDescent="0.25">
      <c r="B80" t="s">
        <v>57</v>
      </c>
      <c r="C80" t="s">
        <v>15</v>
      </c>
      <c r="D80" t="s">
        <v>9</v>
      </c>
      <c r="E80">
        <v>35</v>
      </c>
      <c r="F80" s="1">
        <v>44727</v>
      </c>
      <c r="G80" s="30">
        <v>40400</v>
      </c>
      <c r="H80" t="s">
        <v>16</v>
      </c>
    </row>
    <row r="81" spans="2:8" x14ac:dyDescent="0.25">
      <c r="B81" t="s">
        <v>68</v>
      </c>
      <c r="C81" t="s">
        <v>15</v>
      </c>
      <c r="D81" t="s">
        <v>21</v>
      </c>
      <c r="E81">
        <v>27</v>
      </c>
      <c r="F81" s="1">
        <v>44236</v>
      </c>
      <c r="G81" s="30">
        <v>91650</v>
      </c>
      <c r="H81" t="s">
        <v>13</v>
      </c>
    </row>
    <row r="82" spans="2:8" x14ac:dyDescent="0.25">
      <c r="B82" t="s">
        <v>99</v>
      </c>
      <c r="C82" t="s">
        <v>15</v>
      </c>
      <c r="D82" t="s">
        <v>19</v>
      </c>
      <c r="E82">
        <v>43</v>
      </c>
      <c r="F82" s="1">
        <v>44620</v>
      </c>
      <c r="G82" s="30">
        <v>36040</v>
      </c>
      <c r="H82" t="s">
        <v>16</v>
      </c>
    </row>
    <row r="83" spans="2:8" x14ac:dyDescent="0.25">
      <c r="B83" t="s">
        <v>101</v>
      </c>
      <c r="C83" t="s">
        <v>8</v>
      </c>
      <c r="D83" t="s">
        <v>12</v>
      </c>
      <c r="E83">
        <v>40</v>
      </c>
      <c r="F83" s="1">
        <v>44381</v>
      </c>
      <c r="G83" s="30">
        <v>104410</v>
      </c>
      <c r="H83" t="s">
        <v>16</v>
      </c>
    </row>
    <row r="84" spans="2:8" x14ac:dyDescent="0.25">
      <c r="B84" t="s">
        <v>85</v>
      </c>
      <c r="C84" t="s">
        <v>15</v>
      </c>
      <c r="D84" t="s">
        <v>21</v>
      </c>
      <c r="E84">
        <v>30</v>
      </c>
      <c r="F84" s="1">
        <v>44606</v>
      </c>
      <c r="G84" s="30">
        <v>96800</v>
      </c>
      <c r="H84" t="s">
        <v>16</v>
      </c>
    </row>
    <row r="85" spans="2:8" x14ac:dyDescent="0.25">
      <c r="B85" t="s">
        <v>28</v>
      </c>
      <c r="C85" t="s">
        <v>8</v>
      </c>
      <c r="D85" t="s">
        <v>21</v>
      </c>
      <c r="E85">
        <v>34</v>
      </c>
      <c r="F85" s="1">
        <v>44459</v>
      </c>
      <c r="G85" s="30">
        <v>85000</v>
      </c>
      <c r="H85" t="s">
        <v>16</v>
      </c>
    </row>
    <row r="86" spans="2:8" x14ac:dyDescent="0.25">
      <c r="B86" t="s">
        <v>80</v>
      </c>
      <c r="C86" t="s">
        <v>15</v>
      </c>
      <c r="D86" t="s">
        <v>19</v>
      </c>
      <c r="E86">
        <v>28</v>
      </c>
      <c r="F86" s="1">
        <v>44820</v>
      </c>
      <c r="G86" s="30">
        <v>43510</v>
      </c>
      <c r="H86" t="s">
        <v>42</v>
      </c>
    </row>
    <row r="87" spans="2:8" x14ac:dyDescent="0.25">
      <c r="B87" t="s">
        <v>79</v>
      </c>
      <c r="C87" t="s">
        <v>15</v>
      </c>
      <c r="D87" t="s">
        <v>21</v>
      </c>
      <c r="E87">
        <v>33</v>
      </c>
      <c r="F87" s="1">
        <v>44243</v>
      </c>
      <c r="G87" s="30">
        <v>59430</v>
      </c>
      <c r="H87" t="s">
        <v>16</v>
      </c>
    </row>
    <row r="88" spans="2:8" x14ac:dyDescent="0.25">
      <c r="B88" t="s">
        <v>93</v>
      </c>
      <c r="C88" t="s">
        <v>8</v>
      </c>
      <c r="D88" t="s">
        <v>21</v>
      </c>
      <c r="E88">
        <v>33</v>
      </c>
      <c r="F88" s="1">
        <v>44067</v>
      </c>
      <c r="G88" s="30">
        <v>65360</v>
      </c>
      <c r="H88" t="s">
        <v>16</v>
      </c>
    </row>
    <row r="89" spans="2:8" x14ac:dyDescent="0.25">
      <c r="B89" t="s">
        <v>66</v>
      </c>
      <c r="C89" t="s">
        <v>8</v>
      </c>
      <c r="D89" t="s">
        <v>9</v>
      </c>
      <c r="E89">
        <v>32</v>
      </c>
      <c r="F89" s="1">
        <v>44611</v>
      </c>
      <c r="G89" s="30">
        <v>41570</v>
      </c>
      <c r="H89" t="s">
        <v>16</v>
      </c>
    </row>
    <row r="90" spans="2:8" x14ac:dyDescent="0.25">
      <c r="B90" t="s">
        <v>95</v>
      </c>
      <c r="C90" t="s">
        <v>8</v>
      </c>
      <c r="D90" t="s">
        <v>12</v>
      </c>
      <c r="E90">
        <v>33</v>
      </c>
      <c r="F90" s="1">
        <v>44312</v>
      </c>
      <c r="G90" s="30">
        <v>75280</v>
      </c>
      <c r="H90" t="s">
        <v>16</v>
      </c>
    </row>
    <row r="91" spans="2:8" x14ac:dyDescent="0.25">
      <c r="B91" t="s">
        <v>18</v>
      </c>
      <c r="C91" t="s">
        <v>15</v>
      </c>
      <c r="D91" t="s">
        <v>19</v>
      </c>
      <c r="E91">
        <v>33</v>
      </c>
      <c r="F91" s="1">
        <v>44385</v>
      </c>
      <c r="G91" s="30">
        <v>74550</v>
      </c>
      <c r="H91" t="s">
        <v>16</v>
      </c>
    </row>
    <row r="92" spans="2:8" x14ac:dyDescent="0.25">
      <c r="B92" t="s">
        <v>45</v>
      </c>
      <c r="C92" t="s">
        <v>15</v>
      </c>
      <c r="D92" t="s">
        <v>9</v>
      </c>
      <c r="E92">
        <v>30</v>
      </c>
      <c r="F92" s="1">
        <v>44701</v>
      </c>
      <c r="G92" s="30">
        <v>67950</v>
      </c>
      <c r="H92" t="s">
        <v>16</v>
      </c>
    </row>
    <row r="93" spans="2:8" x14ac:dyDescent="0.25">
      <c r="B93" t="s">
        <v>90</v>
      </c>
      <c r="C93" t="s">
        <v>15</v>
      </c>
      <c r="D93" t="s">
        <v>21</v>
      </c>
      <c r="E93">
        <v>42</v>
      </c>
      <c r="F93" s="1">
        <v>44731</v>
      </c>
      <c r="G93" s="30">
        <v>70270</v>
      </c>
      <c r="H93" t="s">
        <v>24</v>
      </c>
    </row>
    <row r="94" spans="2:8" x14ac:dyDescent="0.25">
      <c r="B94" t="s">
        <v>46</v>
      </c>
      <c r="C94" t="s">
        <v>15</v>
      </c>
      <c r="D94" t="s">
        <v>9</v>
      </c>
      <c r="E94">
        <v>26</v>
      </c>
      <c r="F94" s="1">
        <v>44411</v>
      </c>
      <c r="G94" s="30">
        <v>53540</v>
      </c>
      <c r="H94" t="s">
        <v>16</v>
      </c>
    </row>
    <row r="95" spans="2:8" x14ac:dyDescent="0.25">
      <c r="B95" t="s">
        <v>58</v>
      </c>
      <c r="C95" t="s">
        <v>15</v>
      </c>
      <c r="D95" t="s">
        <v>19</v>
      </c>
      <c r="E95">
        <v>22</v>
      </c>
      <c r="F95" s="1">
        <v>44446</v>
      </c>
      <c r="G95" s="30">
        <v>112780</v>
      </c>
      <c r="H95" t="s">
        <v>13</v>
      </c>
    </row>
    <row r="96" spans="2:8" x14ac:dyDescent="0.25">
      <c r="B96" t="s">
        <v>70</v>
      </c>
      <c r="C96" t="s">
        <v>15</v>
      </c>
      <c r="D96" t="s">
        <v>9</v>
      </c>
      <c r="E96">
        <v>46</v>
      </c>
      <c r="F96" s="1">
        <v>44758</v>
      </c>
      <c r="G96" s="30">
        <v>70610</v>
      </c>
      <c r="H96" t="s">
        <v>16</v>
      </c>
    </row>
    <row r="97" spans="2:8" x14ac:dyDescent="0.25">
      <c r="B97" t="s">
        <v>75</v>
      </c>
      <c r="C97" t="s">
        <v>8</v>
      </c>
      <c r="D97" t="s">
        <v>19</v>
      </c>
      <c r="E97">
        <v>28</v>
      </c>
      <c r="F97" s="1">
        <v>44357</v>
      </c>
      <c r="G97" s="30">
        <v>53240</v>
      </c>
      <c r="H97" t="s">
        <v>16</v>
      </c>
    </row>
    <row r="98" spans="2:8" x14ac:dyDescent="0.25">
      <c r="B98" t="s">
        <v>49</v>
      </c>
      <c r="D98" t="s">
        <v>21</v>
      </c>
      <c r="E98">
        <v>37</v>
      </c>
      <c r="F98" s="1">
        <v>44146</v>
      </c>
      <c r="G98" s="30">
        <v>115440</v>
      </c>
      <c r="H98" t="s">
        <v>24</v>
      </c>
    </row>
    <row r="99" spans="2:8" x14ac:dyDescent="0.25">
      <c r="B99" t="s">
        <v>65</v>
      </c>
      <c r="C99" t="s">
        <v>15</v>
      </c>
      <c r="D99" t="s">
        <v>19</v>
      </c>
      <c r="E99">
        <v>32</v>
      </c>
      <c r="F99" s="1">
        <v>44465</v>
      </c>
      <c r="G99" s="30">
        <v>53540</v>
      </c>
      <c r="H99" t="s">
        <v>16</v>
      </c>
    </row>
    <row r="100" spans="2:8" x14ac:dyDescent="0.25">
      <c r="B100" t="s">
        <v>81</v>
      </c>
      <c r="C100" t="s">
        <v>8</v>
      </c>
      <c r="D100" t="s">
        <v>9</v>
      </c>
      <c r="E100">
        <v>30</v>
      </c>
      <c r="F100" s="1">
        <v>44861</v>
      </c>
      <c r="G100" s="30">
        <v>112570</v>
      </c>
      <c r="H100" t="s">
        <v>16</v>
      </c>
    </row>
    <row r="101" spans="2:8" x14ac:dyDescent="0.25">
      <c r="B101" t="s">
        <v>51</v>
      </c>
      <c r="C101" t="s">
        <v>15</v>
      </c>
      <c r="D101" t="s">
        <v>9</v>
      </c>
      <c r="E101">
        <v>33</v>
      </c>
      <c r="F101" s="1">
        <v>44701</v>
      </c>
      <c r="G101" s="30">
        <v>48530</v>
      </c>
      <c r="H101" t="s">
        <v>13</v>
      </c>
    </row>
    <row r="102" spans="2:8" x14ac:dyDescent="0.25">
      <c r="B102" t="s">
        <v>61</v>
      </c>
      <c r="C102" t="s">
        <v>8</v>
      </c>
      <c r="D102" t="s">
        <v>12</v>
      </c>
      <c r="E102">
        <v>24</v>
      </c>
      <c r="F102" s="1">
        <v>44148</v>
      </c>
      <c r="G102" s="30">
        <v>62780</v>
      </c>
      <c r="H102" t="s">
        <v>16</v>
      </c>
    </row>
    <row r="103" spans="2:8" x14ac:dyDescent="0.25">
      <c r="B103" t="s">
        <v>202</v>
      </c>
      <c r="E103">
        <f>SUBTOTAL(101,NZ_Staff[Age])</f>
        <v>30.52</v>
      </c>
      <c r="G103" s="30">
        <f>SUBTOTAL(101,NZ_Staff[Salary])</f>
        <v>77472.100000000006</v>
      </c>
      <c r="H103">
        <f>SUBTOTAL(103,NZ_Staff[Rating])</f>
        <v>100</v>
      </c>
    </row>
  </sheetData>
  <conditionalFormatting sqref="B1:B1048576">
    <cfRule type="duplicateValues" dxfId="1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5"/>
  <sheetViews>
    <sheetView workbookViewId="0">
      <selection activeCell="M18" sqref="M18"/>
    </sheetView>
  </sheetViews>
  <sheetFormatPr defaultRowHeight="15" x14ac:dyDescent="0.25"/>
  <cols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13.42578125" style="30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s="30" t="s">
        <v>5</v>
      </c>
    </row>
    <row r="3" spans="2:8" x14ac:dyDescent="0.25">
      <c r="B3" t="s">
        <v>155</v>
      </c>
      <c r="C3" t="s">
        <v>15</v>
      </c>
      <c r="D3">
        <v>20</v>
      </c>
      <c r="E3" t="s">
        <v>16</v>
      </c>
      <c r="F3" s="1">
        <v>44122</v>
      </c>
      <c r="G3" t="s">
        <v>12</v>
      </c>
      <c r="H3" s="30">
        <v>112650</v>
      </c>
    </row>
    <row r="4" spans="2:8" x14ac:dyDescent="0.25">
      <c r="B4" t="s">
        <v>175</v>
      </c>
      <c r="C4" t="s">
        <v>8</v>
      </c>
      <c r="D4">
        <v>32</v>
      </c>
      <c r="E4" t="s">
        <v>13</v>
      </c>
      <c r="F4" s="1">
        <v>44293</v>
      </c>
      <c r="G4" t="s">
        <v>12</v>
      </c>
      <c r="H4" s="30">
        <v>43840</v>
      </c>
    </row>
    <row r="5" spans="2:8" x14ac:dyDescent="0.25">
      <c r="B5" t="s">
        <v>142</v>
      </c>
      <c r="C5" t="s">
        <v>15</v>
      </c>
      <c r="D5">
        <v>31</v>
      </c>
      <c r="E5" t="s">
        <v>16</v>
      </c>
      <c r="F5" s="1">
        <v>44663</v>
      </c>
      <c r="G5" t="s">
        <v>9</v>
      </c>
      <c r="H5" s="30">
        <v>103550</v>
      </c>
    </row>
    <row r="6" spans="2:8" x14ac:dyDescent="0.25">
      <c r="B6" t="s">
        <v>200</v>
      </c>
      <c r="C6" t="s">
        <v>8</v>
      </c>
      <c r="D6">
        <v>32</v>
      </c>
      <c r="E6" t="s">
        <v>16</v>
      </c>
      <c r="F6" s="1">
        <v>44339</v>
      </c>
      <c r="G6" t="s">
        <v>56</v>
      </c>
      <c r="H6" s="30">
        <v>45510</v>
      </c>
    </row>
    <row r="7" spans="2:8" x14ac:dyDescent="0.25">
      <c r="B7" t="s">
        <v>141</v>
      </c>
      <c r="D7">
        <v>37</v>
      </c>
      <c r="E7" t="s">
        <v>24</v>
      </c>
      <c r="F7" s="1">
        <v>44085</v>
      </c>
      <c r="G7" t="s">
        <v>21</v>
      </c>
      <c r="H7" s="30">
        <v>115440</v>
      </c>
    </row>
    <row r="8" spans="2:8" x14ac:dyDescent="0.25">
      <c r="B8" t="s">
        <v>201</v>
      </c>
      <c r="C8" t="s">
        <v>8</v>
      </c>
      <c r="D8">
        <v>38</v>
      </c>
      <c r="E8" t="s">
        <v>13</v>
      </c>
      <c r="F8" s="1">
        <v>44268</v>
      </c>
      <c r="G8" t="s">
        <v>19</v>
      </c>
      <c r="H8" s="30">
        <v>56870</v>
      </c>
    </row>
    <row r="9" spans="2:8" x14ac:dyDescent="0.25">
      <c r="B9" t="s">
        <v>168</v>
      </c>
      <c r="C9" t="s">
        <v>8</v>
      </c>
      <c r="D9">
        <v>25</v>
      </c>
      <c r="E9" t="s">
        <v>16</v>
      </c>
      <c r="F9" s="1">
        <v>44144</v>
      </c>
      <c r="G9" t="s">
        <v>19</v>
      </c>
      <c r="H9" s="30">
        <v>92700</v>
      </c>
    </row>
    <row r="10" spans="2:8" x14ac:dyDescent="0.25">
      <c r="B10" t="s">
        <v>144</v>
      </c>
      <c r="D10">
        <v>32</v>
      </c>
      <c r="E10" t="s">
        <v>16</v>
      </c>
      <c r="F10" s="1">
        <v>44713</v>
      </c>
      <c r="G10" t="s">
        <v>12</v>
      </c>
      <c r="H10" s="30">
        <v>91310</v>
      </c>
    </row>
    <row r="11" spans="2:8" x14ac:dyDescent="0.25">
      <c r="B11" t="s">
        <v>114</v>
      </c>
      <c r="C11" t="s">
        <v>15</v>
      </c>
      <c r="D11">
        <v>33</v>
      </c>
      <c r="E11" t="s">
        <v>16</v>
      </c>
      <c r="F11" s="1">
        <v>44324</v>
      </c>
      <c r="G11" t="s">
        <v>19</v>
      </c>
      <c r="H11" s="30">
        <v>74550</v>
      </c>
    </row>
    <row r="12" spans="2:8" x14ac:dyDescent="0.25">
      <c r="B12" t="s">
        <v>127</v>
      </c>
      <c r="C12" t="s">
        <v>15</v>
      </c>
      <c r="D12">
        <v>25</v>
      </c>
      <c r="E12" t="s">
        <v>13</v>
      </c>
      <c r="F12" s="1">
        <v>44665</v>
      </c>
      <c r="G12" t="s">
        <v>9</v>
      </c>
      <c r="H12" s="30">
        <v>109190</v>
      </c>
    </row>
    <row r="13" spans="2:8" x14ac:dyDescent="0.25">
      <c r="B13" t="s">
        <v>193</v>
      </c>
      <c r="C13" t="s">
        <v>8</v>
      </c>
      <c r="D13">
        <v>40</v>
      </c>
      <c r="E13" t="s">
        <v>16</v>
      </c>
      <c r="F13" s="1">
        <v>44320</v>
      </c>
      <c r="G13" t="s">
        <v>12</v>
      </c>
      <c r="H13" s="30">
        <v>104410</v>
      </c>
    </row>
    <row r="14" spans="2:8" x14ac:dyDescent="0.25">
      <c r="B14" t="s">
        <v>176</v>
      </c>
      <c r="C14" t="s">
        <v>15</v>
      </c>
      <c r="D14">
        <v>30</v>
      </c>
      <c r="E14" t="s">
        <v>16</v>
      </c>
      <c r="F14" s="1">
        <v>44544</v>
      </c>
      <c r="G14" t="s">
        <v>21</v>
      </c>
      <c r="H14" s="30">
        <v>96800</v>
      </c>
    </row>
    <row r="15" spans="2:8" x14ac:dyDescent="0.25">
      <c r="B15" t="s">
        <v>122</v>
      </c>
      <c r="C15" t="s">
        <v>15</v>
      </c>
      <c r="D15">
        <v>28</v>
      </c>
      <c r="E15" t="s">
        <v>13</v>
      </c>
      <c r="F15" s="1">
        <v>43980</v>
      </c>
      <c r="G15" t="s">
        <v>21</v>
      </c>
      <c r="H15" s="30">
        <v>48170</v>
      </c>
    </row>
    <row r="16" spans="2:8" x14ac:dyDescent="0.25">
      <c r="B16" t="s">
        <v>139</v>
      </c>
      <c r="C16" t="s">
        <v>15</v>
      </c>
      <c r="D16">
        <v>21</v>
      </c>
      <c r="E16" t="s">
        <v>16</v>
      </c>
      <c r="F16" s="1">
        <v>44042</v>
      </c>
      <c r="G16" t="s">
        <v>9</v>
      </c>
      <c r="H16" s="30">
        <v>37920</v>
      </c>
    </row>
    <row r="17" spans="2:8" x14ac:dyDescent="0.25">
      <c r="B17" t="s">
        <v>177</v>
      </c>
      <c r="C17" t="s">
        <v>15</v>
      </c>
      <c r="D17">
        <v>34</v>
      </c>
      <c r="E17" t="s">
        <v>16</v>
      </c>
      <c r="F17" s="1">
        <v>44642</v>
      </c>
      <c r="G17" t="s">
        <v>9</v>
      </c>
      <c r="H17" s="30">
        <v>112650</v>
      </c>
    </row>
    <row r="18" spans="2:8" x14ac:dyDescent="0.25">
      <c r="B18" t="s">
        <v>164</v>
      </c>
      <c r="C18" t="s">
        <v>8</v>
      </c>
      <c r="D18">
        <v>34</v>
      </c>
      <c r="E18" t="s">
        <v>24</v>
      </c>
      <c r="F18" s="1">
        <v>44660</v>
      </c>
      <c r="G18" t="s">
        <v>19</v>
      </c>
      <c r="H18" s="30">
        <v>49630</v>
      </c>
    </row>
    <row r="19" spans="2:8" x14ac:dyDescent="0.25">
      <c r="B19" t="s">
        <v>198</v>
      </c>
      <c r="C19" t="s">
        <v>15</v>
      </c>
      <c r="D19">
        <v>36</v>
      </c>
      <c r="E19" t="s">
        <v>16</v>
      </c>
      <c r="F19" s="1">
        <v>43958</v>
      </c>
      <c r="G19" t="s">
        <v>12</v>
      </c>
      <c r="H19" s="30">
        <v>118840</v>
      </c>
    </row>
    <row r="20" spans="2:8" x14ac:dyDescent="0.25">
      <c r="B20" t="s">
        <v>158</v>
      </c>
      <c r="C20" t="s">
        <v>15</v>
      </c>
      <c r="D20">
        <v>30</v>
      </c>
      <c r="E20" t="s">
        <v>16</v>
      </c>
      <c r="F20" s="1">
        <v>44789</v>
      </c>
      <c r="G20" t="s">
        <v>12</v>
      </c>
      <c r="H20" s="30">
        <v>69710</v>
      </c>
    </row>
    <row r="21" spans="2:8" x14ac:dyDescent="0.25">
      <c r="B21" t="s">
        <v>196</v>
      </c>
      <c r="C21" t="s">
        <v>15</v>
      </c>
      <c r="D21">
        <v>20</v>
      </c>
      <c r="E21" t="s">
        <v>16</v>
      </c>
      <c r="F21" s="1">
        <v>44683</v>
      </c>
      <c r="G21" t="s">
        <v>9</v>
      </c>
      <c r="H21" s="30">
        <v>79570</v>
      </c>
    </row>
    <row r="22" spans="2:8" x14ac:dyDescent="0.25">
      <c r="B22" t="s">
        <v>153</v>
      </c>
      <c r="C22" t="s">
        <v>8</v>
      </c>
      <c r="D22">
        <v>22</v>
      </c>
      <c r="E22" t="s">
        <v>13</v>
      </c>
      <c r="F22" s="1">
        <v>44388</v>
      </c>
      <c r="G22" t="s">
        <v>9</v>
      </c>
      <c r="H22" s="30">
        <v>76900</v>
      </c>
    </row>
    <row r="23" spans="2:8" x14ac:dyDescent="0.25">
      <c r="B23" t="s">
        <v>181</v>
      </c>
      <c r="C23" t="s">
        <v>15</v>
      </c>
      <c r="D23">
        <v>27</v>
      </c>
      <c r="E23" t="s">
        <v>16</v>
      </c>
      <c r="F23" s="1">
        <v>44073</v>
      </c>
      <c r="G23" t="s">
        <v>19</v>
      </c>
      <c r="H23" s="30">
        <v>54970</v>
      </c>
    </row>
    <row r="24" spans="2:8" x14ac:dyDescent="0.25">
      <c r="B24" t="s">
        <v>117</v>
      </c>
      <c r="C24" t="s">
        <v>15</v>
      </c>
      <c r="D24">
        <v>37</v>
      </c>
      <c r="E24" t="s">
        <v>24</v>
      </c>
      <c r="F24" s="1">
        <v>44277</v>
      </c>
      <c r="G24" t="s">
        <v>12</v>
      </c>
      <c r="H24" s="30">
        <v>88050</v>
      </c>
    </row>
    <row r="25" spans="2:8" x14ac:dyDescent="0.25">
      <c r="B25" t="s">
        <v>191</v>
      </c>
      <c r="C25" t="s">
        <v>15</v>
      </c>
      <c r="D25">
        <v>43</v>
      </c>
      <c r="E25" t="s">
        <v>16</v>
      </c>
      <c r="F25" s="1">
        <v>44558</v>
      </c>
      <c r="G25" t="s">
        <v>19</v>
      </c>
      <c r="H25" s="30">
        <v>36040</v>
      </c>
    </row>
    <row r="26" spans="2:8" x14ac:dyDescent="0.25">
      <c r="B26" t="s">
        <v>110</v>
      </c>
      <c r="C26" t="s">
        <v>8</v>
      </c>
      <c r="D26">
        <v>42</v>
      </c>
      <c r="E26" t="s">
        <v>10</v>
      </c>
      <c r="F26" s="1">
        <v>44718</v>
      </c>
      <c r="G26" t="s">
        <v>9</v>
      </c>
      <c r="H26" s="30">
        <v>75000</v>
      </c>
    </row>
    <row r="27" spans="2:8" x14ac:dyDescent="0.25">
      <c r="B27" t="s">
        <v>148</v>
      </c>
      <c r="C27" t="s">
        <v>15</v>
      </c>
      <c r="D27">
        <v>35</v>
      </c>
      <c r="E27" t="s">
        <v>16</v>
      </c>
      <c r="F27" s="1">
        <v>44666</v>
      </c>
      <c r="G27" t="s">
        <v>9</v>
      </c>
      <c r="H27" s="30">
        <v>40400</v>
      </c>
    </row>
    <row r="28" spans="2:8" x14ac:dyDescent="0.25">
      <c r="B28" t="s">
        <v>195</v>
      </c>
      <c r="C28" t="s">
        <v>15</v>
      </c>
      <c r="D28">
        <v>24</v>
      </c>
      <c r="E28" t="s">
        <v>16</v>
      </c>
      <c r="F28" s="1">
        <v>44625</v>
      </c>
      <c r="G28" t="s">
        <v>12</v>
      </c>
      <c r="H28" s="30">
        <v>100420</v>
      </c>
    </row>
    <row r="29" spans="2:8" x14ac:dyDescent="0.25">
      <c r="B29" t="s">
        <v>119</v>
      </c>
      <c r="C29" t="s">
        <v>8</v>
      </c>
      <c r="D29">
        <v>31</v>
      </c>
      <c r="E29" t="s">
        <v>16</v>
      </c>
      <c r="F29" s="1">
        <v>44604</v>
      </c>
      <c r="G29" t="s">
        <v>12</v>
      </c>
      <c r="H29" s="30">
        <v>58100</v>
      </c>
    </row>
    <row r="30" spans="2:8" x14ac:dyDescent="0.25">
      <c r="B30" t="s">
        <v>113</v>
      </c>
      <c r="C30" t="s">
        <v>8</v>
      </c>
      <c r="D30">
        <v>44</v>
      </c>
      <c r="E30" t="s">
        <v>16</v>
      </c>
      <c r="F30" s="1">
        <v>44985</v>
      </c>
      <c r="G30" t="s">
        <v>12</v>
      </c>
      <c r="H30" s="30">
        <v>114870</v>
      </c>
    </row>
    <row r="31" spans="2:8" x14ac:dyDescent="0.25">
      <c r="B31" t="s">
        <v>157</v>
      </c>
      <c r="C31" t="s">
        <v>8</v>
      </c>
      <c r="D31">
        <v>32</v>
      </c>
      <c r="E31" t="s">
        <v>16</v>
      </c>
      <c r="F31" s="1">
        <v>44549</v>
      </c>
      <c r="G31" t="s">
        <v>9</v>
      </c>
      <c r="H31" s="30">
        <v>41570</v>
      </c>
    </row>
    <row r="32" spans="2:8" x14ac:dyDescent="0.25">
      <c r="B32" t="s">
        <v>172</v>
      </c>
      <c r="C32" t="s">
        <v>8</v>
      </c>
      <c r="D32">
        <v>30</v>
      </c>
      <c r="E32" t="s">
        <v>16</v>
      </c>
      <c r="F32" s="1">
        <v>44800</v>
      </c>
      <c r="G32" t="s">
        <v>9</v>
      </c>
      <c r="H32" s="30">
        <v>112570</v>
      </c>
    </row>
    <row r="33" spans="2:8" x14ac:dyDescent="0.25">
      <c r="B33" t="s">
        <v>150</v>
      </c>
      <c r="C33" t="s">
        <v>15</v>
      </c>
      <c r="D33">
        <v>26</v>
      </c>
      <c r="E33" t="s">
        <v>16</v>
      </c>
      <c r="F33" s="1">
        <v>44164</v>
      </c>
      <c r="G33" t="s">
        <v>9</v>
      </c>
      <c r="H33" s="30">
        <v>47360</v>
      </c>
    </row>
    <row r="34" spans="2:8" x14ac:dyDescent="0.25">
      <c r="B34" t="s">
        <v>125</v>
      </c>
      <c r="C34" t="s">
        <v>8</v>
      </c>
      <c r="D34">
        <v>21</v>
      </c>
      <c r="E34" t="s">
        <v>16</v>
      </c>
      <c r="F34" s="1">
        <v>44256</v>
      </c>
      <c r="G34" t="s">
        <v>21</v>
      </c>
      <c r="H34" s="30">
        <v>65920</v>
      </c>
    </row>
    <row r="35" spans="2:8" x14ac:dyDescent="0.25">
      <c r="B35" t="s">
        <v>199</v>
      </c>
      <c r="C35" t="s">
        <v>8</v>
      </c>
      <c r="D35">
        <v>28</v>
      </c>
      <c r="E35" t="s">
        <v>16</v>
      </c>
      <c r="F35" s="1">
        <v>44571</v>
      </c>
      <c r="G35" t="s">
        <v>9</v>
      </c>
      <c r="H35" s="30">
        <v>99970</v>
      </c>
    </row>
    <row r="36" spans="2:8" x14ac:dyDescent="0.25">
      <c r="B36" t="s">
        <v>132</v>
      </c>
      <c r="C36" t="s">
        <v>8</v>
      </c>
      <c r="D36">
        <v>25</v>
      </c>
      <c r="E36" t="s">
        <v>13</v>
      </c>
      <c r="F36" s="1">
        <v>44633</v>
      </c>
      <c r="G36" t="s">
        <v>12</v>
      </c>
      <c r="H36" s="30">
        <v>80700</v>
      </c>
    </row>
    <row r="37" spans="2:8" x14ac:dyDescent="0.25">
      <c r="B37" t="s">
        <v>154</v>
      </c>
      <c r="C37" t="s">
        <v>15</v>
      </c>
      <c r="D37">
        <v>24</v>
      </c>
      <c r="E37" t="s">
        <v>24</v>
      </c>
      <c r="F37" s="1">
        <v>44375</v>
      </c>
      <c r="G37" t="s">
        <v>21</v>
      </c>
      <c r="H37" s="30">
        <v>52610</v>
      </c>
    </row>
    <row r="38" spans="2:8" x14ac:dyDescent="0.25">
      <c r="B38" t="s">
        <v>179</v>
      </c>
      <c r="C38" t="s">
        <v>15</v>
      </c>
      <c r="D38">
        <v>29</v>
      </c>
      <c r="E38" t="s">
        <v>24</v>
      </c>
      <c r="F38" s="1">
        <v>44119</v>
      </c>
      <c r="G38" t="s">
        <v>12</v>
      </c>
      <c r="H38" s="30">
        <v>112110</v>
      </c>
    </row>
    <row r="39" spans="2:8" x14ac:dyDescent="0.25">
      <c r="B39" t="s">
        <v>151</v>
      </c>
      <c r="C39" t="s">
        <v>8</v>
      </c>
      <c r="D39">
        <v>27</v>
      </c>
      <c r="E39" t="s">
        <v>16</v>
      </c>
      <c r="F39" s="1">
        <v>44061</v>
      </c>
      <c r="G39" t="s">
        <v>56</v>
      </c>
      <c r="H39" s="30">
        <v>119110</v>
      </c>
    </row>
    <row r="40" spans="2:8" x14ac:dyDescent="0.25">
      <c r="B40" t="s">
        <v>149</v>
      </c>
      <c r="C40" t="s">
        <v>15</v>
      </c>
      <c r="D40">
        <v>22</v>
      </c>
      <c r="E40" t="s">
        <v>13</v>
      </c>
      <c r="F40" s="1">
        <v>44384</v>
      </c>
      <c r="G40" t="s">
        <v>19</v>
      </c>
      <c r="H40" s="30">
        <v>112780</v>
      </c>
    </row>
    <row r="41" spans="2:8" x14ac:dyDescent="0.25">
      <c r="B41" t="s">
        <v>174</v>
      </c>
      <c r="C41" t="s">
        <v>8</v>
      </c>
      <c r="D41">
        <v>36</v>
      </c>
      <c r="E41" t="s">
        <v>16</v>
      </c>
      <c r="F41" s="1">
        <v>44023</v>
      </c>
      <c r="G41" t="s">
        <v>9</v>
      </c>
      <c r="H41" s="30">
        <v>114890</v>
      </c>
    </row>
    <row r="42" spans="2:8" x14ac:dyDescent="0.25">
      <c r="B42" t="s">
        <v>145</v>
      </c>
      <c r="C42" t="s">
        <v>15</v>
      </c>
      <c r="D42">
        <v>27</v>
      </c>
      <c r="E42" t="s">
        <v>16</v>
      </c>
      <c r="F42" s="1">
        <v>44506</v>
      </c>
      <c r="G42" t="s">
        <v>21</v>
      </c>
      <c r="H42" s="30">
        <v>48980</v>
      </c>
    </row>
    <row r="43" spans="2:8" x14ac:dyDescent="0.25">
      <c r="B43" t="s">
        <v>169</v>
      </c>
      <c r="C43" t="s">
        <v>15</v>
      </c>
      <c r="D43">
        <v>21</v>
      </c>
      <c r="E43" t="s">
        <v>16</v>
      </c>
      <c r="F43" s="1">
        <v>44180</v>
      </c>
      <c r="G43" t="s">
        <v>56</v>
      </c>
      <c r="H43" s="30">
        <v>75880</v>
      </c>
    </row>
    <row r="44" spans="2:8" x14ac:dyDescent="0.25">
      <c r="B44" t="s">
        <v>166</v>
      </c>
      <c r="C44" t="s">
        <v>8</v>
      </c>
      <c r="D44">
        <v>28</v>
      </c>
      <c r="E44" t="s">
        <v>16</v>
      </c>
      <c r="F44" s="1">
        <v>44296</v>
      </c>
      <c r="G44" t="s">
        <v>19</v>
      </c>
      <c r="H44" s="30">
        <v>53240</v>
      </c>
    </row>
    <row r="45" spans="2:8" x14ac:dyDescent="0.25">
      <c r="B45" t="s">
        <v>121</v>
      </c>
      <c r="C45" t="s">
        <v>8</v>
      </c>
      <c r="D45">
        <v>34</v>
      </c>
      <c r="E45" t="s">
        <v>16</v>
      </c>
      <c r="F45" s="1">
        <v>44397</v>
      </c>
      <c r="G45" t="s">
        <v>21</v>
      </c>
      <c r="H45" s="30">
        <v>85000</v>
      </c>
    </row>
    <row r="46" spans="2:8" x14ac:dyDescent="0.25">
      <c r="B46" t="s">
        <v>178</v>
      </c>
      <c r="C46" t="s">
        <v>8</v>
      </c>
      <c r="D46">
        <v>21</v>
      </c>
      <c r="E46" t="s">
        <v>16</v>
      </c>
      <c r="F46" s="1">
        <v>44619</v>
      </c>
      <c r="G46" t="s">
        <v>12</v>
      </c>
      <c r="H46" s="30">
        <v>33920</v>
      </c>
    </row>
    <row r="47" spans="2:8" x14ac:dyDescent="0.25">
      <c r="B47" t="s">
        <v>187</v>
      </c>
      <c r="C47" t="s">
        <v>8</v>
      </c>
      <c r="D47">
        <v>33</v>
      </c>
      <c r="E47" t="s">
        <v>16</v>
      </c>
      <c r="F47" s="1">
        <v>44253</v>
      </c>
      <c r="G47" t="s">
        <v>12</v>
      </c>
      <c r="H47" s="30">
        <v>75280</v>
      </c>
    </row>
    <row r="48" spans="2:8" x14ac:dyDescent="0.25">
      <c r="B48" t="s">
        <v>129</v>
      </c>
      <c r="C48" t="s">
        <v>8</v>
      </c>
      <c r="D48">
        <v>34</v>
      </c>
      <c r="E48" t="s">
        <v>16</v>
      </c>
      <c r="F48" s="1">
        <v>44594</v>
      </c>
      <c r="G48" t="s">
        <v>21</v>
      </c>
      <c r="H48" s="30">
        <v>58940</v>
      </c>
    </row>
    <row r="49" spans="2:8" x14ac:dyDescent="0.25">
      <c r="B49" t="s">
        <v>135</v>
      </c>
      <c r="C49" t="s">
        <v>8</v>
      </c>
      <c r="D49">
        <v>28</v>
      </c>
      <c r="E49" t="s">
        <v>16</v>
      </c>
      <c r="F49" s="1">
        <v>44425</v>
      </c>
      <c r="G49" t="s">
        <v>9</v>
      </c>
      <c r="H49" s="30">
        <v>104770</v>
      </c>
    </row>
    <row r="50" spans="2:8" x14ac:dyDescent="0.25">
      <c r="B50" t="s">
        <v>124</v>
      </c>
      <c r="C50" t="s">
        <v>15</v>
      </c>
      <c r="D50">
        <v>21</v>
      </c>
      <c r="E50" t="s">
        <v>16</v>
      </c>
      <c r="F50" s="1">
        <v>44701</v>
      </c>
      <c r="G50" t="s">
        <v>9</v>
      </c>
      <c r="H50" s="30">
        <v>57090</v>
      </c>
    </row>
    <row r="51" spans="2:8" x14ac:dyDescent="0.25">
      <c r="B51" t="s">
        <v>159</v>
      </c>
      <c r="C51" t="s">
        <v>15</v>
      </c>
      <c r="D51">
        <v>27</v>
      </c>
      <c r="E51" t="s">
        <v>13</v>
      </c>
      <c r="F51" s="1">
        <v>44174</v>
      </c>
      <c r="G51" t="s">
        <v>21</v>
      </c>
      <c r="H51" s="30">
        <v>91650</v>
      </c>
    </row>
    <row r="52" spans="2:8" x14ac:dyDescent="0.25">
      <c r="B52" t="s">
        <v>182</v>
      </c>
      <c r="C52" t="s">
        <v>15</v>
      </c>
      <c r="D52">
        <v>42</v>
      </c>
      <c r="E52" t="s">
        <v>24</v>
      </c>
      <c r="F52" s="1">
        <v>44670</v>
      </c>
      <c r="G52" t="s">
        <v>21</v>
      </c>
      <c r="H52" s="30">
        <v>70270</v>
      </c>
    </row>
    <row r="53" spans="2:8" x14ac:dyDescent="0.25">
      <c r="B53" t="s">
        <v>128</v>
      </c>
      <c r="C53" t="s">
        <v>8</v>
      </c>
      <c r="D53">
        <v>28</v>
      </c>
      <c r="E53" t="s">
        <v>16</v>
      </c>
      <c r="F53" s="1">
        <v>44124</v>
      </c>
      <c r="G53" t="s">
        <v>21</v>
      </c>
      <c r="H53" s="30">
        <v>75970</v>
      </c>
    </row>
    <row r="54" spans="2:8" x14ac:dyDescent="0.25">
      <c r="B54" t="s">
        <v>111</v>
      </c>
      <c r="D54">
        <v>27</v>
      </c>
      <c r="E54" t="s">
        <v>13</v>
      </c>
      <c r="F54" s="1">
        <v>44212</v>
      </c>
      <c r="G54" t="s">
        <v>12</v>
      </c>
      <c r="H54" s="30">
        <v>90700</v>
      </c>
    </row>
    <row r="55" spans="2:8" x14ac:dyDescent="0.25">
      <c r="B55" t="s">
        <v>130</v>
      </c>
      <c r="C55" t="s">
        <v>15</v>
      </c>
      <c r="D55">
        <v>30</v>
      </c>
      <c r="E55" t="s">
        <v>16</v>
      </c>
      <c r="F55" s="1">
        <v>44607</v>
      </c>
      <c r="G55" t="s">
        <v>9</v>
      </c>
      <c r="H55" s="30">
        <v>60570</v>
      </c>
    </row>
    <row r="56" spans="2:8" x14ac:dyDescent="0.25">
      <c r="B56" t="s">
        <v>133</v>
      </c>
      <c r="C56" t="s">
        <v>15</v>
      </c>
      <c r="D56">
        <v>33</v>
      </c>
      <c r="E56" t="s">
        <v>16</v>
      </c>
      <c r="F56" s="1">
        <v>44103</v>
      </c>
      <c r="G56" t="s">
        <v>9</v>
      </c>
      <c r="H56" s="30">
        <v>115920</v>
      </c>
    </row>
    <row r="57" spans="2:8" x14ac:dyDescent="0.25">
      <c r="B57" t="s">
        <v>185</v>
      </c>
      <c r="C57" t="s">
        <v>8</v>
      </c>
      <c r="D57">
        <v>33</v>
      </c>
      <c r="E57" t="s">
        <v>16</v>
      </c>
      <c r="F57" s="1">
        <v>44006</v>
      </c>
      <c r="G57" t="s">
        <v>21</v>
      </c>
      <c r="H57" s="30">
        <v>65360</v>
      </c>
    </row>
    <row r="58" spans="2:8" x14ac:dyDescent="0.25">
      <c r="B58" t="s">
        <v>115</v>
      </c>
      <c r="D58">
        <v>30</v>
      </c>
      <c r="E58" t="s">
        <v>16</v>
      </c>
      <c r="F58" s="1">
        <v>44535</v>
      </c>
      <c r="G58" t="s">
        <v>21</v>
      </c>
      <c r="H58" s="30">
        <v>64000</v>
      </c>
    </row>
    <row r="59" spans="2:8" x14ac:dyDescent="0.25">
      <c r="B59" t="s">
        <v>194</v>
      </c>
      <c r="C59" t="s">
        <v>8</v>
      </c>
      <c r="D59">
        <v>34</v>
      </c>
      <c r="E59" t="s">
        <v>16</v>
      </c>
      <c r="F59" s="1">
        <v>44383</v>
      </c>
      <c r="G59" t="s">
        <v>21</v>
      </c>
      <c r="H59" s="30">
        <v>92450</v>
      </c>
    </row>
    <row r="60" spans="2:8" x14ac:dyDescent="0.25">
      <c r="B60" t="s">
        <v>112</v>
      </c>
      <c r="C60" t="s">
        <v>15</v>
      </c>
      <c r="D60">
        <v>31</v>
      </c>
      <c r="E60" t="s">
        <v>16</v>
      </c>
      <c r="F60" s="1">
        <v>44450</v>
      </c>
      <c r="G60" t="s">
        <v>12</v>
      </c>
      <c r="H60" s="30">
        <v>48950</v>
      </c>
    </row>
    <row r="61" spans="2:8" x14ac:dyDescent="0.25">
      <c r="B61" t="s">
        <v>184</v>
      </c>
      <c r="C61" t="s">
        <v>8</v>
      </c>
      <c r="D61">
        <v>27</v>
      </c>
      <c r="E61" t="s">
        <v>16</v>
      </c>
      <c r="F61" s="1">
        <v>44625</v>
      </c>
      <c r="G61" t="s">
        <v>12</v>
      </c>
      <c r="H61" s="30">
        <v>83750</v>
      </c>
    </row>
    <row r="62" spans="2:8" x14ac:dyDescent="0.25">
      <c r="B62" t="s">
        <v>165</v>
      </c>
      <c r="C62" t="s">
        <v>8</v>
      </c>
      <c r="D62">
        <v>40</v>
      </c>
      <c r="E62" t="s">
        <v>16</v>
      </c>
      <c r="F62" s="1">
        <v>44276</v>
      </c>
      <c r="G62" t="s">
        <v>12</v>
      </c>
      <c r="H62" s="30">
        <v>87620</v>
      </c>
    </row>
    <row r="63" spans="2:8" x14ac:dyDescent="0.25">
      <c r="B63" t="s">
        <v>183</v>
      </c>
      <c r="C63" t="s">
        <v>8</v>
      </c>
      <c r="D63">
        <v>20</v>
      </c>
      <c r="E63" t="s">
        <v>24</v>
      </c>
      <c r="F63" s="1">
        <v>44476</v>
      </c>
      <c r="G63" t="s">
        <v>19</v>
      </c>
      <c r="H63" s="30">
        <v>68900</v>
      </c>
    </row>
    <row r="64" spans="2:8" x14ac:dyDescent="0.25">
      <c r="B64" t="s">
        <v>156</v>
      </c>
      <c r="C64" t="s">
        <v>15</v>
      </c>
      <c r="D64">
        <v>32</v>
      </c>
      <c r="E64" t="s">
        <v>16</v>
      </c>
      <c r="F64" s="1">
        <v>44403</v>
      </c>
      <c r="G64" t="s">
        <v>19</v>
      </c>
      <c r="H64" s="30">
        <v>53540</v>
      </c>
    </row>
    <row r="65" spans="2:8" x14ac:dyDescent="0.25">
      <c r="B65" t="s">
        <v>171</v>
      </c>
      <c r="C65" t="s">
        <v>15</v>
      </c>
      <c r="D65">
        <v>28</v>
      </c>
      <c r="E65" t="s">
        <v>42</v>
      </c>
      <c r="F65" s="1">
        <v>44758</v>
      </c>
      <c r="G65" t="s">
        <v>19</v>
      </c>
      <c r="H65" s="30">
        <v>43510</v>
      </c>
    </row>
    <row r="66" spans="2:8" x14ac:dyDescent="0.25">
      <c r="B66" t="s">
        <v>126</v>
      </c>
      <c r="C66" t="s">
        <v>8</v>
      </c>
      <c r="D66">
        <v>38</v>
      </c>
      <c r="E66" t="s">
        <v>10</v>
      </c>
      <c r="F66" s="1">
        <v>44316</v>
      </c>
      <c r="G66" t="s">
        <v>19</v>
      </c>
      <c r="H66" s="30">
        <v>109160</v>
      </c>
    </row>
    <row r="67" spans="2:8" x14ac:dyDescent="0.25">
      <c r="B67" t="s">
        <v>197</v>
      </c>
      <c r="C67" t="s">
        <v>15</v>
      </c>
      <c r="D67">
        <v>40</v>
      </c>
      <c r="E67" t="s">
        <v>16</v>
      </c>
      <c r="F67" s="1">
        <v>44204</v>
      </c>
      <c r="G67" t="s">
        <v>9</v>
      </c>
      <c r="H67" s="30">
        <v>99750</v>
      </c>
    </row>
    <row r="68" spans="2:8" x14ac:dyDescent="0.25">
      <c r="B68" t="s">
        <v>123</v>
      </c>
      <c r="C68" t="s">
        <v>8</v>
      </c>
      <c r="D68">
        <v>31</v>
      </c>
      <c r="E68" t="s">
        <v>16</v>
      </c>
      <c r="F68" s="1">
        <v>44084</v>
      </c>
      <c r="G68" t="s">
        <v>12</v>
      </c>
      <c r="H68" s="30">
        <v>41980</v>
      </c>
    </row>
    <row r="69" spans="2:8" x14ac:dyDescent="0.25">
      <c r="B69" t="s">
        <v>186</v>
      </c>
      <c r="C69" t="s">
        <v>15</v>
      </c>
      <c r="D69">
        <v>36</v>
      </c>
      <c r="E69" t="s">
        <v>16</v>
      </c>
      <c r="F69" s="1">
        <v>44272</v>
      </c>
      <c r="G69" t="s">
        <v>21</v>
      </c>
      <c r="H69" s="30">
        <v>71380</v>
      </c>
    </row>
    <row r="70" spans="2:8" x14ac:dyDescent="0.25">
      <c r="B70" t="s">
        <v>190</v>
      </c>
      <c r="C70" t="s">
        <v>15</v>
      </c>
      <c r="D70">
        <v>27</v>
      </c>
      <c r="E70" t="s">
        <v>42</v>
      </c>
      <c r="F70" s="1">
        <v>44547</v>
      </c>
      <c r="G70" t="s">
        <v>9</v>
      </c>
      <c r="H70" s="30">
        <v>113280</v>
      </c>
    </row>
    <row r="71" spans="2:8" x14ac:dyDescent="0.25">
      <c r="B71" t="s">
        <v>180</v>
      </c>
      <c r="C71" t="s">
        <v>8</v>
      </c>
      <c r="D71">
        <v>33</v>
      </c>
      <c r="E71" t="s">
        <v>16</v>
      </c>
      <c r="F71" s="1">
        <v>44747</v>
      </c>
      <c r="G71" t="s">
        <v>21</v>
      </c>
      <c r="H71" s="30">
        <v>86570</v>
      </c>
    </row>
    <row r="72" spans="2:8" x14ac:dyDescent="0.25">
      <c r="B72" t="s">
        <v>138</v>
      </c>
      <c r="C72" t="s">
        <v>15</v>
      </c>
      <c r="D72">
        <v>26</v>
      </c>
      <c r="E72" t="s">
        <v>16</v>
      </c>
      <c r="F72" s="1">
        <v>44350</v>
      </c>
      <c r="G72" t="s">
        <v>9</v>
      </c>
      <c r="H72" s="30">
        <v>53540</v>
      </c>
    </row>
    <row r="73" spans="2:8" x14ac:dyDescent="0.25">
      <c r="B73" t="s">
        <v>189</v>
      </c>
      <c r="C73" t="s">
        <v>15</v>
      </c>
      <c r="D73">
        <v>37</v>
      </c>
      <c r="E73" t="s">
        <v>16</v>
      </c>
      <c r="F73" s="1">
        <v>44640</v>
      </c>
      <c r="G73" t="s">
        <v>12</v>
      </c>
      <c r="H73" s="30">
        <v>69070</v>
      </c>
    </row>
    <row r="74" spans="2:8" x14ac:dyDescent="0.25">
      <c r="B74" t="s">
        <v>120</v>
      </c>
      <c r="C74" t="s">
        <v>8</v>
      </c>
      <c r="D74">
        <v>30</v>
      </c>
      <c r="E74" t="s">
        <v>24</v>
      </c>
      <c r="F74" s="1">
        <v>44328</v>
      </c>
      <c r="G74" t="s">
        <v>21</v>
      </c>
      <c r="H74" s="30">
        <v>67910</v>
      </c>
    </row>
    <row r="75" spans="2:8" x14ac:dyDescent="0.25">
      <c r="B75" t="s">
        <v>118</v>
      </c>
      <c r="C75" t="s">
        <v>15</v>
      </c>
      <c r="D75">
        <v>30</v>
      </c>
      <c r="E75" t="s">
        <v>16</v>
      </c>
      <c r="F75" s="1">
        <v>44214</v>
      </c>
      <c r="G75" t="s">
        <v>12</v>
      </c>
      <c r="H75" s="30">
        <v>69120</v>
      </c>
    </row>
    <row r="76" spans="2:8" x14ac:dyDescent="0.25">
      <c r="B76" t="s">
        <v>131</v>
      </c>
      <c r="C76" t="s">
        <v>8</v>
      </c>
      <c r="D76">
        <v>34</v>
      </c>
      <c r="E76" t="s">
        <v>16</v>
      </c>
      <c r="F76" s="1">
        <v>44550</v>
      </c>
      <c r="G76" t="s">
        <v>21</v>
      </c>
      <c r="H76" s="30">
        <v>60130</v>
      </c>
    </row>
    <row r="77" spans="2:8" x14ac:dyDescent="0.25">
      <c r="B77" t="s">
        <v>160</v>
      </c>
      <c r="C77" t="s">
        <v>15</v>
      </c>
      <c r="D77">
        <v>23</v>
      </c>
      <c r="E77" t="s">
        <v>16</v>
      </c>
      <c r="F77" s="1">
        <v>44378</v>
      </c>
      <c r="G77" t="s">
        <v>9</v>
      </c>
      <c r="H77" s="30">
        <v>106460</v>
      </c>
    </row>
    <row r="78" spans="2:8" x14ac:dyDescent="0.25">
      <c r="B78" t="s">
        <v>147</v>
      </c>
      <c r="C78" t="s">
        <v>8</v>
      </c>
      <c r="D78">
        <v>37</v>
      </c>
      <c r="E78" t="s">
        <v>16</v>
      </c>
      <c r="F78" s="1">
        <v>44389</v>
      </c>
      <c r="G78" t="s">
        <v>56</v>
      </c>
      <c r="H78" s="30">
        <v>118100</v>
      </c>
    </row>
    <row r="79" spans="2:8" x14ac:dyDescent="0.25">
      <c r="B79" t="s">
        <v>163</v>
      </c>
      <c r="C79" t="s">
        <v>8</v>
      </c>
      <c r="D79">
        <v>36</v>
      </c>
      <c r="E79" t="s">
        <v>16</v>
      </c>
      <c r="F79" s="1">
        <v>44468</v>
      </c>
      <c r="G79" t="s">
        <v>9</v>
      </c>
      <c r="H79" s="30">
        <v>78390</v>
      </c>
    </row>
    <row r="80" spans="2:8" x14ac:dyDescent="0.25">
      <c r="B80" t="s">
        <v>146</v>
      </c>
      <c r="C80" t="s">
        <v>8</v>
      </c>
      <c r="D80">
        <v>30</v>
      </c>
      <c r="E80" t="s">
        <v>16</v>
      </c>
      <c r="F80" s="1">
        <v>44789</v>
      </c>
      <c r="G80" t="s">
        <v>9</v>
      </c>
      <c r="H80" s="30">
        <v>114180</v>
      </c>
    </row>
    <row r="81" spans="2:8" x14ac:dyDescent="0.25">
      <c r="B81" t="s">
        <v>188</v>
      </c>
      <c r="C81" t="s">
        <v>8</v>
      </c>
      <c r="D81">
        <v>28</v>
      </c>
      <c r="E81" t="s">
        <v>16</v>
      </c>
      <c r="F81" s="1">
        <v>44590</v>
      </c>
      <c r="G81" t="s">
        <v>9</v>
      </c>
      <c r="H81" s="30">
        <v>104120</v>
      </c>
    </row>
    <row r="82" spans="2:8" x14ac:dyDescent="0.25">
      <c r="B82" t="s">
        <v>137</v>
      </c>
      <c r="C82" t="s">
        <v>15</v>
      </c>
      <c r="D82">
        <v>30</v>
      </c>
      <c r="E82" t="s">
        <v>16</v>
      </c>
      <c r="F82" s="1">
        <v>44640</v>
      </c>
      <c r="G82" t="s">
        <v>9</v>
      </c>
      <c r="H82" s="30">
        <v>67950</v>
      </c>
    </row>
    <row r="83" spans="2:8" x14ac:dyDescent="0.25">
      <c r="B83" t="s">
        <v>136</v>
      </c>
      <c r="C83" t="s">
        <v>8</v>
      </c>
      <c r="D83">
        <v>29</v>
      </c>
      <c r="E83" t="s">
        <v>16</v>
      </c>
      <c r="F83" s="1">
        <v>43962</v>
      </c>
      <c r="G83" t="s">
        <v>12</v>
      </c>
      <c r="H83" s="30">
        <v>34980</v>
      </c>
    </row>
    <row r="84" spans="2:8" x14ac:dyDescent="0.25">
      <c r="B84" t="s">
        <v>152</v>
      </c>
      <c r="C84" t="s">
        <v>8</v>
      </c>
      <c r="D84">
        <v>24</v>
      </c>
      <c r="E84" t="s">
        <v>16</v>
      </c>
      <c r="F84" s="1">
        <v>44087</v>
      </c>
      <c r="G84" t="s">
        <v>12</v>
      </c>
      <c r="H84" s="30">
        <v>62780</v>
      </c>
    </row>
    <row r="85" spans="2:8" x14ac:dyDescent="0.25">
      <c r="B85" t="s">
        <v>116</v>
      </c>
      <c r="C85" t="s">
        <v>15</v>
      </c>
      <c r="D85">
        <v>20</v>
      </c>
      <c r="E85" t="s">
        <v>16</v>
      </c>
      <c r="F85" s="1">
        <v>44397</v>
      </c>
      <c r="G85" t="s">
        <v>12</v>
      </c>
      <c r="H85" s="30">
        <v>107700</v>
      </c>
    </row>
    <row r="86" spans="2:8" x14ac:dyDescent="0.25">
      <c r="B86" t="s">
        <v>167</v>
      </c>
      <c r="C86" t="s">
        <v>15</v>
      </c>
      <c r="D86">
        <v>25</v>
      </c>
      <c r="E86" t="s">
        <v>16</v>
      </c>
      <c r="F86" s="1">
        <v>44322</v>
      </c>
      <c r="G86" t="s">
        <v>19</v>
      </c>
      <c r="H86" s="30">
        <v>65700</v>
      </c>
    </row>
    <row r="87" spans="2:8" x14ac:dyDescent="0.25">
      <c r="B87" t="s">
        <v>134</v>
      </c>
      <c r="C87" t="s">
        <v>8</v>
      </c>
      <c r="D87">
        <v>33</v>
      </c>
      <c r="E87" t="s">
        <v>42</v>
      </c>
      <c r="F87" s="1">
        <v>44313</v>
      </c>
      <c r="G87" t="s">
        <v>12</v>
      </c>
      <c r="H87" s="30">
        <v>75480</v>
      </c>
    </row>
    <row r="88" spans="2:8" x14ac:dyDescent="0.25">
      <c r="B88" t="s">
        <v>173</v>
      </c>
      <c r="C88" t="s">
        <v>15</v>
      </c>
      <c r="D88">
        <v>33</v>
      </c>
      <c r="E88" t="s">
        <v>16</v>
      </c>
      <c r="F88" s="1">
        <v>44448</v>
      </c>
      <c r="G88" t="s">
        <v>12</v>
      </c>
      <c r="H88" s="30">
        <v>53870</v>
      </c>
    </row>
    <row r="89" spans="2:8" x14ac:dyDescent="0.25">
      <c r="B89" t="s">
        <v>140</v>
      </c>
      <c r="C89" t="s">
        <v>8</v>
      </c>
      <c r="D89">
        <v>36</v>
      </c>
      <c r="E89" t="s">
        <v>16</v>
      </c>
      <c r="F89" s="1">
        <v>44433</v>
      </c>
      <c r="G89" t="s">
        <v>19</v>
      </c>
      <c r="H89" s="30">
        <v>78540</v>
      </c>
    </row>
    <row r="90" spans="2:8" x14ac:dyDescent="0.25">
      <c r="B90" t="s">
        <v>192</v>
      </c>
      <c r="C90" t="s">
        <v>15</v>
      </c>
      <c r="D90">
        <v>19</v>
      </c>
      <c r="E90" t="s">
        <v>16</v>
      </c>
      <c r="F90" s="1">
        <v>44218</v>
      </c>
      <c r="G90" t="s">
        <v>9</v>
      </c>
      <c r="H90" s="30">
        <v>58960</v>
      </c>
    </row>
    <row r="91" spans="2:8" x14ac:dyDescent="0.25">
      <c r="B91" t="s">
        <v>161</v>
      </c>
      <c r="C91" t="s">
        <v>15</v>
      </c>
      <c r="D91">
        <v>46</v>
      </c>
      <c r="E91" t="s">
        <v>16</v>
      </c>
      <c r="F91" s="1">
        <v>44697</v>
      </c>
      <c r="G91" t="s">
        <v>9</v>
      </c>
      <c r="H91" s="30">
        <v>70610</v>
      </c>
    </row>
    <row r="92" spans="2:8" x14ac:dyDescent="0.25">
      <c r="B92" t="s">
        <v>170</v>
      </c>
      <c r="C92" t="s">
        <v>15</v>
      </c>
      <c r="D92">
        <v>33</v>
      </c>
      <c r="E92" t="s">
        <v>16</v>
      </c>
      <c r="F92" s="1">
        <v>44181</v>
      </c>
      <c r="G92" t="s">
        <v>21</v>
      </c>
      <c r="H92" s="30">
        <v>59430</v>
      </c>
    </row>
    <row r="93" spans="2:8" x14ac:dyDescent="0.25">
      <c r="B93" t="s">
        <v>143</v>
      </c>
      <c r="C93" t="s">
        <v>15</v>
      </c>
      <c r="D93">
        <v>33</v>
      </c>
      <c r="E93" t="s">
        <v>13</v>
      </c>
      <c r="F93" s="1">
        <v>44640</v>
      </c>
      <c r="G93" t="s">
        <v>9</v>
      </c>
      <c r="H93" s="30">
        <v>48530</v>
      </c>
    </row>
    <row r="94" spans="2:8" x14ac:dyDescent="0.25">
      <c r="B94" t="s">
        <v>162</v>
      </c>
      <c r="C94" t="s">
        <v>8</v>
      </c>
      <c r="D94">
        <v>33</v>
      </c>
      <c r="E94" t="s">
        <v>16</v>
      </c>
      <c r="F94" s="1">
        <v>44129</v>
      </c>
      <c r="G94" t="s">
        <v>12</v>
      </c>
      <c r="H94" s="30">
        <v>96140</v>
      </c>
    </row>
    <row r="95" spans="2:8" x14ac:dyDescent="0.25">
      <c r="B95" t="s">
        <v>155</v>
      </c>
      <c r="C95" t="s">
        <v>15</v>
      </c>
      <c r="D95">
        <v>20</v>
      </c>
      <c r="E95" t="s">
        <v>16</v>
      </c>
      <c r="F95" s="1">
        <v>44122</v>
      </c>
      <c r="G95" t="s">
        <v>12</v>
      </c>
      <c r="H95" s="30">
        <v>112650</v>
      </c>
    </row>
    <row r="96" spans="2:8" x14ac:dyDescent="0.25">
      <c r="B96" t="s">
        <v>175</v>
      </c>
      <c r="C96" t="s">
        <v>8</v>
      </c>
      <c r="D96">
        <v>32</v>
      </c>
      <c r="E96" t="s">
        <v>13</v>
      </c>
      <c r="F96" s="1">
        <v>44293</v>
      </c>
      <c r="G96" t="s">
        <v>12</v>
      </c>
      <c r="H96" s="30">
        <v>43840</v>
      </c>
    </row>
    <row r="97" spans="2:8" x14ac:dyDescent="0.25">
      <c r="B97" t="s">
        <v>142</v>
      </c>
      <c r="C97" t="s">
        <v>15</v>
      </c>
      <c r="D97">
        <v>31</v>
      </c>
      <c r="E97" t="s">
        <v>16</v>
      </c>
      <c r="F97" s="1">
        <v>44663</v>
      </c>
      <c r="G97" t="s">
        <v>9</v>
      </c>
      <c r="H97" s="30">
        <v>103550</v>
      </c>
    </row>
    <row r="98" spans="2:8" x14ac:dyDescent="0.25">
      <c r="B98" t="s">
        <v>200</v>
      </c>
      <c r="C98" t="s">
        <v>8</v>
      </c>
      <c r="D98">
        <v>32</v>
      </c>
      <c r="E98" t="s">
        <v>16</v>
      </c>
      <c r="F98" s="1">
        <v>44339</v>
      </c>
      <c r="G98" t="s">
        <v>56</v>
      </c>
      <c r="H98" s="30">
        <v>45510</v>
      </c>
    </row>
    <row r="99" spans="2:8" x14ac:dyDescent="0.25">
      <c r="B99" t="s">
        <v>141</v>
      </c>
      <c r="D99">
        <v>37</v>
      </c>
      <c r="E99" t="s">
        <v>24</v>
      </c>
      <c r="F99" s="1">
        <v>44085</v>
      </c>
      <c r="G99" t="s">
        <v>21</v>
      </c>
      <c r="H99" s="30">
        <v>115440</v>
      </c>
    </row>
    <row r="100" spans="2:8" x14ac:dyDescent="0.25">
      <c r="B100" t="s">
        <v>201</v>
      </c>
      <c r="C100" t="s">
        <v>8</v>
      </c>
      <c r="D100">
        <v>38</v>
      </c>
      <c r="E100" t="s">
        <v>13</v>
      </c>
      <c r="F100" s="1">
        <v>44268</v>
      </c>
      <c r="G100" t="s">
        <v>19</v>
      </c>
      <c r="H100" s="30">
        <v>56870</v>
      </c>
    </row>
    <row r="101" spans="2:8" x14ac:dyDescent="0.25">
      <c r="B101" t="s">
        <v>168</v>
      </c>
      <c r="C101" t="s">
        <v>8</v>
      </c>
      <c r="D101">
        <v>25</v>
      </c>
      <c r="E101" t="s">
        <v>16</v>
      </c>
      <c r="F101" s="1">
        <v>44144</v>
      </c>
      <c r="G101" t="s">
        <v>19</v>
      </c>
      <c r="H101" s="30">
        <v>92700</v>
      </c>
    </row>
    <row r="102" spans="2:8" x14ac:dyDescent="0.25">
      <c r="B102" t="s">
        <v>144</v>
      </c>
      <c r="D102">
        <v>32</v>
      </c>
      <c r="E102" t="s">
        <v>16</v>
      </c>
      <c r="F102" s="1">
        <v>44713</v>
      </c>
      <c r="G102" t="s">
        <v>12</v>
      </c>
      <c r="H102" s="30">
        <v>91310</v>
      </c>
    </row>
    <row r="103" spans="2:8" x14ac:dyDescent="0.25">
      <c r="B103" t="s">
        <v>114</v>
      </c>
      <c r="C103" t="s">
        <v>15</v>
      </c>
      <c r="D103">
        <v>33</v>
      </c>
      <c r="E103" t="s">
        <v>16</v>
      </c>
      <c r="F103" s="1">
        <v>44324</v>
      </c>
      <c r="G103" t="s">
        <v>19</v>
      </c>
      <c r="H103" s="30">
        <v>74550</v>
      </c>
    </row>
    <row r="104" spans="2:8" x14ac:dyDescent="0.25">
      <c r="B104" t="s">
        <v>127</v>
      </c>
      <c r="C104" t="s">
        <v>15</v>
      </c>
      <c r="D104">
        <v>25</v>
      </c>
      <c r="E104" t="s">
        <v>13</v>
      </c>
      <c r="F104" s="1">
        <v>44665</v>
      </c>
      <c r="G104" t="s">
        <v>9</v>
      </c>
      <c r="H104" s="30">
        <v>109190</v>
      </c>
    </row>
    <row r="105" spans="2:8" x14ac:dyDescent="0.25">
      <c r="B105" t="s">
        <v>193</v>
      </c>
      <c r="C105" t="s">
        <v>8</v>
      </c>
      <c r="D105">
        <v>40</v>
      </c>
      <c r="E105" t="s">
        <v>16</v>
      </c>
      <c r="F105" s="1">
        <v>44320</v>
      </c>
      <c r="G105" t="s">
        <v>12</v>
      </c>
      <c r="H105" s="30">
        <v>104410</v>
      </c>
    </row>
    <row r="106" spans="2:8" x14ac:dyDescent="0.25">
      <c r="B106" t="s">
        <v>176</v>
      </c>
      <c r="C106" t="s">
        <v>15</v>
      </c>
      <c r="D106">
        <v>30</v>
      </c>
      <c r="E106" t="s">
        <v>16</v>
      </c>
      <c r="F106" s="1">
        <v>44544</v>
      </c>
      <c r="G106" t="s">
        <v>21</v>
      </c>
      <c r="H106" s="30">
        <v>96800</v>
      </c>
    </row>
    <row r="107" spans="2:8" x14ac:dyDescent="0.25">
      <c r="B107" t="s">
        <v>122</v>
      </c>
      <c r="C107" t="s">
        <v>15</v>
      </c>
      <c r="D107">
        <v>28</v>
      </c>
      <c r="E107" t="s">
        <v>13</v>
      </c>
      <c r="F107" s="1">
        <v>43980</v>
      </c>
      <c r="G107" t="s">
        <v>21</v>
      </c>
      <c r="H107" s="30">
        <v>48170</v>
      </c>
    </row>
    <row r="108" spans="2:8" x14ac:dyDescent="0.25">
      <c r="B108" t="s">
        <v>139</v>
      </c>
      <c r="C108" t="s">
        <v>15</v>
      </c>
      <c r="D108">
        <v>21</v>
      </c>
      <c r="E108" t="s">
        <v>16</v>
      </c>
      <c r="F108" s="1">
        <v>44042</v>
      </c>
      <c r="G108" t="s">
        <v>9</v>
      </c>
      <c r="H108" s="30">
        <v>37920</v>
      </c>
    </row>
    <row r="109" spans="2:8" x14ac:dyDescent="0.25">
      <c r="B109" t="s">
        <v>177</v>
      </c>
      <c r="C109" t="s">
        <v>15</v>
      </c>
      <c r="D109">
        <v>34</v>
      </c>
      <c r="E109" t="s">
        <v>16</v>
      </c>
      <c r="F109" s="1">
        <v>44642</v>
      </c>
      <c r="G109" t="s">
        <v>9</v>
      </c>
      <c r="H109" s="30">
        <v>112650</v>
      </c>
    </row>
    <row r="110" spans="2:8" x14ac:dyDescent="0.25">
      <c r="B110" t="s">
        <v>164</v>
      </c>
      <c r="C110" t="s">
        <v>8</v>
      </c>
      <c r="D110">
        <v>34</v>
      </c>
      <c r="E110" t="s">
        <v>24</v>
      </c>
      <c r="F110" s="1">
        <v>44660</v>
      </c>
      <c r="G110" t="s">
        <v>19</v>
      </c>
      <c r="H110" s="30">
        <v>49630</v>
      </c>
    </row>
    <row r="111" spans="2:8" x14ac:dyDescent="0.25">
      <c r="B111" t="s">
        <v>198</v>
      </c>
      <c r="C111" t="s">
        <v>15</v>
      </c>
      <c r="D111">
        <v>36</v>
      </c>
      <c r="E111" t="s">
        <v>16</v>
      </c>
      <c r="F111" s="1">
        <v>43958</v>
      </c>
      <c r="G111" t="s">
        <v>12</v>
      </c>
      <c r="H111" s="30">
        <v>118840</v>
      </c>
    </row>
    <row r="112" spans="2:8" x14ac:dyDescent="0.25">
      <c r="B112" t="s">
        <v>158</v>
      </c>
      <c r="C112" t="s">
        <v>15</v>
      </c>
      <c r="D112">
        <v>30</v>
      </c>
      <c r="E112" t="s">
        <v>16</v>
      </c>
      <c r="F112" s="1">
        <v>44789</v>
      </c>
      <c r="G112" t="s">
        <v>12</v>
      </c>
      <c r="H112" s="30">
        <v>69710</v>
      </c>
    </row>
    <row r="113" spans="2:8" x14ac:dyDescent="0.25">
      <c r="B113" t="s">
        <v>196</v>
      </c>
      <c r="C113" t="s">
        <v>15</v>
      </c>
      <c r="D113">
        <v>20</v>
      </c>
      <c r="E113" t="s">
        <v>16</v>
      </c>
      <c r="F113" s="1">
        <v>44683</v>
      </c>
      <c r="G113" t="s">
        <v>9</v>
      </c>
      <c r="H113" s="30">
        <v>79570</v>
      </c>
    </row>
    <row r="114" spans="2:8" x14ac:dyDescent="0.25">
      <c r="B114" t="s">
        <v>153</v>
      </c>
      <c r="C114" t="s">
        <v>8</v>
      </c>
      <c r="D114">
        <v>22</v>
      </c>
      <c r="E114" t="s">
        <v>13</v>
      </c>
      <c r="F114" s="1">
        <v>44388</v>
      </c>
      <c r="G114" t="s">
        <v>9</v>
      </c>
      <c r="H114" s="30">
        <v>76900</v>
      </c>
    </row>
    <row r="115" spans="2:8" x14ac:dyDescent="0.25">
      <c r="B115" t="s">
        <v>202</v>
      </c>
      <c r="D115">
        <f>SUBTOTAL(101,India_Staff[Age])</f>
        <v>30.375</v>
      </c>
      <c r="H115" s="30">
        <f>SUBTOTAL(109,India_Staff[Salary])</f>
        <v>8757930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6D94-D762-4B2C-8E3A-3BDC50C42354}">
  <dimension ref="A1:N184"/>
  <sheetViews>
    <sheetView topLeftCell="A3" workbookViewId="0">
      <selection activeCell="G2" sqref="G2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3.7109375" bestFit="1" customWidth="1"/>
    <col min="6" max="6" width="14" bestFit="1" customWidth="1"/>
    <col min="7" max="7" width="12.28515625" style="11" bestFit="1" customWidth="1"/>
    <col min="8" max="8" width="10.28515625" bestFit="1" customWidth="1"/>
    <col min="9" max="9" width="10.42578125" bestFit="1" customWidth="1"/>
    <col min="10" max="10" width="10.42578125" style="31" customWidth="1"/>
    <col min="11" max="11" width="18.42578125" customWidth="1"/>
    <col min="13" max="13" width="37.7109375" customWidth="1"/>
    <col min="14" max="14" width="13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2</v>
      </c>
      <c r="G1" s="11" t="s">
        <v>5</v>
      </c>
      <c r="H1" t="s">
        <v>203</v>
      </c>
      <c r="I1" t="s">
        <v>217</v>
      </c>
      <c r="J1" s="31" t="s">
        <v>227</v>
      </c>
      <c r="K1" t="s">
        <v>231</v>
      </c>
    </row>
    <row r="2" spans="1:14" x14ac:dyDescent="0.25">
      <c r="A2" t="s">
        <v>178</v>
      </c>
      <c r="B2" t="s">
        <v>8</v>
      </c>
      <c r="C2">
        <v>21</v>
      </c>
      <c r="D2" t="s">
        <v>16</v>
      </c>
      <c r="E2" s="2">
        <v>44619</v>
      </c>
      <c r="F2" t="s">
        <v>12</v>
      </c>
      <c r="G2" s="31">
        <v>33920</v>
      </c>
      <c r="H2" t="s">
        <v>204</v>
      </c>
      <c r="I2">
        <f ca="1">(TODAY()-Table_All_Staff[[#This Row],[Date Joined]])/365</f>
        <v>1.452054794520548</v>
      </c>
      <c r="J2" s="31">
        <f ca="1">ROUNDUP(IF(Table_All_Staff[Tenure]&gt;2,3%,2%)*Table_All_Staff[Salary],0)</f>
        <v>679</v>
      </c>
      <c r="K2">
        <f>VLOOKUP(Table_All_Staff[[#This Row],[Rating]],'Pivot Tables'!$B$23:$C$27,2,FALSE)</f>
        <v>3</v>
      </c>
      <c r="M2" s="4" t="s">
        <v>218</v>
      </c>
    </row>
    <row r="3" spans="1:14" x14ac:dyDescent="0.25">
      <c r="A3" t="s">
        <v>86</v>
      </c>
      <c r="B3" t="s">
        <v>8</v>
      </c>
      <c r="C3">
        <v>21</v>
      </c>
      <c r="D3" t="s">
        <v>16</v>
      </c>
      <c r="E3" s="2">
        <v>44678</v>
      </c>
      <c r="F3" t="s">
        <v>12</v>
      </c>
      <c r="G3" s="31">
        <v>33920</v>
      </c>
      <c r="H3" t="s">
        <v>206</v>
      </c>
      <c r="I3">
        <f ca="1">(TODAY()-Table_All_Staff[[#This Row],[Date Joined]])/365</f>
        <v>1.2904109589041095</v>
      </c>
      <c r="J3" s="31">
        <f ca="1">ROUNDUP(IF(Table_All_Staff[Tenure]&gt;2,3%,2%)*Table_All_Staff[Salary],0)</f>
        <v>679</v>
      </c>
      <c r="K3">
        <f>VLOOKUP(Table_All_Staff[[#This Row],[Rating]],'Pivot Tables'!$B$23:$C$27,2,FALSE)</f>
        <v>3</v>
      </c>
      <c r="M3" t="s">
        <v>207</v>
      </c>
      <c r="N3">
        <f>COUNTA(Table_All_Staff[Name])</f>
        <v>183</v>
      </c>
    </row>
    <row r="4" spans="1:14" x14ac:dyDescent="0.25">
      <c r="A4" t="s">
        <v>136</v>
      </c>
      <c r="B4" t="s">
        <v>8</v>
      </c>
      <c r="C4">
        <v>29</v>
      </c>
      <c r="D4" t="s">
        <v>16</v>
      </c>
      <c r="E4" s="2">
        <v>43962</v>
      </c>
      <c r="F4" t="s">
        <v>12</v>
      </c>
      <c r="G4" s="31">
        <v>34980</v>
      </c>
      <c r="H4" t="s">
        <v>204</v>
      </c>
      <c r="I4">
        <f ca="1">(TODAY()-Table_All_Staff[[#This Row],[Date Joined]])/365</f>
        <v>3.2520547945205478</v>
      </c>
      <c r="J4" s="31">
        <f ca="1">ROUNDUP(IF(Table_All_Staff[Tenure]&gt;2,3%,2%)*Table_All_Staff[Salary],0)</f>
        <v>1050</v>
      </c>
      <c r="K4">
        <f>VLOOKUP(Table_All_Staff[[#This Row],[Rating]],'Pivot Tables'!$B$23:$C$27,2,FALSE)</f>
        <v>3</v>
      </c>
      <c r="M4" t="s">
        <v>208</v>
      </c>
      <c r="N4">
        <f>AVERAGE(Table_All_Staff[Salary])</f>
        <v>77173.715846994543</v>
      </c>
    </row>
    <row r="5" spans="1:14" x14ac:dyDescent="0.25">
      <c r="A5" t="s">
        <v>44</v>
      </c>
      <c r="B5" t="s">
        <v>8</v>
      </c>
      <c r="C5">
        <v>29</v>
      </c>
      <c r="D5" t="s">
        <v>16</v>
      </c>
      <c r="E5" s="2">
        <v>44023</v>
      </c>
      <c r="F5" t="s">
        <v>12</v>
      </c>
      <c r="G5" s="31">
        <v>34980</v>
      </c>
      <c r="H5" t="s">
        <v>206</v>
      </c>
      <c r="I5">
        <f ca="1">(TODAY()-Table_All_Staff[[#This Row],[Date Joined]])/365</f>
        <v>3.0849315068493151</v>
      </c>
      <c r="J5" s="31">
        <f ca="1">ROUNDUP(IF(Table_All_Staff[Tenure]&gt;2,3%,2%)*Table_All_Staff[Salary],0)</f>
        <v>1050</v>
      </c>
      <c r="K5">
        <f>VLOOKUP(Table_All_Staff[[#This Row],[Rating]],'Pivot Tables'!$B$23:$C$27,2,FALSE)</f>
        <v>3</v>
      </c>
      <c r="M5" t="s">
        <v>209</v>
      </c>
      <c r="N5">
        <f>MEDIAN(Table_All_Staff[Salary])</f>
        <v>75000</v>
      </c>
    </row>
    <row r="6" spans="1:14" x14ac:dyDescent="0.25">
      <c r="A6" t="s">
        <v>191</v>
      </c>
      <c r="B6" t="s">
        <v>15</v>
      </c>
      <c r="C6">
        <v>43</v>
      </c>
      <c r="D6" t="s">
        <v>16</v>
      </c>
      <c r="E6" s="2">
        <v>44558</v>
      </c>
      <c r="F6" t="s">
        <v>19</v>
      </c>
      <c r="G6" s="31">
        <v>36040</v>
      </c>
      <c r="H6" t="s">
        <v>204</v>
      </c>
      <c r="I6">
        <f ca="1">(TODAY()-Table_All_Staff[[#This Row],[Date Joined]])/365</f>
        <v>1.6191780821917807</v>
      </c>
      <c r="J6" s="31">
        <f ca="1">ROUNDUP(IF(Table_All_Staff[Tenure]&gt;2,3%,2%)*Table_All_Staff[Salary],0)</f>
        <v>721</v>
      </c>
      <c r="K6">
        <f>VLOOKUP(Table_All_Staff[[#This Row],[Rating]],'Pivot Tables'!$B$23:$C$27,2,FALSE)</f>
        <v>3</v>
      </c>
      <c r="M6" t="s">
        <v>210</v>
      </c>
      <c r="N6">
        <f>AVERAGE(Table_All_Staff[Age])</f>
        <v>30.42622950819672</v>
      </c>
    </row>
    <row r="7" spans="1:14" x14ac:dyDescent="0.25">
      <c r="A7" t="s">
        <v>99</v>
      </c>
      <c r="B7" t="s">
        <v>15</v>
      </c>
      <c r="C7">
        <v>43</v>
      </c>
      <c r="D7" t="s">
        <v>16</v>
      </c>
      <c r="E7" s="2">
        <v>44620</v>
      </c>
      <c r="F7" t="s">
        <v>19</v>
      </c>
      <c r="G7" s="31">
        <v>36040</v>
      </c>
      <c r="H7" t="s">
        <v>206</v>
      </c>
      <c r="I7">
        <f ca="1">(TODAY()-Table_All_Staff[[#This Row],[Date Joined]])/365</f>
        <v>1.4493150684931506</v>
      </c>
      <c r="J7" s="31">
        <f ca="1">ROUNDUP(IF(Table_All_Staff[Tenure]&gt;2,3%,2%)*Table_All_Staff[Salary],0)</f>
        <v>721</v>
      </c>
      <c r="K7">
        <f>VLOOKUP(Table_All_Staff[[#This Row],[Rating]],'Pivot Tables'!$B$23:$C$27,2,FALSE)</f>
        <v>3</v>
      </c>
      <c r="M7" t="s">
        <v>211</v>
      </c>
      <c r="N7">
        <f>MEDIAN(Table_All_Staff[Age])</f>
        <v>30</v>
      </c>
    </row>
    <row r="8" spans="1:14" x14ac:dyDescent="0.25">
      <c r="A8" t="s">
        <v>139</v>
      </c>
      <c r="B8" t="s">
        <v>15</v>
      </c>
      <c r="C8">
        <v>21</v>
      </c>
      <c r="D8" t="s">
        <v>16</v>
      </c>
      <c r="E8" s="2">
        <v>44042</v>
      </c>
      <c r="F8" t="s">
        <v>9</v>
      </c>
      <c r="G8" s="31">
        <v>37920</v>
      </c>
      <c r="H8" t="s">
        <v>204</v>
      </c>
      <c r="I8">
        <f ca="1">(TODAY()-Table_All_Staff[[#This Row],[Date Joined]])/365</f>
        <v>3.032876712328767</v>
      </c>
      <c r="J8" s="31">
        <f ca="1">ROUNDUP(IF(Table_All_Staff[Tenure]&gt;2,3%,2%)*Table_All_Staff[Salary],0)</f>
        <v>1138</v>
      </c>
      <c r="K8">
        <f>VLOOKUP(Table_All_Staff[[#This Row],[Rating]],'Pivot Tables'!$B$23:$C$27,2,FALSE)</f>
        <v>3</v>
      </c>
      <c r="M8" t="s">
        <v>212</v>
      </c>
      <c r="N8">
        <f ca="1">AVERAGE(Table_All_Staff[Tenure])</f>
        <v>1.9615540085335732</v>
      </c>
    </row>
    <row r="9" spans="1:14" x14ac:dyDescent="0.25">
      <c r="A9" t="s">
        <v>47</v>
      </c>
      <c r="B9" t="s">
        <v>15</v>
      </c>
      <c r="C9">
        <v>21</v>
      </c>
      <c r="D9" t="s">
        <v>16</v>
      </c>
      <c r="E9" s="2">
        <v>44104</v>
      </c>
      <c r="F9" t="s">
        <v>9</v>
      </c>
      <c r="G9" s="31">
        <v>37920</v>
      </c>
      <c r="H9" t="s">
        <v>206</v>
      </c>
      <c r="I9">
        <f ca="1">(TODAY()-Table_All_Staff[[#This Row],[Date Joined]])/365</f>
        <v>2.8630136986301369</v>
      </c>
      <c r="J9" s="31">
        <f ca="1">ROUNDUP(IF(Table_All_Staff[Tenure]&gt;2,3%,2%)*Table_All_Staff[Salary],0)</f>
        <v>1138</v>
      </c>
      <c r="K9">
        <f>VLOOKUP(Table_All_Staff[[#This Row],[Rating]],'Pivot Tables'!$B$23:$C$27,2,FALSE)</f>
        <v>3</v>
      </c>
      <c r="M9" t="s">
        <v>213</v>
      </c>
      <c r="N9">
        <f>COUNTIFS(Table_All_Staff[Gender],"Female")</f>
        <v>86</v>
      </c>
    </row>
    <row r="10" spans="1:14" x14ac:dyDescent="0.25">
      <c r="A10" t="s">
        <v>148</v>
      </c>
      <c r="B10" t="s">
        <v>15</v>
      </c>
      <c r="C10">
        <v>35</v>
      </c>
      <c r="D10" t="s">
        <v>16</v>
      </c>
      <c r="E10" s="2">
        <v>44666</v>
      </c>
      <c r="F10" t="s">
        <v>9</v>
      </c>
      <c r="G10" s="31">
        <v>40400</v>
      </c>
      <c r="H10" t="s">
        <v>204</v>
      </c>
      <c r="I10">
        <f ca="1">(TODAY()-Table_All_Staff[[#This Row],[Date Joined]])/365</f>
        <v>1.3232876712328767</v>
      </c>
      <c r="J10" s="31">
        <f ca="1">ROUNDUP(IF(Table_All_Staff[Tenure]&gt;2,3%,2%)*Table_All_Staff[Salary],0)</f>
        <v>808</v>
      </c>
      <c r="K10">
        <f>VLOOKUP(Table_All_Staff[[#This Row],[Rating]],'Pivot Tables'!$B$23:$C$27,2,FALSE)</f>
        <v>3</v>
      </c>
      <c r="M10" t="s">
        <v>214</v>
      </c>
      <c r="N10" s="3">
        <f>N9/N3</f>
        <v>0.46994535519125685</v>
      </c>
    </row>
    <row r="11" spans="1:14" x14ac:dyDescent="0.25">
      <c r="A11" t="s">
        <v>57</v>
      </c>
      <c r="B11" t="s">
        <v>15</v>
      </c>
      <c r="C11">
        <v>35</v>
      </c>
      <c r="D11" t="s">
        <v>16</v>
      </c>
      <c r="E11" s="2">
        <v>44727</v>
      </c>
      <c r="F11" t="s">
        <v>9</v>
      </c>
      <c r="G11" s="31">
        <v>40400</v>
      </c>
      <c r="H11" t="s">
        <v>206</v>
      </c>
      <c r="I11">
        <f ca="1">(TODAY()-Table_All_Staff[[#This Row],[Date Joined]])/365</f>
        <v>1.1561643835616437</v>
      </c>
      <c r="J11" s="31">
        <f ca="1">ROUNDUP(IF(Table_All_Staff[Tenure]&gt;2,3%,2%)*Table_All_Staff[Salary],0)</f>
        <v>808</v>
      </c>
      <c r="K11">
        <f>VLOOKUP(Table_All_Staff[[#This Row],[Rating]],'Pivot Tables'!$B$23:$C$27,2,FALSE)</f>
        <v>3</v>
      </c>
      <c r="M11" t="s">
        <v>215</v>
      </c>
      <c r="N11">
        <f>COUNTIFS(G:G,"&gt;90000")</f>
        <v>63</v>
      </c>
    </row>
    <row r="12" spans="1:14" x14ac:dyDescent="0.25">
      <c r="A12" t="s">
        <v>157</v>
      </c>
      <c r="B12" t="s">
        <v>8</v>
      </c>
      <c r="C12">
        <v>32</v>
      </c>
      <c r="D12" t="s">
        <v>16</v>
      </c>
      <c r="E12" s="2">
        <v>44549</v>
      </c>
      <c r="F12" t="s">
        <v>9</v>
      </c>
      <c r="G12" s="31">
        <v>41570</v>
      </c>
      <c r="H12" t="s">
        <v>204</v>
      </c>
      <c r="I12">
        <f ca="1">(TODAY()-Table_All_Staff[[#This Row],[Date Joined]])/365</f>
        <v>1.6438356164383561</v>
      </c>
      <c r="J12" s="31">
        <f ca="1">ROUNDUP(IF(Table_All_Staff[Tenure]&gt;2,3%,2%)*Table_All_Staff[Salary],0)</f>
        <v>832</v>
      </c>
      <c r="K12">
        <f>VLOOKUP(Table_All_Staff[[#This Row],[Rating]],'Pivot Tables'!$B$23:$C$27,2,FALSE)</f>
        <v>3</v>
      </c>
      <c r="M12" t="s">
        <v>216</v>
      </c>
      <c r="N12" s="3">
        <f>N11/N3</f>
        <v>0.34426229508196721</v>
      </c>
    </row>
    <row r="13" spans="1:14" x14ac:dyDescent="0.25">
      <c r="A13" t="s">
        <v>66</v>
      </c>
      <c r="B13" t="s">
        <v>8</v>
      </c>
      <c r="C13">
        <v>32</v>
      </c>
      <c r="D13" t="s">
        <v>16</v>
      </c>
      <c r="E13" s="2">
        <v>44611</v>
      </c>
      <c r="F13" t="s">
        <v>9</v>
      </c>
      <c r="G13" s="31">
        <v>41570</v>
      </c>
      <c r="H13" t="s">
        <v>206</v>
      </c>
      <c r="I13">
        <f ca="1">(TODAY()-Table_All_Staff[[#This Row],[Date Joined]])/365</f>
        <v>1.473972602739726</v>
      </c>
      <c r="J13" s="31">
        <f ca="1">ROUNDUP(IF(Table_All_Staff[Tenure]&gt;2,3%,2%)*Table_All_Staff[Salary],0)</f>
        <v>832</v>
      </c>
      <c r="K13">
        <f>VLOOKUP(Table_All_Staff[[#This Row],[Rating]],'Pivot Tables'!$B$23:$C$27,2,FALSE)</f>
        <v>3</v>
      </c>
    </row>
    <row r="14" spans="1:14" x14ac:dyDescent="0.25">
      <c r="A14" t="s">
        <v>123</v>
      </c>
      <c r="B14" t="s">
        <v>8</v>
      </c>
      <c r="C14">
        <v>31</v>
      </c>
      <c r="D14" t="s">
        <v>16</v>
      </c>
      <c r="E14" s="2">
        <v>44084</v>
      </c>
      <c r="F14" t="s">
        <v>12</v>
      </c>
      <c r="G14" s="31">
        <v>41980</v>
      </c>
      <c r="H14" t="s">
        <v>204</v>
      </c>
      <c r="I14">
        <f ca="1">(TODAY()-Table_All_Staff[[#This Row],[Date Joined]])/365</f>
        <v>2.9178082191780823</v>
      </c>
      <c r="J14" s="31">
        <f ca="1">ROUNDUP(IF(Table_All_Staff[Tenure]&gt;2,3%,2%)*Table_All_Staff[Salary],0)</f>
        <v>1260</v>
      </c>
      <c r="K14">
        <f>VLOOKUP(Table_All_Staff[[#This Row],[Rating]],'Pivot Tables'!$B$23:$C$27,2,FALSE)</f>
        <v>3</v>
      </c>
    </row>
    <row r="15" spans="1:14" x14ac:dyDescent="0.25">
      <c r="A15" t="s">
        <v>30</v>
      </c>
      <c r="B15" t="s">
        <v>8</v>
      </c>
      <c r="C15">
        <v>31</v>
      </c>
      <c r="D15" t="s">
        <v>16</v>
      </c>
      <c r="E15" s="2">
        <v>44145</v>
      </c>
      <c r="F15" t="s">
        <v>12</v>
      </c>
      <c r="G15" s="31">
        <v>41980</v>
      </c>
      <c r="H15" t="s">
        <v>206</v>
      </c>
      <c r="I15">
        <f ca="1">(TODAY()-Table_All_Staff[[#This Row],[Date Joined]])/365</f>
        <v>2.7506849315068491</v>
      </c>
      <c r="J15" s="31">
        <f ca="1">ROUNDUP(IF(Table_All_Staff[Tenure]&gt;2,3%,2%)*Table_All_Staff[Salary],0)</f>
        <v>1260</v>
      </c>
      <c r="K15">
        <f>VLOOKUP(Table_All_Staff[[#This Row],[Rating]],'Pivot Tables'!$B$23:$C$27,2,FALSE)</f>
        <v>3</v>
      </c>
    </row>
    <row r="16" spans="1:14" x14ac:dyDescent="0.25">
      <c r="A16" t="s">
        <v>171</v>
      </c>
      <c r="B16" t="s">
        <v>15</v>
      </c>
      <c r="C16">
        <v>28</v>
      </c>
      <c r="D16" t="s">
        <v>42</v>
      </c>
      <c r="E16" s="2">
        <v>44758</v>
      </c>
      <c r="F16" t="s">
        <v>19</v>
      </c>
      <c r="G16" s="31">
        <v>43510</v>
      </c>
      <c r="H16" t="s">
        <v>204</v>
      </c>
      <c r="I16">
        <f ca="1">(TODAY()-Table_All_Staff[[#This Row],[Date Joined]])/365</f>
        <v>1.0712328767123287</v>
      </c>
      <c r="J16" s="31">
        <f ca="1">ROUNDUP(IF(Table_All_Staff[Tenure]&gt;2,3%,2%)*Table_All_Staff[Salary],0)</f>
        <v>871</v>
      </c>
      <c r="K16">
        <f>VLOOKUP(Table_All_Staff[[#This Row],[Rating]],'Pivot Tables'!$B$23:$C$27,2,FALSE)</f>
        <v>1</v>
      </c>
      <c r="M16" s="4" t="s">
        <v>219</v>
      </c>
    </row>
    <row r="17" spans="1:14" x14ac:dyDescent="0.25">
      <c r="A17" t="s">
        <v>80</v>
      </c>
      <c r="B17" t="s">
        <v>15</v>
      </c>
      <c r="C17">
        <v>28</v>
      </c>
      <c r="D17" t="s">
        <v>42</v>
      </c>
      <c r="E17" s="2">
        <v>44820</v>
      </c>
      <c r="F17" t="s">
        <v>19</v>
      </c>
      <c r="G17" s="31">
        <v>43510</v>
      </c>
      <c r="H17" t="s">
        <v>206</v>
      </c>
      <c r="I17">
        <f ca="1">(TODAY()-Table_All_Staff[[#This Row],[Date Joined]])/365</f>
        <v>0.90136986301369859</v>
      </c>
      <c r="J17" s="31">
        <f ca="1">ROUNDUP(IF(Table_All_Staff[Tenure]&gt;2,3%,2%)*Table_All_Staff[Salary],0)</f>
        <v>871</v>
      </c>
      <c r="K17">
        <f>VLOOKUP(Table_All_Staff[[#This Row],[Rating]],'Pivot Tables'!$B$23:$C$27,2,FALSE)</f>
        <v>1</v>
      </c>
      <c r="M17" s="5" t="s">
        <v>0</v>
      </c>
      <c r="N17" s="6" t="s">
        <v>110</v>
      </c>
    </row>
    <row r="18" spans="1:14" x14ac:dyDescent="0.25">
      <c r="A18" t="s">
        <v>175</v>
      </c>
      <c r="B18" t="s">
        <v>8</v>
      </c>
      <c r="C18">
        <v>32</v>
      </c>
      <c r="D18" t="s">
        <v>13</v>
      </c>
      <c r="E18" s="2">
        <v>44293</v>
      </c>
      <c r="F18" t="s">
        <v>12</v>
      </c>
      <c r="G18" s="31">
        <v>43840</v>
      </c>
      <c r="H18" t="s">
        <v>204</v>
      </c>
      <c r="I18">
        <f ca="1">(TODAY()-Table_All_Staff[[#This Row],[Date Joined]])/365</f>
        <v>2.3452054794520549</v>
      </c>
      <c r="J18" s="31">
        <f ca="1">ROUNDUP(IF(Table_All_Staff[Tenure]&gt;2,3%,2%)*Table_All_Staff[Salary],0)</f>
        <v>1316</v>
      </c>
      <c r="K18">
        <f>VLOOKUP(Table_All_Staff[[#This Row],[Rating]],'Pivot Tables'!$B$23:$C$27,2,FALSE)</f>
        <v>4</v>
      </c>
      <c r="M18" s="5" t="s">
        <v>1</v>
      </c>
      <c r="N18" s="7" t="str">
        <f>VLOOKUP(N17,Table_All_Staff[],2,FALSE)</f>
        <v>Female</v>
      </c>
    </row>
    <row r="19" spans="1:14" x14ac:dyDescent="0.25">
      <c r="A19" t="s">
        <v>84</v>
      </c>
      <c r="B19" t="s">
        <v>8</v>
      </c>
      <c r="C19">
        <v>32</v>
      </c>
      <c r="D19" t="s">
        <v>13</v>
      </c>
      <c r="E19" s="2">
        <v>44354</v>
      </c>
      <c r="F19" t="s">
        <v>12</v>
      </c>
      <c r="G19" s="31">
        <v>43840</v>
      </c>
      <c r="H19" t="s">
        <v>206</v>
      </c>
      <c r="I19">
        <f ca="1">(TODAY()-Table_All_Staff[[#This Row],[Date Joined]])/365</f>
        <v>2.1780821917808217</v>
      </c>
      <c r="J19" s="31">
        <f ca="1">ROUNDUP(IF(Table_All_Staff[Tenure]&gt;2,3%,2%)*Table_All_Staff[Salary],0)</f>
        <v>1316</v>
      </c>
      <c r="K19">
        <f>VLOOKUP(Table_All_Staff[[#This Row],[Rating]],'Pivot Tables'!$B$23:$C$27,2,FALSE)</f>
        <v>4</v>
      </c>
      <c r="M19" s="5" t="s">
        <v>3</v>
      </c>
      <c r="N19" s="7">
        <f>VLOOKUP(N17,Table_All_Staff[],3,FALSE)</f>
        <v>42</v>
      </c>
    </row>
    <row r="20" spans="1:14" x14ac:dyDescent="0.25">
      <c r="A20" t="s">
        <v>200</v>
      </c>
      <c r="B20" t="s">
        <v>8</v>
      </c>
      <c r="C20">
        <v>32</v>
      </c>
      <c r="D20" t="s">
        <v>16</v>
      </c>
      <c r="E20" s="2">
        <v>44339</v>
      </c>
      <c r="F20" t="s">
        <v>56</v>
      </c>
      <c r="G20" s="31">
        <v>45510</v>
      </c>
      <c r="H20" t="s">
        <v>204</v>
      </c>
      <c r="I20">
        <f ca="1">(TODAY()-Table_All_Staff[[#This Row],[Date Joined]])/365</f>
        <v>2.2191780821917808</v>
      </c>
      <c r="J20" s="31">
        <f ca="1">ROUNDUP(IF(Table_All_Staff[Tenure]&gt;2,3%,2%)*Table_All_Staff[Salary],0)</f>
        <v>1366</v>
      </c>
      <c r="K20">
        <f>VLOOKUP(Table_All_Staff[[#This Row],[Rating]],'Pivot Tables'!$B$23:$C$27,2,FALSE)</f>
        <v>3</v>
      </c>
      <c r="M20" s="5" t="s">
        <v>6</v>
      </c>
      <c r="N20" s="7" t="str">
        <f>VLOOKUP(N17,Table_All_Staff[],4,FALSE)</f>
        <v>Exceptional</v>
      </c>
    </row>
    <row r="21" spans="1:14" x14ac:dyDescent="0.25">
      <c r="A21" t="s">
        <v>108</v>
      </c>
      <c r="B21" t="s">
        <v>8</v>
      </c>
      <c r="C21">
        <v>32</v>
      </c>
      <c r="D21" t="s">
        <v>16</v>
      </c>
      <c r="E21" s="2">
        <v>44400</v>
      </c>
      <c r="F21" t="s">
        <v>56</v>
      </c>
      <c r="G21" s="31">
        <v>45510</v>
      </c>
      <c r="H21" t="s">
        <v>206</v>
      </c>
      <c r="I21">
        <f ca="1">(TODAY()-Table_All_Staff[[#This Row],[Date Joined]])/365</f>
        <v>2.0520547945205481</v>
      </c>
      <c r="J21" s="31">
        <f ca="1">ROUNDUP(IF(Table_All_Staff[Tenure]&gt;2,3%,2%)*Table_All_Staff[Salary],0)</f>
        <v>1366</v>
      </c>
      <c r="K21">
        <f>VLOOKUP(Table_All_Staff[[#This Row],[Rating]],'Pivot Tables'!$B$23:$C$27,2,FALSE)</f>
        <v>3</v>
      </c>
      <c r="M21" s="5" t="s">
        <v>220</v>
      </c>
      <c r="N21" s="8">
        <f>VLOOKUP(N17,Table_All_Staff[],5,FALSE)</f>
        <v>44718</v>
      </c>
    </row>
    <row r="22" spans="1:14" x14ac:dyDescent="0.25">
      <c r="A22" t="s">
        <v>150</v>
      </c>
      <c r="B22" t="s">
        <v>15</v>
      </c>
      <c r="C22">
        <v>26</v>
      </c>
      <c r="D22" t="s">
        <v>16</v>
      </c>
      <c r="E22" s="2">
        <v>44164</v>
      </c>
      <c r="F22" t="s">
        <v>9</v>
      </c>
      <c r="G22" s="31">
        <v>47360</v>
      </c>
      <c r="H22" t="s">
        <v>204</v>
      </c>
      <c r="I22">
        <f ca="1">(TODAY()-Table_All_Staff[[#This Row],[Date Joined]])/365</f>
        <v>2.6986301369863015</v>
      </c>
      <c r="J22" s="31">
        <f ca="1">ROUNDUP(IF(Table_All_Staff[Tenure]&gt;2,3%,2%)*Table_All_Staff[Salary],0)</f>
        <v>1421</v>
      </c>
      <c r="K22">
        <f>VLOOKUP(Table_All_Staff[[#This Row],[Rating]],'Pivot Tables'!$B$23:$C$27,2,FALSE)</f>
        <v>3</v>
      </c>
      <c r="M22" s="5" t="s">
        <v>2</v>
      </c>
      <c r="N22" s="7" t="str">
        <f>VLOOKUP(N17,Table_All_Staff[],6,FALSE)</f>
        <v>Procurement</v>
      </c>
    </row>
    <row r="23" spans="1:14" x14ac:dyDescent="0.25">
      <c r="A23" t="s">
        <v>59</v>
      </c>
      <c r="B23" t="s">
        <v>15</v>
      </c>
      <c r="C23">
        <v>26</v>
      </c>
      <c r="D23" t="s">
        <v>16</v>
      </c>
      <c r="E23" s="2">
        <v>44225</v>
      </c>
      <c r="F23" t="s">
        <v>9</v>
      </c>
      <c r="G23" s="31">
        <v>47360</v>
      </c>
      <c r="H23" t="s">
        <v>206</v>
      </c>
      <c r="I23">
        <f ca="1">(TODAY()-Table_All_Staff[[#This Row],[Date Joined]])/365</f>
        <v>2.5315068493150683</v>
      </c>
      <c r="J23" s="31">
        <f ca="1">ROUNDUP(IF(Table_All_Staff[Tenure]&gt;2,3%,2%)*Table_All_Staff[Salary],0)</f>
        <v>1421</v>
      </c>
      <c r="K23">
        <f>VLOOKUP(Table_All_Staff[[#This Row],[Rating]],'Pivot Tables'!$B$23:$C$27,2,FALSE)</f>
        <v>3</v>
      </c>
      <c r="M23" s="5" t="s">
        <v>5</v>
      </c>
      <c r="N23" s="32">
        <f>VLOOKUP(N17,Table_All_Staff[],7,FALSE)</f>
        <v>75000</v>
      </c>
    </row>
    <row r="24" spans="1:14" x14ac:dyDescent="0.25">
      <c r="A24" t="s">
        <v>122</v>
      </c>
      <c r="B24" t="s">
        <v>15</v>
      </c>
      <c r="C24">
        <v>28</v>
      </c>
      <c r="D24" t="s">
        <v>13</v>
      </c>
      <c r="E24" s="2">
        <v>43980</v>
      </c>
      <c r="F24" t="s">
        <v>21</v>
      </c>
      <c r="G24" s="31">
        <v>48170</v>
      </c>
      <c r="H24" t="s">
        <v>204</v>
      </c>
      <c r="I24">
        <f ca="1">(TODAY()-Table_All_Staff[[#This Row],[Date Joined]])/365</f>
        <v>3.2027397260273971</v>
      </c>
      <c r="J24" s="31">
        <f ca="1">ROUNDUP(IF(Table_All_Staff[Tenure]&gt;2,3%,2%)*Table_All_Staff[Salary],0)</f>
        <v>1446</v>
      </c>
      <c r="K24">
        <f>VLOOKUP(Table_All_Staff[[#This Row],[Rating]],'Pivot Tables'!$B$23:$C$27,2,FALSE)</f>
        <v>4</v>
      </c>
      <c r="M24" s="5" t="s">
        <v>203</v>
      </c>
      <c r="N24" s="7" t="str">
        <f>VLOOKUP(N17,Table_All_Staff[],8,FALSE)</f>
        <v>IND</v>
      </c>
    </row>
    <row r="25" spans="1:14" x14ac:dyDescent="0.25">
      <c r="A25" t="s">
        <v>29</v>
      </c>
      <c r="B25" t="s">
        <v>15</v>
      </c>
      <c r="C25">
        <v>28</v>
      </c>
      <c r="D25" t="s">
        <v>13</v>
      </c>
      <c r="E25" s="2">
        <v>44041</v>
      </c>
      <c r="F25" t="s">
        <v>21</v>
      </c>
      <c r="G25" s="31">
        <v>48170</v>
      </c>
      <c r="H25" t="s">
        <v>206</v>
      </c>
      <c r="I25">
        <f ca="1">(TODAY()-Table_All_Staff[[#This Row],[Date Joined]])/365</f>
        <v>3.0356164383561643</v>
      </c>
      <c r="J25" s="31">
        <f ca="1">ROUNDUP(IF(Table_All_Staff[Tenure]&gt;2,3%,2%)*Table_All_Staff[Salary],0)</f>
        <v>1446</v>
      </c>
      <c r="K25">
        <f>VLOOKUP(Table_All_Staff[[#This Row],[Rating]],'Pivot Tables'!$B$23:$C$27,2,FALSE)</f>
        <v>4</v>
      </c>
      <c r="M25" s="5" t="s">
        <v>217</v>
      </c>
      <c r="N25" s="7">
        <f ca="1">VLOOKUP(N17,Table_All_Staff[],9,FALSE)</f>
        <v>1.1808219178082191</v>
      </c>
    </row>
    <row r="26" spans="1:14" x14ac:dyDescent="0.25">
      <c r="A26" t="s">
        <v>143</v>
      </c>
      <c r="B26" t="s">
        <v>15</v>
      </c>
      <c r="C26">
        <v>33</v>
      </c>
      <c r="D26" t="s">
        <v>13</v>
      </c>
      <c r="E26" s="2">
        <v>44640</v>
      </c>
      <c r="F26" t="s">
        <v>9</v>
      </c>
      <c r="G26" s="31">
        <v>48530</v>
      </c>
      <c r="H26" t="s">
        <v>204</v>
      </c>
      <c r="I26">
        <f ca="1">(TODAY()-Table_All_Staff[[#This Row],[Date Joined]])/365</f>
        <v>1.3945205479452054</v>
      </c>
      <c r="J26" s="31">
        <f ca="1">ROUNDUP(IF(Table_All_Staff[Tenure]&gt;2,3%,2%)*Table_All_Staff[Salary],0)</f>
        <v>971</v>
      </c>
      <c r="K26">
        <f>VLOOKUP(Table_All_Staff[[#This Row],[Rating]],'Pivot Tables'!$B$23:$C$27,2,FALSE)</f>
        <v>4</v>
      </c>
    </row>
    <row r="27" spans="1:14" x14ac:dyDescent="0.25">
      <c r="A27" t="s">
        <v>51</v>
      </c>
      <c r="B27" t="s">
        <v>15</v>
      </c>
      <c r="C27">
        <v>33</v>
      </c>
      <c r="D27" t="s">
        <v>13</v>
      </c>
      <c r="E27" s="2">
        <v>44701</v>
      </c>
      <c r="F27" t="s">
        <v>9</v>
      </c>
      <c r="G27" s="31">
        <v>48530</v>
      </c>
      <c r="H27" t="s">
        <v>206</v>
      </c>
      <c r="I27">
        <f ca="1">(TODAY()-Table_All_Staff[[#This Row],[Date Joined]])/365</f>
        <v>1.2273972602739727</v>
      </c>
      <c r="J27" s="31">
        <f ca="1">ROUNDUP(IF(Table_All_Staff[Tenure]&gt;2,3%,2%)*Table_All_Staff[Salary],0)</f>
        <v>971</v>
      </c>
      <c r="K27">
        <f>VLOOKUP(Table_All_Staff[[#This Row],[Rating]],'Pivot Tables'!$B$23:$C$27,2,FALSE)</f>
        <v>4</v>
      </c>
    </row>
    <row r="28" spans="1:14" x14ac:dyDescent="0.25">
      <c r="A28" t="s">
        <v>112</v>
      </c>
      <c r="B28" t="s">
        <v>15</v>
      </c>
      <c r="C28">
        <v>31</v>
      </c>
      <c r="D28" t="s">
        <v>16</v>
      </c>
      <c r="E28" s="2">
        <v>44450</v>
      </c>
      <c r="F28" t="s">
        <v>12</v>
      </c>
      <c r="G28" s="31">
        <v>48950</v>
      </c>
      <c r="H28" t="s">
        <v>204</v>
      </c>
      <c r="I28">
        <f ca="1">(TODAY()-Table_All_Staff[[#This Row],[Date Joined]])/365</f>
        <v>1.9150684931506849</v>
      </c>
      <c r="J28" s="31">
        <f ca="1">ROUNDUP(IF(Table_All_Staff[Tenure]&gt;2,3%,2%)*Table_All_Staff[Salary],0)</f>
        <v>979</v>
      </c>
      <c r="K28">
        <f>VLOOKUP(Table_All_Staff[[#This Row],[Rating]],'Pivot Tables'!$B$23:$C$27,2,FALSE)</f>
        <v>3</v>
      </c>
    </row>
    <row r="29" spans="1:14" x14ac:dyDescent="0.25">
      <c r="A29" t="s">
        <v>14</v>
      </c>
      <c r="B29" t="s">
        <v>15</v>
      </c>
      <c r="C29">
        <v>31</v>
      </c>
      <c r="D29" t="s">
        <v>16</v>
      </c>
      <c r="E29" s="2">
        <v>44511</v>
      </c>
      <c r="F29" t="s">
        <v>12</v>
      </c>
      <c r="G29" s="31">
        <v>48950</v>
      </c>
      <c r="H29" t="s">
        <v>206</v>
      </c>
      <c r="I29">
        <f ca="1">(TODAY()-Table_All_Staff[[#This Row],[Date Joined]])/365</f>
        <v>1.747945205479452</v>
      </c>
      <c r="J29" s="31">
        <f ca="1">ROUNDUP(IF(Table_All_Staff[Tenure]&gt;2,3%,2%)*Table_All_Staff[Salary],0)</f>
        <v>979</v>
      </c>
      <c r="K29">
        <f>VLOOKUP(Table_All_Staff[[#This Row],[Rating]],'Pivot Tables'!$B$23:$C$27,2,FALSE)</f>
        <v>3</v>
      </c>
    </row>
    <row r="30" spans="1:14" x14ac:dyDescent="0.25">
      <c r="A30" t="s">
        <v>145</v>
      </c>
      <c r="B30" t="s">
        <v>15</v>
      </c>
      <c r="C30">
        <v>27</v>
      </c>
      <c r="D30" t="s">
        <v>16</v>
      </c>
      <c r="E30" s="2">
        <v>44506</v>
      </c>
      <c r="F30" t="s">
        <v>21</v>
      </c>
      <c r="G30" s="31">
        <v>48980</v>
      </c>
      <c r="H30" t="s">
        <v>204</v>
      </c>
      <c r="I30">
        <f ca="1">(TODAY()-Table_All_Staff[[#This Row],[Date Joined]])/365</f>
        <v>1.7616438356164383</v>
      </c>
      <c r="J30" s="31">
        <f ca="1">ROUNDUP(IF(Table_All_Staff[Tenure]&gt;2,3%,2%)*Table_All_Staff[Salary],0)</f>
        <v>980</v>
      </c>
      <c r="K30">
        <f>VLOOKUP(Table_All_Staff[[#This Row],[Rating]],'Pivot Tables'!$B$23:$C$27,2,FALSE)</f>
        <v>3</v>
      </c>
    </row>
    <row r="31" spans="1:14" x14ac:dyDescent="0.25">
      <c r="A31" t="s">
        <v>53</v>
      </c>
      <c r="B31" t="s">
        <v>15</v>
      </c>
      <c r="C31">
        <v>27</v>
      </c>
      <c r="D31" t="s">
        <v>16</v>
      </c>
      <c r="E31" s="2">
        <v>44567</v>
      </c>
      <c r="F31" t="s">
        <v>21</v>
      </c>
      <c r="G31" s="31">
        <v>48980</v>
      </c>
      <c r="H31" t="s">
        <v>206</v>
      </c>
      <c r="I31">
        <f ca="1">(TODAY()-Table_All_Staff[[#This Row],[Date Joined]])/365</f>
        <v>1.5945205479452054</v>
      </c>
      <c r="J31" s="31">
        <f ca="1">ROUNDUP(IF(Table_All_Staff[Tenure]&gt;2,3%,2%)*Table_All_Staff[Salary],0)</f>
        <v>980</v>
      </c>
      <c r="K31">
        <f>VLOOKUP(Table_All_Staff[[#This Row],[Rating]],'Pivot Tables'!$B$23:$C$27,2,FALSE)</f>
        <v>3</v>
      </c>
    </row>
    <row r="32" spans="1:14" x14ac:dyDescent="0.25">
      <c r="A32" t="s">
        <v>164</v>
      </c>
      <c r="B32" t="s">
        <v>8</v>
      </c>
      <c r="C32">
        <v>34</v>
      </c>
      <c r="D32" t="s">
        <v>24</v>
      </c>
      <c r="E32" s="2">
        <v>44660</v>
      </c>
      <c r="F32" t="s">
        <v>19</v>
      </c>
      <c r="G32" s="31">
        <v>49630</v>
      </c>
      <c r="H32" t="s">
        <v>204</v>
      </c>
      <c r="I32">
        <f ca="1">(TODAY()-Table_All_Staff[[#This Row],[Date Joined]])/365</f>
        <v>1.3397260273972602</v>
      </c>
      <c r="J32" s="31">
        <f ca="1">ROUNDUP(IF(Table_All_Staff[Tenure]&gt;2,3%,2%)*Table_All_Staff[Salary],0)</f>
        <v>993</v>
      </c>
      <c r="K32">
        <f>VLOOKUP(Table_All_Staff[[#This Row],[Rating]],'Pivot Tables'!$B$23:$C$27,2,FALSE)</f>
        <v>2</v>
      </c>
    </row>
    <row r="33" spans="1:11" x14ac:dyDescent="0.25">
      <c r="A33" t="s">
        <v>73</v>
      </c>
      <c r="B33" t="s">
        <v>8</v>
      </c>
      <c r="C33">
        <v>34</v>
      </c>
      <c r="D33" t="s">
        <v>24</v>
      </c>
      <c r="E33" s="2">
        <v>44721</v>
      </c>
      <c r="F33" t="s">
        <v>19</v>
      </c>
      <c r="G33" s="31">
        <v>49630</v>
      </c>
      <c r="H33" t="s">
        <v>206</v>
      </c>
      <c r="I33">
        <f ca="1">(TODAY()-Table_All_Staff[[#This Row],[Date Joined]])/365</f>
        <v>1.1726027397260275</v>
      </c>
      <c r="J33" s="31">
        <f ca="1">ROUNDUP(IF(Table_All_Staff[Tenure]&gt;2,3%,2%)*Table_All_Staff[Salary],0)</f>
        <v>993</v>
      </c>
      <c r="K33">
        <f>VLOOKUP(Table_All_Staff[[#This Row],[Rating]],'Pivot Tables'!$B$23:$C$27,2,FALSE)</f>
        <v>2</v>
      </c>
    </row>
    <row r="34" spans="1:11" x14ac:dyDescent="0.25">
      <c r="A34" t="s">
        <v>154</v>
      </c>
      <c r="B34" t="s">
        <v>15</v>
      </c>
      <c r="C34">
        <v>24</v>
      </c>
      <c r="D34" t="s">
        <v>24</v>
      </c>
      <c r="E34" s="2">
        <v>44375</v>
      </c>
      <c r="F34" t="s">
        <v>21</v>
      </c>
      <c r="G34" s="31">
        <v>52610</v>
      </c>
      <c r="H34" t="s">
        <v>204</v>
      </c>
      <c r="I34">
        <f ca="1">(TODAY()-Table_All_Staff[[#This Row],[Date Joined]])/365</f>
        <v>2.1205479452054794</v>
      </c>
      <c r="J34" s="31">
        <f ca="1">ROUNDUP(IF(Table_All_Staff[Tenure]&gt;2,3%,2%)*Table_All_Staff[Salary],0)</f>
        <v>1579</v>
      </c>
      <c r="K34">
        <f>VLOOKUP(Table_All_Staff[[#This Row],[Rating]],'Pivot Tables'!$B$23:$C$27,2,FALSE)</f>
        <v>2</v>
      </c>
    </row>
    <row r="35" spans="1:11" x14ac:dyDescent="0.25">
      <c r="A35" t="s">
        <v>63</v>
      </c>
      <c r="B35" t="s">
        <v>15</v>
      </c>
      <c r="C35">
        <v>24</v>
      </c>
      <c r="D35" t="s">
        <v>24</v>
      </c>
      <c r="E35" s="2">
        <v>44436</v>
      </c>
      <c r="F35" t="s">
        <v>21</v>
      </c>
      <c r="G35" s="31">
        <v>52610</v>
      </c>
      <c r="H35" t="s">
        <v>206</v>
      </c>
      <c r="I35">
        <f ca="1">(TODAY()-Table_All_Staff[[#This Row],[Date Joined]])/365</f>
        <v>1.9534246575342467</v>
      </c>
      <c r="J35" s="31">
        <f ca="1">ROUNDUP(IF(Table_All_Staff[Tenure]&gt;2,3%,2%)*Table_All_Staff[Salary],0)</f>
        <v>1053</v>
      </c>
      <c r="K35">
        <f>VLOOKUP(Table_All_Staff[[#This Row],[Rating]],'Pivot Tables'!$B$23:$C$27,2,FALSE)</f>
        <v>2</v>
      </c>
    </row>
    <row r="36" spans="1:11" x14ac:dyDescent="0.25">
      <c r="A36" t="s">
        <v>166</v>
      </c>
      <c r="B36" t="s">
        <v>8</v>
      </c>
      <c r="C36">
        <v>28</v>
      </c>
      <c r="D36" t="s">
        <v>16</v>
      </c>
      <c r="E36" s="2">
        <v>44296</v>
      </c>
      <c r="F36" t="s">
        <v>19</v>
      </c>
      <c r="G36" s="31">
        <v>53240</v>
      </c>
      <c r="H36" t="s">
        <v>204</v>
      </c>
      <c r="I36">
        <f ca="1">(TODAY()-Table_All_Staff[[#This Row],[Date Joined]])/365</f>
        <v>2.3369863013698629</v>
      </c>
      <c r="J36" s="31">
        <f ca="1">ROUNDUP(IF(Table_All_Staff[Tenure]&gt;2,3%,2%)*Table_All_Staff[Salary],0)</f>
        <v>1598</v>
      </c>
      <c r="K36">
        <f>VLOOKUP(Table_All_Staff[[#This Row],[Rating]],'Pivot Tables'!$B$23:$C$27,2,FALSE)</f>
        <v>3</v>
      </c>
    </row>
    <row r="37" spans="1:11" x14ac:dyDescent="0.25">
      <c r="A37" t="s">
        <v>75</v>
      </c>
      <c r="B37" t="s">
        <v>8</v>
      </c>
      <c r="C37">
        <v>28</v>
      </c>
      <c r="D37" t="s">
        <v>16</v>
      </c>
      <c r="E37" s="2">
        <v>44357</v>
      </c>
      <c r="F37" t="s">
        <v>19</v>
      </c>
      <c r="G37" s="31">
        <v>53240</v>
      </c>
      <c r="H37" t="s">
        <v>206</v>
      </c>
      <c r="I37">
        <f ca="1">(TODAY()-Table_All_Staff[[#This Row],[Date Joined]])/365</f>
        <v>2.1698630136986301</v>
      </c>
      <c r="J37" s="31">
        <f ca="1">ROUNDUP(IF(Table_All_Staff[Tenure]&gt;2,3%,2%)*Table_All_Staff[Salary],0)</f>
        <v>1598</v>
      </c>
      <c r="K37">
        <f>VLOOKUP(Table_All_Staff[[#This Row],[Rating]],'Pivot Tables'!$B$23:$C$27,2,FALSE)</f>
        <v>3</v>
      </c>
    </row>
    <row r="38" spans="1:11" x14ac:dyDescent="0.25">
      <c r="A38" t="s">
        <v>156</v>
      </c>
      <c r="B38" t="s">
        <v>15</v>
      </c>
      <c r="C38">
        <v>32</v>
      </c>
      <c r="D38" t="s">
        <v>16</v>
      </c>
      <c r="E38" s="2">
        <v>44403</v>
      </c>
      <c r="F38" t="s">
        <v>19</v>
      </c>
      <c r="G38" s="31">
        <v>53540</v>
      </c>
      <c r="H38" t="s">
        <v>204</v>
      </c>
      <c r="I38">
        <f ca="1">(TODAY()-Table_All_Staff[[#This Row],[Date Joined]])/365</f>
        <v>2.043835616438356</v>
      </c>
      <c r="J38" s="31">
        <f ca="1">ROUNDUP(IF(Table_All_Staff[Tenure]&gt;2,3%,2%)*Table_All_Staff[Salary],0)</f>
        <v>1607</v>
      </c>
      <c r="K38">
        <f>VLOOKUP(Table_All_Staff[[#This Row],[Rating]],'Pivot Tables'!$B$23:$C$27,2,FALSE)</f>
        <v>3</v>
      </c>
    </row>
    <row r="39" spans="1:11" x14ac:dyDescent="0.25">
      <c r="A39" t="s">
        <v>138</v>
      </c>
      <c r="B39" t="s">
        <v>15</v>
      </c>
      <c r="C39">
        <v>26</v>
      </c>
      <c r="D39" t="s">
        <v>16</v>
      </c>
      <c r="E39" s="2">
        <v>44350</v>
      </c>
      <c r="F39" t="s">
        <v>9</v>
      </c>
      <c r="G39" s="31">
        <v>53540</v>
      </c>
      <c r="H39" t="s">
        <v>204</v>
      </c>
      <c r="I39">
        <f ca="1">(TODAY()-Table_All_Staff[[#This Row],[Date Joined]])/365</f>
        <v>2.1890410958904107</v>
      </c>
      <c r="J39" s="31">
        <f ca="1">ROUNDUP(IF(Table_All_Staff[Tenure]&gt;2,3%,2%)*Table_All_Staff[Salary],0)</f>
        <v>1607</v>
      </c>
      <c r="K39">
        <f>VLOOKUP(Table_All_Staff[[#This Row],[Rating]],'Pivot Tables'!$B$23:$C$27,2,FALSE)</f>
        <v>3</v>
      </c>
    </row>
    <row r="40" spans="1:11" x14ac:dyDescent="0.25">
      <c r="A40" t="s">
        <v>65</v>
      </c>
      <c r="B40" t="s">
        <v>15</v>
      </c>
      <c r="C40">
        <v>32</v>
      </c>
      <c r="D40" t="s">
        <v>16</v>
      </c>
      <c r="E40" s="2">
        <v>44465</v>
      </c>
      <c r="F40" t="s">
        <v>19</v>
      </c>
      <c r="G40" s="31">
        <v>53540</v>
      </c>
      <c r="H40" t="s">
        <v>206</v>
      </c>
      <c r="I40">
        <f ca="1">(TODAY()-Table_All_Staff[[#This Row],[Date Joined]])/365</f>
        <v>1.8739726027397261</v>
      </c>
      <c r="J40" s="31">
        <f ca="1">ROUNDUP(IF(Table_All_Staff[Tenure]&gt;2,3%,2%)*Table_All_Staff[Salary],0)</f>
        <v>1071</v>
      </c>
      <c r="K40">
        <f>VLOOKUP(Table_All_Staff[[#This Row],[Rating]],'Pivot Tables'!$B$23:$C$27,2,FALSE)</f>
        <v>3</v>
      </c>
    </row>
    <row r="41" spans="1:11" x14ac:dyDescent="0.25">
      <c r="A41" t="s">
        <v>46</v>
      </c>
      <c r="B41" t="s">
        <v>15</v>
      </c>
      <c r="C41">
        <v>26</v>
      </c>
      <c r="D41" t="s">
        <v>16</v>
      </c>
      <c r="E41" s="2">
        <v>44411</v>
      </c>
      <c r="F41" t="s">
        <v>9</v>
      </c>
      <c r="G41" s="31">
        <v>53540</v>
      </c>
      <c r="H41" t="s">
        <v>206</v>
      </c>
      <c r="I41">
        <f ca="1">(TODAY()-Table_All_Staff[[#This Row],[Date Joined]])/365</f>
        <v>2.021917808219178</v>
      </c>
      <c r="J41" s="31">
        <f ca="1">ROUNDUP(IF(Table_All_Staff[Tenure]&gt;2,3%,2%)*Table_All_Staff[Salary],0)</f>
        <v>1607</v>
      </c>
      <c r="K41">
        <f>VLOOKUP(Table_All_Staff[[#This Row],[Rating]],'Pivot Tables'!$B$23:$C$27,2,FALSE)</f>
        <v>3</v>
      </c>
    </row>
    <row r="42" spans="1:11" x14ac:dyDescent="0.25">
      <c r="A42" t="s">
        <v>173</v>
      </c>
      <c r="B42" t="s">
        <v>15</v>
      </c>
      <c r="C42">
        <v>33</v>
      </c>
      <c r="D42" t="s">
        <v>16</v>
      </c>
      <c r="E42" s="2">
        <v>44448</v>
      </c>
      <c r="F42" t="s">
        <v>12</v>
      </c>
      <c r="G42" s="31">
        <v>53870</v>
      </c>
      <c r="H42" t="s">
        <v>204</v>
      </c>
      <c r="I42">
        <f ca="1">(TODAY()-Table_All_Staff[[#This Row],[Date Joined]])/365</f>
        <v>1.9205479452054794</v>
      </c>
      <c r="J42" s="31">
        <f ca="1">ROUNDUP(IF(Table_All_Staff[Tenure]&gt;2,3%,2%)*Table_All_Staff[Salary],0)</f>
        <v>1078</v>
      </c>
      <c r="K42">
        <f>VLOOKUP(Table_All_Staff[[#This Row],[Rating]],'Pivot Tables'!$B$23:$C$27,2,FALSE)</f>
        <v>3</v>
      </c>
    </row>
    <row r="43" spans="1:11" x14ac:dyDescent="0.25">
      <c r="A43" t="s">
        <v>82</v>
      </c>
      <c r="B43" t="s">
        <v>15</v>
      </c>
      <c r="C43">
        <v>33</v>
      </c>
      <c r="D43" t="s">
        <v>16</v>
      </c>
      <c r="E43" s="2">
        <v>44509</v>
      </c>
      <c r="F43" t="s">
        <v>12</v>
      </c>
      <c r="G43" s="31">
        <v>53870</v>
      </c>
      <c r="H43" t="s">
        <v>206</v>
      </c>
      <c r="I43">
        <f ca="1">(TODAY()-Table_All_Staff[[#This Row],[Date Joined]])/365</f>
        <v>1.7534246575342465</v>
      </c>
      <c r="J43" s="31">
        <f ca="1">ROUNDUP(IF(Table_All_Staff[Tenure]&gt;2,3%,2%)*Table_All_Staff[Salary],0)</f>
        <v>1078</v>
      </c>
      <c r="K43">
        <f>VLOOKUP(Table_All_Staff[[#This Row],[Rating]],'Pivot Tables'!$B$23:$C$27,2,FALSE)</f>
        <v>3</v>
      </c>
    </row>
    <row r="44" spans="1:11" x14ac:dyDescent="0.25">
      <c r="A44" t="s">
        <v>181</v>
      </c>
      <c r="B44" t="s">
        <v>15</v>
      </c>
      <c r="C44">
        <v>27</v>
      </c>
      <c r="D44" t="s">
        <v>16</v>
      </c>
      <c r="E44" s="2">
        <v>44073</v>
      </c>
      <c r="F44" t="s">
        <v>19</v>
      </c>
      <c r="G44" s="31">
        <v>54970</v>
      </c>
      <c r="H44" t="s">
        <v>204</v>
      </c>
      <c r="I44">
        <f ca="1">(TODAY()-Table_All_Staff[[#This Row],[Date Joined]])/365</f>
        <v>2.9479452054794519</v>
      </c>
      <c r="J44" s="31">
        <f ca="1">ROUNDUP(IF(Table_All_Staff[Tenure]&gt;2,3%,2%)*Table_All_Staff[Salary],0)</f>
        <v>1650</v>
      </c>
      <c r="K44">
        <f>VLOOKUP(Table_All_Staff[[#This Row],[Rating]],'Pivot Tables'!$B$23:$C$27,2,FALSE)</f>
        <v>3</v>
      </c>
    </row>
    <row r="45" spans="1:11" x14ac:dyDescent="0.25">
      <c r="A45" t="s">
        <v>89</v>
      </c>
      <c r="B45" t="s">
        <v>15</v>
      </c>
      <c r="C45">
        <v>27</v>
      </c>
      <c r="D45" t="s">
        <v>16</v>
      </c>
      <c r="E45" s="2">
        <v>44134</v>
      </c>
      <c r="F45" t="s">
        <v>19</v>
      </c>
      <c r="G45" s="31">
        <v>54970</v>
      </c>
      <c r="H45" t="s">
        <v>206</v>
      </c>
      <c r="I45">
        <f ca="1">(TODAY()-Table_All_Staff[[#This Row],[Date Joined]])/365</f>
        <v>2.7808219178082192</v>
      </c>
      <c r="J45" s="31">
        <f ca="1">ROUNDUP(IF(Table_All_Staff[Tenure]&gt;2,3%,2%)*Table_All_Staff[Salary],0)</f>
        <v>1650</v>
      </c>
      <c r="K45">
        <f>VLOOKUP(Table_All_Staff[[#This Row],[Rating]],'Pivot Tables'!$B$23:$C$27,2,FALSE)</f>
        <v>3</v>
      </c>
    </row>
    <row r="46" spans="1:11" x14ac:dyDescent="0.25">
      <c r="A46" t="s">
        <v>201</v>
      </c>
      <c r="B46" t="s">
        <v>8</v>
      </c>
      <c r="C46">
        <v>38</v>
      </c>
      <c r="D46" t="s">
        <v>13</v>
      </c>
      <c r="E46" s="2">
        <v>44268</v>
      </c>
      <c r="F46" t="s">
        <v>19</v>
      </c>
      <c r="G46" s="31">
        <v>56870</v>
      </c>
      <c r="H46" t="s">
        <v>204</v>
      </c>
      <c r="I46">
        <f ca="1">(TODAY()-Table_All_Staff[[#This Row],[Date Joined]])/365</f>
        <v>2.4136986301369863</v>
      </c>
      <c r="J46" s="31">
        <f ca="1">ROUNDUP(IF(Table_All_Staff[Tenure]&gt;2,3%,2%)*Table_All_Staff[Salary],0)</f>
        <v>1707</v>
      </c>
      <c r="K46">
        <f>VLOOKUP(Table_All_Staff[[#This Row],[Rating]],'Pivot Tables'!$B$23:$C$27,2,FALSE)</f>
        <v>4</v>
      </c>
    </row>
    <row r="47" spans="1:11" x14ac:dyDescent="0.25">
      <c r="A47" t="s">
        <v>109</v>
      </c>
      <c r="B47" t="s">
        <v>8</v>
      </c>
      <c r="C47">
        <v>38</v>
      </c>
      <c r="D47" t="s">
        <v>13</v>
      </c>
      <c r="E47" s="2">
        <v>44329</v>
      </c>
      <c r="F47" t="s">
        <v>19</v>
      </c>
      <c r="G47" s="31">
        <v>56870</v>
      </c>
      <c r="H47" t="s">
        <v>206</v>
      </c>
      <c r="I47">
        <f ca="1">(TODAY()-Table_All_Staff[[#This Row],[Date Joined]])/365</f>
        <v>2.2465753424657535</v>
      </c>
      <c r="J47" s="31">
        <f ca="1">ROUNDUP(IF(Table_All_Staff[Tenure]&gt;2,3%,2%)*Table_All_Staff[Salary],0)</f>
        <v>1707</v>
      </c>
      <c r="K47">
        <f>VLOOKUP(Table_All_Staff[[#This Row],[Rating]],'Pivot Tables'!$B$23:$C$27,2,FALSE)</f>
        <v>4</v>
      </c>
    </row>
    <row r="48" spans="1:11" x14ac:dyDescent="0.25">
      <c r="A48" t="s">
        <v>124</v>
      </c>
      <c r="B48" t="s">
        <v>15</v>
      </c>
      <c r="C48">
        <v>21</v>
      </c>
      <c r="D48" t="s">
        <v>16</v>
      </c>
      <c r="E48" s="2">
        <v>44701</v>
      </c>
      <c r="F48" t="s">
        <v>9</v>
      </c>
      <c r="G48" s="31">
        <v>57090</v>
      </c>
      <c r="H48" t="s">
        <v>204</v>
      </c>
      <c r="I48">
        <f ca="1">(TODAY()-Table_All_Staff[[#This Row],[Date Joined]])/365</f>
        <v>1.2273972602739727</v>
      </c>
      <c r="J48" s="31">
        <f ca="1">ROUNDUP(IF(Table_All_Staff[Tenure]&gt;2,3%,2%)*Table_All_Staff[Salary],0)</f>
        <v>1142</v>
      </c>
      <c r="K48">
        <f>VLOOKUP(Table_All_Staff[[#This Row],[Rating]],'Pivot Tables'!$B$23:$C$27,2,FALSE)</f>
        <v>3</v>
      </c>
    </row>
    <row r="49" spans="1:11" x14ac:dyDescent="0.25">
      <c r="A49" t="s">
        <v>31</v>
      </c>
      <c r="B49" t="s">
        <v>15</v>
      </c>
      <c r="C49">
        <v>21</v>
      </c>
      <c r="D49" t="s">
        <v>16</v>
      </c>
      <c r="E49" s="2">
        <v>44762</v>
      </c>
      <c r="F49" t="s">
        <v>9</v>
      </c>
      <c r="G49" s="31">
        <v>57090</v>
      </c>
      <c r="H49" t="s">
        <v>206</v>
      </c>
      <c r="I49">
        <f ca="1">(TODAY()-Table_All_Staff[[#This Row],[Date Joined]])/365</f>
        <v>1.0602739726027397</v>
      </c>
      <c r="J49" s="31">
        <f ca="1">ROUNDUP(IF(Table_All_Staff[Tenure]&gt;2,3%,2%)*Table_All_Staff[Salary],0)</f>
        <v>1142</v>
      </c>
      <c r="K49">
        <f>VLOOKUP(Table_All_Staff[[#This Row],[Rating]],'Pivot Tables'!$B$23:$C$27,2,FALSE)</f>
        <v>3</v>
      </c>
    </row>
    <row r="50" spans="1:11" x14ac:dyDescent="0.25">
      <c r="A50" t="s">
        <v>119</v>
      </c>
      <c r="B50" t="s">
        <v>8</v>
      </c>
      <c r="C50">
        <v>31</v>
      </c>
      <c r="D50" t="s">
        <v>16</v>
      </c>
      <c r="E50" s="2">
        <v>44604</v>
      </c>
      <c r="F50" t="s">
        <v>12</v>
      </c>
      <c r="G50" s="31">
        <v>58100</v>
      </c>
      <c r="H50" t="s">
        <v>204</v>
      </c>
      <c r="I50">
        <f ca="1">(TODAY()-Table_All_Staff[[#This Row],[Date Joined]])/365</f>
        <v>1.4931506849315068</v>
      </c>
      <c r="J50" s="31">
        <f ca="1">ROUNDUP(IF(Table_All_Staff[Tenure]&gt;2,3%,2%)*Table_All_Staff[Salary],0)</f>
        <v>1162</v>
      </c>
      <c r="K50">
        <f>VLOOKUP(Table_All_Staff[[#This Row],[Rating]],'Pivot Tables'!$B$23:$C$27,2,FALSE)</f>
        <v>3</v>
      </c>
    </row>
    <row r="51" spans="1:11" x14ac:dyDescent="0.25">
      <c r="A51" t="s">
        <v>26</v>
      </c>
      <c r="B51" t="s">
        <v>8</v>
      </c>
      <c r="C51">
        <v>31</v>
      </c>
      <c r="D51" t="s">
        <v>16</v>
      </c>
      <c r="E51" s="2">
        <v>44663</v>
      </c>
      <c r="F51" t="s">
        <v>12</v>
      </c>
      <c r="G51" s="31">
        <v>58100</v>
      </c>
      <c r="H51" t="s">
        <v>206</v>
      </c>
      <c r="I51">
        <f ca="1">(TODAY()-Table_All_Staff[[#This Row],[Date Joined]])/365</f>
        <v>1.3315068493150686</v>
      </c>
      <c r="J51" s="31">
        <f ca="1">ROUNDUP(IF(Table_All_Staff[Tenure]&gt;2,3%,2%)*Table_All_Staff[Salary],0)</f>
        <v>1162</v>
      </c>
      <c r="K51">
        <f>VLOOKUP(Table_All_Staff[[#This Row],[Rating]],'Pivot Tables'!$B$23:$C$27,2,FALSE)</f>
        <v>3</v>
      </c>
    </row>
    <row r="52" spans="1:11" x14ac:dyDescent="0.25">
      <c r="A52" t="s">
        <v>129</v>
      </c>
      <c r="B52" t="s">
        <v>8</v>
      </c>
      <c r="C52">
        <v>34</v>
      </c>
      <c r="D52" t="s">
        <v>16</v>
      </c>
      <c r="E52" s="2">
        <v>44594</v>
      </c>
      <c r="F52" t="s">
        <v>21</v>
      </c>
      <c r="G52" s="31">
        <v>58940</v>
      </c>
      <c r="H52" t="s">
        <v>204</v>
      </c>
      <c r="I52">
        <f ca="1">(TODAY()-Table_All_Staff[[#This Row],[Date Joined]])/365</f>
        <v>1.5205479452054795</v>
      </c>
      <c r="J52" s="31">
        <f ca="1">ROUNDUP(IF(Table_All_Staff[Tenure]&gt;2,3%,2%)*Table_All_Staff[Salary],0)</f>
        <v>1179</v>
      </c>
      <c r="K52">
        <f>VLOOKUP(Table_All_Staff[[#This Row],[Rating]],'Pivot Tables'!$B$23:$C$27,2,FALSE)</f>
        <v>3</v>
      </c>
    </row>
    <row r="53" spans="1:11" x14ac:dyDescent="0.25">
      <c r="A53" t="s">
        <v>36</v>
      </c>
      <c r="B53" t="s">
        <v>8</v>
      </c>
      <c r="C53">
        <v>34</v>
      </c>
      <c r="D53" t="s">
        <v>16</v>
      </c>
      <c r="E53" s="2">
        <v>44653</v>
      </c>
      <c r="F53" t="s">
        <v>21</v>
      </c>
      <c r="G53" s="31">
        <v>58940</v>
      </c>
      <c r="H53" t="s">
        <v>206</v>
      </c>
      <c r="I53">
        <f ca="1">(TODAY()-Table_All_Staff[[#This Row],[Date Joined]])/365</f>
        <v>1.3589041095890411</v>
      </c>
      <c r="J53" s="31">
        <f ca="1">ROUNDUP(IF(Table_All_Staff[Tenure]&gt;2,3%,2%)*Table_All_Staff[Salary],0)</f>
        <v>1179</v>
      </c>
      <c r="K53">
        <f>VLOOKUP(Table_All_Staff[[#This Row],[Rating]],'Pivot Tables'!$B$23:$C$27,2,FALSE)</f>
        <v>3</v>
      </c>
    </row>
    <row r="54" spans="1:11" x14ac:dyDescent="0.25">
      <c r="A54" t="s">
        <v>192</v>
      </c>
      <c r="B54" t="s">
        <v>15</v>
      </c>
      <c r="C54">
        <v>19</v>
      </c>
      <c r="D54" t="s">
        <v>16</v>
      </c>
      <c r="E54" s="2">
        <v>44218</v>
      </c>
      <c r="F54" t="s">
        <v>9</v>
      </c>
      <c r="G54" s="31">
        <v>58960</v>
      </c>
      <c r="H54" t="s">
        <v>204</v>
      </c>
      <c r="I54">
        <f ca="1">(TODAY()-Table_All_Staff[[#This Row],[Date Joined]])/365</f>
        <v>2.5506849315068494</v>
      </c>
      <c r="J54" s="31">
        <f ca="1">ROUNDUP(IF(Table_All_Staff[Tenure]&gt;2,3%,2%)*Table_All_Staff[Salary],0)</f>
        <v>1769</v>
      </c>
      <c r="K54">
        <f>VLOOKUP(Table_All_Staff[[#This Row],[Rating]],'Pivot Tables'!$B$23:$C$27,2,FALSE)</f>
        <v>3</v>
      </c>
    </row>
    <row r="55" spans="1:11" x14ac:dyDescent="0.25">
      <c r="A55" t="s">
        <v>100</v>
      </c>
      <c r="B55" t="s">
        <v>15</v>
      </c>
      <c r="C55">
        <v>19</v>
      </c>
      <c r="D55" t="s">
        <v>16</v>
      </c>
      <c r="E55" s="2">
        <v>44277</v>
      </c>
      <c r="F55" t="s">
        <v>9</v>
      </c>
      <c r="G55" s="31">
        <v>58960</v>
      </c>
      <c r="H55" t="s">
        <v>206</v>
      </c>
      <c r="I55">
        <f ca="1">(TODAY()-Table_All_Staff[[#This Row],[Date Joined]])/365</f>
        <v>2.3890410958904109</v>
      </c>
      <c r="J55" s="31">
        <f ca="1">ROUNDUP(IF(Table_All_Staff[Tenure]&gt;2,3%,2%)*Table_All_Staff[Salary],0)</f>
        <v>1769</v>
      </c>
      <c r="K55">
        <f>VLOOKUP(Table_All_Staff[[#This Row],[Rating]],'Pivot Tables'!$B$23:$C$27,2,FALSE)</f>
        <v>3</v>
      </c>
    </row>
    <row r="56" spans="1:11" x14ac:dyDescent="0.25">
      <c r="A56" t="s">
        <v>170</v>
      </c>
      <c r="B56" t="s">
        <v>15</v>
      </c>
      <c r="C56">
        <v>33</v>
      </c>
      <c r="D56" t="s">
        <v>16</v>
      </c>
      <c r="E56" s="2">
        <v>44181</v>
      </c>
      <c r="F56" t="s">
        <v>21</v>
      </c>
      <c r="G56" s="31">
        <v>59430</v>
      </c>
      <c r="H56" t="s">
        <v>204</v>
      </c>
      <c r="I56">
        <f ca="1">(TODAY()-Table_All_Staff[[#This Row],[Date Joined]])/365</f>
        <v>2.6520547945205482</v>
      </c>
      <c r="J56" s="31">
        <f ca="1">ROUNDUP(IF(Table_All_Staff[Tenure]&gt;2,3%,2%)*Table_All_Staff[Salary],0)</f>
        <v>1783</v>
      </c>
      <c r="K56">
        <f>VLOOKUP(Table_All_Staff[[#This Row],[Rating]],'Pivot Tables'!$B$23:$C$27,2,FALSE)</f>
        <v>3</v>
      </c>
    </row>
    <row r="57" spans="1:11" x14ac:dyDescent="0.25">
      <c r="A57" t="s">
        <v>79</v>
      </c>
      <c r="B57" t="s">
        <v>15</v>
      </c>
      <c r="C57">
        <v>33</v>
      </c>
      <c r="D57" t="s">
        <v>16</v>
      </c>
      <c r="E57" s="2">
        <v>44243</v>
      </c>
      <c r="F57" t="s">
        <v>21</v>
      </c>
      <c r="G57" s="31">
        <v>59430</v>
      </c>
      <c r="H57" t="s">
        <v>206</v>
      </c>
      <c r="I57">
        <f ca="1">(TODAY()-Table_All_Staff[[#This Row],[Date Joined]])/365</f>
        <v>2.4821917808219176</v>
      </c>
      <c r="J57" s="31">
        <f ca="1">ROUNDUP(IF(Table_All_Staff[Tenure]&gt;2,3%,2%)*Table_All_Staff[Salary],0)</f>
        <v>1783</v>
      </c>
      <c r="K57">
        <f>VLOOKUP(Table_All_Staff[[#This Row],[Rating]],'Pivot Tables'!$B$23:$C$27,2,FALSE)</f>
        <v>3</v>
      </c>
    </row>
    <row r="58" spans="1:11" x14ac:dyDescent="0.25">
      <c r="A58" t="s">
        <v>131</v>
      </c>
      <c r="B58" t="s">
        <v>8</v>
      </c>
      <c r="C58">
        <v>34</v>
      </c>
      <c r="D58" t="s">
        <v>16</v>
      </c>
      <c r="E58" s="2">
        <v>44550</v>
      </c>
      <c r="F58" t="s">
        <v>21</v>
      </c>
      <c r="G58" s="31">
        <v>60130</v>
      </c>
      <c r="H58" t="s">
        <v>204</v>
      </c>
      <c r="I58">
        <f ca="1">(TODAY()-Table_All_Staff[[#This Row],[Date Joined]])/365</f>
        <v>1.6410958904109589</v>
      </c>
      <c r="J58" s="31">
        <f ca="1">ROUNDUP(IF(Table_All_Staff[Tenure]&gt;2,3%,2%)*Table_All_Staff[Salary],0)</f>
        <v>1203</v>
      </c>
      <c r="K58">
        <f>VLOOKUP(Table_All_Staff[[#This Row],[Rating]],'Pivot Tables'!$B$23:$C$27,2,FALSE)</f>
        <v>3</v>
      </c>
    </row>
    <row r="59" spans="1:11" x14ac:dyDescent="0.25">
      <c r="A59" t="s">
        <v>38</v>
      </c>
      <c r="B59" t="s">
        <v>8</v>
      </c>
      <c r="C59">
        <v>34</v>
      </c>
      <c r="D59" t="s">
        <v>16</v>
      </c>
      <c r="E59" s="2">
        <v>44612</v>
      </c>
      <c r="F59" t="s">
        <v>21</v>
      </c>
      <c r="G59" s="31">
        <v>60130</v>
      </c>
      <c r="H59" t="s">
        <v>206</v>
      </c>
      <c r="I59">
        <f ca="1">(TODAY()-Table_All_Staff[[#This Row],[Date Joined]])/365</f>
        <v>1.4712328767123288</v>
      </c>
      <c r="J59" s="31">
        <f ca="1">ROUNDUP(IF(Table_All_Staff[Tenure]&gt;2,3%,2%)*Table_All_Staff[Salary],0)</f>
        <v>1203</v>
      </c>
      <c r="K59">
        <f>VLOOKUP(Table_All_Staff[[#This Row],[Rating]],'Pivot Tables'!$B$23:$C$27,2,FALSE)</f>
        <v>3</v>
      </c>
    </row>
    <row r="60" spans="1:11" x14ac:dyDescent="0.25">
      <c r="A60" t="s">
        <v>130</v>
      </c>
      <c r="B60" t="s">
        <v>15</v>
      </c>
      <c r="C60">
        <v>30</v>
      </c>
      <c r="D60" t="s">
        <v>16</v>
      </c>
      <c r="E60" s="2">
        <v>44607</v>
      </c>
      <c r="F60" t="s">
        <v>9</v>
      </c>
      <c r="G60" s="31">
        <v>60570</v>
      </c>
      <c r="H60" t="s">
        <v>204</v>
      </c>
      <c r="I60">
        <f ca="1">(TODAY()-Table_All_Staff[[#This Row],[Date Joined]])/365</f>
        <v>1.484931506849315</v>
      </c>
      <c r="J60" s="31">
        <f ca="1">ROUNDUP(IF(Table_All_Staff[Tenure]&gt;2,3%,2%)*Table_All_Staff[Salary],0)</f>
        <v>1212</v>
      </c>
      <c r="K60">
        <f>VLOOKUP(Table_All_Staff[[#This Row],[Rating]],'Pivot Tables'!$B$23:$C$27,2,FALSE)</f>
        <v>3</v>
      </c>
    </row>
    <row r="61" spans="1:11" x14ac:dyDescent="0.25">
      <c r="A61" t="s">
        <v>37</v>
      </c>
      <c r="B61" t="s">
        <v>15</v>
      </c>
      <c r="C61">
        <v>30</v>
      </c>
      <c r="D61" t="s">
        <v>16</v>
      </c>
      <c r="E61" s="2">
        <v>44666</v>
      </c>
      <c r="F61" t="s">
        <v>9</v>
      </c>
      <c r="G61" s="31">
        <v>60570</v>
      </c>
      <c r="H61" t="s">
        <v>206</v>
      </c>
      <c r="I61">
        <f ca="1">(TODAY()-Table_All_Staff[[#This Row],[Date Joined]])/365</f>
        <v>1.3232876712328767</v>
      </c>
      <c r="J61" s="31">
        <f ca="1">ROUNDUP(IF(Table_All_Staff[Tenure]&gt;2,3%,2%)*Table_All_Staff[Salary],0)</f>
        <v>1212</v>
      </c>
      <c r="K61">
        <f>VLOOKUP(Table_All_Staff[[#This Row],[Rating]],'Pivot Tables'!$B$23:$C$27,2,FALSE)</f>
        <v>3</v>
      </c>
    </row>
    <row r="62" spans="1:11" x14ac:dyDescent="0.25">
      <c r="A62" t="s">
        <v>152</v>
      </c>
      <c r="B62" t="s">
        <v>8</v>
      </c>
      <c r="C62">
        <v>24</v>
      </c>
      <c r="D62" t="s">
        <v>16</v>
      </c>
      <c r="E62" s="2">
        <v>44087</v>
      </c>
      <c r="F62" t="s">
        <v>12</v>
      </c>
      <c r="G62" s="31">
        <v>62780</v>
      </c>
      <c r="H62" t="s">
        <v>204</v>
      </c>
      <c r="I62">
        <f ca="1">(TODAY()-Table_All_Staff[[#This Row],[Date Joined]])/365</f>
        <v>2.9095890410958902</v>
      </c>
      <c r="J62" s="31">
        <f ca="1">ROUNDUP(IF(Table_All_Staff[Tenure]&gt;2,3%,2%)*Table_All_Staff[Salary],0)</f>
        <v>1884</v>
      </c>
      <c r="K62">
        <f>VLOOKUP(Table_All_Staff[[#This Row],[Rating]],'Pivot Tables'!$B$23:$C$27,2,FALSE)</f>
        <v>3</v>
      </c>
    </row>
    <row r="63" spans="1:11" x14ac:dyDescent="0.25">
      <c r="A63" t="s">
        <v>61</v>
      </c>
      <c r="B63" t="s">
        <v>8</v>
      </c>
      <c r="C63">
        <v>24</v>
      </c>
      <c r="D63" t="s">
        <v>16</v>
      </c>
      <c r="E63" s="2">
        <v>44148</v>
      </c>
      <c r="F63" t="s">
        <v>12</v>
      </c>
      <c r="G63" s="31">
        <v>62780</v>
      </c>
      <c r="H63" t="s">
        <v>206</v>
      </c>
      <c r="I63">
        <f ca="1">(TODAY()-Table_All_Staff[[#This Row],[Date Joined]])/365</f>
        <v>2.7424657534246575</v>
      </c>
      <c r="J63" s="31">
        <f ca="1">ROUNDUP(IF(Table_All_Staff[Tenure]&gt;2,3%,2%)*Table_All_Staff[Salary],0)</f>
        <v>1884</v>
      </c>
      <c r="K63">
        <f>VLOOKUP(Table_All_Staff[[#This Row],[Rating]],'Pivot Tables'!$B$23:$C$27,2,FALSE)</f>
        <v>3</v>
      </c>
    </row>
    <row r="64" spans="1:11" x14ac:dyDescent="0.25">
      <c r="A64" t="s">
        <v>115</v>
      </c>
      <c r="B64" t="s">
        <v>205</v>
      </c>
      <c r="C64">
        <v>30</v>
      </c>
      <c r="D64" t="s">
        <v>16</v>
      </c>
      <c r="E64" s="2">
        <v>44535</v>
      </c>
      <c r="F64" t="s">
        <v>21</v>
      </c>
      <c r="G64" s="31">
        <v>64000</v>
      </c>
      <c r="H64" t="s">
        <v>204</v>
      </c>
      <c r="I64">
        <f ca="1">(TODAY()-Table_All_Staff[[#This Row],[Date Joined]])/365</f>
        <v>1.6821917808219178</v>
      </c>
      <c r="J64" s="31">
        <f ca="1">ROUNDUP(IF(Table_All_Staff[Tenure]&gt;2,3%,2%)*Table_All_Staff[Salary],0)</f>
        <v>1280</v>
      </c>
      <c r="K64">
        <f>VLOOKUP(Table_All_Staff[[#This Row],[Rating]],'Pivot Tables'!$B$23:$C$27,2,FALSE)</f>
        <v>3</v>
      </c>
    </row>
    <row r="65" spans="1:11" x14ac:dyDescent="0.25">
      <c r="A65" t="s">
        <v>20</v>
      </c>
      <c r="B65" t="s">
        <v>205</v>
      </c>
      <c r="C65">
        <v>30</v>
      </c>
      <c r="D65" t="s">
        <v>16</v>
      </c>
      <c r="E65" s="2">
        <v>44597</v>
      </c>
      <c r="F65" t="s">
        <v>21</v>
      </c>
      <c r="G65" s="31">
        <v>64000</v>
      </c>
      <c r="H65" t="s">
        <v>206</v>
      </c>
      <c r="I65">
        <f ca="1">(TODAY()-Table_All_Staff[[#This Row],[Date Joined]])/365</f>
        <v>1.5123287671232877</v>
      </c>
      <c r="J65" s="31">
        <f ca="1">ROUNDUP(IF(Table_All_Staff[Tenure]&gt;2,3%,2%)*Table_All_Staff[Salary],0)</f>
        <v>1280</v>
      </c>
      <c r="K65">
        <f>VLOOKUP(Table_All_Staff[[#This Row],[Rating]],'Pivot Tables'!$B$23:$C$27,2,FALSE)</f>
        <v>3</v>
      </c>
    </row>
    <row r="66" spans="1:11" x14ac:dyDescent="0.25">
      <c r="A66" t="s">
        <v>185</v>
      </c>
      <c r="B66" t="s">
        <v>8</v>
      </c>
      <c r="C66">
        <v>33</v>
      </c>
      <c r="D66" t="s">
        <v>16</v>
      </c>
      <c r="E66" s="2">
        <v>44006</v>
      </c>
      <c r="F66" t="s">
        <v>21</v>
      </c>
      <c r="G66" s="31">
        <v>65360</v>
      </c>
      <c r="H66" t="s">
        <v>204</v>
      </c>
      <c r="I66">
        <f ca="1">(TODAY()-Table_All_Staff[[#This Row],[Date Joined]])/365</f>
        <v>3.1315068493150684</v>
      </c>
      <c r="J66" s="31">
        <f ca="1">ROUNDUP(IF(Table_All_Staff[Tenure]&gt;2,3%,2%)*Table_All_Staff[Salary],0)</f>
        <v>1961</v>
      </c>
      <c r="K66">
        <f>VLOOKUP(Table_All_Staff[[#This Row],[Rating]],'Pivot Tables'!$B$23:$C$27,2,FALSE)</f>
        <v>3</v>
      </c>
    </row>
    <row r="67" spans="1:11" x14ac:dyDescent="0.25">
      <c r="A67" t="s">
        <v>93</v>
      </c>
      <c r="B67" t="s">
        <v>8</v>
      </c>
      <c r="C67">
        <v>33</v>
      </c>
      <c r="D67" t="s">
        <v>16</v>
      </c>
      <c r="E67" s="2">
        <v>44067</v>
      </c>
      <c r="F67" t="s">
        <v>21</v>
      </c>
      <c r="G67" s="31">
        <v>65360</v>
      </c>
      <c r="H67" t="s">
        <v>206</v>
      </c>
      <c r="I67">
        <f ca="1">(TODAY()-Table_All_Staff[[#This Row],[Date Joined]])/365</f>
        <v>2.9643835616438357</v>
      </c>
      <c r="J67" s="31">
        <f ca="1">ROUNDUP(IF(Table_All_Staff[Tenure]&gt;2,3%,2%)*Table_All_Staff[Salary],0)</f>
        <v>1961</v>
      </c>
      <c r="K67">
        <f>VLOOKUP(Table_All_Staff[[#This Row],[Rating]],'Pivot Tables'!$B$23:$C$27,2,FALSE)</f>
        <v>3</v>
      </c>
    </row>
    <row r="68" spans="1:11" x14ac:dyDescent="0.25">
      <c r="A68" t="s">
        <v>167</v>
      </c>
      <c r="B68" t="s">
        <v>15</v>
      </c>
      <c r="C68">
        <v>25</v>
      </c>
      <c r="D68" t="s">
        <v>16</v>
      </c>
      <c r="E68" s="2">
        <v>44322</v>
      </c>
      <c r="F68" t="s">
        <v>19</v>
      </c>
      <c r="G68" s="31">
        <v>65700</v>
      </c>
      <c r="H68" t="s">
        <v>204</v>
      </c>
      <c r="I68">
        <f ca="1">(TODAY()-Table_All_Staff[[#This Row],[Date Joined]])/365</f>
        <v>2.2657534246575342</v>
      </c>
      <c r="J68" s="31">
        <f ca="1">ROUNDUP(IF(Table_All_Staff[Tenure]&gt;2,3%,2%)*Table_All_Staff[Salary],0)</f>
        <v>1971</v>
      </c>
      <c r="K68">
        <f>VLOOKUP(Table_All_Staff[[#This Row],[Rating]],'Pivot Tables'!$B$23:$C$27,2,FALSE)</f>
        <v>3</v>
      </c>
    </row>
    <row r="69" spans="1:11" x14ac:dyDescent="0.25">
      <c r="A69" t="s">
        <v>76</v>
      </c>
      <c r="B69" t="s">
        <v>15</v>
      </c>
      <c r="C69">
        <v>25</v>
      </c>
      <c r="D69" t="s">
        <v>16</v>
      </c>
      <c r="E69" s="2">
        <v>44383</v>
      </c>
      <c r="F69" t="s">
        <v>19</v>
      </c>
      <c r="G69" s="31">
        <v>65700</v>
      </c>
      <c r="H69" t="s">
        <v>206</v>
      </c>
      <c r="I69">
        <f ca="1">(TODAY()-Table_All_Staff[[#This Row],[Date Joined]])/365</f>
        <v>2.0986301369863014</v>
      </c>
      <c r="J69" s="31">
        <f ca="1">ROUNDUP(IF(Table_All_Staff[Tenure]&gt;2,3%,2%)*Table_All_Staff[Salary],0)</f>
        <v>1971</v>
      </c>
      <c r="K69">
        <f>VLOOKUP(Table_All_Staff[[#This Row],[Rating]],'Pivot Tables'!$B$23:$C$27,2,FALSE)</f>
        <v>3</v>
      </c>
    </row>
    <row r="70" spans="1:11" x14ac:dyDescent="0.25">
      <c r="A70" t="s">
        <v>125</v>
      </c>
      <c r="B70" t="s">
        <v>8</v>
      </c>
      <c r="C70">
        <v>21</v>
      </c>
      <c r="D70" t="s">
        <v>16</v>
      </c>
      <c r="E70" s="2">
        <v>44256</v>
      </c>
      <c r="F70" t="s">
        <v>21</v>
      </c>
      <c r="G70" s="31">
        <v>65920</v>
      </c>
      <c r="H70" t="s">
        <v>204</v>
      </c>
      <c r="I70">
        <f ca="1">(TODAY()-Table_All_Staff[[#This Row],[Date Joined]])/365</f>
        <v>2.4465753424657533</v>
      </c>
      <c r="J70" s="31">
        <f ca="1">ROUNDUP(IF(Table_All_Staff[Tenure]&gt;2,3%,2%)*Table_All_Staff[Salary],0)</f>
        <v>1978</v>
      </c>
      <c r="K70">
        <f>VLOOKUP(Table_All_Staff[[#This Row],[Rating]],'Pivot Tables'!$B$23:$C$27,2,FALSE)</f>
        <v>3</v>
      </c>
    </row>
    <row r="71" spans="1:11" x14ac:dyDescent="0.25">
      <c r="A71" t="s">
        <v>32</v>
      </c>
      <c r="B71" t="s">
        <v>8</v>
      </c>
      <c r="C71">
        <v>21</v>
      </c>
      <c r="D71" t="s">
        <v>16</v>
      </c>
      <c r="E71" s="2">
        <v>44317</v>
      </c>
      <c r="F71" t="s">
        <v>21</v>
      </c>
      <c r="G71" s="31">
        <v>65920</v>
      </c>
      <c r="H71" t="s">
        <v>206</v>
      </c>
      <c r="I71">
        <f ca="1">(TODAY()-Table_All_Staff[[#This Row],[Date Joined]])/365</f>
        <v>2.2794520547945205</v>
      </c>
      <c r="J71" s="31">
        <f ca="1">ROUNDUP(IF(Table_All_Staff[Tenure]&gt;2,3%,2%)*Table_All_Staff[Salary],0)</f>
        <v>1978</v>
      </c>
      <c r="K71">
        <f>VLOOKUP(Table_All_Staff[[#This Row],[Rating]],'Pivot Tables'!$B$23:$C$27,2,FALSE)</f>
        <v>3</v>
      </c>
    </row>
    <row r="72" spans="1:11" x14ac:dyDescent="0.25">
      <c r="A72" t="s">
        <v>120</v>
      </c>
      <c r="B72" t="s">
        <v>8</v>
      </c>
      <c r="C72">
        <v>30</v>
      </c>
      <c r="D72" t="s">
        <v>24</v>
      </c>
      <c r="E72" s="2">
        <v>44328</v>
      </c>
      <c r="F72" t="s">
        <v>21</v>
      </c>
      <c r="G72" s="31">
        <v>67910</v>
      </c>
      <c r="H72" t="s">
        <v>204</v>
      </c>
      <c r="I72">
        <f ca="1">(TODAY()-Table_All_Staff[[#This Row],[Date Joined]])/365</f>
        <v>2.2493150684931509</v>
      </c>
      <c r="J72" s="31">
        <f ca="1">ROUNDUP(IF(Table_All_Staff[Tenure]&gt;2,3%,2%)*Table_All_Staff[Salary],0)</f>
        <v>2038</v>
      </c>
      <c r="K72">
        <f>VLOOKUP(Table_All_Staff[[#This Row],[Rating]],'Pivot Tables'!$B$23:$C$27,2,FALSE)</f>
        <v>2</v>
      </c>
    </row>
    <row r="73" spans="1:11" x14ac:dyDescent="0.25">
      <c r="A73" t="s">
        <v>27</v>
      </c>
      <c r="B73" t="s">
        <v>8</v>
      </c>
      <c r="C73">
        <v>30</v>
      </c>
      <c r="D73" t="s">
        <v>24</v>
      </c>
      <c r="E73" s="2">
        <v>44389</v>
      </c>
      <c r="F73" t="s">
        <v>21</v>
      </c>
      <c r="G73" s="31">
        <v>67910</v>
      </c>
      <c r="H73" t="s">
        <v>206</v>
      </c>
      <c r="I73">
        <f ca="1">(TODAY()-Table_All_Staff[[#This Row],[Date Joined]])/365</f>
        <v>2.0821917808219177</v>
      </c>
      <c r="J73" s="31">
        <f ca="1">ROUNDUP(IF(Table_All_Staff[Tenure]&gt;2,3%,2%)*Table_All_Staff[Salary],0)</f>
        <v>2038</v>
      </c>
      <c r="K73">
        <f>VLOOKUP(Table_All_Staff[[#This Row],[Rating]],'Pivot Tables'!$B$23:$C$27,2,FALSE)</f>
        <v>2</v>
      </c>
    </row>
    <row r="74" spans="1:11" x14ac:dyDescent="0.25">
      <c r="A74" t="s">
        <v>137</v>
      </c>
      <c r="B74" t="s">
        <v>15</v>
      </c>
      <c r="C74">
        <v>30</v>
      </c>
      <c r="D74" t="s">
        <v>16</v>
      </c>
      <c r="E74" s="2">
        <v>44640</v>
      </c>
      <c r="F74" t="s">
        <v>9</v>
      </c>
      <c r="G74" s="31">
        <v>67950</v>
      </c>
      <c r="H74" t="s">
        <v>204</v>
      </c>
      <c r="I74">
        <f ca="1">(TODAY()-Table_All_Staff[[#This Row],[Date Joined]])/365</f>
        <v>1.3945205479452054</v>
      </c>
      <c r="J74" s="31">
        <f ca="1">ROUNDUP(IF(Table_All_Staff[Tenure]&gt;2,3%,2%)*Table_All_Staff[Salary],0)</f>
        <v>1359</v>
      </c>
      <c r="K74">
        <f>VLOOKUP(Table_All_Staff[[#This Row],[Rating]],'Pivot Tables'!$B$23:$C$27,2,FALSE)</f>
        <v>3</v>
      </c>
    </row>
    <row r="75" spans="1:11" x14ac:dyDescent="0.25">
      <c r="A75" t="s">
        <v>45</v>
      </c>
      <c r="B75" t="s">
        <v>15</v>
      </c>
      <c r="C75">
        <v>30</v>
      </c>
      <c r="D75" t="s">
        <v>16</v>
      </c>
      <c r="E75" s="2">
        <v>44701</v>
      </c>
      <c r="F75" t="s">
        <v>9</v>
      </c>
      <c r="G75" s="31">
        <v>67950</v>
      </c>
      <c r="H75" t="s">
        <v>206</v>
      </c>
      <c r="I75">
        <f ca="1">(TODAY()-Table_All_Staff[[#This Row],[Date Joined]])/365</f>
        <v>1.2273972602739727</v>
      </c>
      <c r="J75" s="31">
        <f ca="1">ROUNDUP(IF(Table_All_Staff[Tenure]&gt;2,3%,2%)*Table_All_Staff[Salary],0)</f>
        <v>1359</v>
      </c>
      <c r="K75">
        <f>VLOOKUP(Table_All_Staff[[#This Row],[Rating]],'Pivot Tables'!$B$23:$C$27,2,FALSE)</f>
        <v>3</v>
      </c>
    </row>
    <row r="76" spans="1:11" x14ac:dyDescent="0.25">
      <c r="A76" t="s">
        <v>183</v>
      </c>
      <c r="B76" t="s">
        <v>8</v>
      </c>
      <c r="C76">
        <v>20</v>
      </c>
      <c r="D76" t="s">
        <v>24</v>
      </c>
      <c r="E76" s="2">
        <v>44476</v>
      </c>
      <c r="F76" t="s">
        <v>19</v>
      </c>
      <c r="G76" s="31">
        <v>68900</v>
      </c>
      <c r="H76" t="s">
        <v>204</v>
      </c>
      <c r="I76">
        <f ca="1">(TODAY()-Table_All_Staff[[#This Row],[Date Joined]])/365</f>
        <v>1.8438356164383563</v>
      </c>
      <c r="J76" s="31">
        <f ca="1">ROUNDUP(IF(Table_All_Staff[Tenure]&gt;2,3%,2%)*Table_All_Staff[Salary],0)</f>
        <v>1378</v>
      </c>
      <c r="K76">
        <f>VLOOKUP(Table_All_Staff[[#This Row],[Rating]],'Pivot Tables'!$B$23:$C$27,2,FALSE)</f>
        <v>2</v>
      </c>
    </row>
    <row r="77" spans="1:11" x14ac:dyDescent="0.25">
      <c r="A77" t="s">
        <v>91</v>
      </c>
      <c r="B77" t="s">
        <v>8</v>
      </c>
      <c r="C77">
        <v>20</v>
      </c>
      <c r="D77" t="s">
        <v>24</v>
      </c>
      <c r="E77" s="2">
        <v>44537</v>
      </c>
      <c r="F77" t="s">
        <v>19</v>
      </c>
      <c r="G77" s="31">
        <v>68900</v>
      </c>
      <c r="H77" t="s">
        <v>206</v>
      </c>
      <c r="I77">
        <f ca="1">(TODAY()-Table_All_Staff[[#This Row],[Date Joined]])/365</f>
        <v>1.6767123287671233</v>
      </c>
      <c r="J77" s="31">
        <f ca="1">ROUNDUP(IF(Table_All_Staff[Tenure]&gt;2,3%,2%)*Table_All_Staff[Salary],0)</f>
        <v>1378</v>
      </c>
      <c r="K77">
        <f>VLOOKUP(Table_All_Staff[[#This Row],[Rating]],'Pivot Tables'!$B$23:$C$27,2,FALSE)</f>
        <v>2</v>
      </c>
    </row>
    <row r="78" spans="1:11" x14ac:dyDescent="0.25">
      <c r="A78" t="s">
        <v>189</v>
      </c>
      <c r="B78" t="s">
        <v>15</v>
      </c>
      <c r="C78">
        <v>37</v>
      </c>
      <c r="D78" t="s">
        <v>16</v>
      </c>
      <c r="E78" s="2">
        <v>44640</v>
      </c>
      <c r="F78" t="s">
        <v>12</v>
      </c>
      <c r="G78" s="31">
        <v>69070</v>
      </c>
      <c r="H78" t="s">
        <v>204</v>
      </c>
      <c r="I78">
        <f ca="1">(TODAY()-Table_All_Staff[[#This Row],[Date Joined]])/365</f>
        <v>1.3945205479452054</v>
      </c>
      <c r="J78" s="31">
        <f ca="1">ROUNDUP(IF(Table_All_Staff[Tenure]&gt;2,3%,2%)*Table_All_Staff[Salary],0)</f>
        <v>1382</v>
      </c>
      <c r="K78">
        <f>VLOOKUP(Table_All_Staff[[#This Row],[Rating]],'Pivot Tables'!$B$23:$C$27,2,FALSE)</f>
        <v>3</v>
      </c>
    </row>
    <row r="79" spans="1:11" x14ac:dyDescent="0.25">
      <c r="A79" t="s">
        <v>97</v>
      </c>
      <c r="B79" t="s">
        <v>15</v>
      </c>
      <c r="C79">
        <v>37</v>
      </c>
      <c r="D79" t="s">
        <v>16</v>
      </c>
      <c r="E79" s="2">
        <v>44701</v>
      </c>
      <c r="F79" t="s">
        <v>12</v>
      </c>
      <c r="G79" s="31">
        <v>69070</v>
      </c>
      <c r="H79" t="s">
        <v>206</v>
      </c>
      <c r="I79">
        <f ca="1">(TODAY()-Table_All_Staff[[#This Row],[Date Joined]])/365</f>
        <v>1.2273972602739727</v>
      </c>
      <c r="J79" s="31">
        <f ca="1">ROUNDUP(IF(Table_All_Staff[Tenure]&gt;2,3%,2%)*Table_All_Staff[Salary],0)</f>
        <v>1382</v>
      </c>
      <c r="K79">
        <f>VLOOKUP(Table_All_Staff[[#This Row],[Rating]],'Pivot Tables'!$B$23:$C$27,2,FALSE)</f>
        <v>3</v>
      </c>
    </row>
    <row r="80" spans="1:11" x14ac:dyDescent="0.25">
      <c r="A80" t="s">
        <v>118</v>
      </c>
      <c r="B80" t="s">
        <v>15</v>
      </c>
      <c r="C80">
        <v>30</v>
      </c>
      <c r="D80" t="s">
        <v>16</v>
      </c>
      <c r="E80" s="2">
        <v>44214</v>
      </c>
      <c r="F80" t="s">
        <v>12</v>
      </c>
      <c r="G80" s="31">
        <v>69120</v>
      </c>
      <c r="H80" t="s">
        <v>204</v>
      </c>
      <c r="I80">
        <f ca="1">(TODAY()-Table_All_Staff[[#This Row],[Date Joined]])/365</f>
        <v>2.5616438356164384</v>
      </c>
      <c r="J80" s="31">
        <f ca="1">ROUNDUP(IF(Table_All_Staff[Tenure]&gt;2,3%,2%)*Table_All_Staff[Salary],0)</f>
        <v>2074</v>
      </c>
      <c r="K80">
        <f>VLOOKUP(Table_All_Staff[[#This Row],[Rating]],'Pivot Tables'!$B$23:$C$27,2,FALSE)</f>
        <v>3</v>
      </c>
    </row>
    <row r="81" spans="1:11" x14ac:dyDescent="0.25">
      <c r="A81" t="s">
        <v>25</v>
      </c>
      <c r="B81" t="s">
        <v>15</v>
      </c>
      <c r="C81">
        <v>30</v>
      </c>
      <c r="D81" t="s">
        <v>16</v>
      </c>
      <c r="E81" s="2">
        <v>44273</v>
      </c>
      <c r="F81" t="s">
        <v>12</v>
      </c>
      <c r="G81" s="31">
        <v>69120</v>
      </c>
      <c r="H81" t="s">
        <v>206</v>
      </c>
      <c r="I81">
        <f ca="1">(TODAY()-Table_All_Staff[[#This Row],[Date Joined]])/365</f>
        <v>2.4</v>
      </c>
      <c r="J81" s="31">
        <f ca="1">ROUNDUP(IF(Table_All_Staff[Tenure]&gt;2,3%,2%)*Table_All_Staff[Salary],0)</f>
        <v>2074</v>
      </c>
      <c r="K81">
        <f>VLOOKUP(Table_All_Staff[[#This Row],[Rating]],'Pivot Tables'!$B$23:$C$27,2,FALSE)</f>
        <v>3</v>
      </c>
    </row>
    <row r="82" spans="1:11" x14ac:dyDescent="0.25">
      <c r="A82" t="s">
        <v>158</v>
      </c>
      <c r="B82" t="s">
        <v>15</v>
      </c>
      <c r="C82">
        <v>30</v>
      </c>
      <c r="D82" t="s">
        <v>16</v>
      </c>
      <c r="E82" s="2">
        <v>44789</v>
      </c>
      <c r="F82" t="s">
        <v>12</v>
      </c>
      <c r="G82" s="31">
        <v>69710</v>
      </c>
      <c r="H82" t="s">
        <v>204</v>
      </c>
      <c r="I82">
        <f ca="1">(TODAY()-Table_All_Staff[[#This Row],[Date Joined]])/365</f>
        <v>0.98630136986301364</v>
      </c>
      <c r="J82" s="31">
        <f ca="1">ROUNDUP(IF(Table_All_Staff[Tenure]&gt;2,3%,2%)*Table_All_Staff[Salary],0)</f>
        <v>1395</v>
      </c>
      <c r="K82">
        <f>VLOOKUP(Table_All_Staff[[#This Row],[Rating]],'Pivot Tables'!$B$23:$C$27,2,FALSE)</f>
        <v>3</v>
      </c>
    </row>
    <row r="83" spans="1:11" x14ac:dyDescent="0.25">
      <c r="A83" t="s">
        <v>67</v>
      </c>
      <c r="B83" t="s">
        <v>15</v>
      </c>
      <c r="C83">
        <v>30</v>
      </c>
      <c r="D83" t="s">
        <v>16</v>
      </c>
      <c r="E83" s="2">
        <v>44850</v>
      </c>
      <c r="F83" t="s">
        <v>12</v>
      </c>
      <c r="G83" s="31">
        <v>69710</v>
      </c>
      <c r="H83" t="s">
        <v>206</v>
      </c>
      <c r="I83">
        <f ca="1">(TODAY()-Table_All_Staff[[#This Row],[Date Joined]])/365</f>
        <v>0.81917808219178079</v>
      </c>
      <c r="J83" s="31">
        <f ca="1">ROUNDUP(IF(Table_All_Staff[Tenure]&gt;2,3%,2%)*Table_All_Staff[Salary],0)</f>
        <v>1395</v>
      </c>
      <c r="K83">
        <f>VLOOKUP(Table_All_Staff[[#This Row],[Rating]],'Pivot Tables'!$B$23:$C$27,2,FALSE)</f>
        <v>3</v>
      </c>
    </row>
    <row r="84" spans="1:11" x14ac:dyDescent="0.25">
      <c r="A84" t="s">
        <v>182</v>
      </c>
      <c r="B84" t="s">
        <v>15</v>
      </c>
      <c r="C84">
        <v>42</v>
      </c>
      <c r="D84" t="s">
        <v>24</v>
      </c>
      <c r="E84" s="2">
        <v>44670</v>
      </c>
      <c r="F84" t="s">
        <v>21</v>
      </c>
      <c r="G84" s="31">
        <v>70270</v>
      </c>
      <c r="H84" t="s">
        <v>204</v>
      </c>
      <c r="I84">
        <f ca="1">(TODAY()-Table_All_Staff[[#This Row],[Date Joined]])/365</f>
        <v>1.3123287671232877</v>
      </c>
      <c r="J84" s="31">
        <f ca="1">ROUNDUP(IF(Table_All_Staff[Tenure]&gt;2,3%,2%)*Table_All_Staff[Salary],0)</f>
        <v>1406</v>
      </c>
      <c r="K84">
        <f>VLOOKUP(Table_All_Staff[[#This Row],[Rating]],'Pivot Tables'!$B$23:$C$27,2,FALSE)</f>
        <v>2</v>
      </c>
    </row>
    <row r="85" spans="1:11" x14ac:dyDescent="0.25">
      <c r="A85" t="s">
        <v>90</v>
      </c>
      <c r="B85" t="s">
        <v>15</v>
      </c>
      <c r="C85">
        <v>42</v>
      </c>
      <c r="D85" t="s">
        <v>24</v>
      </c>
      <c r="E85" s="2">
        <v>44731</v>
      </c>
      <c r="F85" t="s">
        <v>21</v>
      </c>
      <c r="G85" s="31">
        <v>70270</v>
      </c>
      <c r="H85" t="s">
        <v>206</v>
      </c>
      <c r="I85">
        <f ca="1">(TODAY()-Table_All_Staff[[#This Row],[Date Joined]])/365</f>
        <v>1.1452054794520548</v>
      </c>
      <c r="J85" s="31">
        <f ca="1">ROUNDUP(IF(Table_All_Staff[Tenure]&gt;2,3%,2%)*Table_All_Staff[Salary],0)</f>
        <v>1406</v>
      </c>
      <c r="K85">
        <f>VLOOKUP(Table_All_Staff[[#This Row],[Rating]],'Pivot Tables'!$B$23:$C$27,2,FALSE)</f>
        <v>2</v>
      </c>
    </row>
    <row r="86" spans="1:11" x14ac:dyDescent="0.25">
      <c r="A86" t="s">
        <v>161</v>
      </c>
      <c r="B86" t="s">
        <v>15</v>
      </c>
      <c r="C86">
        <v>46</v>
      </c>
      <c r="D86" t="s">
        <v>16</v>
      </c>
      <c r="E86" s="2">
        <v>44697</v>
      </c>
      <c r="F86" t="s">
        <v>9</v>
      </c>
      <c r="G86" s="31">
        <v>70610</v>
      </c>
      <c r="H86" t="s">
        <v>204</v>
      </c>
      <c r="I86">
        <f ca="1">(TODAY()-Table_All_Staff[[#This Row],[Date Joined]])/365</f>
        <v>1.2383561643835617</v>
      </c>
      <c r="J86" s="31">
        <f ca="1">ROUNDUP(IF(Table_All_Staff[Tenure]&gt;2,3%,2%)*Table_All_Staff[Salary],0)</f>
        <v>1413</v>
      </c>
      <c r="K86">
        <f>VLOOKUP(Table_All_Staff[[#This Row],[Rating]],'Pivot Tables'!$B$23:$C$27,2,FALSE)</f>
        <v>3</v>
      </c>
    </row>
    <row r="87" spans="1:11" x14ac:dyDescent="0.25">
      <c r="A87" t="s">
        <v>70</v>
      </c>
      <c r="B87" t="s">
        <v>15</v>
      </c>
      <c r="C87">
        <v>46</v>
      </c>
      <c r="D87" t="s">
        <v>16</v>
      </c>
      <c r="E87" s="2">
        <v>44758</v>
      </c>
      <c r="F87" t="s">
        <v>9</v>
      </c>
      <c r="G87" s="31">
        <v>70610</v>
      </c>
      <c r="H87" t="s">
        <v>206</v>
      </c>
      <c r="I87">
        <f ca="1">(TODAY()-Table_All_Staff[[#This Row],[Date Joined]])/365</f>
        <v>1.0712328767123287</v>
      </c>
      <c r="J87" s="31">
        <f ca="1">ROUNDUP(IF(Table_All_Staff[Tenure]&gt;2,3%,2%)*Table_All_Staff[Salary],0)</f>
        <v>1413</v>
      </c>
      <c r="K87">
        <f>VLOOKUP(Table_All_Staff[[#This Row],[Rating]],'Pivot Tables'!$B$23:$C$27,2,FALSE)</f>
        <v>3</v>
      </c>
    </row>
    <row r="88" spans="1:11" x14ac:dyDescent="0.25">
      <c r="A88" t="s">
        <v>186</v>
      </c>
      <c r="B88" t="s">
        <v>15</v>
      </c>
      <c r="C88">
        <v>36</v>
      </c>
      <c r="D88" t="s">
        <v>16</v>
      </c>
      <c r="E88" s="2">
        <v>44272</v>
      </c>
      <c r="F88" t="s">
        <v>21</v>
      </c>
      <c r="G88" s="31">
        <v>71380</v>
      </c>
      <c r="H88" t="s">
        <v>204</v>
      </c>
      <c r="I88">
        <f ca="1">(TODAY()-Table_All_Staff[[#This Row],[Date Joined]])/365</f>
        <v>2.4027397260273973</v>
      </c>
      <c r="J88" s="31">
        <f ca="1">ROUNDUP(IF(Table_All_Staff[Tenure]&gt;2,3%,2%)*Table_All_Staff[Salary],0)</f>
        <v>2142</v>
      </c>
      <c r="K88">
        <f>VLOOKUP(Table_All_Staff[[#This Row],[Rating]],'Pivot Tables'!$B$23:$C$27,2,FALSE)</f>
        <v>3</v>
      </c>
    </row>
    <row r="89" spans="1:11" x14ac:dyDescent="0.25">
      <c r="A89" t="s">
        <v>94</v>
      </c>
      <c r="B89" t="s">
        <v>15</v>
      </c>
      <c r="C89">
        <v>36</v>
      </c>
      <c r="D89" t="s">
        <v>16</v>
      </c>
      <c r="E89" s="2">
        <v>44333</v>
      </c>
      <c r="F89" t="s">
        <v>21</v>
      </c>
      <c r="G89" s="31">
        <v>71380</v>
      </c>
      <c r="H89" t="s">
        <v>206</v>
      </c>
      <c r="I89">
        <f ca="1">(TODAY()-Table_All_Staff[[#This Row],[Date Joined]])/365</f>
        <v>2.2356164383561645</v>
      </c>
      <c r="J89" s="31">
        <f ca="1">ROUNDUP(IF(Table_All_Staff[Tenure]&gt;2,3%,2%)*Table_All_Staff[Salary],0)</f>
        <v>2142</v>
      </c>
      <c r="K89">
        <f>VLOOKUP(Table_All_Staff[[#This Row],[Rating]],'Pivot Tables'!$B$23:$C$27,2,FALSE)</f>
        <v>3</v>
      </c>
    </row>
    <row r="90" spans="1:11" x14ac:dyDescent="0.25">
      <c r="A90" t="s">
        <v>114</v>
      </c>
      <c r="B90" t="s">
        <v>15</v>
      </c>
      <c r="C90">
        <v>33</v>
      </c>
      <c r="D90" t="s">
        <v>16</v>
      </c>
      <c r="E90" s="2">
        <v>44324</v>
      </c>
      <c r="F90" t="s">
        <v>19</v>
      </c>
      <c r="G90" s="31">
        <v>74550</v>
      </c>
      <c r="H90" t="s">
        <v>204</v>
      </c>
      <c r="I90">
        <f ca="1">(TODAY()-Table_All_Staff[[#This Row],[Date Joined]])/365</f>
        <v>2.2602739726027399</v>
      </c>
      <c r="J90" s="31">
        <f ca="1">ROUNDUP(IF(Table_All_Staff[Tenure]&gt;2,3%,2%)*Table_All_Staff[Salary],0)</f>
        <v>2237</v>
      </c>
      <c r="K90">
        <f>VLOOKUP(Table_All_Staff[[#This Row],[Rating]],'Pivot Tables'!$B$23:$C$27,2,FALSE)</f>
        <v>3</v>
      </c>
    </row>
    <row r="91" spans="1:11" x14ac:dyDescent="0.25">
      <c r="A91" t="s">
        <v>18</v>
      </c>
      <c r="B91" t="s">
        <v>15</v>
      </c>
      <c r="C91">
        <v>33</v>
      </c>
      <c r="D91" t="s">
        <v>16</v>
      </c>
      <c r="E91" s="2">
        <v>44385</v>
      </c>
      <c r="F91" t="s">
        <v>19</v>
      </c>
      <c r="G91" s="31">
        <v>74550</v>
      </c>
      <c r="H91" t="s">
        <v>206</v>
      </c>
      <c r="I91">
        <f ca="1">(TODAY()-Table_All_Staff[[#This Row],[Date Joined]])/365</f>
        <v>2.0931506849315067</v>
      </c>
      <c r="J91" s="31">
        <f ca="1">ROUNDUP(IF(Table_All_Staff[Tenure]&gt;2,3%,2%)*Table_All_Staff[Salary],0)</f>
        <v>2237</v>
      </c>
      <c r="K91">
        <f>VLOOKUP(Table_All_Staff[[#This Row],[Rating]],'Pivot Tables'!$B$23:$C$27,2,FALSE)</f>
        <v>3</v>
      </c>
    </row>
    <row r="92" spans="1:11" x14ac:dyDescent="0.25">
      <c r="A92" t="s">
        <v>110</v>
      </c>
      <c r="B92" t="s">
        <v>8</v>
      </c>
      <c r="C92">
        <v>42</v>
      </c>
      <c r="D92" t="s">
        <v>10</v>
      </c>
      <c r="E92" s="2">
        <v>44718</v>
      </c>
      <c r="F92" t="s">
        <v>9</v>
      </c>
      <c r="G92" s="31">
        <v>75000</v>
      </c>
      <c r="H92" t="s">
        <v>204</v>
      </c>
      <c r="I92">
        <f ca="1">(TODAY()-Table_All_Staff[[#This Row],[Date Joined]])/365</f>
        <v>1.1808219178082191</v>
      </c>
      <c r="J92" s="31">
        <f ca="1">ROUNDUP(IF(Table_All_Staff[Tenure]&gt;2,3%,2%)*Table_All_Staff[Salary],0)</f>
        <v>1500</v>
      </c>
      <c r="K92">
        <f>VLOOKUP(Table_All_Staff[[#This Row],[Rating]],'Pivot Tables'!$B$23:$C$27,2,FALSE)</f>
        <v>5</v>
      </c>
    </row>
    <row r="93" spans="1:11" x14ac:dyDescent="0.25">
      <c r="A93" t="s">
        <v>7</v>
      </c>
      <c r="B93" t="s">
        <v>8</v>
      </c>
      <c r="C93">
        <v>42</v>
      </c>
      <c r="D93" t="s">
        <v>10</v>
      </c>
      <c r="E93" s="2">
        <v>44779</v>
      </c>
      <c r="F93" t="s">
        <v>9</v>
      </c>
      <c r="G93" s="31">
        <v>75000</v>
      </c>
      <c r="H93" t="s">
        <v>206</v>
      </c>
      <c r="I93">
        <f ca="1">(TODAY()-Table_All_Staff[[#This Row],[Date Joined]])/365</f>
        <v>1.0136986301369864</v>
      </c>
      <c r="J93" s="31">
        <f ca="1">ROUNDUP(IF(Table_All_Staff[Tenure]&gt;2,3%,2%)*Table_All_Staff[Salary],0)</f>
        <v>1500</v>
      </c>
      <c r="K93">
        <f>VLOOKUP(Table_All_Staff[[#This Row],[Rating]],'Pivot Tables'!$B$23:$C$27,2,FALSE)</f>
        <v>5</v>
      </c>
    </row>
    <row r="94" spans="1:11" x14ac:dyDescent="0.25">
      <c r="A94" t="s">
        <v>187</v>
      </c>
      <c r="B94" t="s">
        <v>8</v>
      </c>
      <c r="C94">
        <v>33</v>
      </c>
      <c r="D94" t="s">
        <v>16</v>
      </c>
      <c r="E94" s="2">
        <v>44253</v>
      </c>
      <c r="F94" t="s">
        <v>12</v>
      </c>
      <c r="G94" s="31">
        <v>75280</v>
      </c>
      <c r="H94" t="s">
        <v>204</v>
      </c>
      <c r="I94">
        <f ca="1">(TODAY()-Table_All_Staff[[#This Row],[Date Joined]])/365</f>
        <v>2.4547945205479453</v>
      </c>
      <c r="J94" s="31">
        <f ca="1">ROUNDUP(IF(Table_All_Staff[Tenure]&gt;2,3%,2%)*Table_All_Staff[Salary],0)</f>
        <v>2259</v>
      </c>
      <c r="K94">
        <f>VLOOKUP(Table_All_Staff[[#This Row],[Rating]],'Pivot Tables'!$B$23:$C$27,2,FALSE)</f>
        <v>3</v>
      </c>
    </row>
    <row r="95" spans="1:11" x14ac:dyDescent="0.25">
      <c r="A95" t="s">
        <v>95</v>
      </c>
      <c r="B95" t="s">
        <v>8</v>
      </c>
      <c r="C95">
        <v>33</v>
      </c>
      <c r="D95" t="s">
        <v>16</v>
      </c>
      <c r="E95" s="2">
        <v>44312</v>
      </c>
      <c r="F95" t="s">
        <v>12</v>
      </c>
      <c r="G95" s="31">
        <v>75280</v>
      </c>
      <c r="H95" t="s">
        <v>206</v>
      </c>
      <c r="I95">
        <f ca="1">(TODAY()-Table_All_Staff[[#This Row],[Date Joined]])/365</f>
        <v>2.2931506849315069</v>
      </c>
      <c r="J95" s="31">
        <f ca="1">ROUNDUP(IF(Table_All_Staff[Tenure]&gt;2,3%,2%)*Table_All_Staff[Salary],0)</f>
        <v>2259</v>
      </c>
      <c r="K95">
        <f>VLOOKUP(Table_All_Staff[[#This Row],[Rating]],'Pivot Tables'!$B$23:$C$27,2,FALSE)</f>
        <v>3</v>
      </c>
    </row>
    <row r="96" spans="1:11" x14ac:dyDescent="0.25">
      <c r="A96" t="s">
        <v>134</v>
      </c>
      <c r="B96" t="s">
        <v>8</v>
      </c>
      <c r="C96">
        <v>33</v>
      </c>
      <c r="D96" t="s">
        <v>42</v>
      </c>
      <c r="E96" s="2">
        <v>44313</v>
      </c>
      <c r="F96" t="s">
        <v>12</v>
      </c>
      <c r="G96" s="31">
        <v>75480</v>
      </c>
      <c r="H96" t="s">
        <v>204</v>
      </c>
      <c r="I96">
        <f ca="1">(TODAY()-Table_All_Staff[[#This Row],[Date Joined]])/365</f>
        <v>2.2904109589041095</v>
      </c>
      <c r="J96" s="31">
        <f ca="1">ROUNDUP(IF(Table_All_Staff[Tenure]&gt;2,3%,2%)*Table_All_Staff[Salary],0)</f>
        <v>2265</v>
      </c>
      <c r="K96">
        <f>VLOOKUP(Table_All_Staff[[#This Row],[Rating]],'Pivot Tables'!$B$23:$C$27,2,FALSE)</f>
        <v>1</v>
      </c>
    </row>
    <row r="97" spans="1:11" x14ac:dyDescent="0.25">
      <c r="A97" t="s">
        <v>41</v>
      </c>
      <c r="B97" t="s">
        <v>8</v>
      </c>
      <c r="C97">
        <v>33</v>
      </c>
      <c r="D97" t="s">
        <v>42</v>
      </c>
      <c r="E97" s="2">
        <v>44374</v>
      </c>
      <c r="F97" t="s">
        <v>12</v>
      </c>
      <c r="G97" s="31">
        <v>75480</v>
      </c>
      <c r="H97" t="s">
        <v>206</v>
      </c>
      <c r="I97">
        <f ca="1">(TODAY()-Table_All_Staff[[#This Row],[Date Joined]])/365</f>
        <v>2.1232876712328768</v>
      </c>
      <c r="J97" s="31">
        <f ca="1">ROUNDUP(IF(Table_All_Staff[Tenure]&gt;2,3%,2%)*Table_All_Staff[Salary],0)</f>
        <v>2265</v>
      </c>
      <c r="K97">
        <f>VLOOKUP(Table_All_Staff[[#This Row],[Rating]],'Pivot Tables'!$B$23:$C$27,2,FALSE)</f>
        <v>1</v>
      </c>
    </row>
    <row r="98" spans="1:11" x14ac:dyDescent="0.25">
      <c r="A98" t="s">
        <v>169</v>
      </c>
      <c r="B98" t="s">
        <v>15</v>
      </c>
      <c r="C98">
        <v>21</v>
      </c>
      <c r="D98" t="s">
        <v>16</v>
      </c>
      <c r="E98" s="2">
        <v>44180</v>
      </c>
      <c r="F98" t="s">
        <v>56</v>
      </c>
      <c r="G98" s="31">
        <v>75880</v>
      </c>
      <c r="H98" t="s">
        <v>204</v>
      </c>
      <c r="I98">
        <f ca="1">(TODAY()-Table_All_Staff[[#This Row],[Date Joined]])/365</f>
        <v>2.6547945205479451</v>
      </c>
      <c r="J98" s="31">
        <f ca="1">ROUNDUP(IF(Table_All_Staff[Tenure]&gt;2,3%,2%)*Table_All_Staff[Salary],0)</f>
        <v>2277</v>
      </c>
      <c r="K98">
        <f>VLOOKUP(Table_All_Staff[[#This Row],[Rating]],'Pivot Tables'!$B$23:$C$27,2,FALSE)</f>
        <v>3</v>
      </c>
    </row>
    <row r="99" spans="1:11" x14ac:dyDescent="0.25">
      <c r="A99" t="s">
        <v>78</v>
      </c>
      <c r="B99" t="s">
        <v>15</v>
      </c>
      <c r="C99">
        <v>21</v>
      </c>
      <c r="D99" t="s">
        <v>16</v>
      </c>
      <c r="E99" s="2">
        <v>44242</v>
      </c>
      <c r="F99" t="s">
        <v>56</v>
      </c>
      <c r="G99" s="31">
        <v>75880</v>
      </c>
      <c r="H99" t="s">
        <v>206</v>
      </c>
      <c r="I99">
        <f ca="1">(TODAY()-Table_All_Staff[[#This Row],[Date Joined]])/365</f>
        <v>2.484931506849315</v>
      </c>
      <c r="J99" s="31">
        <f ca="1">ROUNDUP(IF(Table_All_Staff[Tenure]&gt;2,3%,2%)*Table_All_Staff[Salary],0)</f>
        <v>2277</v>
      </c>
      <c r="K99">
        <f>VLOOKUP(Table_All_Staff[[#This Row],[Rating]],'Pivot Tables'!$B$23:$C$27,2,FALSE)</f>
        <v>3</v>
      </c>
    </row>
    <row r="100" spans="1:11" x14ac:dyDescent="0.25">
      <c r="A100" t="s">
        <v>128</v>
      </c>
      <c r="B100" t="s">
        <v>8</v>
      </c>
      <c r="C100">
        <v>28</v>
      </c>
      <c r="D100" t="s">
        <v>16</v>
      </c>
      <c r="E100" s="2">
        <v>44124</v>
      </c>
      <c r="F100" t="s">
        <v>21</v>
      </c>
      <c r="G100" s="31">
        <v>75970</v>
      </c>
      <c r="H100" t="s">
        <v>204</v>
      </c>
      <c r="I100">
        <f ca="1">(TODAY()-Table_All_Staff[[#This Row],[Date Joined]])/365</f>
        <v>2.8082191780821919</v>
      </c>
      <c r="J100" s="31">
        <f ca="1">ROUNDUP(IF(Table_All_Staff[Tenure]&gt;2,3%,2%)*Table_All_Staff[Salary],0)</f>
        <v>2280</v>
      </c>
      <c r="K100">
        <f>VLOOKUP(Table_All_Staff[[#This Row],[Rating]],'Pivot Tables'!$B$23:$C$27,2,FALSE)</f>
        <v>3</v>
      </c>
    </row>
    <row r="101" spans="1:11" x14ac:dyDescent="0.25">
      <c r="A101" t="s">
        <v>35</v>
      </c>
      <c r="B101" t="s">
        <v>8</v>
      </c>
      <c r="C101">
        <v>28</v>
      </c>
      <c r="D101" t="s">
        <v>16</v>
      </c>
      <c r="E101" s="2">
        <v>44185</v>
      </c>
      <c r="F101" t="s">
        <v>21</v>
      </c>
      <c r="G101" s="31">
        <v>75970</v>
      </c>
      <c r="H101" t="s">
        <v>206</v>
      </c>
      <c r="I101">
        <f ca="1">(TODAY()-Table_All_Staff[[#This Row],[Date Joined]])/365</f>
        <v>2.6410958904109587</v>
      </c>
      <c r="J101" s="31">
        <f ca="1">ROUNDUP(IF(Table_All_Staff[Tenure]&gt;2,3%,2%)*Table_All_Staff[Salary],0)</f>
        <v>2280</v>
      </c>
      <c r="K101">
        <f>VLOOKUP(Table_All_Staff[[#This Row],[Rating]],'Pivot Tables'!$B$23:$C$27,2,FALSE)</f>
        <v>3</v>
      </c>
    </row>
    <row r="102" spans="1:11" x14ac:dyDescent="0.25">
      <c r="A102" t="s">
        <v>153</v>
      </c>
      <c r="B102" t="s">
        <v>8</v>
      </c>
      <c r="C102">
        <v>22</v>
      </c>
      <c r="D102" t="s">
        <v>13</v>
      </c>
      <c r="E102" s="2">
        <v>44388</v>
      </c>
      <c r="F102" t="s">
        <v>9</v>
      </c>
      <c r="G102" s="31">
        <v>76900</v>
      </c>
      <c r="H102" t="s">
        <v>204</v>
      </c>
      <c r="I102">
        <f ca="1">(TODAY()-Table_All_Staff[[#This Row],[Date Joined]])/365</f>
        <v>2.0849315068493151</v>
      </c>
      <c r="J102" s="31">
        <f ca="1">ROUNDUP(IF(Table_All_Staff[Tenure]&gt;2,3%,2%)*Table_All_Staff[Salary],0)</f>
        <v>2307</v>
      </c>
      <c r="K102">
        <f>VLOOKUP(Table_All_Staff[[#This Row],[Rating]],'Pivot Tables'!$B$23:$C$27,2,FALSE)</f>
        <v>4</v>
      </c>
    </row>
    <row r="103" spans="1:11" x14ac:dyDescent="0.25">
      <c r="A103" t="s">
        <v>62</v>
      </c>
      <c r="B103" t="s">
        <v>8</v>
      </c>
      <c r="C103">
        <v>22</v>
      </c>
      <c r="D103" t="s">
        <v>13</v>
      </c>
      <c r="E103" s="2">
        <v>44450</v>
      </c>
      <c r="F103" t="s">
        <v>9</v>
      </c>
      <c r="G103" s="31">
        <v>76900</v>
      </c>
      <c r="H103" t="s">
        <v>206</v>
      </c>
      <c r="I103">
        <f ca="1">(TODAY()-Table_All_Staff[[#This Row],[Date Joined]])/365</f>
        <v>1.9150684931506849</v>
      </c>
      <c r="J103" s="31">
        <f ca="1">ROUNDUP(IF(Table_All_Staff[Tenure]&gt;2,3%,2%)*Table_All_Staff[Salary],0)</f>
        <v>1538</v>
      </c>
      <c r="K103">
        <f>VLOOKUP(Table_All_Staff[[#This Row],[Rating]],'Pivot Tables'!$B$23:$C$27,2,FALSE)</f>
        <v>4</v>
      </c>
    </row>
    <row r="104" spans="1:11" x14ac:dyDescent="0.25">
      <c r="A104" t="s">
        <v>163</v>
      </c>
      <c r="B104" t="s">
        <v>8</v>
      </c>
      <c r="C104">
        <v>36</v>
      </c>
      <c r="D104" t="s">
        <v>16</v>
      </c>
      <c r="E104" s="2">
        <v>44468</v>
      </c>
      <c r="F104" t="s">
        <v>9</v>
      </c>
      <c r="G104" s="31">
        <v>78390</v>
      </c>
      <c r="H104" t="s">
        <v>204</v>
      </c>
      <c r="I104">
        <f ca="1">(TODAY()-Table_All_Staff[[#This Row],[Date Joined]])/365</f>
        <v>1.8657534246575342</v>
      </c>
      <c r="J104" s="31">
        <f ca="1">ROUNDUP(IF(Table_All_Staff[Tenure]&gt;2,3%,2%)*Table_All_Staff[Salary],0)</f>
        <v>1568</v>
      </c>
      <c r="K104">
        <f>VLOOKUP(Table_All_Staff[[#This Row],[Rating]],'Pivot Tables'!$B$23:$C$27,2,FALSE)</f>
        <v>3</v>
      </c>
    </row>
    <row r="105" spans="1:11" x14ac:dyDescent="0.25">
      <c r="A105" t="s">
        <v>72</v>
      </c>
      <c r="B105" t="s">
        <v>8</v>
      </c>
      <c r="C105">
        <v>36</v>
      </c>
      <c r="D105" t="s">
        <v>16</v>
      </c>
      <c r="E105" s="2">
        <v>44529</v>
      </c>
      <c r="F105" t="s">
        <v>9</v>
      </c>
      <c r="G105" s="31">
        <v>78390</v>
      </c>
      <c r="H105" t="s">
        <v>206</v>
      </c>
      <c r="I105">
        <f ca="1">(TODAY()-Table_All_Staff[[#This Row],[Date Joined]])/365</f>
        <v>1.6986301369863013</v>
      </c>
      <c r="J105" s="31">
        <f ca="1">ROUNDUP(IF(Table_All_Staff[Tenure]&gt;2,3%,2%)*Table_All_Staff[Salary],0)</f>
        <v>1568</v>
      </c>
      <c r="K105">
        <f>VLOOKUP(Table_All_Staff[[#This Row],[Rating]],'Pivot Tables'!$B$23:$C$27,2,FALSE)</f>
        <v>3</v>
      </c>
    </row>
    <row r="106" spans="1:11" x14ac:dyDescent="0.25">
      <c r="A106" t="s">
        <v>140</v>
      </c>
      <c r="B106" t="s">
        <v>8</v>
      </c>
      <c r="C106">
        <v>36</v>
      </c>
      <c r="D106" t="s">
        <v>16</v>
      </c>
      <c r="E106" s="2">
        <v>44433</v>
      </c>
      <c r="F106" t="s">
        <v>19</v>
      </c>
      <c r="G106" s="31">
        <v>78540</v>
      </c>
      <c r="H106" t="s">
        <v>204</v>
      </c>
      <c r="I106">
        <f ca="1">(TODAY()-Table_All_Staff[[#This Row],[Date Joined]])/365</f>
        <v>1.9616438356164383</v>
      </c>
      <c r="J106" s="31">
        <f ca="1">ROUNDUP(IF(Table_All_Staff[Tenure]&gt;2,3%,2%)*Table_All_Staff[Salary],0)</f>
        <v>1571</v>
      </c>
      <c r="K106">
        <f>VLOOKUP(Table_All_Staff[[#This Row],[Rating]],'Pivot Tables'!$B$23:$C$27,2,FALSE)</f>
        <v>3</v>
      </c>
    </row>
    <row r="107" spans="1:11" x14ac:dyDescent="0.25">
      <c r="A107" t="s">
        <v>48</v>
      </c>
      <c r="B107" t="s">
        <v>8</v>
      </c>
      <c r="C107">
        <v>36</v>
      </c>
      <c r="D107" t="s">
        <v>16</v>
      </c>
      <c r="E107" s="2">
        <v>44494</v>
      </c>
      <c r="F107" t="s">
        <v>19</v>
      </c>
      <c r="G107" s="31">
        <v>78540</v>
      </c>
      <c r="H107" t="s">
        <v>206</v>
      </c>
      <c r="I107">
        <f ca="1">(TODAY()-Table_All_Staff[[#This Row],[Date Joined]])/365</f>
        <v>1.7945205479452055</v>
      </c>
      <c r="J107" s="31">
        <f ca="1">ROUNDUP(IF(Table_All_Staff[Tenure]&gt;2,3%,2%)*Table_All_Staff[Salary],0)</f>
        <v>1571</v>
      </c>
      <c r="K107">
        <f>VLOOKUP(Table_All_Staff[[#This Row],[Rating]],'Pivot Tables'!$B$23:$C$27,2,FALSE)</f>
        <v>3</v>
      </c>
    </row>
    <row r="108" spans="1:11" x14ac:dyDescent="0.25">
      <c r="A108" t="s">
        <v>196</v>
      </c>
      <c r="B108" t="s">
        <v>15</v>
      </c>
      <c r="C108">
        <v>20</v>
      </c>
      <c r="D108" t="s">
        <v>16</v>
      </c>
      <c r="E108" s="2">
        <v>44683</v>
      </c>
      <c r="F108" t="s">
        <v>9</v>
      </c>
      <c r="G108" s="31">
        <v>79570</v>
      </c>
      <c r="H108" t="s">
        <v>204</v>
      </c>
      <c r="I108">
        <f ca="1">(TODAY()-Table_All_Staff[[#This Row],[Date Joined]])/365</f>
        <v>1.2767123287671234</v>
      </c>
      <c r="J108" s="31">
        <f ca="1">ROUNDUP(IF(Table_All_Staff[Tenure]&gt;2,3%,2%)*Table_All_Staff[Salary],0)</f>
        <v>1592</v>
      </c>
      <c r="K108">
        <f>VLOOKUP(Table_All_Staff[[#This Row],[Rating]],'Pivot Tables'!$B$23:$C$27,2,FALSE)</f>
        <v>3</v>
      </c>
    </row>
    <row r="109" spans="1:11" x14ac:dyDescent="0.25">
      <c r="A109" t="s">
        <v>104</v>
      </c>
      <c r="B109" t="s">
        <v>15</v>
      </c>
      <c r="C109">
        <v>20</v>
      </c>
      <c r="D109" t="s">
        <v>16</v>
      </c>
      <c r="E109" s="2">
        <v>44744</v>
      </c>
      <c r="F109" t="s">
        <v>9</v>
      </c>
      <c r="G109" s="31">
        <v>79570</v>
      </c>
      <c r="H109" t="s">
        <v>206</v>
      </c>
      <c r="I109">
        <f ca="1">(TODAY()-Table_All_Staff[[#This Row],[Date Joined]])/365</f>
        <v>1.1095890410958904</v>
      </c>
      <c r="J109" s="31">
        <f ca="1">ROUNDUP(IF(Table_All_Staff[Tenure]&gt;2,3%,2%)*Table_All_Staff[Salary],0)</f>
        <v>1592</v>
      </c>
      <c r="K109">
        <f>VLOOKUP(Table_All_Staff[[#This Row],[Rating]],'Pivot Tables'!$B$23:$C$27,2,FALSE)</f>
        <v>3</v>
      </c>
    </row>
    <row r="110" spans="1:11" x14ac:dyDescent="0.25">
      <c r="A110" t="s">
        <v>132</v>
      </c>
      <c r="B110" t="s">
        <v>8</v>
      </c>
      <c r="C110">
        <v>25</v>
      </c>
      <c r="D110" t="s">
        <v>13</v>
      </c>
      <c r="E110" s="2">
        <v>44633</v>
      </c>
      <c r="F110" t="s">
        <v>12</v>
      </c>
      <c r="G110" s="31">
        <v>80700</v>
      </c>
      <c r="H110" t="s">
        <v>204</v>
      </c>
      <c r="I110">
        <f ca="1">(TODAY()-Table_All_Staff[[#This Row],[Date Joined]])/365</f>
        <v>1.4136986301369863</v>
      </c>
      <c r="J110" s="31">
        <f ca="1">ROUNDUP(IF(Table_All_Staff[Tenure]&gt;2,3%,2%)*Table_All_Staff[Salary],0)</f>
        <v>1614</v>
      </c>
      <c r="K110">
        <f>VLOOKUP(Table_All_Staff[[#This Row],[Rating]],'Pivot Tables'!$B$23:$C$27,2,FALSE)</f>
        <v>4</v>
      </c>
    </row>
    <row r="111" spans="1:11" x14ac:dyDescent="0.25">
      <c r="A111" t="s">
        <v>39</v>
      </c>
      <c r="B111" t="s">
        <v>8</v>
      </c>
      <c r="C111">
        <v>25</v>
      </c>
      <c r="D111" t="s">
        <v>13</v>
      </c>
      <c r="E111" s="2">
        <v>44694</v>
      </c>
      <c r="F111" t="s">
        <v>12</v>
      </c>
      <c r="G111" s="31">
        <v>80700</v>
      </c>
      <c r="H111" t="s">
        <v>206</v>
      </c>
      <c r="I111">
        <f ca="1">(TODAY()-Table_All_Staff[[#This Row],[Date Joined]])/365</f>
        <v>1.2465753424657535</v>
      </c>
      <c r="J111" s="31">
        <f ca="1">ROUNDUP(IF(Table_All_Staff[Tenure]&gt;2,3%,2%)*Table_All_Staff[Salary],0)</f>
        <v>1614</v>
      </c>
      <c r="K111">
        <f>VLOOKUP(Table_All_Staff[[#This Row],[Rating]],'Pivot Tables'!$B$23:$C$27,2,FALSE)</f>
        <v>4</v>
      </c>
    </row>
    <row r="112" spans="1:11" x14ac:dyDescent="0.25">
      <c r="A112" t="s">
        <v>184</v>
      </c>
      <c r="B112" t="s">
        <v>8</v>
      </c>
      <c r="C112">
        <v>27</v>
      </c>
      <c r="D112" t="s">
        <v>16</v>
      </c>
      <c r="E112" s="2">
        <v>44625</v>
      </c>
      <c r="F112" t="s">
        <v>12</v>
      </c>
      <c r="G112" s="31">
        <v>83750</v>
      </c>
      <c r="H112" t="s">
        <v>204</v>
      </c>
      <c r="I112">
        <f ca="1">(TODAY()-Table_All_Staff[[#This Row],[Date Joined]])/365</f>
        <v>1.4356164383561645</v>
      </c>
      <c r="J112" s="31">
        <f ca="1">ROUNDUP(IF(Table_All_Staff[Tenure]&gt;2,3%,2%)*Table_All_Staff[Salary],0)</f>
        <v>1675</v>
      </c>
      <c r="K112">
        <f>VLOOKUP(Table_All_Staff[[#This Row],[Rating]],'Pivot Tables'!$B$23:$C$27,2,FALSE)</f>
        <v>3</v>
      </c>
    </row>
    <row r="113" spans="1:11" x14ac:dyDescent="0.25">
      <c r="A113" t="s">
        <v>92</v>
      </c>
      <c r="B113" t="s">
        <v>8</v>
      </c>
      <c r="C113">
        <v>27</v>
      </c>
      <c r="D113" t="s">
        <v>16</v>
      </c>
      <c r="E113" s="2">
        <v>44686</v>
      </c>
      <c r="F113" t="s">
        <v>12</v>
      </c>
      <c r="G113" s="31">
        <v>83750</v>
      </c>
      <c r="H113" t="s">
        <v>206</v>
      </c>
      <c r="I113">
        <f ca="1">(TODAY()-Table_All_Staff[[#This Row],[Date Joined]])/365</f>
        <v>1.2684931506849315</v>
      </c>
      <c r="J113" s="31">
        <f ca="1">ROUNDUP(IF(Table_All_Staff[Tenure]&gt;2,3%,2%)*Table_All_Staff[Salary],0)</f>
        <v>1675</v>
      </c>
      <c r="K113">
        <f>VLOOKUP(Table_All_Staff[[#This Row],[Rating]],'Pivot Tables'!$B$23:$C$27,2,FALSE)</f>
        <v>3</v>
      </c>
    </row>
    <row r="114" spans="1:11" x14ac:dyDescent="0.25">
      <c r="A114" t="s">
        <v>121</v>
      </c>
      <c r="B114" t="s">
        <v>8</v>
      </c>
      <c r="C114">
        <v>34</v>
      </c>
      <c r="D114" t="s">
        <v>16</v>
      </c>
      <c r="E114" s="2">
        <v>44397</v>
      </c>
      <c r="F114" t="s">
        <v>21</v>
      </c>
      <c r="G114" s="31">
        <v>85000</v>
      </c>
      <c r="H114" t="s">
        <v>204</v>
      </c>
      <c r="I114">
        <f ca="1">(TODAY()-Table_All_Staff[[#This Row],[Date Joined]])/365</f>
        <v>2.0602739726027397</v>
      </c>
      <c r="J114" s="31">
        <f ca="1">ROUNDUP(IF(Table_All_Staff[Tenure]&gt;2,3%,2%)*Table_All_Staff[Salary],0)</f>
        <v>2550</v>
      </c>
      <c r="K114">
        <f>VLOOKUP(Table_All_Staff[[#This Row],[Rating]],'Pivot Tables'!$B$23:$C$27,2,FALSE)</f>
        <v>3</v>
      </c>
    </row>
    <row r="115" spans="1:11" x14ac:dyDescent="0.25">
      <c r="A115" t="s">
        <v>28</v>
      </c>
      <c r="B115" t="s">
        <v>8</v>
      </c>
      <c r="C115">
        <v>34</v>
      </c>
      <c r="D115" t="s">
        <v>16</v>
      </c>
      <c r="E115" s="2">
        <v>44459</v>
      </c>
      <c r="F115" t="s">
        <v>21</v>
      </c>
      <c r="G115" s="31">
        <v>85000</v>
      </c>
      <c r="H115" t="s">
        <v>206</v>
      </c>
      <c r="I115">
        <f ca="1">(TODAY()-Table_All_Staff[[#This Row],[Date Joined]])/365</f>
        <v>1.8904109589041096</v>
      </c>
      <c r="J115" s="31">
        <f ca="1">ROUNDUP(IF(Table_All_Staff[Tenure]&gt;2,3%,2%)*Table_All_Staff[Salary],0)</f>
        <v>1700</v>
      </c>
      <c r="K115">
        <f>VLOOKUP(Table_All_Staff[[#This Row],[Rating]],'Pivot Tables'!$B$23:$C$27,2,FALSE)</f>
        <v>3</v>
      </c>
    </row>
    <row r="116" spans="1:11" x14ac:dyDescent="0.25">
      <c r="A116" t="s">
        <v>180</v>
      </c>
      <c r="B116" t="s">
        <v>8</v>
      </c>
      <c r="C116">
        <v>33</v>
      </c>
      <c r="D116" t="s">
        <v>16</v>
      </c>
      <c r="E116" s="2">
        <v>44747</v>
      </c>
      <c r="F116" t="s">
        <v>21</v>
      </c>
      <c r="G116" s="31">
        <v>86570</v>
      </c>
      <c r="H116" t="s">
        <v>204</v>
      </c>
      <c r="I116">
        <f ca="1">(TODAY()-Table_All_Staff[[#This Row],[Date Joined]])/365</f>
        <v>1.1013698630136985</v>
      </c>
      <c r="J116" s="31">
        <f ca="1">ROUNDUP(IF(Table_All_Staff[Tenure]&gt;2,3%,2%)*Table_All_Staff[Salary],0)</f>
        <v>1732</v>
      </c>
      <c r="K116">
        <f>VLOOKUP(Table_All_Staff[[#This Row],[Rating]],'Pivot Tables'!$B$23:$C$27,2,FALSE)</f>
        <v>3</v>
      </c>
    </row>
    <row r="117" spans="1:11" x14ac:dyDescent="0.25">
      <c r="A117" t="s">
        <v>88</v>
      </c>
      <c r="B117" t="s">
        <v>8</v>
      </c>
      <c r="C117">
        <v>33</v>
      </c>
      <c r="D117" t="s">
        <v>16</v>
      </c>
      <c r="E117" s="2">
        <v>44809</v>
      </c>
      <c r="F117" t="s">
        <v>21</v>
      </c>
      <c r="G117" s="31">
        <v>86570</v>
      </c>
      <c r="H117" t="s">
        <v>206</v>
      </c>
      <c r="I117">
        <f ca="1">(TODAY()-Table_All_Staff[[#This Row],[Date Joined]])/365</f>
        <v>0.93150684931506844</v>
      </c>
      <c r="J117" s="31">
        <f ca="1">ROUNDUP(IF(Table_All_Staff[Tenure]&gt;2,3%,2%)*Table_All_Staff[Salary],0)</f>
        <v>1732</v>
      </c>
      <c r="K117">
        <f>VLOOKUP(Table_All_Staff[[#This Row],[Rating]],'Pivot Tables'!$B$23:$C$27,2,FALSE)</f>
        <v>3</v>
      </c>
    </row>
    <row r="118" spans="1:11" x14ac:dyDescent="0.25">
      <c r="A118" t="s">
        <v>165</v>
      </c>
      <c r="B118" t="s">
        <v>8</v>
      </c>
      <c r="C118">
        <v>40</v>
      </c>
      <c r="D118" t="s">
        <v>16</v>
      </c>
      <c r="E118" s="2">
        <v>44276</v>
      </c>
      <c r="F118" t="s">
        <v>12</v>
      </c>
      <c r="G118" s="31">
        <v>87620</v>
      </c>
      <c r="H118" t="s">
        <v>204</v>
      </c>
      <c r="I118">
        <f ca="1">(TODAY()-Table_All_Staff[[#This Row],[Date Joined]])/365</f>
        <v>2.3917808219178083</v>
      </c>
      <c r="J118" s="31">
        <f ca="1">ROUNDUP(IF(Table_All_Staff[Tenure]&gt;2,3%,2%)*Table_All_Staff[Salary],0)</f>
        <v>2629</v>
      </c>
      <c r="K118">
        <f>VLOOKUP(Table_All_Staff[[#This Row],[Rating]],'Pivot Tables'!$B$23:$C$27,2,FALSE)</f>
        <v>3</v>
      </c>
    </row>
    <row r="119" spans="1:11" x14ac:dyDescent="0.25">
      <c r="A119" t="s">
        <v>74</v>
      </c>
      <c r="B119" t="s">
        <v>8</v>
      </c>
      <c r="C119">
        <v>40</v>
      </c>
      <c r="D119" t="s">
        <v>16</v>
      </c>
      <c r="E119" s="2">
        <v>44337</v>
      </c>
      <c r="F119" t="s">
        <v>12</v>
      </c>
      <c r="G119" s="31">
        <v>87620</v>
      </c>
      <c r="H119" t="s">
        <v>206</v>
      </c>
      <c r="I119">
        <f ca="1">(TODAY()-Table_All_Staff[[#This Row],[Date Joined]])/365</f>
        <v>2.2246575342465755</v>
      </c>
      <c r="J119" s="31">
        <f ca="1">ROUNDUP(IF(Table_All_Staff[Tenure]&gt;2,3%,2%)*Table_All_Staff[Salary],0)</f>
        <v>2629</v>
      </c>
      <c r="K119">
        <f>VLOOKUP(Table_All_Staff[[#This Row],[Rating]],'Pivot Tables'!$B$23:$C$27,2,FALSE)</f>
        <v>3</v>
      </c>
    </row>
    <row r="120" spans="1:11" x14ac:dyDescent="0.25">
      <c r="A120" t="s">
        <v>117</v>
      </c>
      <c r="B120" t="s">
        <v>15</v>
      </c>
      <c r="C120">
        <v>37</v>
      </c>
      <c r="D120" t="s">
        <v>24</v>
      </c>
      <c r="E120" s="2">
        <v>44277</v>
      </c>
      <c r="F120" t="s">
        <v>12</v>
      </c>
      <c r="G120" s="31">
        <v>88050</v>
      </c>
      <c r="H120" t="s">
        <v>204</v>
      </c>
      <c r="I120">
        <f ca="1">(TODAY()-Table_All_Staff[[#This Row],[Date Joined]])/365</f>
        <v>2.3890410958904109</v>
      </c>
      <c r="J120" s="31">
        <f ca="1">ROUNDUP(IF(Table_All_Staff[Tenure]&gt;2,3%,2%)*Table_All_Staff[Salary],0)</f>
        <v>2642</v>
      </c>
      <c r="K120">
        <f>VLOOKUP(Table_All_Staff[[#This Row],[Rating]],'Pivot Tables'!$B$23:$C$27,2,FALSE)</f>
        <v>2</v>
      </c>
    </row>
    <row r="121" spans="1:11" x14ac:dyDescent="0.25">
      <c r="A121" t="s">
        <v>23</v>
      </c>
      <c r="B121" t="s">
        <v>15</v>
      </c>
      <c r="C121">
        <v>37</v>
      </c>
      <c r="D121" t="s">
        <v>24</v>
      </c>
      <c r="E121" s="2">
        <v>44338</v>
      </c>
      <c r="F121" t="s">
        <v>12</v>
      </c>
      <c r="G121" s="31">
        <v>88050</v>
      </c>
      <c r="H121" t="s">
        <v>206</v>
      </c>
      <c r="I121">
        <f ca="1">(TODAY()-Table_All_Staff[[#This Row],[Date Joined]])/365</f>
        <v>2.2219178082191782</v>
      </c>
      <c r="J121" s="31">
        <f ca="1">ROUNDUP(IF(Table_All_Staff[Tenure]&gt;2,3%,2%)*Table_All_Staff[Salary],0)</f>
        <v>2642</v>
      </c>
      <c r="K121">
        <f>VLOOKUP(Table_All_Staff[[#This Row],[Rating]],'Pivot Tables'!$B$23:$C$27,2,FALSE)</f>
        <v>2</v>
      </c>
    </row>
    <row r="122" spans="1:11" x14ac:dyDescent="0.25">
      <c r="A122" t="s">
        <v>111</v>
      </c>
      <c r="B122" t="s">
        <v>205</v>
      </c>
      <c r="C122">
        <v>27</v>
      </c>
      <c r="D122" t="s">
        <v>13</v>
      </c>
      <c r="E122" s="2">
        <v>44212</v>
      </c>
      <c r="F122" t="s">
        <v>12</v>
      </c>
      <c r="G122" s="31">
        <v>90700</v>
      </c>
      <c r="H122" t="s">
        <v>204</v>
      </c>
      <c r="I122">
        <f ca="1">(TODAY()-Table_All_Staff[[#This Row],[Date Joined]])/365</f>
        <v>2.5671232876712327</v>
      </c>
      <c r="J122" s="31">
        <f ca="1">ROUNDUP(IF(Table_All_Staff[Tenure]&gt;2,3%,2%)*Table_All_Staff[Salary],0)</f>
        <v>2721</v>
      </c>
      <c r="K122">
        <f>VLOOKUP(Table_All_Staff[[#This Row],[Rating]],'Pivot Tables'!$B$23:$C$27,2,FALSE)</f>
        <v>4</v>
      </c>
    </row>
    <row r="123" spans="1:11" x14ac:dyDescent="0.25">
      <c r="A123" t="s">
        <v>11</v>
      </c>
      <c r="B123" t="s">
        <v>205</v>
      </c>
      <c r="C123">
        <v>26</v>
      </c>
      <c r="D123" t="s">
        <v>13</v>
      </c>
      <c r="E123" s="2">
        <v>44271</v>
      </c>
      <c r="F123" t="s">
        <v>12</v>
      </c>
      <c r="G123" s="31">
        <v>90700</v>
      </c>
      <c r="H123" t="s">
        <v>206</v>
      </c>
      <c r="I123">
        <f ca="1">(TODAY()-Table_All_Staff[[#This Row],[Date Joined]])/365</f>
        <v>2.4054794520547946</v>
      </c>
      <c r="J123" s="31">
        <f ca="1">ROUNDUP(IF(Table_All_Staff[Tenure]&gt;2,3%,2%)*Table_All_Staff[Salary],0)</f>
        <v>2721</v>
      </c>
      <c r="K123">
        <f>VLOOKUP(Table_All_Staff[[#This Row],[Rating]],'Pivot Tables'!$B$23:$C$27,2,FALSE)</f>
        <v>4</v>
      </c>
    </row>
    <row r="124" spans="1:11" x14ac:dyDescent="0.25">
      <c r="A124" t="s">
        <v>144</v>
      </c>
      <c r="B124" t="s">
        <v>205</v>
      </c>
      <c r="C124">
        <v>32</v>
      </c>
      <c r="D124" t="s">
        <v>16</v>
      </c>
      <c r="E124" s="2">
        <v>44713</v>
      </c>
      <c r="F124" t="s">
        <v>12</v>
      </c>
      <c r="G124" s="31">
        <v>91310</v>
      </c>
      <c r="H124" t="s">
        <v>204</v>
      </c>
      <c r="I124">
        <f ca="1">(TODAY()-Table_All_Staff[[#This Row],[Date Joined]])/365</f>
        <v>1.1945205479452055</v>
      </c>
      <c r="J124" s="31">
        <f ca="1">ROUNDUP(IF(Table_All_Staff[Tenure]&gt;2,3%,2%)*Table_All_Staff[Salary],0)</f>
        <v>1827</v>
      </c>
      <c r="K124">
        <f>VLOOKUP(Table_All_Staff[[#This Row],[Rating]],'Pivot Tables'!$B$23:$C$27,2,FALSE)</f>
        <v>3</v>
      </c>
    </row>
    <row r="125" spans="1:11" x14ac:dyDescent="0.25">
      <c r="A125" t="s">
        <v>52</v>
      </c>
      <c r="B125" t="s">
        <v>205</v>
      </c>
      <c r="C125">
        <v>32</v>
      </c>
      <c r="D125" t="s">
        <v>16</v>
      </c>
      <c r="E125" s="2">
        <v>44774</v>
      </c>
      <c r="F125" t="s">
        <v>12</v>
      </c>
      <c r="G125" s="31">
        <v>91310</v>
      </c>
      <c r="H125" t="s">
        <v>206</v>
      </c>
      <c r="I125">
        <f ca="1">(TODAY()-Table_All_Staff[[#This Row],[Date Joined]])/365</f>
        <v>1.0273972602739727</v>
      </c>
      <c r="J125" s="31">
        <f ca="1">ROUNDUP(IF(Table_All_Staff[Tenure]&gt;2,3%,2%)*Table_All_Staff[Salary],0)</f>
        <v>1827</v>
      </c>
      <c r="K125">
        <f>VLOOKUP(Table_All_Staff[[#This Row],[Rating]],'Pivot Tables'!$B$23:$C$27,2,FALSE)</f>
        <v>3</v>
      </c>
    </row>
    <row r="126" spans="1:11" x14ac:dyDescent="0.25">
      <c r="A126" t="s">
        <v>159</v>
      </c>
      <c r="B126" t="s">
        <v>15</v>
      </c>
      <c r="C126">
        <v>27</v>
      </c>
      <c r="D126" t="s">
        <v>13</v>
      </c>
      <c r="E126" s="2">
        <v>44174</v>
      </c>
      <c r="F126" t="s">
        <v>21</v>
      </c>
      <c r="G126" s="31">
        <v>91650</v>
      </c>
      <c r="H126" t="s">
        <v>204</v>
      </c>
      <c r="I126">
        <f ca="1">(TODAY()-Table_All_Staff[[#This Row],[Date Joined]])/365</f>
        <v>2.6712328767123288</v>
      </c>
      <c r="J126" s="31">
        <f ca="1">ROUNDUP(IF(Table_All_Staff[Tenure]&gt;2,3%,2%)*Table_All_Staff[Salary],0)</f>
        <v>2750</v>
      </c>
      <c r="K126">
        <f>VLOOKUP(Table_All_Staff[[#This Row],[Rating]],'Pivot Tables'!$B$23:$C$27,2,FALSE)</f>
        <v>4</v>
      </c>
    </row>
    <row r="127" spans="1:11" x14ac:dyDescent="0.25">
      <c r="A127" t="s">
        <v>68</v>
      </c>
      <c r="B127" t="s">
        <v>15</v>
      </c>
      <c r="C127">
        <v>27</v>
      </c>
      <c r="D127" t="s">
        <v>13</v>
      </c>
      <c r="E127" s="2">
        <v>44236</v>
      </c>
      <c r="F127" t="s">
        <v>21</v>
      </c>
      <c r="G127" s="31">
        <v>91650</v>
      </c>
      <c r="H127" t="s">
        <v>206</v>
      </c>
      <c r="I127">
        <f ca="1">(TODAY()-Table_All_Staff[[#This Row],[Date Joined]])/365</f>
        <v>2.5013698630136987</v>
      </c>
      <c r="J127" s="31">
        <f ca="1">ROUNDUP(IF(Table_All_Staff[Tenure]&gt;2,3%,2%)*Table_All_Staff[Salary],0)</f>
        <v>2750</v>
      </c>
      <c r="K127">
        <f>VLOOKUP(Table_All_Staff[[#This Row],[Rating]],'Pivot Tables'!$B$23:$C$27,2,FALSE)</f>
        <v>4</v>
      </c>
    </row>
    <row r="128" spans="1:11" x14ac:dyDescent="0.25">
      <c r="A128" t="s">
        <v>194</v>
      </c>
      <c r="B128" t="s">
        <v>8</v>
      </c>
      <c r="C128">
        <v>34</v>
      </c>
      <c r="D128" t="s">
        <v>16</v>
      </c>
      <c r="E128" s="2">
        <v>44383</v>
      </c>
      <c r="F128" t="s">
        <v>21</v>
      </c>
      <c r="G128" s="31">
        <v>92450</v>
      </c>
      <c r="H128" t="s">
        <v>204</v>
      </c>
      <c r="I128">
        <f ca="1">(TODAY()-Table_All_Staff[[#This Row],[Date Joined]])/365</f>
        <v>2.0986301369863014</v>
      </c>
      <c r="J128" s="31">
        <f ca="1">ROUNDUP(IF(Table_All_Staff[Tenure]&gt;2,3%,2%)*Table_All_Staff[Salary],0)</f>
        <v>2774</v>
      </c>
      <c r="K128">
        <f>VLOOKUP(Table_All_Staff[[#This Row],[Rating]],'Pivot Tables'!$B$23:$C$27,2,FALSE)</f>
        <v>3</v>
      </c>
    </row>
    <row r="129" spans="1:11" x14ac:dyDescent="0.25">
      <c r="A129" t="s">
        <v>102</v>
      </c>
      <c r="B129" t="s">
        <v>8</v>
      </c>
      <c r="C129">
        <v>34</v>
      </c>
      <c r="D129" t="s">
        <v>16</v>
      </c>
      <c r="E129" s="2">
        <v>44445</v>
      </c>
      <c r="F129" t="s">
        <v>21</v>
      </c>
      <c r="G129" s="31">
        <v>92450</v>
      </c>
      <c r="H129" t="s">
        <v>206</v>
      </c>
      <c r="I129">
        <f ca="1">(TODAY()-Table_All_Staff[[#This Row],[Date Joined]])/365</f>
        <v>1.9287671232876713</v>
      </c>
      <c r="J129" s="31">
        <f ca="1">ROUNDUP(IF(Table_All_Staff[Tenure]&gt;2,3%,2%)*Table_All_Staff[Salary],0)</f>
        <v>1849</v>
      </c>
      <c r="K129">
        <f>VLOOKUP(Table_All_Staff[[#This Row],[Rating]],'Pivot Tables'!$B$23:$C$27,2,FALSE)</f>
        <v>3</v>
      </c>
    </row>
    <row r="130" spans="1:11" x14ac:dyDescent="0.25">
      <c r="A130" t="s">
        <v>168</v>
      </c>
      <c r="B130" t="s">
        <v>8</v>
      </c>
      <c r="C130">
        <v>25</v>
      </c>
      <c r="D130" t="s">
        <v>16</v>
      </c>
      <c r="E130" s="2">
        <v>44144</v>
      </c>
      <c r="F130" t="s">
        <v>19</v>
      </c>
      <c r="G130" s="31">
        <v>92700</v>
      </c>
      <c r="H130" t="s">
        <v>204</v>
      </c>
      <c r="I130">
        <f ca="1">(TODAY()-Table_All_Staff[[#This Row],[Date Joined]])/365</f>
        <v>2.7534246575342465</v>
      </c>
      <c r="J130" s="31">
        <f ca="1">ROUNDUP(IF(Table_All_Staff[Tenure]&gt;2,3%,2%)*Table_All_Staff[Salary],0)</f>
        <v>2781</v>
      </c>
      <c r="K130">
        <f>VLOOKUP(Table_All_Staff[[#This Row],[Rating]],'Pivot Tables'!$B$23:$C$27,2,FALSE)</f>
        <v>3</v>
      </c>
    </row>
    <row r="131" spans="1:11" x14ac:dyDescent="0.25">
      <c r="A131" t="s">
        <v>77</v>
      </c>
      <c r="B131" t="s">
        <v>8</v>
      </c>
      <c r="C131">
        <v>25</v>
      </c>
      <c r="D131" t="s">
        <v>16</v>
      </c>
      <c r="E131" s="2">
        <v>44205</v>
      </c>
      <c r="F131" t="s">
        <v>19</v>
      </c>
      <c r="G131" s="31">
        <v>92700</v>
      </c>
      <c r="H131" t="s">
        <v>206</v>
      </c>
      <c r="I131">
        <f ca="1">(TODAY()-Table_All_Staff[[#This Row],[Date Joined]])/365</f>
        <v>2.5863013698630137</v>
      </c>
      <c r="J131" s="31">
        <f ca="1">ROUNDUP(IF(Table_All_Staff[Tenure]&gt;2,3%,2%)*Table_All_Staff[Salary],0)</f>
        <v>2781</v>
      </c>
      <c r="K131">
        <f>VLOOKUP(Table_All_Staff[[#This Row],[Rating]],'Pivot Tables'!$B$23:$C$27,2,FALSE)</f>
        <v>3</v>
      </c>
    </row>
    <row r="132" spans="1:11" x14ac:dyDescent="0.25">
      <c r="A132" t="s">
        <v>162</v>
      </c>
      <c r="B132" t="s">
        <v>8</v>
      </c>
      <c r="C132">
        <v>33</v>
      </c>
      <c r="D132" t="s">
        <v>16</v>
      </c>
      <c r="E132" s="2">
        <v>44129</v>
      </c>
      <c r="F132" t="s">
        <v>12</v>
      </c>
      <c r="G132" s="31">
        <v>96140</v>
      </c>
      <c r="H132" t="s">
        <v>204</v>
      </c>
      <c r="I132">
        <f ca="1">(TODAY()-Table_All_Staff[[#This Row],[Date Joined]])/365</f>
        <v>2.7945205479452055</v>
      </c>
      <c r="J132" s="31">
        <f ca="1">ROUNDUP(IF(Table_All_Staff[Tenure]&gt;2,3%,2%)*Table_All_Staff[Salary],0)</f>
        <v>2885</v>
      </c>
      <c r="K132">
        <f>VLOOKUP(Table_All_Staff[[#This Row],[Rating]],'Pivot Tables'!$B$23:$C$27,2,FALSE)</f>
        <v>3</v>
      </c>
    </row>
    <row r="133" spans="1:11" x14ac:dyDescent="0.25">
      <c r="A133" t="s">
        <v>71</v>
      </c>
      <c r="B133" t="s">
        <v>8</v>
      </c>
      <c r="C133">
        <v>33</v>
      </c>
      <c r="D133" t="s">
        <v>16</v>
      </c>
      <c r="E133" s="2">
        <v>44190</v>
      </c>
      <c r="F133" t="s">
        <v>12</v>
      </c>
      <c r="G133" s="31">
        <v>96140</v>
      </c>
      <c r="H133" t="s">
        <v>206</v>
      </c>
      <c r="I133">
        <f ca="1">(TODAY()-Table_All_Staff[[#This Row],[Date Joined]])/365</f>
        <v>2.6273972602739728</v>
      </c>
      <c r="J133" s="31">
        <f ca="1">ROUNDUP(IF(Table_All_Staff[Tenure]&gt;2,3%,2%)*Table_All_Staff[Salary],0)</f>
        <v>2885</v>
      </c>
      <c r="K133">
        <f>VLOOKUP(Table_All_Staff[[#This Row],[Rating]],'Pivot Tables'!$B$23:$C$27,2,FALSE)</f>
        <v>3</v>
      </c>
    </row>
    <row r="134" spans="1:11" x14ac:dyDescent="0.25">
      <c r="A134" t="s">
        <v>176</v>
      </c>
      <c r="B134" t="s">
        <v>15</v>
      </c>
      <c r="C134">
        <v>30</v>
      </c>
      <c r="D134" t="s">
        <v>16</v>
      </c>
      <c r="E134" s="2">
        <v>44544</v>
      </c>
      <c r="F134" t="s">
        <v>21</v>
      </c>
      <c r="G134" s="31">
        <v>96800</v>
      </c>
      <c r="H134" t="s">
        <v>204</v>
      </c>
      <c r="I134">
        <f ca="1">(TODAY()-Table_All_Staff[[#This Row],[Date Joined]])/365</f>
        <v>1.6575342465753424</v>
      </c>
      <c r="J134" s="31">
        <f ca="1">ROUNDUP(IF(Table_All_Staff[Tenure]&gt;2,3%,2%)*Table_All_Staff[Salary],0)</f>
        <v>1936</v>
      </c>
      <c r="K134">
        <f>VLOOKUP(Table_All_Staff[[#This Row],[Rating]],'Pivot Tables'!$B$23:$C$27,2,FALSE)</f>
        <v>3</v>
      </c>
    </row>
    <row r="135" spans="1:11" x14ac:dyDescent="0.25">
      <c r="A135" t="s">
        <v>85</v>
      </c>
      <c r="B135" t="s">
        <v>15</v>
      </c>
      <c r="C135">
        <v>30</v>
      </c>
      <c r="D135" t="s">
        <v>16</v>
      </c>
      <c r="E135" s="2">
        <v>44606</v>
      </c>
      <c r="F135" t="s">
        <v>21</v>
      </c>
      <c r="G135" s="31">
        <v>96800</v>
      </c>
      <c r="H135" t="s">
        <v>206</v>
      </c>
      <c r="I135">
        <f ca="1">(TODAY()-Table_All_Staff[[#This Row],[Date Joined]])/365</f>
        <v>1.4876712328767123</v>
      </c>
      <c r="J135" s="31">
        <f ca="1">ROUNDUP(IF(Table_All_Staff[Tenure]&gt;2,3%,2%)*Table_All_Staff[Salary],0)</f>
        <v>1936</v>
      </c>
      <c r="K135">
        <f>VLOOKUP(Table_All_Staff[[#This Row],[Rating]],'Pivot Tables'!$B$23:$C$27,2,FALSE)</f>
        <v>3</v>
      </c>
    </row>
    <row r="136" spans="1:11" x14ac:dyDescent="0.25">
      <c r="A136" t="s">
        <v>197</v>
      </c>
      <c r="B136" t="s">
        <v>15</v>
      </c>
      <c r="C136">
        <v>40</v>
      </c>
      <c r="D136" t="s">
        <v>16</v>
      </c>
      <c r="E136" s="2">
        <v>44204</v>
      </c>
      <c r="F136" t="s">
        <v>9</v>
      </c>
      <c r="G136" s="31">
        <v>99750</v>
      </c>
      <c r="H136" t="s">
        <v>204</v>
      </c>
      <c r="I136">
        <f ca="1">(TODAY()-Table_All_Staff[[#This Row],[Date Joined]])/365</f>
        <v>2.5890410958904111</v>
      </c>
      <c r="J136" s="31">
        <f ca="1">ROUNDUP(IF(Table_All_Staff[Tenure]&gt;2,3%,2%)*Table_All_Staff[Salary],0)</f>
        <v>2993</v>
      </c>
      <c r="K136">
        <f>VLOOKUP(Table_All_Staff[[#This Row],[Rating]],'Pivot Tables'!$B$23:$C$27,2,FALSE)</f>
        <v>3</v>
      </c>
    </row>
    <row r="137" spans="1:11" x14ac:dyDescent="0.25">
      <c r="A137" t="s">
        <v>105</v>
      </c>
      <c r="B137" t="s">
        <v>15</v>
      </c>
      <c r="C137">
        <v>40</v>
      </c>
      <c r="D137" t="s">
        <v>16</v>
      </c>
      <c r="E137" s="2">
        <v>44263</v>
      </c>
      <c r="F137" t="s">
        <v>9</v>
      </c>
      <c r="G137" s="31">
        <v>99750</v>
      </c>
      <c r="H137" t="s">
        <v>206</v>
      </c>
      <c r="I137">
        <f ca="1">(TODAY()-Table_All_Staff[[#This Row],[Date Joined]])/365</f>
        <v>2.4273972602739726</v>
      </c>
      <c r="J137" s="31">
        <f ca="1">ROUNDUP(IF(Table_All_Staff[Tenure]&gt;2,3%,2%)*Table_All_Staff[Salary],0)</f>
        <v>2993</v>
      </c>
      <c r="K137">
        <f>VLOOKUP(Table_All_Staff[[#This Row],[Rating]],'Pivot Tables'!$B$23:$C$27,2,FALSE)</f>
        <v>3</v>
      </c>
    </row>
    <row r="138" spans="1:11" x14ac:dyDescent="0.25">
      <c r="A138" t="s">
        <v>199</v>
      </c>
      <c r="B138" t="s">
        <v>8</v>
      </c>
      <c r="C138">
        <v>28</v>
      </c>
      <c r="D138" t="s">
        <v>16</v>
      </c>
      <c r="E138" s="2">
        <v>44571</v>
      </c>
      <c r="F138" t="s">
        <v>9</v>
      </c>
      <c r="G138" s="31">
        <v>99970</v>
      </c>
      <c r="H138" t="s">
        <v>204</v>
      </c>
      <c r="I138">
        <f ca="1">(TODAY()-Table_All_Staff[[#This Row],[Date Joined]])/365</f>
        <v>1.5835616438356164</v>
      </c>
      <c r="J138" s="31">
        <f ca="1">ROUNDUP(IF(Table_All_Staff[Tenure]&gt;2,3%,2%)*Table_All_Staff[Salary],0)</f>
        <v>2000</v>
      </c>
      <c r="K138">
        <f>VLOOKUP(Table_All_Staff[[#This Row],[Rating]],'Pivot Tables'!$B$23:$C$27,2,FALSE)</f>
        <v>3</v>
      </c>
    </row>
    <row r="139" spans="1:11" x14ac:dyDescent="0.25">
      <c r="A139" t="s">
        <v>107</v>
      </c>
      <c r="B139" t="s">
        <v>8</v>
      </c>
      <c r="C139">
        <v>28</v>
      </c>
      <c r="D139" t="s">
        <v>16</v>
      </c>
      <c r="E139" s="2">
        <v>44630</v>
      </c>
      <c r="F139" t="s">
        <v>9</v>
      </c>
      <c r="G139" s="31">
        <v>99970</v>
      </c>
      <c r="H139" t="s">
        <v>206</v>
      </c>
      <c r="I139">
        <f ca="1">(TODAY()-Table_All_Staff[[#This Row],[Date Joined]])/365</f>
        <v>1.4219178082191781</v>
      </c>
      <c r="J139" s="31">
        <f ca="1">ROUNDUP(IF(Table_All_Staff[Tenure]&gt;2,3%,2%)*Table_All_Staff[Salary],0)</f>
        <v>2000</v>
      </c>
      <c r="K139">
        <f>VLOOKUP(Table_All_Staff[[#This Row],[Rating]],'Pivot Tables'!$B$23:$C$27,2,FALSE)</f>
        <v>3</v>
      </c>
    </row>
    <row r="140" spans="1:11" x14ac:dyDescent="0.25">
      <c r="A140" t="s">
        <v>195</v>
      </c>
      <c r="B140" t="s">
        <v>15</v>
      </c>
      <c r="C140">
        <v>24</v>
      </c>
      <c r="D140" t="s">
        <v>16</v>
      </c>
      <c r="E140" s="2">
        <v>44625</v>
      </c>
      <c r="F140" t="s">
        <v>12</v>
      </c>
      <c r="G140" s="31">
        <v>100420</v>
      </c>
      <c r="H140" t="s">
        <v>204</v>
      </c>
      <c r="I140">
        <f ca="1">(TODAY()-Table_All_Staff[[#This Row],[Date Joined]])/365</f>
        <v>1.4356164383561645</v>
      </c>
      <c r="J140" s="31">
        <f ca="1">ROUNDUP(IF(Table_All_Staff[Tenure]&gt;2,3%,2%)*Table_All_Staff[Salary],0)</f>
        <v>2009</v>
      </c>
      <c r="K140">
        <f>VLOOKUP(Table_All_Staff[[#This Row],[Rating]],'Pivot Tables'!$B$23:$C$27,2,FALSE)</f>
        <v>3</v>
      </c>
    </row>
    <row r="141" spans="1:11" x14ac:dyDescent="0.25">
      <c r="A141" t="s">
        <v>103</v>
      </c>
      <c r="B141" t="s">
        <v>15</v>
      </c>
      <c r="C141">
        <v>24</v>
      </c>
      <c r="D141" t="s">
        <v>16</v>
      </c>
      <c r="E141" s="2">
        <v>44686</v>
      </c>
      <c r="F141" t="s">
        <v>12</v>
      </c>
      <c r="G141" s="31">
        <v>100420</v>
      </c>
      <c r="H141" t="s">
        <v>206</v>
      </c>
      <c r="I141">
        <f ca="1">(TODAY()-Table_All_Staff[[#This Row],[Date Joined]])/365</f>
        <v>1.2684931506849315</v>
      </c>
      <c r="J141" s="31">
        <f ca="1">ROUNDUP(IF(Table_All_Staff[Tenure]&gt;2,3%,2%)*Table_All_Staff[Salary],0)</f>
        <v>2009</v>
      </c>
      <c r="K141">
        <f>VLOOKUP(Table_All_Staff[[#This Row],[Rating]],'Pivot Tables'!$B$23:$C$27,2,FALSE)</f>
        <v>3</v>
      </c>
    </row>
    <row r="142" spans="1:11" x14ac:dyDescent="0.25">
      <c r="A142" t="s">
        <v>142</v>
      </c>
      <c r="B142" t="s">
        <v>15</v>
      </c>
      <c r="C142">
        <v>31</v>
      </c>
      <c r="D142" t="s">
        <v>16</v>
      </c>
      <c r="E142" s="2">
        <v>44663</v>
      </c>
      <c r="F142" t="s">
        <v>9</v>
      </c>
      <c r="G142" s="31">
        <v>103550</v>
      </c>
      <c r="H142" t="s">
        <v>204</v>
      </c>
      <c r="I142">
        <f ca="1">(TODAY()-Table_All_Staff[[#This Row],[Date Joined]])/365</f>
        <v>1.3315068493150686</v>
      </c>
      <c r="J142" s="31">
        <f ca="1">ROUNDUP(IF(Table_All_Staff[Tenure]&gt;2,3%,2%)*Table_All_Staff[Salary],0)</f>
        <v>2071</v>
      </c>
      <c r="K142">
        <f>VLOOKUP(Table_All_Staff[[#This Row],[Rating]],'Pivot Tables'!$B$23:$C$27,2,FALSE)</f>
        <v>3</v>
      </c>
    </row>
    <row r="143" spans="1:11" x14ac:dyDescent="0.25">
      <c r="A143" t="s">
        <v>50</v>
      </c>
      <c r="B143" t="s">
        <v>15</v>
      </c>
      <c r="C143">
        <v>31</v>
      </c>
      <c r="D143" t="s">
        <v>16</v>
      </c>
      <c r="E143" s="2">
        <v>44724</v>
      </c>
      <c r="F143" t="s">
        <v>9</v>
      </c>
      <c r="G143" s="31">
        <v>103550</v>
      </c>
      <c r="H143" t="s">
        <v>206</v>
      </c>
      <c r="I143">
        <f ca="1">(TODAY()-Table_All_Staff[[#This Row],[Date Joined]])/365</f>
        <v>1.1643835616438356</v>
      </c>
      <c r="J143" s="31">
        <f ca="1">ROUNDUP(IF(Table_All_Staff[Tenure]&gt;2,3%,2%)*Table_All_Staff[Salary],0)</f>
        <v>2071</v>
      </c>
      <c r="K143">
        <f>VLOOKUP(Table_All_Staff[[#This Row],[Rating]],'Pivot Tables'!$B$23:$C$27,2,FALSE)</f>
        <v>3</v>
      </c>
    </row>
    <row r="144" spans="1:11" x14ac:dyDescent="0.25">
      <c r="A144" t="s">
        <v>188</v>
      </c>
      <c r="B144" t="s">
        <v>8</v>
      </c>
      <c r="C144">
        <v>28</v>
      </c>
      <c r="D144" t="s">
        <v>16</v>
      </c>
      <c r="E144" s="2">
        <v>44590</v>
      </c>
      <c r="F144" t="s">
        <v>9</v>
      </c>
      <c r="G144" s="31">
        <v>104120</v>
      </c>
      <c r="H144" t="s">
        <v>204</v>
      </c>
      <c r="I144">
        <f ca="1">(TODAY()-Table_All_Staff[[#This Row],[Date Joined]])/365</f>
        <v>1.5315068493150685</v>
      </c>
      <c r="J144" s="31">
        <f ca="1">ROUNDUP(IF(Table_All_Staff[Tenure]&gt;2,3%,2%)*Table_All_Staff[Salary],0)</f>
        <v>2083</v>
      </c>
      <c r="K144">
        <f>VLOOKUP(Table_All_Staff[[#This Row],[Rating]],'Pivot Tables'!$B$23:$C$27,2,FALSE)</f>
        <v>3</v>
      </c>
    </row>
    <row r="145" spans="1:11" x14ac:dyDescent="0.25">
      <c r="A145" t="s">
        <v>96</v>
      </c>
      <c r="B145" t="s">
        <v>8</v>
      </c>
      <c r="C145">
        <v>28</v>
      </c>
      <c r="D145" t="s">
        <v>16</v>
      </c>
      <c r="E145" s="2">
        <v>44649</v>
      </c>
      <c r="F145" t="s">
        <v>9</v>
      </c>
      <c r="G145" s="31">
        <v>104120</v>
      </c>
      <c r="H145" t="s">
        <v>206</v>
      </c>
      <c r="I145">
        <f ca="1">(TODAY()-Table_All_Staff[[#This Row],[Date Joined]])/365</f>
        <v>1.3698630136986301</v>
      </c>
      <c r="J145" s="31">
        <f ca="1">ROUNDUP(IF(Table_All_Staff[Tenure]&gt;2,3%,2%)*Table_All_Staff[Salary],0)</f>
        <v>2083</v>
      </c>
      <c r="K145">
        <f>VLOOKUP(Table_All_Staff[[#This Row],[Rating]],'Pivot Tables'!$B$23:$C$27,2,FALSE)</f>
        <v>3</v>
      </c>
    </row>
    <row r="146" spans="1:11" x14ac:dyDescent="0.25">
      <c r="A146" t="s">
        <v>193</v>
      </c>
      <c r="B146" t="s">
        <v>8</v>
      </c>
      <c r="C146">
        <v>40</v>
      </c>
      <c r="D146" t="s">
        <v>16</v>
      </c>
      <c r="E146" s="2">
        <v>44320</v>
      </c>
      <c r="F146" t="s">
        <v>12</v>
      </c>
      <c r="G146" s="31">
        <v>104410</v>
      </c>
      <c r="H146" t="s">
        <v>204</v>
      </c>
      <c r="I146">
        <f ca="1">(TODAY()-Table_All_Staff[[#This Row],[Date Joined]])/365</f>
        <v>2.2712328767123289</v>
      </c>
      <c r="J146" s="31">
        <f ca="1">ROUNDUP(IF(Table_All_Staff[Tenure]&gt;2,3%,2%)*Table_All_Staff[Salary],0)</f>
        <v>3133</v>
      </c>
      <c r="K146">
        <f>VLOOKUP(Table_All_Staff[[#This Row],[Rating]],'Pivot Tables'!$B$23:$C$27,2,FALSE)</f>
        <v>3</v>
      </c>
    </row>
    <row r="147" spans="1:11" x14ac:dyDescent="0.25">
      <c r="A147" t="s">
        <v>101</v>
      </c>
      <c r="B147" t="s">
        <v>8</v>
      </c>
      <c r="C147">
        <v>40</v>
      </c>
      <c r="D147" t="s">
        <v>16</v>
      </c>
      <c r="E147" s="2">
        <v>44381</v>
      </c>
      <c r="F147" t="s">
        <v>12</v>
      </c>
      <c r="G147" s="31">
        <v>104410</v>
      </c>
      <c r="H147" t="s">
        <v>206</v>
      </c>
      <c r="I147">
        <f ca="1">(TODAY()-Table_All_Staff[[#This Row],[Date Joined]])/365</f>
        <v>2.1041095890410957</v>
      </c>
      <c r="J147" s="31">
        <f ca="1">ROUNDUP(IF(Table_All_Staff[Tenure]&gt;2,3%,2%)*Table_All_Staff[Salary],0)</f>
        <v>3133</v>
      </c>
      <c r="K147">
        <f>VLOOKUP(Table_All_Staff[[#This Row],[Rating]],'Pivot Tables'!$B$23:$C$27,2,FALSE)</f>
        <v>3</v>
      </c>
    </row>
    <row r="148" spans="1:11" x14ac:dyDescent="0.25">
      <c r="A148" t="s">
        <v>135</v>
      </c>
      <c r="B148" t="s">
        <v>8</v>
      </c>
      <c r="C148">
        <v>28</v>
      </c>
      <c r="D148" t="s">
        <v>16</v>
      </c>
      <c r="E148" s="2">
        <v>44425</v>
      </c>
      <c r="F148" t="s">
        <v>9</v>
      </c>
      <c r="G148" s="31">
        <v>104770</v>
      </c>
      <c r="H148" t="s">
        <v>204</v>
      </c>
      <c r="I148">
        <f ca="1">(TODAY()-Table_All_Staff[[#This Row],[Date Joined]])/365</f>
        <v>1.9835616438356165</v>
      </c>
      <c r="J148" s="31">
        <f ca="1">ROUNDUP(IF(Table_All_Staff[Tenure]&gt;2,3%,2%)*Table_All_Staff[Salary],0)</f>
        <v>2096</v>
      </c>
      <c r="K148">
        <f>VLOOKUP(Table_All_Staff[[#This Row],[Rating]],'Pivot Tables'!$B$23:$C$27,2,FALSE)</f>
        <v>3</v>
      </c>
    </row>
    <row r="149" spans="1:11" x14ac:dyDescent="0.25">
      <c r="A149" t="s">
        <v>43</v>
      </c>
      <c r="B149" t="s">
        <v>8</v>
      </c>
      <c r="C149">
        <v>28</v>
      </c>
      <c r="D149" t="s">
        <v>16</v>
      </c>
      <c r="E149" s="2">
        <v>44486</v>
      </c>
      <c r="F149" t="s">
        <v>9</v>
      </c>
      <c r="G149" s="31">
        <v>104770</v>
      </c>
      <c r="H149" t="s">
        <v>206</v>
      </c>
      <c r="I149">
        <f ca="1">(TODAY()-Table_All_Staff[[#This Row],[Date Joined]])/365</f>
        <v>1.8164383561643835</v>
      </c>
      <c r="J149" s="31">
        <f ca="1">ROUNDUP(IF(Table_All_Staff[Tenure]&gt;2,3%,2%)*Table_All_Staff[Salary],0)</f>
        <v>2096</v>
      </c>
      <c r="K149">
        <f>VLOOKUP(Table_All_Staff[[#This Row],[Rating]],'Pivot Tables'!$B$23:$C$27,2,FALSE)</f>
        <v>3</v>
      </c>
    </row>
    <row r="150" spans="1:11" x14ac:dyDescent="0.25">
      <c r="A150" t="s">
        <v>160</v>
      </c>
      <c r="B150" t="s">
        <v>15</v>
      </c>
      <c r="C150">
        <v>23</v>
      </c>
      <c r="D150" t="s">
        <v>16</v>
      </c>
      <c r="E150" s="2">
        <v>44378</v>
      </c>
      <c r="F150" t="s">
        <v>9</v>
      </c>
      <c r="G150" s="31">
        <v>106460</v>
      </c>
      <c r="H150" t="s">
        <v>204</v>
      </c>
      <c r="I150">
        <f ca="1">(TODAY()-Table_All_Staff[[#This Row],[Date Joined]])/365</f>
        <v>2.1123287671232878</v>
      </c>
      <c r="J150" s="31">
        <f ca="1">ROUNDUP(IF(Table_All_Staff[Tenure]&gt;2,3%,2%)*Table_All_Staff[Salary],0)</f>
        <v>3194</v>
      </c>
      <c r="K150">
        <f>VLOOKUP(Table_All_Staff[[#This Row],[Rating]],'Pivot Tables'!$B$23:$C$27,2,FALSE)</f>
        <v>3</v>
      </c>
    </row>
    <row r="151" spans="1:11" x14ac:dyDescent="0.25">
      <c r="A151" t="s">
        <v>69</v>
      </c>
      <c r="B151" t="s">
        <v>15</v>
      </c>
      <c r="C151">
        <v>23</v>
      </c>
      <c r="D151" t="s">
        <v>16</v>
      </c>
      <c r="E151" s="2">
        <v>44440</v>
      </c>
      <c r="F151" t="s">
        <v>9</v>
      </c>
      <c r="G151" s="31">
        <v>106460</v>
      </c>
      <c r="H151" t="s">
        <v>206</v>
      </c>
      <c r="I151">
        <f ca="1">(TODAY()-Table_All_Staff[[#This Row],[Date Joined]])/365</f>
        <v>1.9424657534246574</v>
      </c>
      <c r="J151" s="31">
        <f ca="1">ROUNDUP(IF(Table_All_Staff[Tenure]&gt;2,3%,2%)*Table_All_Staff[Salary],0)</f>
        <v>2130</v>
      </c>
      <c r="K151">
        <f>VLOOKUP(Table_All_Staff[[#This Row],[Rating]],'Pivot Tables'!$B$23:$C$27,2,FALSE)</f>
        <v>3</v>
      </c>
    </row>
    <row r="152" spans="1:11" x14ac:dyDescent="0.25">
      <c r="A152" t="s">
        <v>116</v>
      </c>
      <c r="B152" t="s">
        <v>15</v>
      </c>
      <c r="C152">
        <v>20</v>
      </c>
      <c r="D152" t="s">
        <v>16</v>
      </c>
      <c r="E152" s="2">
        <v>44397</v>
      </c>
      <c r="F152" t="s">
        <v>12</v>
      </c>
      <c r="G152" s="31">
        <v>107700</v>
      </c>
      <c r="H152" t="s">
        <v>204</v>
      </c>
      <c r="I152">
        <f ca="1">(TODAY()-Table_All_Staff[[#This Row],[Date Joined]])/365</f>
        <v>2.0602739726027397</v>
      </c>
      <c r="J152" s="31">
        <f ca="1">ROUNDUP(IF(Table_All_Staff[Tenure]&gt;2,3%,2%)*Table_All_Staff[Salary],0)</f>
        <v>3231</v>
      </c>
      <c r="K152">
        <f>VLOOKUP(Table_All_Staff[[#This Row],[Rating]],'Pivot Tables'!$B$23:$C$27,2,FALSE)</f>
        <v>3</v>
      </c>
    </row>
    <row r="153" spans="1:11" x14ac:dyDescent="0.25">
      <c r="A153" t="s">
        <v>22</v>
      </c>
      <c r="B153" t="s">
        <v>15</v>
      </c>
      <c r="C153">
        <v>20</v>
      </c>
      <c r="D153" t="s">
        <v>16</v>
      </c>
      <c r="E153" s="2">
        <v>44459</v>
      </c>
      <c r="F153" t="s">
        <v>12</v>
      </c>
      <c r="G153" s="31">
        <v>107700</v>
      </c>
      <c r="H153" t="s">
        <v>206</v>
      </c>
      <c r="I153">
        <f ca="1">(TODAY()-Table_All_Staff[[#This Row],[Date Joined]])/365</f>
        <v>1.8904109589041096</v>
      </c>
      <c r="J153" s="31">
        <f ca="1">ROUNDUP(IF(Table_All_Staff[Tenure]&gt;2,3%,2%)*Table_All_Staff[Salary],0)</f>
        <v>2154</v>
      </c>
      <c r="K153">
        <f>VLOOKUP(Table_All_Staff[[#This Row],[Rating]],'Pivot Tables'!$B$23:$C$27,2,FALSE)</f>
        <v>3</v>
      </c>
    </row>
    <row r="154" spans="1:11" x14ac:dyDescent="0.25">
      <c r="A154" t="s">
        <v>126</v>
      </c>
      <c r="B154" t="s">
        <v>8</v>
      </c>
      <c r="C154">
        <v>38</v>
      </c>
      <c r="D154" t="s">
        <v>10</v>
      </c>
      <c r="E154" s="2">
        <v>44316</v>
      </c>
      <c r="F154" t="s">
        <v>19</v>
      </c>
      <c r="G154" s="31">
        <v>109160</v>
      </c>
      <c r="H154" t="s">
        <v>204</v>
      </c>
      <c r="I154">
        <f ca="1">(TODAY()-Table_All_Staff[[#This Row],[Date Joined]])/365</f>
        <v>2.2821917808219179</v>
      </c>
      <c r="J154" s="31">
        <f ca="1">ROUNDUP(IF(Table_All_Staff[Tenure]&gt;2,3%,2%)*Table_All_Staff[Salary],0)</f>
        <v>3275</v>
      </c>
      <c r="K154">
        <f>VLOOKUP(Table_All_Staff[[#This Row],[Rating]],'Pivot Tables'!$B$23:$C$27,2,FALSE)</f>
        <v>5</v>
      </c>
    </row>
    <row r="155" spans="1:11" x14ac:dyDescent="0.25">
      <c r="A155" t="s">
        <v>33</v>
      </c>
      <c r="B155" t="s">
        <v>8</v>
      </c>
      <c r="C155">
        <v>38</v>
      </c>
      <c r="D155" t="s">
        <v>10</v>
      </c>
      <c r="E155" s="2">
        <v>44377</v>
      </c>
      <c r="F155" t="s">
        <v>19</v>
      </c>
      <c r="G155" s="31">
        <v>109160</v>
      </c>
      <c r="H155" t="s">
        <v>206</v>
      </c>
      <c r="I155">
        <f ca="1">(TODAY()-Table_All_Staff[[#This Row],[Date Joined]])/365</f>
        <v>2.1150684931506851</v>
      </c>
      <c r="J155" s="31">
        <f ca="1">ROUNDUP(IF(Table_All_Staff[Tenure]&gt;2,3%,2%)*Table_All_Staff[Salary],0)</f>
        <v>3275</v>
      </c>
      <c r="K155">
        <f>VLOOKUP(Table_All_Staff[[#This Row],[Rating]],'Pivot Tables'!$B$23:$C$27,2,FALSE)</f>
        <v>5</v>
      </c>
    </row>
    <row r="156" spans="1:11" x14ac:dyDescent="0.25">
      <c r="A156" t="s">
        <v>127</v>
      </c>
      <c r="B156" t="s">
        <v>15</v>
      </c>
      <c r="C156">
        <v>25</v>
      </c>
      <c r="D156" t="s">
        <v>13</v>
      </c>
      <c r="E156" s="2">
        <v>44665</v>
      </c>
      <c r="F156" t="s">
        <v>9</v>
      </c>
      <c r="G156" s="31">
        <v>109190</v>
      </c>
      <c r="H156" t="s">
        <v>204</v>
      </c>
      <c r="I156">
        <f ca="1">(TODAY()-Table_All_Staff[[#This Row],[Date Joined]])/365</f>
        <v>1.3260273972602741</v>
      </c>
      <c r="J156" s="31">
        <f ca="1">ROUNDUP(IF(Table_All_Staff[Tenure]&gt;2,3%,2%)*Table_All_Staff[Salary],0)</f>
        <v>2184</v>
      </c>
      <c r="K156">
        <f>VLOOKUP(Table_All_Staff[[#This Row],[Rating]],'Pivot Tables'!$B$23:$C$27,2,FALSE)</f>
        <v>4</v>
      </c>
    </row>
    <row r="157" spans="1:11" x14ac:dyDescent="0.25">
      <c r="A157" t="s">
        <v>34</v>
      </c>
      <c r="B157" t="s">
        <v>15</v>
      </c>
      <c r="C157">
        <v>25</v>
      </c>
      <c r="D157" t="s">
        <v>13</v>
      </c>
      <c r="E157" s="2">
        <v>44726</v>
      </c>
      <c r="F157" t="s">
        <v>9</v>
      </c>
      <c r="G157" s="31">
        <v>109190</v>
      </c>
      <c r="H157" t="s">
        <v>206</v>
      </c>
      <c r="I157">
        <f ca="1">(TODAY()-Table_All_Staff[[#This Row],[Date Joined]])/365</f>
        <v>1.1589041095890411</v>
      </c>
      <c r="J157" s="31">
        <f ca="1">ROUNDUP(IF(Table_All_Staff[Tenure]&gt;2,3%,2%)*Table_All_Staff[Salary],0)</f>
        <v>2184</v>
      </c>
      <c r="K157">
        <f>VLOOKUP(Table_All_Staff[[#This Row],[Rating]],'Pivot Tables'!$B$23:$C$27,2,FALSE)</f>
        <v>4</v>
      </c>
    </row>
    <row r="158" spans="1:11" x14ac:dyDescent="0.25">
      <c r="A158" t="s">
        <v>179</v>
      </c>
      <c r="B158" t="s">
        <v>15</v>
      </c>
      <c r="C158">
        <v>29</v>
      </c>
      <c r="D158" t="s">
        <v>24</v>
      </c>
      <c r="E158" s="2">
        <v>44119</v>
      </c>
      <c r="F158" t="s">
        <v>12</v>
      </c>
      <c r="G158" s="31">
        <v>112110</v>
      </c>
      <c r="H158" t="s">
        <v>204</v>
      </c>
      <c r="I158">
        <f ca="1">(TODAY()-Table_All_Staff[[#This Row],[Date Joined]])/365</f>
        <v>2.8219178082191783</v>
      </c>
      <c r="J158" s="31">
        <f ca="1">ROUNDUP(IF(Table_All_Staff[Tenure]&gt;2,3%,2%)*Table_All_Staff[Salary],0)</f>
        <v>3364</v>
      </c>
      <c r="K158">
        <f>VLOOKUP(Table_All_Staff[[#This Row],[Rating]],'Pivot Tables'!$B$23:$C$27,2,FALSE)</f>
        <v>2</v>
      </c>
    </row>
    <row r="159" spans="1:11" x14ac:dyDescent="0.25">
      <c r="A159" t="s">
        <v>87</v>
      </c>
      <c r="B159" t="s">
        <v>15</v>
      </c>
      <c r="C159">
        <v>29</v>
      </c>
      <c r="D159" t="s">
        <v>24</v>
      </c>
      <c r="E159" s="2">
        <v>44180</v>
      </c>
      <c r="F159" t="s">
        <v>12</v>
      </c>
      <c r="G159" s="31">
        <v>112110</v>
      </c>
      <c r="H159" t="s">
        <v>206</v>
      </c>
      <c r="I159">
        <f ca="1">(TODAY()-Table_All_Staff[[#This Row],[Date Joined]])/365</f>
        <v>2.6547945205479451</v>
      </c>
      <c r="J159" s="31">
        <f ca="1">ROUNDUP(IF(Table_All_Staff[Tenure]&gt;2,3%,2%)*Table_All_Staff[Salary],0)</f>
        <v>3364</v>
      </c>
      <c r="K159">
        <f>VLOOKUP(Table_All_Staff[[#This Row],[Rating]],'Pivot Tables'!$B$23:$C$27,2,FALSE)</f>
        <v>2</v>
      </c>
    </row>
    <row r="160" spans="1:11" x14ac:dyDescent="0.25">
      <c r="A160" t="s">
        <v>172</v>
      </c>
      <c r="B160" t="s">
        <v>8</v>
      </c>
      <c r="C160">
        <v>30</v>
      </c>
      <c r="D160" t="s">
        <v>16</v>
      </c>
      <c r="E160" s="2">
        <v>44800</v>
      </c>
      <c r="F160" t="s">
        <v>9</v>
      </c>
      <c r="G160" s="31">
        <v>112570</v>
      </c>
      <c r="H160" t="s">
        <v>204</v>
      </c>
      <c r="I160">
        <f ca="1">(TODAY()-Table_All_Staff[[#This Row],[Date Joined]])/365</f>
        <v>0.95616438356164379</v>
      </c>
      <c r="J160" s="31">
        <f ca="1">ROUNDUP(IF(Table_All_Staff[Tenure]&gt;2,3%,2%)*Table_All_Staff[Salary],0)</f>
        <v>2252</v>
      </c>
      <c r="K160">
        <f>VLOOKUP(Table_All_Staff[[#This Row],[Rating]],'Pivot Tables'!$B$23:$C$27,2,FALSE)</f>
        <v>3</v>
      </c>
    </row>
    <row r="161" spans="1:11" x14ac:dyDescent="0.25">
      <c r="A161" t="s">
        <v>81</v>
      </c>
      <c r="B161" t="s">
        <v>8</v>
      </c>
      <c r="C161">
        <v>30</v>
      </c>
      <c r="D161" t="s">
        <v>16</v>
      </c>
      <c r="E161" s="2">
        <v>44861</v>
      </c>
      <c r="F161" t="s">
        <v>9</v>
      </c>
      <c r="G161" s="31">
        <v>112570</v>
      </c>
      <c r="H161" t="s">
        <v>206</v>
      </c>
      <c r="I161">
        <f ca="1">(TODAY()-Table_All_Staff[[#This Row],[Date Joined]])/365</f>
        <v>0.78904109589041094</v>
      </c>
      <c r="J161" s="31">
        <f ca="1">ROUNDUP(IF(Table_All_Staff[Tenure]&gt;2,3%,2%)*Table_All_Staff[Salary],0)</f>
        <v>2252</v>
      </c>
      <c r="K161">
        <f>VLOOKUP(Table_All_Staff[[#This Row],[Rating]],'Pivot Tables'!$B$23:$C$27,2,FALSE)</f>
        <v>3</v>
      </c>
    </row>
    <row r="162" spans="1:11" x14ac:dyDescent="0.25">
      <c r="A162" t="s">
        <v>155</v>
      </c>
      <c r="B162" t="s">
        <v>15</v>
      </c>
      <c r="C162">
        <v>20</v>
      </c>
      <c r="D162" t="s">
        <v>16</v>
      </c>
      <c r="E162" s="2">
        <v>44122</v>
      </c>
      <c r="F162" t="s">
        <v>12</v>
      </c>
      <c r="G162" s="31">
        <v>112650</v>
      </c>
      <c r="H162" t="s">
        <v>204</v>
      </c>
      <c r="I162">
        <f ca="1">(TODAY()-Table_All_Staff[[#This Row],[Date Joined]])/365</f>
        <v>2.8136986301369862</v>
      </c>
      <c r="J162" s="31">
        <f ca="1">ROUNDUP(IF(Table_All_Staff[Tenure]&gt;2,3%,2%)*Table_All_Staff[Salary],0)</f>
        <v>3380</v>
      </c>
      <c r="K162">
        <f>VLOOKUP(Table_All_Staff[[#This Row],[Rating]],'Pivot Tables'!$B$23:$C$27,2,FALSE)</f>
        <v>3</v>
      </c>
    </row>
    <row r="163" spans="1:11" x14ac:dyDescent="0.25">
      <c r="A163" t="s">
        <v>177</v>
      </c>
      <c r="B163" t="s">
        <v>15</v>
      </c>
      <c r="C163">
        <v>34</v>
      </c>
      <c r="D163" t="s">
        <v>16</v>
      </c>
      <c r="E163" s="2">
        <v>44642</v>
      </c>
      <c r="F163" t="s">
        <v>9</v>
      </c>
      <c r="G163" s="31">
        <v>112650</v>
      </c>
      <c r="H163" t="s">
        <v>204</v>
      </c>
      <c r="I163">
        <f ca="1">(TODAY()-Table_All_Staff[[#This Row],[Date Joined]])/365</f>
        <v>1.3890410958904109</v>
      </c>
      <c r="J163" s="31">
        <f ca="1">ROUNDUP(IF(Table_All_Staff[Tenure]&gt;2,3%,2%)*Table_All_Staff[Salary],0)</f>
        <v>2253</v>
      </c>
      <c r="K163">
        <f>VLOOKUP(Table_All_Staff[[#This Row],[Rating]],'Pivot Tables'!$B$23:$C$27,2,FALSE)</f>
        <v>3</v>
      </c>
    </row>
    <row r="164" spans="1:11" x14ac:dyDescent="0.25">
      <c r="A164" t="s">
        <v>64</v>
      </c>
      <c r="B164" t="s">
        <v>15</v>
      </c>
      <c r="C164">
        <v>20</v>
      </c>
      <c r="D164" t="s">
        <v>16</v>
      </c>
      <c r="E164" s="2">
        <v>44183</v>
      </c>
      <c r="F164" t="s">
        <v>12</v>
      </c>
      <c r="G164" s="31">
        <v>112650</v>
      </c>
      <c r="H164" t="s">
        <v>206</v>
      </c>
      <c r="I164">
        <f ca="1">(TODAY()-Table_All_Staff[[#This Row],[Date Joined]])/365</f>
        <v>2.6465753424657534</v>
      </c>
      <c r="J164" s="31">
        <f ca="1">ROUNDUP(IF(Table_All_Staff[Tenure]&gt;2,3%,2%)*Table_All_Staff[Salary],0)</f>
        <v>3380</v>
      </c>
      <c r="K164">
        <f>VLOOKUP(Table_All_Staff[[#This Row],[Rating]],'Pivot Tables'!$B$23:$C$27,2,FALSE)</f>
        <v>3</v>
      </c>
    </row>
    <row r="165" spans="1:11" x14ac:dyDescent="0.25">
      <c r="A165" t="s">
        <v>149</v>
      </c>
      <c r="B165" t="s">
        <v>15</v>
      </c>
      <c r="C165">
        <v>22</v>
      </c>
      <c r="D165" t="s">
        <v>13</v>
      </c>
      <c r="E165" s="2">
        <v>44384</v>
      </c>
      <c r="F165" t="s">
        <v>19</v>
      </c>
      <c r="G165" s="31">
        <v>112780</v>
      </c>
      <c r="H165" t="s">
        <v>204</v>
      </c>
      <c r="I165">
        <f ca="1">(TODAY()-Table_All_Staff[[#This Row],[Date Joined]])/365</f>
        <v>2.095890410958904</v>
      </c>
      <c r="J165" s="31">
        <f ca="1">ROUNDUP(IF(Table_All_Staff[Tenure]&gt;2,3%,2%)*Table_All_Staff[Salary],0)</f>
        <v>3384</v>
      </c>
      <c r="K165">
        <f>VLOOKUP(Table_All_Staff[[#This Row],[Rating]],'Pivot Tables'!$B$23:$C$27,2,FALSE)</f>
        <v>4</v>
      </c>
    </row>
    <row r="166" spans="1:11" x14ac:dyDescent="0.25">
      <c r="A166" t="s">
        <v>58</v>
      </c>
      <c r="B166" t="s">
        <v>15</v>
      </c>
      <c r="C166">
        <v>22</v>
      </c>
      <c r="D166" t="s">
        <v>13</v>
      </c>
      <c r="E166" s="2">
        <v>44446</v>
      </c>
      <c r="F166" t="s">
        <v>19</v>
      </c>
      <c r="G166" s="31">
        <v>112780</v>
      </c>
      <c r="H166" t="s">
        <v>206</v>
      </c>
      <c r="I166">
        <f ca="1">(TODAY()-Table_All_Staff[[#This Row],[Date Joined]])/365</f>
        <v>1.9260273972602739</v>
      </c>
      <c r="J166" s="31">
        <f ca="1">ROUNDUP(IF(Table_All_Staff[Tenure]&gt;2,3%,2%)*Table_All_Staff[Salary],0)</f>
        <v>2256</v>
      </c>
      <c r="K166">
        <f>VLOOKUP(Table_All_Staff[[#This Row],[Rating]],'Pivot Tables'!$B$23:$C$27,2,FALSE)</f>
        <v>4</v>
      </c>
    </row>
    <row r="167" spans="1:11" x14ac:dyDescent="0.25">
      <c r="A167" t="s">
        <v>190</v>
      </c>
      <c r="B167" t="s">
        <v>15</v>
      </c>
      <c r="C167">
        <v>27</v>
      </c>
      <c r="D167" t="s">
        <v>42</v>
      </c>
      <c r="E167" s="2">
        <v>44547</v>
      </c>
      <c r="F167" t="s">
        <v>9</v>
      </c>
      <c r="G167" s="31">
        <v>113280</v>
      </c>
      <c r="H167" t="s">
        <v>204</v>
      </c>
      <c r="I167">
        <f ca="1">(TODAY()-Table_All_Staff[[#This Row],[Date Joined]])/365</f>
        <v>1.6493150684931508</v>
      </c>
      <c r="J167" s="31">
        <f ca="1">ROUNDUP(IF(Table_All_Staff[Tenure]&gt;2,3%,2%)*Table_All_Staff[Salary],0)</f>
        <v>2266</v>
      </c>
      <c r="K167">
        <f>VLOOKUP(Table_All_Staff[[#This Row],[Rating]],'Pivot Tables'!$B$23:$C$27,2,FALSE)</f>
        <v>1</v>
      </c>
    </row>
    <row r="168" spans="1:11" x14ac:dyDescent="0.25">
      <c r="A168" t="s">
        <v>98</v>
      </c>
      <c r="B168" t="s">
        <v>15</v>
      </c>
      <c r="C168">
        <v>27</v>
      </c>
      <c r="D168" t="s">
        <v>42</v>
      </c>
      <c r="E168" s="2">
        <v>44609</v>
      </c>
      <c r="F168" t="s">
        <v>9</v>
      </c>
      <c r="G168" s="31">
        <v>113280</v>
      </c>
      <c r="H168" t="s">
        <v>206</v>
      </c>
      <c r="I168">
        <f ca="1">(TODAY()-Table_All_Staff[[#This Row],[Date Joined]])/365</f>
        <v>1.4794520547945205</v>
      </c>
      <c r="J168" s="31">
        <f ca="1">ROUNDUP(IF(Table_All_Staff[Tenure]&gt;2,3%,2%)*Table_All_Staff[Salary],0)</f>
        <v>2266</v>
      </c>
      <c r="K168">
        <f>VLOOKUP(Table_All_Staff[[#This Row],[Rating]],'Pivot Tables'!$B$23:$C$27,2,FALSE)</f>
        <v>1</v>
      </c>
    </row>
    <row r="169" spans="1:11" x14ac:dyDescent="0.25">
      <c r="A169" t="s">
        <v>146</v>
      </c>
      <c r="B169" t="s">
        <v>8</v>
      </c>
      <c r="C169">
        <v>30</v>
      </c>
      <c r="D169" t="s">
        <v>16</v>
      </c>
      <c r="E169" s="2">
        <v>44789</v>
      </c>
      <c r="F169" t="s">
        <v>9</v>
      </c>
      <c r="G169" s="31">
        <v>114180</v>
      </c>
      <c r="H169" t="s">
        <v>204</v>
      </c>
      <c r="I169">
        <f ca="1">(TODAY()-Table_All_Staff[[#This Row],[Date Joined]])/365</f>
        <v>0.98630136986301364</v>
      </c>
      <c r="J169" s="31">
        <f ca="1">ROUNDUP(IF(Table_All_Staff[Tenure]&gt;2,3%,2%)*Table_All_Staff[Salary],0)</f>
        <v>2284</v>
      </c>
      <c r="K169">
        <f>VLOOKUP(Table_All_Staff[[#This Row],[Rating]],'Pivot Tables'!$B$23:$C$27,2,FALSE)</f>
        <v>3</v>
      </c>
    </row>
    <row r="170" spans="1:11" x14ac:dyDescent="0.25">
      <c r="A170" t="s">
        <v>54</v>
      </c>
      <c r="B170" t="s">
        <v>8</v>
      </c>
      <c r="C170">
        <v>30</v>
      </c>
      <c r="D170" t="s">
        <v>16</v>
      </c>
      <c r="E170" s="2">
        <v>44850</v>
      </c>
      <c r="F170" t="s">
        <v>9</v>
      </c>
      <c r="G170" s="31">
        <v>114180</v>
      </c>
      <c r="H170" t="s">
        <v>206</v>
      </c>
      <c r="I170">
        <f ca="1">(TODAY()-Table_All_Staff[[#This Row],[Date Joined]])/365</f>
        <v>0.81917808219178079</v>
      </c>
      <c r="J170" s="31">
        <f ca="1">ROUNDUP(IF(Table_All_Staff[Tenure]&gt;2,3%,2%)*Table_All_Staff[Salary],0)</f>
        <v>2284</v>
      </c>
      <c r="K170">
        <f>VLOOKUP(Table_All_Staff[[#This Row],[Rating]],'Pivot Tables'!$B$23:$C$27,2,FALSE)</f>
        <v>3</v>
      </c>
    </row>
    <row r="171" spans="1:11" x14ac:dyDescent="0.25">
      <c r="A171" t="s">
        <v>113</v>
      </c>
      <c r="B171" t="s">
        <v>8</v>
      </c>
      <c r="C171">
        <v>44</v>
      </c>
      <c r="D171" t="s">
        <v>16</v>
      </c>
      <c r="E171" s="2">
        <v>44985</v>
      </c>
      <c r="F171" t="s">
        <v>12</v>
      </c>
      <c r="G171" s="31">
        <v>114870</v>
      </c>
      <c r="H171" t="s">
        <v>204</v>
      </c>
      <c r="I171">
        <f ca="1">(TODAY()-Table_All_Staff[[#This Row],[Date Joined]])/365</f>
        <v>0.44931506849315067</v>
      </c>
      <c r="J171" s="31">
        <f ca="1">ROUNDUP(IF(Table_All_Staff[Tenure]&gt;2,3%,2%)*Table_All_Staff[Salary],0)</f>
        <v>2298</v>
      </c>
      <c r="K171">
        <f>VLOOKUP(Table_All_Staff[[#This Row],[Rating]],'Pivot Tables'!$B$23:$C$27,2,FALSE)</f>
        <v>3</v>
      </c>
    </row>
    <row r="172" spans="1:11" x14ac:dyDescent="0.25">
      <c r="A172" t="s">
        <v>17</v>
      </c>
      <c r="B172" t="s">
        <v>8</v>
      </c>
      <c r="C172">
        <v>43</v>
      </c>
      <c r="D172" t="s">
        <v>16</v>
      </c>
      <c r="E172" s="2">
        <v>45045</v>
      </c>
      <c r="F172" t="s">
        <v>12</v>
      </c>
      <c r="G172" s="31">
        <v>114870</v>
      </c>
      <c r="H172" t="s">
        <v>206</v>
      </c>
      <c r="I172">
        <f ca="1">(TODAY()-Table_All_Staff[[#This Row],[Date Joined]])/365</f>
        <v>0.28493150684931506</v>
      </c>
      <c r="J172" s="31">
        <f ca="1">ROUNDUP(IF(Table_All_Staff[Tenure]&gt;2,3%,2%)*Table_All_Staff[Salary],0)</f>
        <v>2298</v>
      </c>
      <c r="K172">
        <f>VLOOKUP(Table_All_Staff[[#This Row],[Rating]],'Pivot Tables'!$B$23:$C$27,2,FALSE)</f>
        <v>3</v>
      </c>
    </row>
    <row r="173" spans="1:11" x14ac:dyDescent="0.25">
      <c r="A173" t="s">
        <v>174</v>
      </c>
      <c r="B173" t="s">
        <v>8</v>
      </c>
      <c r="C173">
        <v>36</v>
      </c>
      <c r="D173" t="s">
        <v>16</v>
      </c>
      <c r="E173" s="2">
        <v>44023</v>
      </c>
      <c r="F173" t="s">
        <v>9</v>
      </c>
      <c r="G173" s="31">
        <v>114890</v>
      </c>
      <c r="H173" t="s">
        <v>204</v>
      </c>
      <c r="I173">
        <f ca="1">(TODAY()-Table_All_Staff[[#This Row],[Date Joined]])/365</f>
        <v>3.0849315068493151</v>
      </c>
      <c r="J173" s="31">
        <f ca="1">ROUNDUP(IF(Table_All_Staff[Tenure]&gt;2,3%,2%)*Table_All_Staff[Salary],0)</f>
        <v>3447</v>
      </c>
      <c r="K173">
        <f>VLOOKUP(Table_All_Staff[[#This Row],[Rating]],'Pivot Tables'!$B$23:$C$27,2,FALSE)</f>
        <v>3</v>
      </c>
    </row>
    <row r="174" spans="1:11" x14ac:dyDescent="0.25">
      <c r="A174" t="s">
        <v>83</v>
      </c>
      <c r="B174" t="s">
        <v>8</v>
      </c>
      <c r="C174">
        <v>36</v>
      </c>
      <c r="D174" t="s">
        <v>16</v>
      </c>
      <c r="E174" s="2">
        <v>44085</v>
      </c>
      <c r="F174" t="s">
        <v>9</v>
      </c>
      <c r="G174" s="31">
        <v>114890</v>
      </c>
      <c r="H174" t="s">
        <v>206</v>
      </c>
      <c r="I174">
        <f ca="1">(TODAY()-Table_All_Staff[[#This Row],[Date Joined]])/365</f>
        <v>2.9150684931506849</v>
      </c>
      <c r="J174" s="31">
        <f ca="1">ROUNDUP(IF(Table_All_Staff[Tenure]&gt;2,3%,2%)*Table_All_Staff[Salary],0)</f>
        <v>3447</v>
      </c>
      <c r="K174">
        <f>VLOOKUP(Table_All_Staff[[#This Row],[Rating]],'Pivot Tables'!$B$23:$C$27,2,FALSE)</f>
        <v>3</v>
      </c>
    </row>
    <row r="175" spans="1:11" x14ac:dyDescent="0.25">
      <c r="A175" t="s">
        <v>141</v>
      </c>
      <c r="B175" t="s">
        <v>205</v>
      </c>
      <c r="C175">
        <v>37</v>
      </c>
      <c r="D175" t="s">
        <v>24</v>
      </c>
      <c r="E175" s="2">
        <v>44085</v>
      </c>
      <c r="F175" t="s">
        <v>21</v>
      </c>
      <c r="G175" s="31">
        <v>115440</v>
      </c>
      <c r="H175" t="s">
        <v>204</v>
      </c>
      <c r="I175">
        <f ca="1">(TODAY()-Table_All_Staff[[#This Row],[Date Joined]])/365</f>
        <v>2.9150684931506849</v>
      </c>
      <c r="J175" s="31">
        <f ca="1">ROUNDUP(IF(Table_All_Staff[Tenure]&gt;2,3%,2%)*Table_All_Staff[Salary],0)</f>
        <v>3464</v>
      </c>
      <c r="K175">
        <f>VLOOKUP(Table_All_Staff[[#This Row],[Rating]],'Pivot Tables'!$B$23:$C$27,2,FALSE)</f>
        <v>2</v>
      </c>
    </row>
    <row r="176" spans="1:11" x14ac:dyDescent="0.25">
      <c r="A176" t="s">
        <v>49</v>
      </c>
      <c r="B176" t="s">
        <v>205</v>
      </c>
      <c r="C176">
        <v>37</v>
      </c>
      <c r="D176" t="s">
        <v>24</v>
      </c>
      <c r="E176" s="2">
        <v>44146</v>
      </c>
      <c r="F176" t="s">
        <v>21</v>
      </c>
      <c r="G176" s="31">
        <v>115440</v>
      </c>
      <c r="H176" t="s">
        <v>206</v>
      </c>
      <c r="I176">
        <f ca="1">(TODAY()-Table_All_Staff[[#This Row],[Date Joined]])/365</f>
        <v>2.7479452054794522</v>
      </c>
      <c r="J176" s="31">
        <f ca="1">ROUNDUP(IF(Table_All_Staff[Tenure]&gt;2,3%,2%)*Table_All_Staff[Salary],0)</f>
        <v>3464</v>
      </c>
      <c r="K176">
        <f>VLOOKUP(Table_All_Staff[[#This Row],[Rating]],'Pivot Tables'!$B$23:$C$27,2,FALSE)</f>
        <v>2</v>
      </c>
    </row>
    <row r="177" spans="1:11" x14ac:dyDescent="0.25">
      <c r="A177" t="s">
        <v>133</v>
      </c>
      <c r="B177" t="s">
        <v>15</v>
      </c>
      <c r="C177">
        <v>33</v>
      </c>
      <c r="D177" t="s">
        <v>16</v>
      </c>
      <c r="E177" s="2">
        <v>44103</v>
      </c>
      <c r="F177" t="s">
        <v>9</v>
      </c>
      <c r="G177" s="31">
        <v>115920</v>
      </c>
      <c r="H177" t="s">
        <v>204</v>
      </c>
      <c r="I177">
        <f ca="1">(TODAY()-Table_All_Staff[[#This Row],[Date Joined]])/365</f>
        <v>2.8657534246575342</v>
      </c>
      <c r="J177" s="31">
        <f ca="1">ROUNDUP(IF(Table_All_Staff[Tenure]&gt;2,3%,2%)*Table_All_Staff[Salary],0)</f>
        <v>3478</v>
      </c>
      <c r="K177">
        <f>VLOOKUP(Table_All_Staff[[#This Row],[Rating]],'Pivot Tables'!$B$23:$C$27,2,FALSE)</f>
        <v>3</v>
      </c>
    </row>
    <row r="178" spans="1:11" x14ac:dyDescent="0.25">
      <c r="A178" t="s">
        <v>40</v>
      </c>
      <c r="B178" t="s">
        <v>15</v>
      </c>
      <c r="C178">
        <v>33</v>
      </c>
      <c r="D178" t="s">
        <v>16</v>
      </c>
      <c r="E178" s="2">
        <v>44164</v>
      </c>
      <c r="F178" t="s">
        <v>9</v>
      </c>
      <c r="G178" s="31">
        <v>115920</v>
      </c>
      <c r="H178" t="s">
        <v>206</v>
      </c>
      <c r="I178">
        <f ca="1">(TODAY()-Table_All_Staff[[#This Row],[Date Joined]])/365</f>
        <v>2.6986301369863015</v>
      </c>
      <c r="J178" s="31">
        <f ca="1">ROUNDUP(IF(Table_All_Staff[Tenure]&gt;2,3%,2%)*Table_All_Staff[Salary],0)</f>
        <v>3478</v>
      </c>
      <c r="K178">
        <f>VLOOKUP(Table_All_Staff[[#This Row],[Rating]],'Pivot Tables'!$B$23:$C$27,2,FALSE)</f>
        <v>3</v>
      </c>
    </row>
    <row r="179" spans="1:11" x14ac:dyDescent="0.25">
      <c r="A179" t="s">
        <v>147</v>
      </c>
      <c r="B179" t="s">
        <v>8</v>
      </c>
      <c r="C179">
        <v>37</v>
      </c>
      <c r="D179" t="s">
        <v>16</v>
      </c>
      <c r="E179" s="2">
        <v>44389</v>
      </c>
      <c r="F179" t="s">
        <v>56</v>
      </c>
      <c r="G179" s="31">
        <v>118100</v>
      </c>
      <c r="H179" t="s">
        <v>204</v>
      </c>
      <c r="I179">
        <f ca="1">(TODAY()-Table_All_Staff[[#This Row],[Date Joined]])/365</f>
        <v>2.0821917808219177</v>
      </c>
      <c r="J179" s="31">
        <f ca="1">ROUNDUP(IF(Table_All_Staff[Tenure]&gt;2,3%,2%)*Table_All_Staff[Salary],0)</f>
        <v>3543</v>
      </c>
      <c r="K179">
        <f>VLOOKUP(Table_All_Staff[[#This Row],[Rating]],'Pivot Tables'!$B$23:$C$27,2,FALSE)</f>
        <v>3</v>
      </c>
    </row>
    <row r="180" spans="1:11" x14ac:dyDescent="0.25">
      <c r="A180" t="s">
        <v>55</v>
      </c>
      <c r="B180" t="s">
        <v>8</v>
      </c>
      <c r="C180">
        <v>37</v>
      </c>
      <c r="D180" t="s">
        <v>16</v>
      </c>
      <c r="E180" s="2">
        <v>44451</v>
      </c>
      <c r="F180" t="s">
        <v>56</v>
      </c>
      <c r="G180" s="31">
        <v>118100</v>
      </c>
      <c r="H180" t="s">
        <v>206</v>
      </c>
      <c r="I180">
        <f ca="1">(TODAY()-Table_All_Staff[[#This Row],[Date Joined]])/365</f>
        <v>1.9123287671232876</v>
      </c>
      <c r="J180" s="31">
        <f ca="1">ROUNDUP(IF(Table_All_Staff[Tenure]&gt;2,3%,2%)*Table_All_Staff[Salary],0)</f>
        <v>2362</v>
      </c>
      <c r="K180">
        <f>VLOOKUP(Table_All_Staff[[#This Row],[Rating]],'Pivot Tables'!$B$23:$C$27,2,FALSE)</f>
        <v>3</v>
      </c>
    </row>
    <row r="181" spans="1:11" x14ac:dyDescent="0.25">
      <c r="A181" t="s">
        <v>198</v>
      </c>
      <c r="B181" t="s">
        <v>15</v>
      </c>
      <c r="C181">
        <v>36</v>
      </c>
      <c r="D181" t="s">
        <v>16</v>
      </c>
      <c r="E181" s="2">
        <v>43958</v>
      </c>
      <c r="F181" t="s">
        <v>12</v>
      </c>
      <c r="G181" s="31">
        <v>118840</v>
      </c>
      <c r="H181" t="s">
        <v>204</v>
      </c>
      <c r="I181">
        <f ca="1">(TODAY()-Table_All_Staff[[#This Row],[Date Joined]])/365</f>
        <v>3.2630136986301368</v>
      </c>
      <c r="J181" s="31">
        <f ca="1">ROUNDUP(IF(Table_All_Staff[Tenure]&gt;2,3%,2%)*Table_All_Staff[Salary],0)</f>
        <v>3566</v>
      </c>
      <c r="K181">
        <f>VLOOKUP(Table_All_Staff[[#This Row],[Rating]],'Pivot Tables'!$B$23:$C$27,2,FALSE)</f>
        <v>3</v>
      </c>
    </row>
    <row r="182" spans="1:11" x14ac:dyDescent="0.25">
      <c r="A182" t="s">
        <v>106</v>
      </c>
      <c r="B182" t="s">
        <v>15</v>
      </c>
      <c r="C182">
        <v>36</v>
      </c>
      <c r="D182" t="s">
        <v>16</v>
      </c>
      <c r="E182" s="2">
        <v>44019</v>
      </c>
      <c r="F182" t="s">
        <v>12</v>
      </c>
      <c r="G182" s="31">
        <v>118840</v>
      </c>
      <c r="H182" t="s">
        <v>206</v>
      </c>
      <c r="I182">
        <f ca="1">(TODAY()-Table_All_Staff[[#This Row],[Date Joined]])/365</f>
        <v>3.095890410958904</v>
      </c>
      <c r="J182" s="31">
        <f ca="1">ROUNDUP(IF(Table_All_Staff[Tenure]&gt;2,3%,2%)*Table_All_Staff[Salary],0)</f>
        <v>3566</v>
      </c>
      <c r="K182">
        <f>VLOOKUP(Table_All_Staff[[#This Row],[Rating]],'Pivot Tables'!$B$23:$C$27,2,FALSE)</f>
        <v>3</v>
      </c>
    </row>
    <row r="183" spans="1:11" x14ac:dyDescent="0.25">
      <c r="A183" t="s">
        <v>151</v>
      </c>
      <c r="B183" t="s">
        <v>8</v>
      </c>
      <c r="C183">
        <v>27</v>
      </c>
      <c r="D183" t="s">
        <v>16</v>
      </c>
      <c r="E183" s="2">
        <v>44061</v>
      </c>
      <c r="F183" t="s">
        <v>56</v>
      </c>
      <c r="G183" s="31">
        <v>119110</v>
      </c>
      <c r="H183" t="s">
        <v>204</v>
      </c>
      <c r="I183">
        <f ca="1">(TODAY()-Table_All_Staff[[#This Row],[Date Joined]])/365</f>
        <v>2.9808219178082194</v>
      </c>
      <c r="J183" s="31">
        <f ca="1">ROUNDUP(IF(Table_All_Staff[Tenure]&gt;2,3%,2%)*Table_All_Staff[Salary],0)</f>
        <v>3574</v>
      </c>
      <c r="K183">
        <f>VLOOKUP(Table_All_Staff[[#This Row],[Rating]],'Pivot Tables'!$B$23:$C$27,2,FALSE)</f>
        <v>3</v>
      </c>
    </row>
    <row r="184" spans="1:11" x14ac:dyDescent="0.25">
      <c r="A184" t="s">
        <v>60</v>
      </c>
      <c r="B184" t="s">
        <v>8</v>
      </c>
      <c r="C184">
        <v>27</v>
      </c>
      <c r="D184" t="s">
        <v>16</v>
      </c>
      <c r="E184" s="2">
        <v>44122</v>
      </c>
      <c r="F184" t="s">
        <v>56</v>
      </c>
      <c r="G184" s="31">
        <v>119110</v>
      </c>
      <c r="H184" t="s">
        <v>206</v>
      </c>
      <c r="I184">
        <f ca="1">(TODAY()-Table_All_Staff[[#This Row],[Date Joined]])/365</f>
        <v>2.8136986301369862</v>
      </c>
      <c r="J184" s="31">
        <f ca="1">ROUNDUP(IF(Table_All_Staff[Tenure]&gt;2,3%,2%)*Table_All_Staff[Salary],0)</f>
        <v>3574</v>
      </c>
      <c r="K184">
        <f>VLOOKUP(Table_All_Staff[[#This Row],[Rating]],'Pivot Tables'!$B$23:$C$27,2,FALSE)</f>
        <v>3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2B78-4B85-4AEC-A8D3-4E40593DA40F}">
  <dimension ref="B3:J79"/>
  <sheetViews>
    <sheetView workbookViewId="0">
      <selection activeCell="G15" sqref="G15"/>
    </sheetView>
  </sheetViews>
  <sheetFormatPr defaultRowHeight="15" x14ac:dyDescent="0.25"/>
  <cols>
    <col min="2" max="2" width="16.85546875" customWidth="1"/>
    <col min="3" max="3" width="14.42578125" bestFit="1" customWidth="1"/>
    <col min="4" max="4" width="12" bestFit="1" customWidth="1"/>
    <col min="5" max="5" width="13.140625" bestFit="1" customWidth="1"/>
    <col min="6" max="6" width="14.42578125" bestFit="1" customWidth="1"/>
    <col min="7" max="9" width="16.42578125" bestFit="1" customWidth="1"/>
    <col min="10" max="10" width="19.42578125" bestFit="1" customWidth="1"/>
    <col min="11" max="11" width="19" bestFit="1" customWidth="1"/>
    <col min="12" max="12" width="19.5703125" bestFit="1" customWidth="1"/>
    <col min="13" max="13" width="21.5703125" bestFit="1" customWidth="1"/>
  </cols>
  <sheetData>
    <row r="3" spans="2:10" x14ac:dyDescent="0.25">
      <c r="C3" s="9" t="s">
        <v>221</v>
      </c>
      <c r="G3" t="s">
        <v>248</v>
      </c>
      <c r="H3" t="s">
        <v>249</v>
      </c>
      <c r="I3" t="s">
        <v>250</v>
      </c>
      <c r="J3" t="s">
        <v>251</v>
      </c>
    </row>
    <row r="4" spans="2:10" x14ac:dyDescent="0.25">
      <c r="B4" s="9" t="s">
        <v>225</v>
      </c>
      <c r="C4" t="s">
        <v>8</v>
      </c>
      <c r="D4" t="s">
        <v>15</v>
      </c>
      <c r="G4">
        <v>1</v>
      </c>
      <c r="H4" s="14">
        <f>EDATE(DATE(2020,4,1),G4)</f>
        <v>43952</v>
      </c>
      <c r="I4">
        <f>COUNTIFS(Table_All_Staff[Date Joined],"&gt;="&amp;H4,Table_All_Staff[Date Joined],"&lt;="&amp;EOMONTH(H4,0))</f>
        <v>3</v>
      </c>
      <c r="J4">
        <f>SUM($I$4:I4)</f>
        <v>3</v>
      </c>
    </row>
    <row r="5" spans="2:10" x14ac:dyDescent="0.25">
      <c r="B5" s="10" t="s">
        <v>222</v>
      </c>
      <c r="C5">
        <v>86</v>
      </c>
      <c r="D5">
        <v>89</v>
      </c>
      <c r="G5">
        <v>2</v>
      </c>
      <c r="H5" s="14">
        <f t="shared" ref="H5:H39" si="0">EDATE(DATE(2020,4,1),G5)</f>
        <v>43983</v>
      </c>
      <c r="I5">
        <f>COUNTIFS(Table_All_Staff[Date Joined],"&gt;="&amp;H5,Table_All_Staff[Date Joined],"&lt;="&amp;EOMONTH(H5,0))</f>
        <v>1</v>
      </c>
      <c r="J5">
        <f>SUM($I$4:I5)</f>
        <v>4</v>
      </c>
    </row>
    <row r="6" spans="2:10" x14ac:dyDescent="0.25">
      <c r="B6" s="10" t="s">
        <v>226</v>
      </c>
      <c r="C6">
        <v>1.8737177445046191</v>
      </c>
      <c r="D6">
        <v>1.8646144374326608</v>
      </c>
      <c r="G6">
        <v>3</v>
      </c>
      <c r="H6" s="14">
        <f t="shared" si="0"/>
        <v>44013</v>
      </c>
      <c r="I6">
        <f>COUNTIFS(Table_All_Staff[Date Joined],"&gt;="&amp;H6,Table_All_Staff[Date Joined],"&lt;="&amp;EOMONTH(H6,0))</f>
        <v>5</v>
      </c>
      <c r="J6">
        <f>SUM($I$4:I6)</f>
        <v>9</v>
      </c>
    </row>
    <row r="7" spans="2:10" x14ac:dyDescent="0.25">
      <c r="B7" s="10" t="s">
        <v>223</v>
      </c>
      <c r="C7">
        <v>31.406976744186046</v>
      </c>
      <c r="D7">
        <v>29.393258426966291</v>
      </c>
      <c r="G7">
        <v>4</v>
      </c>
      <c r="H7" s="14">
        <f t="shared" si="0"/>
        <v>44044</v>
      </c>
      <c r="I7">
        <f>COUNTIFS(Table_All_Staff[Date Joined],"&gt;="&amp;H7,Table_All_Staff[Date Joined],"&lt;="&amp;EOMONTH(H7,0))</f>
        <v>3</v>
      </c>
      <c r="J7">
        <f>SUM($I$4:I7)</f>
        <v>12</v>
      </c>
    </row>
    <row r="8" spans="2:10" x14ac:dyDescent="0.25">
      <c r="B8" s="10" t="s">
        <v>224</v>
      </c>
      <c r="C8" s="33">
        <v>78284.186046511633</v>
      </c>
      <c r="D8" s="33">
        <v>74915.168539325838</v>
      </c>
      <c r="G8">
        <v>5</v>
      </c>
      <c r="H8" s="14">
        <f t="shared" si="0"/>
        <v>44075</v>
      </c>
      <c r="I8">
        <f>COUNTIFS(Table_All_Staff[Date Joined],"&gt;="&amp;H8,Table_All_Staff[Date Joined],"&lt;="&amp;EOMONTH(H8,0))</f>
        <v>6</v>
      </c>
      <c r="J8">
        <f>SUM($I$4:I8)</f>
        <v>18</v>
      </c>
    </row>
    <row r="9" spans="2:10" x14ac:dyDescent="0.25">
      <c r="G9">
        <v>6</v>
      </c>
      <c r="H9" s="14">
        <f t="shared" si="0"/>
        <v>44105</v>
      </c>
      <c r="I9">
        <f>COUNTIFS(Table_All_Staff[Date Joined],"&gt;="&amp;H9,Table_All_Staff[Date Joined],"&lt;="&amp;EOMONTH(H9,0))</f>
        <v>6</v>
      </c>
      <c r="J9">
        <f>SUM($I$4:I9)</f>
        <v>24</v>
      </c>
    </row>
    <row r="10" spans="2:10" x14ac:dyDescent="0.25">
      <c r="G10">
        <v>7</v>
      </c>
      <c r="H10" s="14">
        <f t="shared" si="0"/>
        <v>44136</v>
      </c>
      <c r="I10">
        <f>COUNTIFS(Table_All_Staff[Date Joined],"&gt;="&amp;H10,Table_All_Staff[Date Joined],"&lt;="&amp;EOMONTH(H10,0))</f>
        <v>6</v>
      </c>
      <c r="J10">
        <f>SUM($I$4:I10)</f>
        <v>30</v>
      </c>
    </row>
    <row r="11" spans="2:10" x14ac:dyDescent="0.25">
      <c r="G11">
        <v>8</v>
      </c>
      <c r="H11" s="14">
        <f t="shared" si="0"/>
        <v>44166</v>
      </c>
      <c r="I11">
        <f>COUNTIFS(Table_All_Staff[Date Joined],"&gt;="&amp;H11,Table_All_Staff[Date Joined],"&lt;="&amp;EOMONTH(H11,0))</f>
        <v>7</v>
      </c>
      <c r="J11">
        <f>SUM($I$4:I11)</f>
        <v>37</v>
      </c>
    </row>
    <row r="12" spans="2:10" x14ac:dyDescent="0.25">
      <c r="G12">
        <v>9</v>
      </c>
      <c r="H12" s="14">
        <f t="shared" si="0"/>
        <v>44197</v>
      </c>
      <c r="I12">
        <f>COUNTIFS(Table_All_Staff[Date Joined],"&gt;="&amp;H12,Table_All_Staff[Date Joined],"&lt;="&amp;EOMONTH(H12,0))</f>
        <v>6</v>
      </c>
      <c r="J12">
        <f>SUM($I$4:I12)</f>
        <v>43</v>
      </c>
    </row>
    <row r="13" spans="2:10" x14ac:dyDescent="0.25">
      <c r="B13" s="9" t="s">
        <v>228</v>
      </c>
      <c r="C13" t="s">
        <v>222</v>
      </c>
      <c r="D13" t="s">
        <v>224</v>
      </c>
      <c r="G13">
        <v>10</v>
      </c>
      <c r="H13" s="14">
        <f t="shared" si="0"/>
        <v>44228</v>
      </c>
      <c r="I13">
        <f>COUNTIFS(Table_All_Staff[Date Joined],"&gt;="&amp;H13,Table_All_Staff[Date Joined],"&lt;="&amp;EOMONTH(H13,0))</f>
        <v>4</v>
      </c>
      <c r="J13">
        <f>SUM($I$4:I13)</f>
        <v>47</v>
      </c>
    </row>
    <row r="14" spans="2:10" x14ac:dyDescent="0.25">
      <c r="B14" s="10" t="s">
        <v>10</v>
      </c>
      <c r="C14">
        <v>4</v>
      </c>
      <c r="D14" s="33">
        <v>92080</v>
      </c>
      <c r="G14">
        <v>11</v>
      </c>
      <c r="H14" s="14">
        <f t="shared" si="0"/>
        <v>44256</v>
      </c>
      <c r="I14">
        <f>COUNTIFS(Table_All_Staff[Date Joined],"&gt;="&amp;H14,Table_All_Staff[Date Joined],"&lt;="&amp;EOMONTH(H14,0))</f>
        <v>9</v>
      </c>
      <c r="J14">
        <f>SUM($I$4:I14)</f>
        <v>56</v>
      </c>
    </row>
    <row r="15" spans="2:10" x14ac:dyDescent="0.25">
      <c r="B15" s="10" t="s">
        <v>13</v>
      </c>
      <c r="C15">
        <v>20</v>
      </c>
      <c r="D15" s="33">
        <v>75933</v>
      </c>
      <c r="G15">
        <v>12</v>
      </c>
      <c r="H15" s="14">
        <f t="shared" si="0"/>
        <v>44287</v>
      </c>
      <c r="I15">
        <f>COUNTIFS(Table_All_Staff[Date Joined],"&gt;="&amp;H15,Table_All_Staff[Date Joined],"&lt;="&amp;EOMONTH(H15,0))</f>
        <v>5</v>
      </c>
      <c r="J15">
        <f>SUM($I$4:I15)</f>
        <v>61</v>
      </c>
    </row>
    <row r="16" spans="2:10" x14ac:dyDescent="0.25">
      <c r="B16" s="10" t="s">
        <v>16</v>
      </c>
      <c r="C16">
        <v>137</v>
      </c>
      <c r="D16" s="33">
        <v>76798.759124087592</v>
      </c>
      <c r="G16">
        <v>13</v>
      </c>
      <c r="H16" s="14">
        <f t="shared" si="0"/>
        <v>44317</v>
      </c>
      <c r="I16">
        <f>COUNTIFS(Table_All_Staff[Date Joined],"&gt;="&amp;H16,Table_All_Staff[Date Joined],"&lt;="&amp;EOMONTH(H16,0))</f>
        <v>10</v>
      </c>
      <c r="J16">
        <f>SUM($I$4:I16)</f>
        <v>71</v>
      </c>
    </row>
    <row r="17" spans="2:10" x14ac:dyDescent="0.25">
      <c r="B17" s="10" t="s">
        <v>24</v>
      </c>
      <c r="C17">
        <v>16</v>
      </c>
      <c r="D17" s="33">
        <v>78115</v>
      </c>
      <c r="G17">
        <v>14</v>
      </c>
      <c r="H17" s="14">
        <f t="shared" si="0"/>
        <v>44348</v>
      </c>
      <c r="I17">
        <f>COUNTIFS(Table_All_Staff[Date Joined],"&gt;="&amp;H17,Table_All_Staff[Date Joined],"&lt;="&amp;EOMONTH(H17,0))</f>
        <v>6</v>
      </c>
      <c r="J17">
        <f>SUM($I$4:I17)</f>
        <v>77</v>
      </c>
    </row>
    <row r="18" spans="2:10" x14ac:dyDescent="0.25">
      <c r="B18" s="10" t="s">
        <v>42</v>
      </c>
      <c r="C18">
        <v>6</v>
      </c>
      <c r="D18" s="33">
        <v>77423.333333333328</v>
      </c>
      <c r="G18">
        <v>15</v>
      </c>
      <c r="H18" s="14">
        <f t="shared" si="0"/>
        <v>44378</v>
      </c>
      <c r="I18">
        <f>COUNTIFS(Table_All_Staff[Date Joined],"&gt;="&amp;H18,Table_All_Staff[Date Joined],"&lt;="&amp;EOMONTH(H18,0))</f>
        <v>13</v>
      </c>
      <c r="J18">
        <f>SUM($I$4:I18)</f>
        <v>90</v>
      </c>
    </row>
    <row r="19" spans="2:10" x14ac:dyDescent="0.25">
      <c r="B19" s="10" t="s">
        <v>229</v>
      </c>
      <c r="C19">
        <v>183</v>
      </c>
      <c r="D19" s="33">
        <v>77173.715846994543</v>
      </c>
      <c r="G19">
        <v>16</v>
      </c>
      <c r="H19" s="14">
        <f t="shared" si="0"/>
        <v>44409</v>
      </c>
      <c r="I19">
        <f>COUNTIFS(Table_All_Staff[Date Joined],"&gt;="&amp;H19,Table_All_Staff[Date Joined],"&lt;="&amp;EOMONTH(H19,0))</f>
        <v>4</v>
      </c>
      <c r="J19">
        <f>SUM($I$4:I19)</f>
        <v>94</v>
      </c>
    </row>
    <row r="20" spans="2:10" x14ac:dyDescent="0.25">
      <c r="G20">
        <v>17</v>
      </c>
      <c r="H20" s="14">
        <f t="shared" si="0"/>
        <v>44440</v>
      </c>
      <c r="I20">
        <f>COUNTIFS(Table_All_Staff[Date Joined],"&gt;="&amp;H20,Table_All_Staff[Date Joined],"&lt;="&amp;EOMONTH(H20,0))</f>
        <v>11</v>
      </c>
      <c r="J20">
        <f>SUM($I$4:I20)</f>
        <v>105</v>
      </c>
    </row>
    <row r="21" spans="2:10" x14ac:dyDescent="0.25">
      <c r="G21">
        <v>18</v>
      </c>
      <c r="H21" s="14">
        <f t="shared" si="0"/>
        <v>44470</v>
      </c>
      <c r="I21">
        <f>COUNTIFS(Table_All_Staff[Date Joined],"&gt;="&amp;H21,Table_All_Staff[Date Joined],"&lt;="&amp;EOMONTH(H21,0))</f>
        <v>3</v>
      </c>
      <c r="J21">
        <f>SUM($I$4:I21)</f>
        <v>108</v>
      </c>
    </row>
    <row r="22" spans="2:10" x14ac:dyDescent="0.25">
      <c r="B22" s="12" t="s">
        <v>230</v>
      </c>
      <c r="G22">
        <v>19</v>
      </c>
      <c r="H22" s="14">
        <f t="shared" si="0"/>
        <v>44501</v>
      </c>
      <c r="I22">
        <f>COUNTIFS(Table_All_Staff[Date Joined],"&gt;="&amp;H22,Table_All_Staff[Date Joined],"&lt;="&amp;EOMONTH(H22,0))</f>
        <v>4</v>
      </c>
      <c r="J22">
        <f>SUM($I$4:I22)</f>
        <v>112</v>
      </c>
    </row>
    <row r="23" spans="2:10" x14ac:dyDescent="0.25">
      <c r="B23" s="10" t="s">
        <v>10</v>
      </c>
      <c r="C23">
        <v>5</v>
      </c>
      <c r="G23">
        <v>20</v>
      </c>
      <c r="H23" s="14">
        <f t="shared" si="0"/>
        <v>44531</v>
      </c>
      <c r="I23">
        <f>COUNTIFS(Table_All_Staff[Date Joined],"&gt;="&amp;H23,Table_All_Staff[Date Joined],"&lt;="&amp;EOMONTH(H23,0))</f>
        <v>7</v>
      </c>
      <c r="J23">
        <f>SUM($I$4:I23)</f>
        <v>119</v>
      </c>
    </row>
    <row r="24" spans="2:10" x14ac:dyDescent="0.25">
      <c r="B24" s="10" t="s">
        <v>13</v>
      </c>
      <c r="C24">
        <v>4</v>
      </c>
      <c r="G24">
        <v>21</v>
      </c>
      <c r="H24" s="14">
        <f t="shared" si="0"/>
        <v>44562</v>
      </c>
      <c r="I24">
        <f>COUNTIFS(Table_All_Staff[Date Joined],"&gt;="&amp;H24,Table_All_Staff[Date Joined],"&lt;="&amp;EOMONTH(H24,0))</f>
        <v>3</v>
      </c>
      <c r="J24">
        <f>SUM($I$4:I24)</f>
        <v>122</v>
      </c>
    </row>
    <row r="25" spans="2:10" x14ac:dyDescent="0.25">
      <c r="B25" s="10" t="s">
        <v>16</v>
      </c>
      <c r="C25">
        <v>3</v>
      </c>
      <c r="G25">
        <v>22</v>
      </c>
      <c r="H25" s="14">
        <f t="shared" si="0"/>
        <v>44593</v>
      </c>
      <c r="I25">
        <f>COUNTIFS(Table_All_Staff[Date Joined],"&gt;="&amp;H25,Table_All_Staff[Date Joined],"&lt;="&amp;EOMONTH(H25,0))</f>
        <v>10</v>
      </c>
      <c r="J25">
        <f>SUM($I$4:I25)</f>
        <v>132</v>
      </c>
    </row>
    <row r="26" spans="2:10" x14ac:dyDescent="0.25">
      <c r="B26" s="10" t="s">
        <v>24</v>
      </c>
      <c r="C26">
        <v>2</v>
      </c>
      <c r="G26">
        <v>23</v>
      </c>
      <c r="H26" s="14">
        <f t="shared" si="0"/>
        <v>44621</v>
      </c>
      <c r="I26">
        <f>COUNTIFS(Table_All_Staff[Date Joined],"&gt;="&amp;H26,Table_All_Staff[Date Joined],"&lt;="&amp;EOMONTH(H26,0))</f>
        <v>9</v>
      </c>
      <c r="J26">
        <f>SUM($I$4:I26)</f>
        <v>141</v>
      </c>
    </row>
    <row r="27" spans="2:10" x14ac:dyDescent="0.25">
      <c r="B27" s="10" t="s">
        <v>42</v>
      </c>
      <c r="C27">
        <v>1</v>
      </c>
      <c r="G27">
        <v>24</v>
      </c>
      <c r="H27" s="14">
        <f t="shared" si="0"/>
        <v>44652</v>
      </c>
      <c r="I27">
        <f>COUNTIFS(Table_All_Staff[Date Joined],"&gt;="&amp;H27,Table_All_Staff[Date Joined],"&lt;="&amp;EOMONTH(H27,0))</f>
        <v>9</v>
      </c>
      <c r="J27">
        <f>SUM($I$4:I27)</f>
        <v>150</v>
      </c>
    </row>
    <row r="28" spans="2:10" x14ac:dyDescent="0.25">
      <c r="G28">
        <v>25</v>
      </c>
      <c r="H28" s="14">
        <f t="shared" si="0"/>
        <v>44682</v>
      </c>
      <c r="I28">
        <f>COUNTIFS(Table_All_Staff[Date Joined],"&gt;="&amp;H28,Table_All_Staff[Date Joined],"&lt;="&amp;EOMONTH(H28,0))</f>
        <v>9</v>
      </c>
      <c r="J28">
        <f>SUM($I$4:I28)</f>
        <v>159</v>
      </c>
    </row>
    <row r="29" spans="2:10" x14ac:dyDescent="0.25">
      <c r="G29">
        <v>26</v>
      </c>
      <c r="H29" s="14">
        <f t="shared" si="0"/>
        <v>44713</v>
      </c>
      <c r="I29">
        <f>COUNTIFS(Table_All_Staff[Date Joined],"&gt;="&amp;H29,Table_All_Staff[Date Joined],"&lt;="&amp;EOMONTH(H29,0))</f>
        <v>7</v>
      </c>
      <c r="J29">
        <f>SUM($I$4:I29)</f>
        <v>166</v>
      </c>
    </row>
    <row r="30" spans="2:10" x14ac:dyDescent="0.25">
      <c r="G30">
        <v>27</v>
      </c>
      <c r="H30" s="14">
        <f t="shared" si="0"/>
        <v>44743</v>
      </c>
      <c r="I30">
        <f>COUNTIFS(Table_All_Staff[Date Joined],"&gt;="&amp;H30,Table_All_Staff[Date Joined],"&lt;="&amp;EOMONTH(H30,0))</f>
        <v>5</v>
      </c>
      <c r="J30">
        <f>SUM($I$4:I30)</f>
        <v>171</v>
      </c>
    </row>
    <row r="31" spans="2:10" x14ac:dyDescent="0.25">
      <c r="G31">
        <v>28</v>
      </c>
      <c r="H31" s="14">
        <f t="shared" si="0"/>
        <v>44774</v>
      </c>
      <c r="I31">
        <f>COUNTIFS(Table_All_Staff[Date Joined],"&gt;="&amp;H31,Table_All_Staff[Date Joined],"&lt;="&amp;EOMONTH(H31,0))</f>
        <v>5</v>
      </c>
      <c r="J31">
        <f>SUM($I$4:I31)</f>
        <v>176</v>
      </c>
    </row>
    <row r="32" spans="2:10" x14ac:dyDescent="0.25">
      <c r="B32" s="9" t="s">
        <v>228</v>
      </c>
      <c r="C32" t="s">
        <v>222</v>
      </c>
      <c r="G32">
        <v>29</v>
      </c>
      <c r="H32" s="14">
        <f t="shared" si="0"/>
        <v>44805</v>
      </c>
      <c r="I32">
        <f>COUNTIFS(Table_All_Staff[Date Joined],"&gt;="&amp;H32,Table_All_Staff[Date Joined],"&lt;="&amp;EOMONTH(H32,0))</f>
        <v>2</v>
      </c>
      <c r="J32">
        <f>SUM($I$4:I32)</f>
        <v>178</v>
      </c>
    </row>
    <row r="33" spans="2:10" x14ac:dyDescent="0.25">
      <c r="B33" s="10" t="s">
        <v>232</v>
      </c>
      <c r="G33">
        <v>30</v>
      </c>
      <c r="H33" s="14">
        <f t="shared" si="0"/>
        <v>44835</v>
      </c>
      <c r="I33">
        <f>COUNTIFS(Table_All_Staff[Date Joined],"&gt;="&amp;H33,Table_All_Staff[Date Joined],"&lt;="&amp;EOMONTH(H33,0))</f>
        <v>3</v>
      </c>
      <c r="J33">
        <f>SUM($I$4:I33)</f>
        <v>181</v>
      </c>
    </row>
    <row r="34" spans="2:10" x14ac:dyDescent="0.25">
      <c r="B34" s="13" t="s">
        <v>233</v>
      </c>
      <c r="C34">
        <v>3</v>
      </c>
      <c r="G34">
        <v>31</v>
      </c>
      <c r="H34" s="14">
        <f t="shared" si="0"/>
        <v>44866</v>
      </c>
      <c r="I34">
        <f>COUNTIFS(Table_All_Staff[Date Joined],"&gt;="&amp;H34,Table_All_Staff[Date Joined],"&lt;="&amp;EOMONTH(H34,0))</f>
        <v>0</v>
      </c>
      <c r="J34">
        <f>SUM($I$4:I34)</f>
        <v>181</v>
      </c>
    </row>
    <row r="35" spans="2:10" x14ac:dyDescent="0.25">
      <c r="B35" s="13" t="s">
        <v>234</v>
      </c>
      <c r="C35">
        <v>4</v>
      </c>
      <c r="G35">
        <v>32</v>
      </c>
      <c r="H35" s="14">
        <f t="shared" si="0"/>
        <v>44896</v>
      </c>
      <c r="I35">
        <f>COUNTIFS(Table_All_Staff[Date Joined],"&gt;="&amp;H35,Table_All_Staff[Date Joined],"&lt;="&amp;EOMONTH(H35,0))</f>
        <v>0</v>
      </c>
      <c r="J35">
        <f>SUM($I$4:I35)</f>
        <v>181</v>
      </c>
    </row>
    <row r="36" spans="2:10" x14ac:dyDescent="0.25">
      <c r="B36" s="13" t="s">
        <v>235</v>
      </c>
      <c r="C36">
        <v>9</v>
      </c>
      <c r="G36">
        <v>33</v>
      </c>
      <c r="H36" s="14">
        <f t="shared" si="0"/>
        <v>44927</v>
      </c>
      <c r="I36">
        <f>COUNTIFS(Table_All_Staff[Date Joined],"&gt;="&amp;H36,Table_All_Staff[Date Joined],"&lt;="&amp;EOMONTH(H36,0))</f>
        <v>0</v>
      </c>
      <c r="J36">
        <f>SUM($I$4:I36)</f>
        <v>181</v>
      </c>
    </row>
    <row r="37" spans="2:10" x14ac:dyDescent="0.25">
      <c r="B37" s="13" t="s">
        <v>236</v>
      </c>
      <c r="C37">
        <v>12</v>
      </c>
      <c r="G37">
        <v>34</v>
      </c>
      <c r="H37" s="14">
        <f t="shared" si="0"/>
        <v>44958</v>
      </c>
      <c r="I37">
        <f>COUNTIFS(Table_All_Staff[Date Joined],"&gt;="&amp;H37,Table_All_Staff[Date Joined],"&lt;="&amp;EOMONTH(H37,0))</f>
        <v>1</v>
      </c>
      <c r="J37">
        <f>SUM($I$4:I37)</f>
        <v>182</v>
      </c>
    </row>
    <row r="38" spans="2:10" x14ac:dyDescent="0.25">
      <c r="B38" s="13" t="s">
        <v>237</v>
      </c>
      <c r="C38">
        <v>18</v>
      </c>
      <c r="G38">
        <v>35</v>
      </c>
      <c r="H38" s="14">
        <f t="shared" si="0"/>
        <v>44986</v>
      </c>
      <c r="I38">
        <f>COUNTIFS(Table_All_Staff[Date Joined],"&gt;="&amp;H38,Table_All_Staff[Date Joined],"&lt;="&amp;EOMONTH(H38,0))</f>
        <v>0</v>
      </c>
      <c r="J38">
        <f>SUM($I$4:I38)</f>
        <v>182</v>
      </c>
    </row>
    <row r="39" spans="2:10" x14ac:dyDescent="0.25">
      <c r="B39" s="13" t="s">
        <v>238</v>
      </c>
      <c r="C39">
        <v>24</v>
      </c>
      <c r="G39">
        <v>36</v>
      </c>
      <c r="H39" s="14">
        <f t="shared" si="0"/>
        <v>45017</v>
      </c>
      <c r="I39">
        <f>COUNTIFS(Table_All_Staff[Date Joined],"&gt;="&amp;H39,Table_All_Staff[Date Joined],"&lt;="&amp;EOMONTH(H39,0))</f>
        <v>1</v>
      </c>
      <c r="J39">
        <f>SUM($I$4:I39)</f>
        <v>183</v>
      </c>
    </row>
    <row r="40" spans="2:10" x14ac:dyDescent="0.25">
      <c r="B40" s="13" t="s">
        <v>239</v>
      </c>
      <c r="C40">
        <v>30</v>
      </c>
    </row>
    <row r="41" spans="2:10" x14ac:dyDescent="0.25">
      <c r="B41" s="13" t="s">
        <v>240</v>
      </c>
      <c r="C41">
        <v>37</v>
      </c>
    </row>
    <row r="42" spans="2:10" x14ac:dyDescent="0.25">
      <c r="B42" s="10" t="s">
        <v>241</v>
      </c>
    </row>
    <row r="43" spans="2:10" x14ac:dyDescent="0.25">
      <c r="B43" s="13" t="s">
        <v>242</v>
      </c>
      <c r="C43">
        <v>6</v>
      </c>
    </row>
    <row r="44" spans="2:10" x14ac:dyDescent="0.25">
      <c r="B44" s="13" t="s">
        <v>243</v>
      </c>
      <c r="C44">
        <v>10</v>
      </c>
    </row>
    <row r="45" spans="2:10" x14ac:dyDescent="0.25">
      <c r="B45" s="13" t="s">
        <v>244</v>
      </c>
      <c r="C45">
        <v>19</v>
      </c>
    </row>
    <row r="46" spans="2:10" x14ac:dyDescent="0.25">
      <c r="B46" s="13" t="s">
        <v>245</v>
      </c>
      <c r="C46">
        <v>24</v>
      </c>
    </row>
    <row r="47" spans="2:10" x14ac:dyDescent="0.25">
      <c r="B47" s="13" t="s">
        <v>233</v>
      </c>
      <c r="C47">
        <v>34</v>
      </c>
    </row>
    <row r="48" spans="2:10" x14ac:dyDescent="0.25">
      <c r="B48" s="13" t="s">
        <v>234</v>
      </c>
      <c r="C48">
        <v>40</v>
      </c>
    </row>
    <row r="49" spans="2:3" x14ac:dyDescent="0.25">
      <c r="B49" s="13" t="s">
        <v>235</v>
      </c>
      <c r="C49">
        <v>53</v>
      </c>
    </row>
    <row r="50" spans="2:3" x14ac:dyDescent="0.25">
      <c r="B50" s="13" t="s">
        <v>236</v>
      </c>
      <c r="C50">
        <v>57</v>
      </c>
    </row>
    <row r="51" spans="2:3" x14ac:dyDescent="0.25">
      <c r="B51" s="13" t="s">
        <v>237</v>
      </c>
      <c r="C51">
        <v>68</v>
      </c>
    </row>
    <row r="52" spans="2:3" x14ac:dyDescent="0.25">
      <c r="B52" s="13" t="s">
        <v>238</v>
      </c>
      <c r="C52">
        <v>71</v>
      </c>
    </row>
    <row r="53" spans="2:3" x14ac:dyDescent="0.25">
      <c r="B53" s="13" t="s">
        <v>239</v>
      </c>
      <c r="C53">
        <v>75</v>
      </c>
    </row>
    <row r="54" spans="2:3" x14ac:dyDescent="0.25">
      <c r="B54" s="13" t="s">
        <v>240</v>
      </c>
      <c r="C54">
        <v>82</v>
      </c>
    </row>
    <row r="55" spans="2:3" x14ac:dyDescent="0.25">
      <c r="B55" s="10" t="s">
        <v>246</v>
      </c>
    </row>
    <row r="56" spans="2:3" x14ac:dyDescent="0.25">
      <c r="B56" s="13" t="s">
        <v>242</v>
      </c>
      <c r="C56">
        <v>3</v>
      </c>
    </row>
    <row r="57" spans="2:3" x14ac:dyDescent="0.25">
      <c r="B57" s="13" t="s">
        <v>243</v>
      </c>
      <c r="C57">
        <v>13</v>
      </c>
    </row>
    <row r="58" spans="2:3" x14ac:dyDescent="0.25">
      <c r="B58" s="13" t="s">
        <v>244</v>
      </c>
      <c r="C58">
        <v>22</v>
      </c>
    </row>
    <row r="59" spans="2:3" x14ac:dyDescent="0.25">
      <c r="B59" s="13" t="s">
        <v>245</v>
      </c>
      <c r="C59">
        <v>31</v>
      </c>
    </row>
    <row r="60" spans="2:3" x14ac:dyDescent="0.25">
      <c r="B60" s="13" t="s">
        <v>233</v>
      </c>
      <c r="C60">
        <v>40</v>
      </c>
    </row>
    <row r="61" spans="2:3" x14ac:dyDescent="0.25">
      <c r="B61" s="13" t="s">
        <v>234</v>
      </c>
      <c r="C61">
        <v>47</v>
      </c>
    </row>
    <row r="62" spans="2:3" x14ac:dyDescent="0.25">
      <c r="B62" s="13" t="s">
        <v>235</v>
      </c>
      <c r="C62">
        <v>52</v>
      </c>
    </row>
    <row r="63" spans="2:3" x14ac:dyDescent="0.25">
      <c r="B63" s="13" t="s">
        <v>236</v>
      </c>
      <c r="C63">
        <v>57</v>
      </c>
    </row>
    <row r="64" spans="2:3" x14ac:dyDescent="0.25">
      <c r="B64" s="13" t="s">
        <v>237</v>
      </c>
      <c r="C64">
        <v>59</v>
      </c>
    </row>
    <row r="65" spans="2:6" x14ac:dyDescent="0.25">
      <c r="B65" s="13" t="s">
        <v>238</v>
      </c>
      <c r="C65">
        <v>62</v>
      </c>
    </row>
    <row r="66" spans="2:6" x14ac:dyDescent="0.25">
      <c r="B66" s="10" t="s">
        <v>247</v>
      </c>
    </row>
    <row r="67" spans="2:6" x14ac:dyDescent="0.25">
      <c r="B67" s="13" t="s">
        <v>243</v>
      </c>
      <c r="C67">
        <v>1</v>
      </c>
    </row>
    <row r="68" spans="2:6" x14ac:dyDescent="0.25">
      <c r="B68" s="13" t="s">
        <v>245</v>
      </c>
      <c r="C68">
        <v>2</v>
      </c>
    </row>
    <row r="69" spans="2:6" x14ac:dyDescent="0.25">
      <c r="B69" s="10" t="s">
        <v>229</v>
      </c>
    </row>
    <row r="71" spans="2:6" x14ac:dyDescent="0.25">
      <c r="B71" s="9" t="s">
        <v>203</v>
      </c>
      <c r="C71" t="s">
        <v>206</v>
      </c>
      <c r="E71" s="9" t="s">
        <v>203</v>
      </c>
      <c r="F71" t="s">
        <v>204</v>
      </c>
    </row>
    <row r="73" spans="2:6" x14ac:dyDescent="0.25">
      <c r="B73" s="9" t="s">
        <v>228</v>
      </c>
      <c r="C73" t="s">
        <v>222</v>
      </c>
      <c r="E73" s="9" t="s">
        <v>228</v>
      </c>
      <c r="F73" t="s">
        <v>222</v>
      </c>
    </row>
    <row r="74" spans="2:6" x14ac:dyDescent="0.25">
      <c r="B74" s="10" t="s">
        <v>12</v>
      </c>
      <c r="C74">
        <v>27</v>
      </c>
      <c r="E74" s="10" t="s">
        <v>9</v>
      </c>
      <c r="F74">
        <v>28</v>
      </c>
    </row>
    <row r="75" spans="2:6" x14ac:dyDescent="0.25">
      <c r="B75" s="10" t="s">
        <v>9</v>
      </c>
      <c r="C75">
        <v>27</v>
      </c>
      <c r="E75" s="10" t="s">
        <v>12</v>
      </c>
      <c r="F75">
        <v>27</v>
      </c>
    </row>
    <row r="76" spans="2:6" x14ac:dyDescent="0.25">
      <c r="B76" s="10" t="s">
        <v>21</v>
      </c>
      <c r="C76">
        <v>19</v>
      </c>
      <c r="E76" s="10" t="s">
        <v>21</v>
      </c>
      <c r="F76">
        <v>19</v>
      </c>
    </row>
    <row r="77" spans="2:6" x14ac:dyDescent="0.25">
      <c r="B77" s="10" t="s">
        <v>19</v>
      </c>
      <c r="C77">
        <v>14</v>
      </c>
      <c r="E77" s="10" t="s">
        <v>19</v>
      </c>
      <c r="F77">
        <v>14</v>
      </c>
    </row>
    <row r="78" spans="2:6" x14ac:dyDescent="0.25">
      <c r="B78" s="10" t="s">
        <v>56</v>
      </c>
      <c r="C78">
        <v>4</v>
      </c>
      <c r="E78" s="10" t="s">
        <v>56</v>
      </c>
      <c r="F78">
        <v>4</v>
      </c>
    </row>
    <row r="79" spans="2:6" x14ac:dyDescent="0.25">
      <c r="B79" s="10" t="s">
        <v>229</v>
      </c>
      <c r="C79">
        <v>91</v>
      </c>
      <c r="E79" s="10" t="s">
        <v>229</v>
      </c>
      <c r="F79">
        <v>92</v>
      </c>
    </row>
  </sheetData>
  <conditionalFormatting pivot="1" sqref="D14:D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{4C3AD14B-2CCC-4DA0-87E2-FA25C9379543}</x14:id>
        </ext>
      </extLst>
    </cfRule>
  </conditionalFormatting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C3AD14B-2CCC-4DA0-87E2-FA25C9379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D14:D19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B0E2-06AC-40B3-8C61-7E30D4240CA0}">
  <dimension ref="B2:N64"/>
  <sheetViews>
    <sheetView showGridLines="0" showRowColHeaders="0" topLeftCell="A10" workbookViewId="0">
      <selection activeCell="L20" sqref="L20"/>
    </sheetView>
  </sheetViews>
  <sheetFormatPr defaultRowHeight="15" x14ac:dyDescent="0.25"/>
  <cols>
    <col min="10" max="10" width="14.85546875" customWidth="1"/>
    <col min="11" max="11" width="14.140625" customWidth="1"/>
    <col min="12" max="12" width="12.42578125" customWidth="1"/>
    <col min="14" max="14" width="55.42578125" customWidth="1"/>
  </cols>
  <sheetData>
    <row r="2" spans="2:14" ht="21" x14ac:dyDescent="0.35">
      <c r="B2" s="35" t="s">
        <v>271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4" spans="2:14" x14ac:dyDescent="0.25">
      <c r="L4" s="34" t="s">
        <v>263</v>
      </c>
      <c r="M4" s="34" t="s">
        <v>5</v>
      </c>
      <c r="N4" s="34" t="s">
        <v>264</v>
      </c>
    </row>
    <row r="5" spans="2:14" x14ac:dyDescent="0.25">
      <c r="L5" s="5"/>
      <c r="M5" s="5"/>
      <c r="N5" s="5"/>
    </row>
    <row r="6" spans="2:14" x14ac:dyDescent="0.25">
      <c r="L6" s="5" t="s">
        <v>261</v>
      </c>
      <c r="M6" s="5">
        <f>MIN(Table_All_Staff[Salary])</f>
        <v>33920</v>
      </c>
      <c r="N6" s="5" t="s">
        <v>265</v>
      </c>
    </row>
    <row r="7" spans="2:14" x14ac:dyDescent="0.25">
      <c r="L7" s="5" t="s">
        <v>259</v>
      </c>
      <c r="M7" s="5">
        <f>_xlfn.QUARTILE.INC(Table_All_Staff[Salary],1)</f>
        <v>56980</v>
      </c>
      <c r="N7" s="5" t="s">
        <v>266</v>
      </c>
    </row>
    <row r="8" spans="2:14" x14ac:dyDescent="0.25">
      <c r="L8" s="5" t="s">
        <v>260</v>
      </c>
      <c r="M8" s="5">
        <f>MEDIAN(Table_All_Staff[Salary])</f>
        <v>75000</v>
      </c>
      <c r="N8" s="5" t="s">
        <v>267</v>
      </c>
    </row>
    <row r="9" spans="2:14" x14ac:dyDescent="0.25">
      <c r="L9" s="5" t="s">
        <v>268</v>
      </c>
      <c r="M9" s="5">
        <f>_xlfn.QUARTILE.INC(Table_All_Staff[Salary],3)</f>
        <v>99970</v>
      </c>
      <c r="N9" s="5" t="s">
        <v>269</v>
      </c>
    </row>
    <row r="10" spans="2:14" x14ac:dyDescent="0.25">
      <c r="L10" s="5" t="s">
        <v>262</v>
      </c>
      <c r="M10" s="5">
        <f>MAX(Table_All_Staff[Salary])</f>
        <v>119110</v>
      </c>
      <c r="N10" s="5" t="s">
        <v>270</v>
      </c>
    </row>
    <row r="45" spans="2:14" ht="21" x14ac:dyDescent="0.35">
      <c r="B45" s="35" t="s">
        <v>272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8" spans="2:14" x14ac:dyDescent="0.25">
      <c r="J48" s="9" t="s">
        <v>228</v>
      </c>
      <c r="K48" s="9" t="s">
        <v>222</v>
      </c>
      <c r="L48" t="s">
        <v>224</v>
      </c>
    </row>
    <row r="49" spans="2:14" x14ac:dyDescent="0.25">
      <c r="J49" s="10" t="s">
        <v>10</v>
      </c>
      <c r="K49">
        <v>4</v>
      </c>
      <c r="L49" s="33">
        <v>92080</v>
      </c>
    </row>
    <row r="50" spans="2:14" x14ac:dyDescent="0.25">
      <c r="J50" s="10" t="s">
        <v>13</v>
      </c>
      <c r="K50">
        <v>20</v>
      </c>
      <c r="L50" s="33">
        <v>75933</v>
      </c>
    </row>
    <row r="51" spans="2:14" x14ac:dyDescent="0.25">
      <c r="J51" s="10" t="s">
        <v>16</v>
      </c>
      <c r="K51">
        <v>137</v>
      </c>
      <c r="L51" s="33">
        <v>76798.759124087592</v>
      </c>
    </row>
    <row r="52" spans="2:14" x14ac:dyDescent="0.25">
      <c r="J52" s="10" t="s">
        <v>24</v>
      </c>
      <c r="K52">
        <v>16</v>
      </c>
      <c r="L52" s="33">
        <v>78115</v>
      </c>
    </row>
    <row r="53" spans="2:14" x14ac:dyDescent="0.25">
      <c r="J53" s="10" t="s">
        <v>42</v>
      </c>
      <c r="K53">
        <v>6</v>
      </c>
      <c r="L53" s="33">
        <v>77423.333333333328</v>
      </c>
    </row>
    <row r="54" spans="2:14" x14ac:dyDescent="0.25">
      <c r="J54" s="10" t="s">
        <v>229</v>
      </c>
      <c r="K54">
        <v>183</v>
      </c>
      <c r="L54" s="33">
        <v>77173.715846994543</v>
      </c>
    </row>
    <row r="64" spans="2:14" ht="21" x14ac:dyDescent="0.35">
      <c r="B64" s="35" t="s">
        <v>273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</sheetData>
  <mergeCells count="3">
    <mergeCell ref="B2:N2"/>
    <mergeCell ref="B45:N45"/>
    <mergeCell ref="B64:N64"/>
  </mergeCells>
  <conditionalFormatting pivot="1" sqref="L49:L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{B388DF7A-540E-4D63-BEBD-F0031F3DCD6F}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388DF7A-540E-4D63-BEBD-F0031F3DC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L49:L54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8F8-34BC-42EA-BF0C-3775DAF25A60}">
  <dimension ref="B1:O29"/>
  <sheetViews>
    <sheetView showGridLines="0" showRowColHeaders="0" workbookViewId="0">
      <selection activeCell="Q6" sqref="Q6"/>
    </sheetView>
  </sheetViews>
  <sheetFormatPr defaultRowHeight="15" x14ac:dyDescent="0.25"/>
  <cols>
    <col min="3" max="3" width="19.5703125" customWidth="1"/>
    <col min="4" max="4" width="2.85546875" customWidth="1"/>
    <col min="5" max="5" width="19.5703125" customWidth="1"/>
    <col min="6" max="6" width="2.7109375" customWidth="1"/>
    <col min="7" max="7" width="19.5703125" customWidth="1"/>
    <col min="10" max="10" width="19.5703125" customWidth="1"/>
    <col min="11" max="11" width="2.85546875" customWidth="1"/>
    <col min="12" max="12" width="19.5703125" customWidth="1"/>
    <col min="13" max="13" width="2.7109375" customWidth="1"/>
    <col min="14" max="14" width="19.5703125" customWidth="1"/>
  </cols>
  <sheetData>
    <row r="1" spans="2:15" ht="15" customHeight="1" x14ac:dyDescent="0.25">
      <c r="B1" s="39" t="s">
        <v>257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2:15" ht="15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2:15" ht="15.75" thickBot="1" x14ac:dyDescent="0.3"/>
    <row r="4" spans="2:15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2:15" ht="24" customHeight="1" x14ac:dyDescent="0.3">
      <c r="B5" s="18"/>
      <c r="C5" s="37" t="s">
        <v>252</v>
      </c>
      <c r="D5" s="37"/>
      <c r="E5" s="37"/>
      <c r="F5" s="37"/>
      <c r="G5" s="37"/>
      <c r="J5" s="37" t="s">
        <v>253</v>
      </c>
      <c r="K5" s="37"/>
      <c r="L5" s="37"/>
      <c r="M5" s="37"/>
      <c r="N5" s="37"/>
      <c r="O5" s="19"/>
    </row>
    <row r="6" spans="2:15" ht="33" customHeight="1" x14ac:dyDescent="0.25">
      <c r="B6" s="18"/>
      <c r="C6" s="28" t="s">
        <v>254</v>
      </c>
      <c r="E6" s="28" t="s">
        <v>255</v>
      </c>
      <c r="G6" s="28" t="s">
        <v>256</v>
      </c>
      <c r="J6" s="28" t="s">
        <v>254</v>
      </c>
      <c r="L6" s="28" t="s">
        <v>255</v>
      </c>
      <c r="N6" s="28" t="s">
        <v>256</v>
      </c>
      <c r="O6" s="19"/>
    </row>
    <row r="7" spans="2:15" ht="92.25" customHeight="1" x14ac:dyDescent="0.25">
      <c r="B7" s="18"/>
      <c r="C7" s="20">
        <f>COUNTIFS(Table_All_Staff[Country],"NZ")</f>
        <v>91</v>
      </c>
      <c r="E7" s="21">
        <f>COUNTIFS(Table_All_Staff[Country],"NZ",Table_All_Staff[Gender],"Female")/C7</f>
        <v>0.47252747252747251</v>
      </c>
      <c r="G7" s="22">
        <f>AVERAGEIFS(Table_All_Staff[Salary],Table_All_Staff[Country],"NZ")</f>
        <v>76978.791208791212</v>
      </c>
      <c r="J7" s="23">
        <f>COUNTIFS(Table_All_Staff[Country],"IND")</f>
        <v>92</v>
      </c>
      <c r="L7" s="24">
        <f>COUNTIFS(Table_All_Staff[Country],"IND",Table_All_Staff[Gender],"Female")/J7</f>
        <v>0.46739130434782611</v>
      </c>
      <c r="N7" s="29">
        <f>AVERAGEIFS(Table_All_Staff[Salary],Table_All_Staff[Country],"IND")</f>
        <v>77366.521739130432</v>
      </c>
      <c r="O7" s="19"/>
    </row>
    <row r="8" spans="2:15" x14ac:dyDescent="0.25">
      <c r="B8" s="18"/>
      <c r="O8" s="19"/>
    </row>
    <row r="9" spans="2:15" x14ac:dyDescent="0.25">
      <c r="B9" s="18"/>
      <c r="O9" s="19"/>
    </row>
    <row r="10" spans="2:15" x14ac:dyDescent="0.25">
      <c r="B10" s="18"/>
      <c r="C10" s="38" t="s">
        <v>258</v>
      </c>
      <c r="D10" s="38"/>
      <c r="E10" s="38"/>
      <c r="F10" s="38"/>
      <c r="G10" s="38"/>
      <c r="J10" s="38" t="s">
        <v>258</v>
      </c>
      <c r="K10" s="38"/>
      <c r="L10" s="38"/>
      <c r="M10" s="38"/>
      <c r="N10" s="38"/>
      <c r="O10" s="19"/>
    </row>
    <row r="11" spans="2:15" x14ac:dyDescent="0.25">
      <c r="B11" s="18"/>
      <c r="C11" s="38"/>
      <c r="D11" s="38"/>
      <c r="E11" s="38"/>
      <c r="F11" s="38"/>
      <c r="G11" s="38"/>
      <c r="J11" s="38"/>
      <c r="K11" s="38"/>
      <c r="L11" s="38"/>
      <c r="M11" s="38"/>
      <c r="N11" s="38"/>
      <c r="O11" s="19"/>
    </row>
    <row r="12" spans="2:15" x14ac:dyDescent="0.25">
      <c r="B12" s="18"/>
      <c r="O12" s="19"/>
    </row>
    <row r="13" spans="2:15" x14ac:dyDescent="0.25">
      <c r="B13" s="18"/>
      <c r="O13" s="19"/>
    </row>
    <row r="14" spans="2:15" x14ac:dyDescent="0.25">
      <c r="B14" s="18"/>
      <c r="O14" s="19"/>
    </row>
    <row r="15" spans="2:15" x14ac:dyDescent="0.25">
      <c r="B15" s="18"/>
      <c r="O15" s="19"/>
    </row>
    <row r="16" spans="2:15" x14ac:dyDescent="0.25">
      <c r="B16" s="18"/>
      <c r="O16" s="19"/>
    </row>
    <row r="17" spans="2:15" x14ac:dyDescent="0.25">
      <c r="B17" s="18"/>
      <c r="O17" s="19"/>
    </row>
    <row r="18" spans="2:15" x14ac:dyDescent="0.25">
      <c r="B18" s="18"/>
      <c r="O18" s="19"/>
    </row>
    <row r="19" spans="2:15" x14ac:dyDescent="0.25">
      <c r="B19" s="18"/>
      <c r="O19" s="19"/>
    </row>
    <row r="20" spans="2:15" x14ac:dyDescent="0.25">
      <c r="B20" s="18"/>
      <c r="O20" s="19"/>
    </row>
    <row r="21" spans="2:15" x14ac:dyDescent="0.25">
      <c r="B21" s="18"/>
      <c r="O21" s="19"/>
    </row>
    <row r="22" spans="2:15" x14ac:dyDescent="0.25">
      <c r="B22" s="18"/>
      <c r="O22" s="19"/>
    </row>
    <row r="23" spans="2:15" x14ac:dyDescent="0.25">
      <c r="B23" s="18"/>
      <c r="O23" s="19"/>
    </row>
    <row r="24" spans="2:15" x14ac:dyDescent="0.25">
      <c r="B24" s="18"/>
      <c r="O24" s="19"/>
    </row>
    <row r="25" spans="2:15" x14ac:dyDescent="0.25">
      <c r="B25" s="18"/>
      <c r="O25" s="19"/>
    </row>
    <row r="26" spans="2:15" x14ac:dyDescent="0.25">
      <c r="B26" s="18"/>
      <c r="O26" s="19"/>
    </row>
    <row r="27" spans="2:15" x14ac:dyDescent="0.25">
      <c r="B27" s="18"/>
      <c r="O27" s="19"/>
    </row>
    <row r="28" spans="2:15" x14ac:dyDescent="0.25">
      <c r="B28" s="18"/>
      <c r="O28" s="19"/>
    </row>
    <row r="29" spans="2:15" ht="15.75" thickBot="1" x14ac:dyDescent="0.3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</sheetData>
  <mergeCells count="5">
    <mergeCell ref="C5:G5"/>
    <mergeCell ref="J5:N5"/>
    <mergeCell ref="C10:G11"/>
    <mergeCell ref="J10:N11"/>
    <mergeCell ref="B1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c 7 9 6 1 - 3 0 1 b - 4 f 6 4 - a 4 6 6 - a c b 8 0 3 b e 8 e b 6 "   x m l n s = " h t t p : / / s c h e m a s . m i c r o s o f t . c o m / D a t a M a s h u p " > A A A A A K w E A A B Q S w M E F A A C A A g A H J j o V u 6 S O B K k A A A A 9 g A A A B I A H A B D b 2 5 m a W c v U G F j a 2 F n Z S 5 4 b W w g o h g A K K A U A A A A A A A A A A A A A A A A A A A A A A A A A A A A h Y + 9 D o I w H M R f h X S n X y 6 E l D I 4 m Y g x M T G u T a n Q C H 8 M L Z Z 3 c / C R f A U x i r o 5 3 t 3 v k r v 7 9 S b y s W 2 i i + m d 7 S B D D F M U G d B d a a H K 0 O C P c Y J y K b Z K n 1 R l o g k G l 4 7 O Z q j 2 / p w S E k L A Y Y G 7 v i K c U k Y O x X q n a 9 O q 2 I L z C r R B n 1 b 5 v 4 W k 2 L / G S I 4 Z S z C n H F N B Z l M U F r 4 A n / Y + 0 x 9 T L I f G D 7 2 R B u L V R p B Z C v L + I B 9 Q S w M E F A A C A A g A H J j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Y 6 F Z / V x T G p g E A A E c F A A A T A B w A R m 9 y b X V s Y X M v U 2 V j d G l v b j E u b S C i G A A o o B Q A A A A A A A A A A A A A A A A A A A A A A A A A A A D t l E 1 r 4 z A Q h u + B / A e h X m w Q h Z 7 7 A c H p l v a Q h T j s Q k M o i j 1 J R P U R 5 F G 3 w e S / 7 z h O U q V J l 9 J e 1 x f D O 5 p 5 Z + a R X U G B y l m W t + + L y 2 6 n 2 6 k W 0 k P J B o 9 P O c r Z j F 0 z D d j t M H p y F 3 w B p N y + F q D P s + A 9 W P z t / P P U u e c k r c c D a e C a 7 3 L 5 Z D 3 O n E U 6 N B F t i T O e L a S d k 8 F o t Q R O t U Z y q u F 8 5 K W t Z s 6 b z O l g b B O s k t Z P 1 D V v 6 n L B k G S G 8 I p r w W p + B 7 Y E f y T 3 Y S k 9 G j I 9 C v X m + y o 2 m C n 4 N k E i s A e n L J S 7 a E k S K g O b e C 6 1 9 K s T i U O J y s 5 3 A W l X 6 3 W 6 n 7 N X l j R l F i p 0 5 m 1 O U t s J k 3 e b E I x n L l j c G I E s F o z W y N N u R 9 m T F W N W 9 7 Z U 8 u u 4 o v T / x L 5 F 7 H 7 Q / y S y n t b / A N Y 6 Z 8 5 M a c S k j g C J / Y c Z N T 4 E 4 1 6 o a D 8 s t S p o E d V b + 3 1 V 0 c g F 7 t C w L Z q D 9 K W W B e X / k j p E h L f 6 R k 1 O u g g b t B b 8 J y 4 a q t v z / i B R 7 K l H j j + U R m j W M H R / o l 5 z 0 P Q n a r T k q K v t i p N x x H 7 C r m 5 Y 0 0 K a f u W y v u + j u b Y f 3 C y 6 J j H W A 5 P L v 1 B L A Q I t A B Q A A g A I A B y Y 6 F b u k j g S p A A A A P Y A A A A S A A A A A A A A A A A A A A A A A A A A A A B D b 2 5 m a W c v U G F j a 2 F n Z S 5 4 b W x Q S w E C L Q A U A A I A C A A c m O h W D 8 r p q 6 Q A A A D p A A A A E w A A A A A A A A A A A A A A A A D w A A A A W 0 N v b n R l b n R f V H l w Z X N d L n h t b F B L A Q I t A B Q A A g A I A B y Y 6 F Z / V x T G p g E A A E c F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X A A A A A A A A Z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a X 1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w O F Q x M z o y N z o z M i 4 3 N D M 1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W l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l 9 T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1 N 0 Y W Z m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y 0 w O F Q x M z o y N z o z M i 4 3 N D U 1 O D M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F f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l 9 T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1 N 0 Y W Z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B b G x f U 3 R h Z m Y v U 2 9 1 c m N l L n t O Y W 1 l L D B 9 J n F 1 b 3 Q 7 L C Z x d W 9 0 O 1 N l Y 3 R p b 2 4 x L 0 F s b F 9 T d G F m Z i 9 S Z X B s Y W N l Z C B W Y W x 1 Z S 5 7 R 2 V u Z G V y L D F 9 J n F 1 b 3 Q 7 L C Z x d W 9 0 O 1 N l Y 3 R p b 2 4 x L 0 F s b F 9 T d G F m Z i 9 T b 3 V y Y 2 U u e 0 F n Z S w y f S Z x d W 9 0 O y w m c X V v d D t T Z W N 0 a W 9 u M S 9 B b G x f U 3 R h Z m Y v U 2 9 1 c m N l L n t S Y X R p b m c s M 3 0 m c X V v d D s s J n F 1 b 3 Q 7 U 2 V j d G l v b j E v Q W x s X 1 N 0 Y W Z m L 0 N o Y W 5 n Z W Q g V H l w Z S 5 7 R G F 0 Z S B K b 2 l u Z W Q s N H 0 m c X V v d D s s J n F 1 b 3 Q 7 U 2 V j d G l v b j E v Q W x s X 1 N 0 Y W Z m L 1 N v d X J j Z S 5 7 R G V w Y X J 0 b W V u d C w 1 f S Z x d W 9 0 O y w m c X V v d D t T Z W N 0 a W 9 u M S 9 B b G x f U 3 R h Z m Y v U 2 9 1 c m N l L n t T Y W x h c n k s N n 0 m c X V v d D s s J n F 1 b 3 Q 7 U 2 V j d G l v b j E v Q W x s X 1 N 0 Y W Z m L 1 N v d X J j Z S 5 7 Q 2 9 1 b n R y e S w 3 f S Z x d W 9 0 O 1 0 s J n F 1 b 3 Q 7 Q 2 9 s d W 1 u Q 2 9 1 b n Q m c X V v d D s 6 O C w m c X V v d D t L Z X l D b 2 x 1 b W 5 O Y W 1 l c y Z x d W 9 0 O z p b J n F 1 b 3 Q 7 T m F t Z S Z x d W 9 0 O 1 0 s J n F 1 b 3 Q 7 Q 2 9 s d W 1 u S W R l b n R p d G l l c y Z x d W 9 0 O z p b J n F 1 b 3 Q 7 U 2 V j d G l v b j E v Q W x s X 1 N 0 Y W Z m L 1 N v d X J j Z S 5 7 T m F t Z S w w f S Z x d W 9 0 O y w m c X V v d D t T Z W N 0 a W 9 u M S 9 B b G x f U 3 R h Z m Y v U m V w b G F j Z W Q g V m F s d W U u e 0 d l b m R l c i w x f S Z x d W 9 0 O y w m c X V v d D t T Z W N 0 a W 9 u M S 9 B b G x f U 3 R h Z m Y v U 2 9 1 c m N l L n t B Z 2 U s M n 0 m c X V v d D s s J n F 1 b 3 Q 7 U 2 V j d G l v b j E v Q W x s X 1 N 0 Y W Z m L 1 N v d X J j Z S 5 7 U m F 0 a W 5 n L D N 9 J n F 1 b 3 Q 7 L C Z x d W 9 0 O 1 N l Y 3 R p b 2 4 x L 0 F s b F 9 T d G F m Z i 9 D a G F u Z 2 V k I F R 5 c G U u e 0 R h d G U g S m 9 p b m V k L D R 9 J n F 1 b 3 Q 7 L C Z x d W 9 0 O 1 N l Y 3 R p b 2 4 x L 0 F s b F 9 T d G F m Z i 9 T b 3 V y Y 2 U u e 0 R l c G F y d G 1 l b n Q s N X 0 m c X V v d D s s J n F 1 b 3 Q 7 U 2 V j d G l v b j E v Q W x s X 1 N 0 Y W Z m L 1 N v d X J j Z S 5 7 U 2 F s Y X J 5 L D Z 9 J n F 1 b 3 Q 7 L C Z x d W 9 0 O 1 N l Y 3 R p b 2 4 x L 0 F s b F 9 T d G F m Z i 9 T b 3 V y Y 2 U u e 0 N v d W 5 0 c n k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2 V u Z G V y J n F 1 b 3 Q 7 L C Z x d W 9 0 O 0 F n Z S Z x d W 9 0 O y w m c X V v d D t S Y X R p b m c m c X V v d D s s J n F 1 b 3 Q 7 R G F 0 Z S B K b 2 l u Z W Q m c X V v d D s s J n F 1 b 3 Q 7 R G V w Y X J 0 b W V u d C Z x d W 9 0 O y w m c X V v d D t T Y W x h c n k m c X V v d D s s J n F 1 b 3 Q 7 Q 2 9 1 b n R y e S Z x d W 9 0 O 1 0 i I C 8 + P E V u d H J 5 I F R 5 c G U 9 I k Z p b G x D b 2 x 1 b W 5 U e X B l c y I g V m F s d W U 9 I n N C Z 1 l G Q U F r R 0 J R Q T 0 i I C 8 + P E V u d H J 5 I F R 5 c G U 9 I k Z p b G x M Y X N 0 V X B k Y X R l Z C I g V m F s d W U 9 I m Q y M D I z L T A 3 L T A 4 V D E z O j M w O j U 2 L j g x N T c 0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M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B b G w g U 3 R h Z m Y i I C 8 + P E V u d H J 5 I F R 5 c G U 9 I k Z p b G x U Y X J n Z X Q i I F Z h b H V l P S J z V G F i b G V f Q W x s X 1 N 0 Y W Z m I i A v P j x F b n R y e S B U e X B l P S J R d W V y e U l E I i B W Y W x 1 Z T 0 i c 2 I z M T I 1 Y T F l L W Q w Y j Q t N D M 4 O S 0 5 M j d l L T A 4 M D V k Z j M 0 Z T M x Z S I g L z 4 8 L 1 N 0 Y W J s Z U V u d H J p Z X M + P C 9 J d G V t P j x J d G V t P j x J d G V t T G 9 j Y X R p b 2 4 + P E l 0 Z W 1 U e X B l P k Z v c m 1 1 b G E 8 L 0 l 0 Z W 1 U e X B l P j x J d G V t U G F 0 a D 5 T Z W N 0 a W 9 u M S 9 B b G x f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0 Y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G 5 r 2 d O i x G i L D b h h 9 x z 6 I A A A A A A g A A A A A A E G Y A A A A B A A A g A A A A p 5 c 9 S + p B d h k q e g J U l T f s D n 8 1 g Y V m j n k J 3 K Y L u r 7 Z D Q E A A A A A D o A A A A A C A A A g A A A A 7 G 4 3 u N g 8 j j 7 T / O 7 t y u r 1 L L M 8 b l 0 w z u l u t 3 A y J W k 0 R J R Q A A A A w E w S p D a 0 Q A E v m O H Q D + Y n X I w I M D n D 2 z J C f g 2 R 3 K P y H T N g e 6 / 8 x b 7 E m 9 n E u J g 3 R i y T Y F F f Z / T F u G 5 l 9 K C N 5 C o Y A Y J 6 L L G k B R 8 7 d z m g D 1 t T J C l A A A A A j C x K e H l 7 5 v o W l r A q G 9 r v g V 0 n u m i 6 5 X Y 3 H d m n E I j Z w D n g s E y M r i J W y H o m 1 P T 7 3 I 9 F 0 W E Y d m P r 0 e 7 j 8 V R C w E e j Z Q = = < / D a t a M a s h u p > 
</file>

<file path=customXml/itemProps1.xml><?xml version="1.0" encoding="utf-8"?>
<ds:datastoreItem xmlns:ds="http://schemas.openxmlformats.org/officeDocument/2006/customXml" ds:itemID="{8994A08D-0A62-4AB0-926B-8B011EE08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NZ Staff</vt:lpstr>
      <vt:lpstr>India Staff</vt:lpstr>
      <vt:lpstr>All Staff</vt:lpstr>
      <vt:lpstr>Pivot Tables</vt:lpstr>
      <vt:lpstr>Analysis</vt:lpstr>
      <vt:lpstr>NZ vs IND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Sayooj</cp:lastModifiedBy>
  <dcterms:created xsi:type="dcterms:W3CDTF">2021-03-14T20:21:32Z</dcterms:created>
  <dcterms:modified xsi:type="dcterms:W3CDTF">2023-08-11T17:35:14Z</dcterms:modified>
</cp:coreProperties>
</file>