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55BAB27-9E53-4380-8C28-BEF636F1949C}" xr6:coauthVersionLast="47" xr6:coauthVersionMax="47" xr10:uidLastSave="{00000000-0000-0000-0000-000000000000}"/>
  <bookViews>
    <workbookView xWindow="-108" yWindow="-108" windowWidth="23256" windowHeight="13176" activeTab="1" xr2:uid="{706B9C4E-6A7E-0746-A6B8-49964144973E}"/>
  </bookViews>
  <sheets>
    <sheet name="Introduction" sheetId="9" r:id="rId1"/>
    <sheet name="Question 1" sheetId="14" r:id="rId2"/>
    <sheet name="Question 2" sheetId="12" r:id="rId3"/>
    <sheet name="Question 3" sheetId="2" r:id="rId4"/>
    <sheet name="Question 4" sheetId="3" r:id="rId5"/>
    <sheet name="Question 5" sheetId="4" r:id="rId6"/>
    <sheet name="Question 6" sheetId="15" r:id="rId7"/>
    <sheet name="Question 7" sheetId="13" r:id="rId8"/>
    <sheet name="Question 8" sheetId="23" r:id="rId9"/>
    <sheet name="Question 9" sheetId="20" r:id="rId10"/>
    <sheet name="Question 10" sheetId="21" r:id="rId11"/>
    <sheet name="Question 11" sheetId="19" r:id="rId12"/>
    <sheet name="Question 12" sheetId="22" r:id="rId13"/>
    <sheet name="Question 13" sheetId="24" r:id="rId1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2" l="1"/>
  <c r="C15" i="2"/>
  <c r="C16" i="21"/>
  <c r="C16" i="2"/>
  <c r="G24" i="14"/>
  <c r="E22" i="14"/>
  <c r="D26" i="14"/>
  <c r="C22" i="14"/>
  <c r="C21" i="14"/>
  <c r="C14" i="15"/>
  <c r="C5" i="24"/>
  <c r="C6" i="24"/>
  <c r="C7" i="24"/>
  <c r="C9" i="24"/>
  <c r="C10" i="23"/>
  <c r="D13" i="23"/>
  <c r="D14" i="23"/>
  <c r="D15" i="23"/>
  <c r="D16" i="23"/>
  <c r="D17" i="23"/>
  <c r="D18" i="23"/>
  <c r="F21" i="23"/>
  <c r="F20" i="23"/>
  <c r="C16" i="22"/>
  <c r="C15" i="22"/>
  <c r="C14" i="22"/>
  <c r="F19" i="22"/>
  <c r="C10" i="22"/>
  <c r="C19" i="22"/>
  <c r="C20" i="22"/>
  <c r="E19" i="22"/>
  <c r="E20" i="22"/>
  <c r="E21" i="22"/>
  <c r="E22" i="22"/>
  <c r="E23" i="22"/>
  <c r="E24" i="22"/>
  <c r="E25" i="22"/>
  <c r="D28" i="22"/>
  <c r="D29" i="22"/>
  <c r="C14" i="24"/>
  <c r="C11" i="24"/>
  <c r="C12" i="24"/>
  <c r="C15" i="24"/>
  <c r="C10" i="24"/>
  <c r="C13" i="24"/>
  <c r="C16" i="24"/>
  <c r="C17" i="24"/>
  <c r="C21" i="22"/>
  <c r="C22" i="22"/>
  <c r="C23" i="22"/>
  <c r="C24" i="22"/>
  <c r="D16" i="19"/>
  <c r="D18" i="19"/>
  <c r="D17" i="19"/>
  <c r="E12" i="19"/>
  <c r="C17" i="21"/>
  <c r="C18" i="21"/>
  <c r="C16" i="14"/>
  <c r="C18" i="14"/>
  <c r="C13" i="14"/>
  <c r="C11" i="14"/>
  <c r="C12" i="14"/>
  <c r="C10" i="3"/>
  <c r="C12" i="2"/>
  <c r="D15" i="19"/>
  <c r="C19" i="20"/>
  <c r="C20" i="20"/>
  <c r="C21" i="20"/>
  <c r="C8" i="13"/>
  <c r="D16" i="12"/>
  <c r="D18" i="12"/>
  <c r="H11" i="12"/>
  <c r="H12" i="12"/>
  <c r="H13" i="12"/>
  <c r="D9" i="12"/>
  <c r="D11" i="12"/>
  <c r="D12" i="12"/>
  <c r="D13" i="12"/>
  <c r="D21" i="12"/>
  <c r="D22" i="12"/>
  <c r="D23" i="12"/>
  <c r="C25" i="22"/>
  <c r="C19" i="21"/>
  <c r="C9" i="13"/>
  <c r="C10" i="13"/>
  <c r="C11" i="13"/>
  <c r="D27" i="22"/>
  <c r="D25" i="22"/>
  <c r="F25" i="22"/>
  <c r="D19" i="22"/>
  <c r="D20" i="22"/>
  <c r="F20" i="22"/>
  <c r="D21" i="22"/>
  <c r="F21" i="22"/>
  <c r="D22" i="22"/>
  <c r="F22" i="22"/>
  <c r="D23" i="22"/>
  <c r="F23" i="22"/>
  <c r="D24" i="22"/>
  <c r="F24" i="22"/>
  <c r="C9" i="4"/>
  <c r="C11" i="4"/>
  <c r="C10" i="4"/>
  <c r="C7" i="3"/>
  <c r="C9" i="3"/>
  <c r="C9" i="2"/>
  <c r="C10" i="2"/>
  <c r="F26" i="22"/>
  <c r="C14" i="3"/>
  <c r="C15" i="3"/>
  <c r="C11" i="3"/>
  <c r="C13" i="3"/>
  <c r="C15" i="4"/>
  <c r="C16" i="4"/>
  <c r="C11" i="2"/>
  <c r="C13" i="4"/>
  <c r="C12" i="4"/>
  <c r="C17" i="2"/>
  <c r="C18" i="2"/>
</calcChain>
</file>

<file path=xl/sharedStrings.xml><?xml version="1.0" encoding="utf-8"?>
<sst xmlns="http://schemas.openxmlformats.org/spreadsheetml/2006/main" count="247" uniqueCount="163">
  <si>
    <t>(b)</t>
  </si>
  <si>
    <t>(a)</t>
  </si>
  <si>
    <r>
      <t>p</t>
    </r>
    <r>
      <rPr>
        <vertAlign val="subscript"/>
        <sz val="11"/>
        <color theme="1"/>
        <rFont val="Calibri"/>
        <family val="2"/>
        <scheme val="minor"/>
      </rPr>
      <t>1</t>
    </r>
  </si>
  <si>
    <r>
      <t>p</t>
    </r>
    <r>
      <rPr>
        <vertAlign val="subscript"/>
        <sz val="11"/>
        <color theme="1"/>
        <rFont val="Calibri"/>
        <family val="2"/>
        <scheme val="minor"/>
      </rPr>
      <t>0</t>
    </r>
  </si>
  <si>
    <t>Service channel remain busy</t>
  </si>
  <si>
    <t>ρ</t>
  </si>
  <si>
    <t>/min</t>
  </si>
  <si>
    <t>λ</t>
  </si>
  <si>
    <t>μ</t>
  </si>
  <si>
    <t>c</t>
  </si>
  <si>
    <t>(c) Find the average queue length and the average number of units in the system.</t>
  </si>
  <si>
    <t>(b)  What is the expected percentage of idle time for each girl?</t>
  </si>
  <si>
    <t xml:space="preserve">(a) What is the probability of having to wait for the service? </t>
  </si>
  <si>
    <t xml:space="preserve">A supermarket has two girls ringing up sales at the counters. If the service time for each customer is exponential with mean 4 minutes, and if people arrive in a Poisson fashion at the rate of 10/hour, </t>
  </si>
  <si>
    <t>/hr</t>
  </si>
  <si>
    <t>(b) what is the average waiting time for the customers.</t>
  </si>
  <si>
    <t>(a) what is the probability that a subscriber will have to wait for his long distant dials on the peak hour of the day.</t>
  </si>
  <si>
    <t>A telephone exchange has two long distant operators. The telephone company finds that during the fashion at an average rate of 15/hr. The length mean of 5 mins.</t>
  </si>
  <si>
    <t>(b) How much time an average does a client spend in the branch office.</t>
  </si>
  <si>
    <t>(a) How many hours a week can a clerk expect to spend with the clients.</t>
  </si>
  <si>
    <t>An insurance company has 3 clerks in its branch office. People arrive with claims against the company are found to arrive in a Poisson fashion at an average of 20 per 8 hours a day. The amount of time that a clerk spends with the client is found to have ED with a mean time of 40 mins. The clients are processed in the order of their appearance.</t>
  </si>
  <si>
    <t>DEEN DAYAL UPADHYAYA COLLEGE</t>
  </si>
  <si>
    <t>(University of Delhi)</t>
  </si>
  <si>
    <t>QUEUEING AND RELIABILITY THEORY</t>
  </si>
  <si>
    <t>hr</t>
  </si>
  <si>
    <t xml:space="preserve">                                                                                                                                                                                                     </t>
  </si>
  <si>
    <t>&gt;=1000</t>
  </si>
  <si>
    <t>Counter 2</t>
  </si>
  <si>
    <t>&lt;1000</t>
  </si>
  <si>
    <t>Counter 1</t>
  </si>
  <si>
    <t>A bank has two counters for withdrawals. One counter handles withdrawals of value less than Rs. 1,000 and the other counter Rs. 1,000 and above. Analysis of service time shows an exponential distribution with mean service time of 6 minutes per customer for each counter. Arrival of customers follows Poisson distribution with mean 8 per hour for the first counter and 5 per hour for the second counter</t>
  </si>
  <si>
    <t xml:space="preserve">(a) What are the average waiting times per customer of each counter? </t>
  </si>
  <si>
    <t>(b)  If each counter could handle all withdrawals irrespective of their value, how would the average waiting time change?</t>
  </si>
  <si>
    <t>Now, it works as M|M|2 model so;</t>
  </si>
  <si>
    <t>Average Time</t>
  </si>
  <si>
    <t>min</t>
  </si>
  <si>
    <t>Four counters are being run on the frontier of a country to check the passports and necessary papers of the tourists. The tourists choose a counter at random. If arrivals are Poisson at the rate λ and the service time is exponential with parameter λ/2, what is the steady state average queue at each counter?</t>
  </si>
  <si>
    <t>Let λ be any number to solve this ques further, suppose λ=10</t>
  </si>
  <si>
    <t>P(T&gt;40000)</t>
  </si>
  <si>
    <t>MTTF</t>
  </si>
  <si>
    <t>P(T&gt;1440)</t>
  </si>
  <si>
    <t>hours</t>
  </si>
  <si>
    <t>days</t>
  </si>
  <si>
    <t>months</t>
  </si>
  <si>
    <t>t</t>
  </si>
  <si>
    <t>(given)</t>
  </si>
  <si>
    <t>A component with time to failure T has constant failure rate
z(t)= A=2.5*10* (hours) ¹
(a) Determine the probability that the component survives a period of 2 months without failure
(b) Find the MTTF of the component.
(c) Find the probability that the component survives its MTTF.</t>
  </si>
  <si>
    <t>P(T&lt;=1000)-P(T&lt;=500)/(1-P(T&lt;=500)</t>
  </si>
  <si>
    <t>P(500&lt;=T&lt;=1000)/P(T&gt;500)</t>
  </si>
  <si>
    <t>P(T&lt;=1000 | T&gt;500)</t>
  </si>
  <si>
    <t>P(T&gt;500)</t>
  </si>
  <si>
    <t>P(T&gt;100)</t>
  </si>
  <si>
    <t>To determine failure rate "λ"</t>
  </si>
  <si>
    <t>MTTF = 1/λ</t>
  </si>
  <si>
    <t>F(t)=1-exp(-λ*t)</t>
  </si>
  <si>
    <t>f(t)=λ*exp(-λ*t)</t>
  </si>
  <si>
    <t>Constant failure rate implies an exponential distribution, i.e,</t>
  </si>
  <si>
    <t>A machine with constant failure rate &amp; will survive a period of 100 hours without failure, with probability 0.50.
(a) Determine the failure rate A.
(b) Find the probability that the machine will survive 500 hours without failure.
(c) Determine the probability that the machine will fail within 1000 hours, when you know that the machine was functioning at 500</t>
  </si>
  <si>
    <t>Question 7</t>
  </si>
  <si>
    <t>Constant failure rate immplies an exponential distribution.i.e</t>
  </si>
  <si>
    <t>f(t) = λ*exp(-λ*t)</t>
  </si>
  <si>
    <t>F(t) = 1-exp(-λ*t)</t>
  </si>
  <si>
    <t>a)</t>
  </si>
  <si>
    <t>Total Failure Rate</t>
  </si>
  <si>
    <t>b)</t>
  </si>
  <si>
    <t>since, the failure model has a constant failure rate, the distribution corresponds to exponential distribution</t>
  </si>
  <si>
    <t xml:space="preserve">t </t>
  </si>
  <si>
    <t>P(T&gt;90)</t>
  </si>
  <si>
    <t>c)</t>
  </si>
  <si>
    <t>P(X&gt;x)</t>
  </si>
  <si>
    <t>x</t>
  </si>
  <si>
    <r>
      <t>p</t>
    </r>
    <r>
      <rPr>
        <vertAlign val="subscript"/>
        <sz val="11"/>
        <color theme="1"/>
        <rFont val="Calibri"/>
        <family val="2"/>
        <scheme val="minor"/>
      </rPr>
      <t>0</t>
    </r>
    <r>
      <rPr>
        <sz val="11"/>
        <color theme="1"/>
        <rFont val="Calibri"/>
        <family val="2"/>
      </rPr>
      <t xml:space="preserve"> = (2μ-λ)/(2μ+λ)</t>
    </r>
  </si>
  <si>
    <t>Question 12</t>
  </si>
  <si>
    <t>From the data of the problem, we have</t>
  </si>
  <si>
    <t>patients per minute</t>
  </si>
  <si>
    <t>Average number of patients in the queue</t>
  </si>
  <si>
    <t>Lq</t>
  </si>
  <si>
    <t>Lq = ρ^2 /(1-ρ)</t>
  </si>
  <si>
    <t>Fraction of the time for which there no patients.</t>
  </si>
  <si>
    <r>
      <t>p</t>
    </r>
    <r>
      <rPr>
        <vertAlign val="subscript"/>
        <sz val="11"/>
        <color theme="1"/>
        <rFont val="Calibri"/>
        <family val="2"/>
        <scheme val="minor"/>
      </rPr>
      <t>0</t>
    </r>
    <r>
      <rPr>
        <sz val="11"/>
        <color theme="1"/>
        <rFont val="Calibri"/>
        <family val="2"/>
      </rPr>
      <t xml:space="preserve"> = 1- ρ</t>
    </r>
  </si>
  <si>
    <t>How much would have to be budgeted to decrease  the average to decrease the average size of queue from  4/3 patient to 1/2 patient.</t>
  </si>
  <si>
    <t>When the average queue size is desceased from 4/3 patient, the new service rate is determined as:</t>
  </si>
  <si>
    <t>Lq = λ^2 /μ(μ-λ)</t>
  </si>
  <si>
    <t>ships/day</t>
  </si>
  <si>
    <t>The probability that more than 4 crews will be needed is the same as probability that there are at lest 5 ships in the system at any specifed time which is given by</t>
  </si>
  <si>
    <t>Service Rate (μ)</t>
  </si>
  <si>
    <t>Arrival Rate (λ)</t>
  </si>
  <si>
    <t>Number of Service Channal</t>
  </si>
  <si>
    <t>Number of Service channalc</t>
  </si>
  <si>
    <t>units</t>
  </si>
  <si>
    <t xml:space="preserve">(a) Determine the total failure rate of the safety valve. </t>
  </si>
  <si>
    <t xml:space="preserve">(b) Determine the probability that the safety valve will survive a period of 3 months without any failure. </t>
  </si>
  <si>
    <t>(c) Of all failure 45% are assumed to be critical failure modes. Determine the mean time to a critical.</t>
  </si>
  <si>
    <t>Submitted By:</t>
  </si>
  <si>
    <t xml:space="preserve">Practical File </t>
  </si>
  <si>
    <t>Semester -5th</t>
  </si>
  <si>
    <t>Course - B.Sc (Mathematical Sciences)</t>
  </si>
  <si>
    <t>Dr. Kiran</t>
  </si>
  <si>
    <t>Probability that the waiting time in the queue is greater than T.</t>
  </si>
  <si>
    <t>?</t>
  </si>
  <si>
    <t>failure per day</t>
  </si>
  <si>
    <t xml:space="preserve">A safety valve is assumed to have constant failure rate with respect to all failure modes. A study has shown that the total MTTF of the valve is 2450 days. The safety valve is in continuous operation, and the failure modes are </t>
  </si>
  <si>
    <t>Hence, the mean time to critcal failure is 5444.44 days.</t>
  </si>
  <si>
    <t>Avg no. of Busy Counter</t>
  </si>
  <si>
    <t>Avg no. Ideal Counters</t>
  </si>
  <si>
    <t>&gt;7</t>
  </si>
  <si>
    <t>idle counter</t>
  </si>
  <si>
    <t>no. of idle counter</t>
  </si>
  <si>
    <r>
      <t>p</t>
    </r>
    <r>
      <rPr>
        <vertAlign val="subscript"/>
        <sz val="11"/>
        <color theme="1"/>
        <rFont val="Calibri"/>
        <family val="2"/>
        <scheme val="minor"/>
      </rPr>
      <t>n</t>
    </r>
  </si>
  <si>
    <t>sum_elem</t>
  </si>
  <si>
    <t>n</t>
  </si>
  <si>
    <t>μ(customer/hr)</t>
  </si>
  <si>
    <t>counters</t>
  </si>
  <si>
    <t>customer/hr</t>
  </si>
  <si>
    <t>iii) Average no of idle counters.</t>
  </si>
  <si>
    <t>ii) Average no of busy counters.</t>
  </si>
  <si>
    <t>i) Steady state probability Pn of n customers in the checkout area.</t>
  </si>
  <si>
    <t>An international airport operates with three check-out counters. The sign by the check-out area advices the customers that an additional courter will be opened any time the number of customers in the queue exceeds three. This means that for the fewer than 4 customers, only one counter wil be in operation. For four to six customers, two counter will be open. For more than six customers, all three counters will be open. The customers arrive at the counters are according to Poisson distribution with a mean of 10 customers per hour. The average checkout time per customer is exponential with mean 12 minutes. Determine the following:</t>
  </si>
  <si>
    <t>Prob that more than 4 crews will be needed</t>
  </si>
  <si>
    <t>Expected number of unloading crews</t>
  </si>
  <si>
    <t>Total</t>
  </si>
  <si>
    <r>
      <t>p</t>
    </r>
    <r>
      <rPr>
        <vertAlign val="subscript"/>
        <sz val="11"/>
        <color theme="1"/>
        <rFont val="Calibri"/>
        <family val="2"/>
        <scheme val="minor"/>
      </rPr>
      <t>4</t>
    </r>
    <r>
      <rPr>
        <sz val="11"/>
        <color theme="1"/>
        <rFont val="Calibri"/>
        <family val="2"/>
        <scheme val="minor"/>
      </rPr>
      <t/>
    </r>
  </si>
  <si>
    <r>
      <t>p</t>
    </r>
    <r>
      <rPr>
        <vertAlign val="subscript"/>
        <sz val="11"/>
        <color theme="1"/>
        <rFont val="Calibri"/>
        <family val="2"/>
        <scheme val="minor"/>
      </rPr>
      <t>3</t>
    </r>
    <r>
      <rPr>
        <sz val="11"/>
        <color theme="1"/>
        <rFont val="Calibri"/>
        <family val="2"/>
        <scheme val="minor"/>
      </rPr>
      <t/>
    </r>
  </si>
  <si>
    <r>
      <t>p</t>
    </r>
    <r>
      <rPr>
        <vertAlign val="subscript"/>
        <sz val="11"/>
        <color theme="1"/>
        <rFont val="Calibri"/>
        <family val="2"/>
        <scheme val="minor"/>
      </rPr>
      <t>2</t>
    </r>
    <r>
      <rPr>
        <sz val="11"/>
        <color theme="1"/>
        <rFont val="Calibri"/>
        <family val="2"/>
        <scheme val="minor"/>
      </rPr>
      <t/>
    </r>
  </si>
  <si>
    <r>
      <t>μ</t>
    </r>
    <r>
      <rPr>
        <vertAlign val="subscript"/>
        <sz val="11"/>
        <color theme="1"/>
        <rFont val="Calibri"/>
        <family val="2"/>
      </rPr>
      <t xml:space="preserve">n </t>
    </r>
    <r>
      <rPr>
        <sz val="11"/>
        <color theme="1"/>
        <rFont val="Calibri"/>
        <family val="2"/>
      </rPr>
      <t>= n*μ</t>
    </r>
    <r>
      <rPr>
        <vertAlign val="subscript"/>
        <sz val="11"/>
        <color theme="1"/>
        <rFont val="Calibri"/>
        <family val="2"/>
      </rPr>
      <t xml:space="preserve"> </t>
    </r>
  </si>
  <si>
    <t>(b) the probability that more than 4 crews will be needed.</t>
  </si>
  <si>
    <t>(a) the average number of unloading crews working at any time, and</t>
  </si>
  <si>
    <t>A shipping company has a single unloading dock with ships arriving in a Poisson fashion at an average rate of 3/day. The unloading time distribution for a ship with n unloading crews is found to be exponential with average unloading time 1/2n days. The company has a large labour supply without regular working hours, and to avoid long waiting times, the company has a policy of using as many unloading crews as there are ships waiting in line or being unloaded. Find</t>
  </si>
  <si>
    <t>The cafeteria must have 7 seats to accomodate each customer with probability 0.95</t>
  </si>
  <si>
    <t>P(n&lt;=k)</t>
  </si>
  <si>
    <t>Question 13</t>
  </si>
  <si>
    <t>P(w&gt;T)</t>
  </si>
  <si>
    <t>W</t>
  </si>
  <si>
    <t>P(T&lt;20)=1-P(T&gt;20)</t>
  </si>
  <si>
    <t>on solving we have:</t>
  </si>
  <si>
    <t>log(0.15μ)+20μ=0.002866</t>
  </si>
  <si>
    <t>per minutes</t>
  </si>
  <si>
    <t>per hour</t>
  </si>
  <si>
    <t>Question10</t>
  </si>
  <si>
    <t>Question 1: 
On an average 96 patients per  24 hour day require  the service of an emergency clinic, also on an average a patient require 10mins of active  attention.  Assume that facility can handle only 1 emergency at a time. The cost of cleaning is Rs. 100/person treated to obtain a average servicing time of 10min and that each min of decrease  in this average time would cost Rs. 10/ patient treated.
How much would have to be budgeted to decrease  the average to decrease the average size of queue from  4/3 patient to 1/2 patient.</t>
  </si>
  <si>
    <t>A cafeteria with self-service has an arrival rate of 12/hour. The average time taken by a person to collect and eat his meal is 20 minutes. Assuming that the inter arrival times are exponentially distributed, how many seats must the cafeteria have to accommodate each customer with probability 0.95?</t>
  </si>
  <si>
    <t xml:space="preserve"> or 2/15</t>
  </si>
  <si>
    <t>Average rate of treatment required is: 1/μ = 15/2 or</t>
  </si>
  <si>
    <t>minutes i.e. a decrease in the average rate of treatment is 2.5 (=10-7.5) minutes.</t>
  </si>
  <si>
    <t>Budget per patient</t>
  </si>
  <si>
    <t>Rs per patient</t>
  </si>
  <si>
    <t>Question 2:</t>
  </si>
  <si>
    <t>Question 3:</t>
  </si>
  <si>
    <t>Question 4:</t>
  </si>
  <si>
    <t>Question 5:</t>
  </si>
  <si>
    <t>Customers arrive at an average rate 20 per hour on a supermarket counter as per Poisson distribution. What will be the average service rate of the clerk on the counter to ensure that 95% of the customer will not have to wait not have to wait for more than 20 minutes in the queue?(Service time has exponential distribution)</t>
  </si>
  <si>
    <t>Question 6:</t>
  </si>
  <si>
    <t>Question 8:</t>
  </si>
  <si>
    <t>Question 9:</t>
  </si>
  <si>
    <t>Question 11:</t>
  </si>
  <si>
    <t>Submitted To:</t>
  </si>
  <si>
    <t xml:space="preserve">Name - Sneha Gupta </t>
  </si>
  <si>
    <t>Roll No -21MTS5735</t>
  </si>
  <si>
    <r>
      <t>p</t>
    </r>
    <r>
      <rPr>
        <b/>
        <vertAlign val="subscript"/>
        <sz val="11"/>
        <color theme="1"/>
        <rFont val="Calibri"/>
        <family val="2"/>
        <scheme val="minor"/>
      </rPr>
      <t>0</t>
    </r>
  </si>
  <si>
    <r>
      <t>p</t>
    </r>
    <r>
      <rPr>
        <b/>
        <vertAlign val="subscript"/>
        <sz val="11"/>
        <color theme="1"/>
        <rFont val="Calibri"/>
        <family val="2"/>
        <scheme val="minor"/>
      </rPr>
      <t>1</t>
    </r>
  </si>
  <si>
    <r>
      <t>(c) Length of Queue(L</t>
    </r>
    <r>
      <rPr>
        <b/>
        <vertAlign val="subscript"/>
        <sz val="11"/>
        <color theme="1"/>
        <rFont val="Calibri"/>
        <family val="2"/>
      </rPr>
      <t>q)</t>
    </r>
  </si>
  <si>
    <r>
      <t>Avrg. Number in system (L</t>
    </r>
    <r>
      <rPr>
        <b/>
        <vertAlign val="subscript"/>
        <sz val="11"/>
        <color theme="1"/>
        <rFont val="Calibri"/>
        <family val="2"/>
      </rPr>
      <t>s)</t>
    </r>
  </si>
  <si>
    <r>
      <t>L</t>
    </r>
    <r>
      <rPr>
        <b/>
        <vertAlign val="subscript"/>
        <sz val="11"/>
        <color theme="1"/>
        <rFont val="Calibri"/>
        <family val="2"/>
      </rPr>
      <t>q</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</si>
</sst>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11"/>
      <color theme="1"/>
      <name val="Calibri"/>
      <family val="2"/>
    </font>
    <font>
      <vertAlign val="subscript"/>
      <sz val="11"/>
      <color theme="1"/>
      <name val="Calibri"/>
      <family val="2"/>
      <scheme val="minor"/>
    </font>
    <font>
      <vertAlign val="subscript"/>
      <sz val="11"/>
      <color theme="1"/>
      <name val="Calibri"/>
      <family val="2"/>
    </font>
    <font>
      <b/>
      <sz val="18"/>
      <color rgb="FF0070C0"/>
      <name val="Calibri"/>
      <family val="2"/>
      <scheme val="minor"/>
    </font>
    <font>
      <sz val="18"/>
      <color rgb="FF0070C0"/>
      <name val="Calibri"/>
      <family val="2"/>
      <scheme val="minor"/>
    </font>
    <font>
      <b/>
      <sz val="11"/>
      <color theme="1"/>
      <name val="Calibri"/>
      <family val="2"/>
      <scheme val="minor"/>
    </font>
    <font>
      <b/>
      <sz val="11"/>
      <color rgb="FF000000"/>
      <name val="Calibri"/>
      <family val="2"/>
      <scheme val="minor"/>
    </font>
    <font>
      <sz val="12"/>
      <color theme="1"/>
      <name val="Calibri"/>
      <family val="2"/>
      <scheme val="minor"/>
    </font>
    <font>
      <b/>
      <sz val="14"/>
      <color rgb="FF000000"/>
      <name val="Calibri"/>
      <family val="2"/>
      <scheme val="minor"/>
    </font>
    <font>
      <b/>
      <sz val="14"/>
      <color theme="1"/>
      <name val="Calibri"/>
      <family val="2"/>
      <scheme val="minor"/>
    </font>
    <font>
      <sz val="8"/>
      <name val="Calibri"/>
      <family val="2"/>
      <scheme val="minor"/>
    </font>
    <font>
      <b/>
      <sz val="28"/>
      <color rgb="FF000000"/>
      <name val="Calibri"/>
      <family val="2"/>
      <scheme val="minor"/>
    </font>
    <font>
      <b/>
      <sz val="26"/>
      <color rgb="FF000000"/>
      <name val="Calibri"/>
      <family val="2"/>
      <scheme val="minor"/>
    </font>
    <font>
      <sz val="11"/>
      <color theme="8" tint="-0.249977111117893"/>
      <name val="Calibri"/>
      <family val="2"/>
      <scheme val="minor"/>
    </font>
    <font>
      <b/>
      <i/>
      <sz val="22"/>
      <color rgb="FF000000"/>
      <name val="Calibri"/>
      <family val="2"/>
      <scheme val="minor"/>
    </font>
    <font>
      <u/>
      <sz val="12"/>
      <color theme="10"/>
      <name val="Calibri"/>
      <family val="2"/>
      <scheme val="minor"/>
    </font>
    <font>
      <b/>
      <sz val="12"/>
      <color theme="1"/>
      <name val="Calibri"/>
      <family val="2"/>
      <scheme val="minor"/>
    </font>
    <font>
      <b/>
      <sz val="28"/>
      <color theme="1"/>
      <name val="Calibri"/>
      <family val="2"/>
      <scheme val="minor"/>
    </font>
    <font>
      <b/>
      <sz val="26"/>
      <color theme="1"/>
      <name val="Calibri"/>
      <family val="2"/>
      <scheme val="minor"/>
    </font>
    <font>
      <sz val="28"/>
      <color rgb="FFFF0000"/>
      <name val="Arial Rounded MT Bold"/>
      <family val="2"/>
    </font>
    <font>
      <b/>
      <i/>
      <sz val="11"/>
      <color rgb="FFFF0000"/>
      <name val="Calibri"/>
      <family val="2"/>
      <scheme val="minor"/>
    </font>
    <font>
      <b/>
      <i/>
      <sz val="24"/>
      <color rgb="FFFF0000"/>
      <name val="Calibri"/>
      <family val="2"/>
      <scheme val="minor"/>
    </font>
    <font>
      <b/>
      <i/>
      <sz val="22"/>
      <color rgb="FFFF0000"/>
      <name val="Calibri"/>
      <family val="2"/>
      <scheme val="minor"/>
    </font>
    <font>
      <b/>
      <sz val="11"/>
      <color theme="1"/>
      <name val="Calibri"/>
      <family val="2"/>
    </font>
    <font>
      <b/>
      <vertAlign val="subscript"/>
      <sz val="11"/>
      <color theme="1"/>
      <name val="Calibri"/>
      <family val="2"/>
      <scheme val="minor"/>
    </font>
    <font>
      <b/>
      <vertAlign val="subscript"/>
      <sz val="11"/>
      <color theme="1"/>
      <name val="Calibri"/>
      <family val="2"/>
    </font>
  </fonts>
  <fills count="12">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8" fillId="0" borderId="0"/>
    <xf numFmtId="9" fontId="9" fillId="0" borderId="0" applyFont="0" applyFill="0" applyBorder="0" applyAlignment="0" applyProtection="0"/>
    <xf numFmtId="0" fontId="10" fillId="0" borderId="0"/>
    <xf numFmtId="0" fontId="7" fillId="0" borderId="0"/>
    <xf numFmtId="9" fontId="18" fillId="0" borderId="0" applyFont="0" applyFill="0" applyBorder="0" applyAlignment="0" applyProtection="0"/>
    <xf numFmtId="0" fontId="6" fillId="0" borderId="0"/>
    <xf numFmtId="0" fontId="26" fillId="0" borderId="0" applyNumberFormat="0" applyFill="0" applyBorder="0" applyAlignment="0" applyProtection="0"/>
    <xf numFmtId="0" fontId="4" fillId="0" borderId="0"/>
    <xf numFmtId="0" fontId="4" fillId="0" borderId="0"/>
  </cellStyleXfs>
  <cellXfs count="186">
    <xf numFmtId="0" fontId="0" fillId="0" borderId="0" xfId="0"/>
    <xf numFmtId="0" fontId="8" fillId="0" borderId="0" xfId="1"/>
    <xf numFmtId="2" fontId="0" fillId="0" borderId="1" xfId="2" applyNumberFormat="1" applyFont="1" applyBorder="1" applyAlignment="1"/>
    <xf numFmtId="2" fontId="8" fillId="0" borderId="1" xfId="1" applyNumberFormat="1" applyBorder="1"/>
    <xf numFmtId="0" fontId="10" fillId="0" borderId="0" xfId="3"/>
    <xf numFmtId="0" fontId="10" fillId="0" borderId="0" xfId="3" applyAlignment="1">
      <alignment wrapText="1"/>
    </xf>
    <xf numFmtId="0" fontId="10" fillId="0" borderId="0" xfId="3" applyAlignment="1">
      <alignment horizontal="left" wrapText="1"/>
    </xf>
    <xf numFmtId="0" fontId="8" fillId="0" borderId="1" xfId="1" applyBorder="1"/>
    <xf numFmtId="0" fontId="8" fillId="0" borderId="0" xfId="1" applyAlignment="1">
      <alignment horizontal="right"/>
    </xf>
    <xf numFmtId="2" fontId="17" fillId="0" borderId="1" xfId="1" applyNumberFormat="1" applyFont="1" applyBorder="1"/>
    <xf numFmtId="2" fontId="8" fillId="0" borderId="10" xfId="1" applyNumberFormat="1" applyBorder="1"/>
    <xf numFmtId="0" fontId="8" fillId="0" borderId="10" xfId="1" applyBorder="1"/>
    <xf numFmtId="9" fontId="0" fillId="0" borderId="1" xfId="5" applyFont="1" applyBorder="1" applyAlignment="1"/>
    <xf numFmtId="0" fontId="6" fillId="4" borderId="0" xfId="6" applyFill="1"/>
    <xf numFmtId="0" fontId="6" fillId="4" borderId="1" xfId="6" applyFill="1" applyBorder="1"/>
    <xf numFmtId="0" fontId="0" fillId="4" borderId="0" xfId="0" applyFill="1"/>
    <xf numFmtId="0" fontId="0" fillId="4" borderId="1" xfId="0" applyFill="1" applyBorder="1"/>
    <xf numFmtId="0" fontId="0" fillId="4" borderId="14" xfId="0" applyFill="1" applyBorder="1"/>
    <xf numFmtId="0" fontId="24" fillId="0" borderId="0" xfId="1" applyFont="1" applyAlignment="1">
      <alignment vertical="top"/>
    </xf>
    <xf numFmtId="0" fontId="5" fillId="4" borderId="0" xfId="6" applyFont="1" applyFill="1" applyAlignment="1">
      <alignment vertical="center" wrapText="1"/>
    </xf>
    <xf numFmtId="0" fontId="6" fillId="4" borderId="0" xfId="6" applyFill="1" applyAlignment="1">
      <alignment vertical="center"/>
    </xf>
    <xf numFmtId="0" fontId="0" fillId="4" borderId="10" xfId="0" applyFill="1" applyBorder="1"/>
    <xf numFmtId="0" fontId="4" fillId="0" borderId="0" xfId="8"/>
    <xf numFmtId="1" fontId="4" fillId="0" borderId="1" xfId="8" applyNumberFormat="1" applyBorder="1"/>
    <xf numFmtId="164" fontId="4" fillId="0" borderId="1" xfId="8" applyNumberFormat="1" applyBorder="1"/>
    <xf numFmtId="165" fontId="4" fillId="0" borderId="1" xfId="8" applyNumberFormat="1" applyBorder="1"/>
    <xf numFmtId="164" fontId="4" fillId="0" borderId="0" xfId="8" applyNumberFormat="1"/>
    <xf numFmtId="0" fontId="4" fillId="0" borderId="1" xfId="8" applyBorder="1"/>
    <xf numFmtId="0" fontId="11" fillId="2" borderId="1" xfId="8" applyFont="1" applyFill="1" applyBorder="1"/>
    <xf numFmtId="0" fontId="4" fillId="0" borderId="0" xfId="8" applyAlignment="1">
      <alignment wrapText="1"/>
    </xf>
    <xf numFmtId="166" fontId="4" fillId="0" borderId="1" xfId="8" applyNumberFormat="1" applyBorder="1"/>
    <xf numFmtId="2" fontId="4" fillId="0" borderId="1" xfId="8" applyNumberFormat="1" applyBorder="1"/>
    <xf numFmtId="0" fontId="4" fillId="0" borderId="0" xfId="9"/>
    <xf numFmtId="2" fontId="4" fillId="0" borderId="0" xfId="9" applyNumberFormat="1"/>
    <xf numFmtId="0" fontId="4" fillId="0" borderId="1" xfId="9" applyBorder="1"/>
    <xf numFmtId="2" fontId="4" fillId="0" borderId="1" xfId="9" applyNumberFormat="1" applyBorder="1"/>
    <xf numFmtId="0" fontId="4" fillId="0" borderId="0" xfId="9" applyAlignment="1">
      <alignment wrapText="1"/>
    </xf>
    <xf numFmtId="0" fontId="0" fillId="4" borderId="1" xfId="0" applyFill="1" applyBorder="1" applyAlignment="1">
      <alignment horizontal="right"/>
    </xf>
    <xf numFmtId="0" fontId="0" fillId="4" borderId="0" xfId="0" applyFill="1" applyAlignment="1">
      <alignment horizontal="left"/>
    </xf>
    <xf numFmtId="0" fontId="0" fillId="4" borderId="0" xfId="0" applyFill="1" applyAlignment="1">
      <alignment vertical="top"/>
    </xf>
    <xf numFmtId="0" fontId="0" fillId="4" borderId="0" xfId="0" applyFill="1" applyAlignment="1">
      <alignment vertical="center" wrapText="1"/>
    </xf>
    <xf numFmtId="0" fontId="4" fillId="7" borderId="1" xfId="8" applyFill="1" applyBorder="1"/>
    <xf numFmtId="0" fontId="0" fillId="5" borderId="0" xfId="0" applyFill="1" applyAlignment="1">
      <alignment horizontal="right"/>
    </xf>
    <xf numFmtId="0" fontId="4" fillId="6" borderId="1" xfId="8" applyFill="1" applyBorder="1"/>
    <xf numFmtId="0" fontId="0" fillId="4" borderId="0" xfId="0" applyFill="1" applyAlignment="1">
      <alignment vertical="top" wrapText="1"/>
    </xf>
    <xf numFmtId="0" fontId="0" fillId="5" borderId="1" xfId="0" applyFill="1" applyBorder="1"/>
    <xf numFmtId="0" fontId="0" fillId="8" borderId="1" xfId="0" applyFill="1" applyBorder="1"/>
    <xf numFmtId="0" fontId="8" fillId="9" borderId="0" xfId="1" applyFill="1"/>
    <xf numFmtId="0" fontId="31" fillId="10" borderId="0" xfId="1" applyFont="1" applyFill="1"/>
    <xf numFmtId="0" fontId="32" fillId="10" borderId="0" xfId="1" applyFont="1" applyFill="1"/>
    <xf numFmtId="0" fontId="0" fillId="11" borderId="1" xfId="0" applyFill="1" applyBorder="1"/>
    <xf numFmtId="0" fontId="11" fillId="11" borderId="14" xfId="3" applyFont="1" applyFill="1" applyBorder="1"/>
    <xf numFmtId="0" fontId="0" fillId="11" borderId="14" xfId="0" applyFill="1" applyBorder="1"/>
    <xf numFmtId="0" fontId="17" fillId="6" borderId="0" xfId="1" applyFont="1" applyFill="1" applyAlignment="1">
      <alignment horizontal="right"/>
    </xf>
    <xf numFmtId="0" fontId="16" fillId="9" borderId="1" xfId="3" applyFont="1" applyFill="1" applyBorder="1"/>
    <xf numFmtId="0" fontId="11" fillId="9" borderId="1" xfId="3" applyFont="1" applyFill="1" applyBorder="1"/>
    <xf numFmtId="0" fontId="5" fillId="9" borderId="1" xfId="3" applyFont="1" applyFill="1" applyBorder="1"/>
    <xf numFmtId="0" fontId="10" fillId="9" borderId="1" xfId="3" applyFill="1" applyBorder="1"/>
    <xf numFmtId="0" fontId="17" fillId="6" borderId="0" xfId="1" applyFont="1" applyFill="1"/>
    <xf numFmtId="0" fontId="5" fillId="11" borderId="1" xfId="3" applyFont="1" applyFill="1" applyBorder="1"/>
    <xf numFmtId="0" fontId="11" fillId="11" borderId="1" xfId="3" applyFont="1" applyFill="1" applyBorder="1"/>
    <xf numFmtId="0" fontId="16" fillId="11" borderId="1" xfId="3" applyFont="1" applyFill="1" applyBorder="1"/>
    <xf numFmtId="0" fontId="34" fillId="11" borderId="1" xfId="3" applyFont="1" applyFill="1" applyBorder="1"/>
    <xf numFmtId="0" fontId="34" fillId="11" borderId="1" xfId="1" applyFont="1" applyFill="1" applyBorder="1"/>
    <xf numFmtId="0" fontId="8" fillId="6" borderId="0" xfId="1" applyFill="1"/>
    <xf numFmtId="0" fontId="17" fillId="11" borderId="0" xfId="1" applyFont="1" applyFill="1"/>
    <xf numFmtId="0" fontId="27" fillId="6" borderId="0" xfId="0" applyFont="1" applyFill="1" applyAlignment="1">
      <alignment vertical="center" wrapText="1"/>
    </xf>
    <xf numFmtId="0" fontId="0" fillId="6" borderId="0" xfId="0" applyFill="1" applyAlignment="1">
      <alignment vertical="center" wrapText="1"/>
    </xf>
    <xf numFmtId="0" fontId="19" fillId="6" borderId="0" xfId="1" applyFont="1" applyFill="1"/>
    <xf numFmtId="0" fontId="34" fillId="11" borderId="10" xfId="3" applyFont="1" applyFill="1" applyBorder="1"/>
    <xf numFmtId="0" fontId="16" fillId="6" borderId="0" xfId="8" applyFont="1" applyFill="1"/>
    <xf numFmtId="0" fontId="4" fillId="6" borderId="0" xfId="8" applyFill="1"/>
    <xf numFmtId="0" fontId="16" fillId="11" borderId="1" xfId="8" applyFont="1" applyFill="1" applyBorder="1"/>
    <xf numFmtId="0" fontId="34" fillId="11" borderId="1" xfId="8" applyFont="1" applyFill="1" applyBorder="1"/>
    <xf numFmtId="0" fontId="4" fillId="11" borderId="1" xfId="8" applyFill="1" applyBorder="1"/>
    <xf numFmtId="0" fontId="16" fillId="6" borderId="0" xfId="6" applyFont="1" applyFill="1"/>
    <xf numFmtId="0" fontId="6" fillId="6" borderId="0" xfId="6" applyFill="1"/>
    <xf numFmtId="0" fontId="6" fillId="11" borderId="1" xfId="6" applyFill="1" applyBorder="1"/>
    <xf numFmtId="0" fontId="16" fillId="11" borderId="1" xfId="6" applyFont="1" applyFill="1" applyBorder="1"/>
    <xf numFmtId="0" fontId="20" fillId="6" borderId="0" xfId="6" applyFont="1" applyFill="1"/>
    <xf numFmtId="0" fontId="27" fillId="6" borderId="0" xfId="0" applyFont="1" applyFill="1"/>
    <xf numFmtId="0" fontId="0" fillId="6" borderId="0" xfId="0" applyFill="1"/>
    <xf numFmtId="0" fontId="27" fillId="11" borderId="1" xfId="0" applyFont="1" applyFill="1" applyBorder="1"/>
    <xf numFmtId="0" fontId="0" fillId="11" borderId="10" xfId="0" applyFill="1" applyBorder="1"/>
    <xf numFmtId="0" fontId="20" fillId="6" borderId="0" xfId="8" applyFont="1" applyFill="1"/>
    <xf numFmtId="0" fontId="4" fillId="11" borderId="1" xfId="8" applyFill="1" applyBorder="1" applyAlignment="1">
      <alignment wrapText="1"/>
    </xf>
    <xf numFmtId="0" fontId="20" fillId="6" borderId="0" xfId="9" applyFont="1" applyFill="1"/>
    <xf numFmtId="2" fontId="4" fillId="6" borderId="0" xfId="9" applyNumberFormat="1" applyFill="1"/>
    <xf numFmtId="0" fontId="4" fillId="6" borderId="0" xfId="9" applyFill="1"/>
    <xf numFmtId="0" fontId="4" fillId="11" borderId="1" xfId="9" applyFill="1" applyBorder="1"/>
    <xf numFmtId="0" fontId="11" fillId="11" borderId="1" xfId="9" applyFont="1" applyFill="1" applyBorder="1"/>
    <xf numFmtId="0" fontId="16" fillId="11" borderId="1" xfId="9" applyFont="1" applyFill="1" applyBorder="1"/>
    <xf numFmtId="0" fontId="34" fillId="11" borderId="1" xfId="9" applyFont="1" applyFill="1" applyBorder="1"/>
    <xf numFmtId="0" fontId="33" fillId="10" borderId="0" xfId="1" applyFont="1" applyFill="1" applyAlignment="1">
      <alignment horizontal="center"/>
    </xf>
    <xf numFmtId="0" fontId="14" fillId="9" borderId="0" xfId="1" applyFont="1" applyFill="1" applyAlignment="1">
      <alignment horizontal="left"/>
    </xf>
    <xf numFmtId="0" fontId="15" fillId="0" borderId="0" xfId="1" applyFont="1" applyAlignment="1">
      <alignment horizontal="left"/>
    </xf>
    <xf numFmtId="0" fontId="28" fillId="9" borderId="0" xfId="1" applyFont="1" applyFill="1" applyAlignment="1">
      <alignment horizontal="center"/>
    </xf>
    <xf numFmtId="0" fontId="29" fillId="9" borderId="0" xfId="1" applyFont="1" applyFill="1" applyAlignment="1">
      <alignment horizontal="center"/>
    </xf>
    <xf numFmtId="0" fontId="30" fillId="10" borderId="0" xfId="1" applyFont="1" applyFill="1" applyAlignment="1">
      <alignment horizontal="center"/>
    </xf>
    <xf numFmtId="0" fontId="22" fillId="9" borderId="0" xfId="1" applyFont="1" applyFill="1" applyAlignment="1">
      <alignment horizontal="center"/>
    </xf>
    <xf numFmtId="0" fontId="25" fillId="9" borderId="0" xfId="1" applyFont="1" applyFill="1" applyAlignment="1">
      <alignment horizontal="center"/>
    </xf>
    <xf numFmtId="0" fontId="32" fillId="10" borderId="0" xfId="1" applyFont="1" applyFill="1" applyAlignment="1">
      <alignment horizontal="center" vertical="top"/>
    </xf>
    <xf numFmtId="0" fontId="23" fillId="9" borderId="0" xfId="1" applyFont="1" applyFill="1" applyAlignment="1">
      <alignment horizontal="center"/>
    </xf>
    <xf numFmtId="0" fontId="0" fillId="8" borderId="1" xfId="0" applyFill="1" applyBorder="1" applyAlignment="1">
      <alignment horizontal="left" wrapText="1"/>
    </xf>
    <xf numFmtId="0" fontId="0" fillId="11" borderId="1" xfId="0" applyFill="1" applyBorder="1" applyAlignment="1">
      <alignment horizontal="left"/>
    </xf>
    <xf numFmtId="0" fontId="0" fillId="11" borderId="1" xfId="0" applyFill="1" applyBorder="1" applyAlignment="1">
      <alignment horizontal="center"/>
    </xf>
    <xf numFmtId="0" fontId="0" fillId="6" borderId="0" xfId="0" applyFill="1" applyAlignment="1">
      <alignment horizontal="left" wrapText="1"/>
    </xf>
    <xf numFmtId="0" fontId="0" fillId="6" borderId="0" xfId="0" applyFill="1" applyAlignment="1">
      <alignment horizontal="left"/>
    </xf>
    <xf numFmtId="0" fontId="0" fillId="11" borderId="12" xfId="0" applyFill="1" applyBorder="1" applyAlignment="1">
      <alignment horizontal="left"/>
    </xf>
    <xf numFmtId="0" fontId="0" fillId="11" borderId="11" xfId="0" applyFill="1" applyBorder="1" applyAlignment="1">
      <alignment horizontal="left"/>
    </xf>
    <xf numFmtId="0" fontId="0" fillId="11" borderId="13" xfId="0" applyFill="1" applyBorder="1" applyAlignment="1">
      <alignment horizontal="left"/>
    </xf>
    <xf numFmtId="0" fontId="0" fillId="11" borderId="12" xfId="0" applyFill="1" applyBorder="1" applyAlignment="1">
      <alignment horizontal="center"/>
    </xf>
    <xf numFmtId="0" fontId="0" fillId="11" borderId="11" xfId="0" applyFill="1" applyBorder="1" applyAlignment="1">
      <alignment horizontal="center"/>
    </xf>
    <xf numFmtId="0" fontId="0" fillId="11" borderId="13" xfId="0" applyFill="1" applyBorder="1" applyAlignment="1">
      <alignment horizontal="center"/>
    </xf>
    <xf numFmtId="0" fontId="8" fillId="9" borderId="12" xfId="1" applyFill="1" applyBorder="1" applyAlignment="1">
      <alignment horizontal="left"/>
    </xf>
    <xf numFmtId="0" fontId="8" fillId="9" borderId="11" xfId="1" applyFill="1" applyBorder="1" applyAlignment="1">
      <alignment horizontal="left"/>
    </xf>
    <xf numFmtId="0" fontId="8" fillId="9" borderId="13" xfId="1" applyFill="1" applyBorder="1" applyAlignment="1">
      <alignment horizontal="left"/>
    </xf>
    <xf numFmtId="0" fontId="7" fillId="6" borderId="9" xfId="3" applyFont="1" applyFill="1" applyBorder="1" applyAlignment="1">
      <alignment horizontal="left" wrapText="1"/>
    </xf>
    <xf numFmtId="0" fontId="10" fillId="6" borderId="8" xfId="3" applyFill="1" applyBorder="1" applyAlignment="1">
      <alignment horizontal="left" wrapText="1"/>
    </xf>
    <xf numFmtId="0" fontId="10" fillId="6" borderId="7" xfId="3" applyFill="1" applyBorder="1" applyAlignment="1">
      <alignment horizontal="left" wrapText="1"/>
    </xf>
    <xf numFmtId="0" fontId="7" fillId="6" borderId="6" xfId="3" applyFont="1" applyFill="1" applyBorder="1" applyAlignment="1">
      <alignment horizontal="left" wrapText="1"/>
    </xf>
    <xf numFmtId="0" fontId="10" fillId="6" borderId="0" xfId="3" applyFill="1" applyAlignment="1">
      <alignment horizontal="left" wrapText="1"/>
    </xf>
    <xf numFmtId="0" fontId="10" fillId="6" borderId="5" xfId="3" applyFill="1" applyBorder="1" applyAlignment="1">
      <alignment horizontal="left" wrapText="1"/>
    </xf>
    <xf numFmtId="0" fontId="10" fillId="6" borderId="6" xfId="3" applyFill="1" applyBorder="1" applyAlignment="1">
      <alignment horizontal="left" wrapText="1"/>
    </xf>
    <xf numFmtId="0" fontId="7" fillId="6" borderId="4" xfId="3" applyFont="1" applyFill="1" applyBorder="1" applyAlignment="1">
      <alignment horizontal="left" wrapText="1"/>
    </xf>
    <xf numFmtId="0" fontId="10" fillId="6" borderId="3" xfId="3" applyFill="1" applyBorder="1" applyAlignment="1">
      <alignment horizontal="left" wrapText="1"/>
    </xf>
    <xf numFmtId="0" fontId="10" fillId="6" borderId="2" xfId="3" applyFill="1" applyBorder="1" applyAlignment="1">
      <alignment horizontal="left" wrapText="1"/>
    </xf>
    <xf numFmtId="0" fontId="8" fillId="0" borderId="1" xfId="1" applyBorder="1" applyAlignment="1">
      <alignment horizontal="left"/>
    </xf>
    <xf numFmtId="0" fontId="9" fillId="0" borderId="1" xfId="1" applyFont="1" applyBorder="1" applyAlignment="1">
      <alignment horizontal="left"/>
    </xf>
    <xf numFmtId="0" fontId="5" fillId="6" borderId="9" xfId="3" applyFont="1" applyFill="1" applyBorder="1" applyAlignment="1">
      <alignment horizontal="left" wrapText="1"/>
    </xf>
    <xf numFmtId="0" fontId="5" fillId="6" borderId="6" xfId="3" applyFont="1" applyFill="1" applyBorder="1" applyAlignment="1">
      <alignment horizontal="left" wrapText="1"/>
    </xf>
    <xf numFmtId="0" fontId="5" fillId="6" borderId="4" xfId="3" applyFont="1" applyFill="1" applyBorder="1" applyAlignment="1">
      <alignment horizontal="left" wrapText="1"/>
    </xf>
    <xf numFmtId="0" fontId="10" fillId="6" borderId="9" xfId="3" applyFill="1" applyBorder="1" applyAlignment="1">
      <alignment horizontal="left" wrapText="1"/>
    </xf>
    <xf numFmtId="0" fontId="10" fillId="6" borderId="4" xfId="3" applyFill="1" applyBorder="1" applyAlignment="1">
      <alignment horizontal="left" wrapText="1"/>
    </xf>
    <xf numFmtId="0" fontId="0" fillId="4" borderId="0" xfId="0" applyFill="1" applyAlignment="1">
      <alignment horizontal="center"/>
    </xf>
    <xf numFmtId="0" fontId="26" fillId="4" borderId="0" xfId="7" applyFill="1" applyAlignment="1">
      <alignment horizontal="center"/>
    </xf>
    <xf numFmtId="0" fontId="0" fillId="6" borderId="0" xfId="0" applyFill="1" applyAlignment="1">
      <alignment horizontal="left" vertical="center" wrapText="1"/>
    </xf>
    <xf numFmtId="0" fontId="34" fillId="11" borderId="1" xfId="3" applyFont="1" applyFill="1" applyBorder="1" applyAlignment="1">
      <alignment horizontal="left"/>
    </xf>
    <xf numFmtId="0" fontId="3" fillId="6" borderId="1" xfId="3" applyFont="1" applyFill="1" applyBorder="1" applyAlignment="1">
      <alignment horizontal="left" wrapText="1"/>
    </xf>
    <xf numFmtId="0" fontId="10" fillId="6" borderId="1" xfId="3" applyFill="1" applyBorder="1" applyAlignment="1">
      <alignment horizontal="left" wrapText="1"/>
    </xf>
    <xf numFmtId="0" fontId="11" fillId="7" borderId="12" xfId="8" applyFont="1" applyFill="1" applyBorder="1" applyAlignment="1">
      <alignment horizontal="left"/>
    </xf>
    <xf numFmtId="0" fontId="4" fillId="7" borderId="11" xfId="8" applyFill="1" applyBorder="1" applyAlignment="1">
      <alignment horizontal="left"/>
    </xf>
    <xf numFmtId="0" fontId="4" fillId="7" borderId="13" xfId="8" applyFill="1" applyBorder="1" applyAlignment="1">
      <alignment horizontal="left"/>
    </xf>
    <xf numFmtId="0" fontId="16" fillId="11" borderId="1" xfId="8" applyFont="1" applyFill="1" applyBorder="1" applyAlignment="1">
      <alignment horizontal="left"/>
    </xf>
    <xf numFmtId="0" fontId="16" fillId="11" borderId="1" xfId="8" applyFont="1" applyFill="1" applyBorder="1" applyAlignment="1">
      <alignment horizontal="left" wrapText="1"/>
    </xf>
    <xf numFmtId="0" fontId="11" fillId="2" borderId="12" xfId="8" applyFont="1" applyFill="1" applyBorder="1" applyAlignment="1">
      <alignment horizontal="right"/>
    </xf>
    <xf numFmtId="0" fontId="11" fillId="2" borderId="13" xfId="8" applyFont="1" applyFill="1" applyBorder="1" applyAlignment="1">
      <alignment horizontal="right"/>
    </xf>
    <xf numFmtId="0" fontId="4" fillId="6" borderId="9" xfId="8" applyFill="1" applyBorder="1" applyAlignment="1">
      <alignment horizontal="left" wrapText="1"/>
    </xf>
    <xf numFmtId="0" fontId="4" fillId="6" borderId="8" xfId="8" applyFill="1" applyBorder="1" applyAlignment="1">
      <alignment horizontal="left" wrapText="1"/>
    </xf>
    <xf numFmtId="0" fontId="4" fillId="6" borderId="7" xfId="8" applyFill="1" applyBorder="1" applyAlignment="1">
      <alignment horizontal="left" wrapText="1"/>
    </xf>
    <xf numFmtId="0" fontId="4" fillId="6" borderId="6" xfId="8" applyFill="1" applyBorder="1" applyAlignment="1">
      <alignment horizontal="left" wrapText="1"/>
    </xf>
    <xf numFmtId="0" fontId="4" fillId="6" borderId="0" xfId="8" applyFill="1" applyAlignment="1">
      <alignment horizontal="left" wrapText="1"/>
    </xf>
    <xf numFmtId="0" fontId="4" fillId="6" borderId="5" xfId="8" applyFill="1" applyBorder="1" applyAlignment="1">
      <alignment horizontal="left" wrapText="1"/>
    </xf>
    <xf numFmtId="0" fontId="4" fillId="6" borderId="4" xfId="8" applyFill="1" applyBorder="1" applyAlignment="1">
      <alignment horizontal="left" wrapText="1"/>
    </xf>
    <xf numFmtId="0" fontId="4" fillId="6" borderId="3" xfId="8" applyFill="1" applyBorder="1" applyAlignment="1">
      <alignment horizontal="left" wrapText="1"/>
    </xf>
    <xf numFmtId="0" fontId="4" fillId="6" borderId="2" xfId="8" applyFill="1" applyBorder="1" applyAlignment="1">
      <alignment horizontal="left" wrapText="1"/>
    </xf>
    <xf numFmtId="0" fontId="0" fillId="3" borderId="12" xfId="0" applyFill="1" applyBorder="1" applyAlignment="1">
      <alignment horizontal="center"/>
    </xf>
    <xf numFmtId="0" fontId="0" fillId="3" borderId="11" xfId="0" applyFill="1" applyBorder="1" applyAlignment="1">
      <alignment horizontal="center"/>
    </xf>
    <xf numFmtId="0" fontId="0" fillId="3" borderId="13" xfId="0" applyFill="1" applyBorder="1" applyAlignment="1">
      <alignment horizontal="center"/>
    </xf>
    <xf numFmtId="0" fontId="2" fillId="6" borderId="1" xfId="6" applyFont="1" applyFill="1" applyBorder="1" applyAlignment="1">
      <alignment wrapText="1"/>
    </xf>
    <xf numFmtId="0" fontId="6" fillId="6" borderId="1" xfId="6" applyFill="1" applyBorder="1"/>
    <xf numFmtId="0" fontId="16" fillId="11" borderId="1" xfId="6" applyFont="1" applyFill="1" applyBorder="1" applyAlignment="1">
      <alignment horizontal="center"/>
    </xf>
    <xf numFmtId="0" fontId="3" fillId="6" borderId="1" xfId="6" applyFont="1" applyFill="1" applyBorder="1" applyAlignment="1">
      <alignment horizontal="left" vertical="top" wrapText="1"/>
    </xf>
    <xf numFmtId="0" fontId="6" fillId="6" borderId="1" xfId="6" applyFill="1" applyBorder="1" applyAlignment="1">
      <alignment horizontal="left" vertical="top"/>
    </xf>
    <xf numFmtId="0" fontId="16" fillId="11" borderId="1" xfId="6" applyFont="1" applyFill="1" applyBorder="1" applyAlignment="1">
      <alignment horizontal="left"/>
    </xf>
    <xf numFmtId="0" fontId="5" fillId="6" borderId="1" xfId="6" applyFont="1" applyFill="1" applyBorder="1" applyAlignment="1">
      <alignment horizontal="left" vertical="top" wrapText="1"/>
    </xf>
    <xf numFmtId="0" fontId="6" fillId="6" borderId="1" xfId="6" applyFill="1" applyBorder="1" applyAlignment="1">
      <alignment horizontal="left" vertical="top" wrapText="1"/>
    </xf>
    <xf numFmtId="0" fontId="5" fillId="6" borderId="1" xfId="6" applyFont="1" applyFill="1" applyBorder="1" applyAlignment="1">
      <alignment horizontal="left" vertical="center"/>
    </xf>
    <xf numFmtId="0" fontId="6" fillId="6" borderId="1" xfId="6" applyFill="1" applyBorder="1" applyAlignment="1">
      <alignment horizontal="left" vertical="center"/>
    </xf>
    <xf numFmtId="0" fontId="4" fillId="11" borderId="1" xfId="8" applyFill="1" applyBorder="1" applyAlignment="1">
      <alignment horizontal="left" wrapText="1"/>
    </xf>
    <xf numFmtId="0" fontId="3" fillId="6" borderId="9" xfId="8" applyFont="1" applyFill="1" applyBorder="1" applyAlignment="1">
      <alignment horizontal="left" wrapText="1"/>
    </xf>
    <xf numFmtId="0" fontId="3" fillId="6" borderId="4" xfId="8" applyFont="1" applyFill="1" applyBorder="1" applyAlignment="1">
      <alignment horizontal="left" wrapText="1"/>
    </xf>
    <xf numFmtId="0" fontId="4" fillId="11" borderId="12" xfId="8" applyFill="1" applyBorder="1" applyAlignment="1">
      <alignment horizontal="center"/>
    </xf>
    <xf numFmtId="0" fontId="4" fillId="11" borderId="11" xfId="8" applyFill="1" applyBorder="1" applyAlignment="1">
      <alignment horizontal="center"/>
    </xf>
    <xf numFmtId="0" fontId="4" fillId="11" borderId="13" xfId="8" applyFill="1" applyBorder="1" applyAlignment="1">
      <alignment horizontal="center"/>
    </xf>
    <xf numFmtId="0" fontId="4" fillId="11" borderId="1" xfId="8" applyFill="1" applyBorder="1" applyAlignment="1">
      <alignment horizontal="left"/>
    </xf>
    <xf numFmtId="0" fontId="3" fillId="6" borderId="9" xfId="9" applyFont="1" applyFill="1" applyBorder="1" applyAlignment="1">
      <alignment horizontal="left" wrapText="1"/>
    </xf>
    <xf numFmtId="0" fontId="4" fillId="6" borderId="8" xfId="9" applyFill="1" applyBorder="1" applyAlignment="1">
      <alignment horizontal="left" wrapText="1"/>
    </xf>
    <xf numFmtId="0" fontId="4" fillId="6" borderId="7" xfId="9" applyFill="1" applyBorder="1" applyAlignment="1">
      <alignment horizontal="left" wrapText="1"/>
    </xf>
    <xf numFmtId="0" fontId="4" fillId="6" borderId="4" xfId="9" applyFill="1" applyBorder="1" applyAlignment="1">
      <alignment horizontal="left" wrapText="1"/>
    </xf>
    <xf numFmtId="0" fontId="4" fillId="6" borderId="3" xfId="9" applyFill="1" applyBorder="1" applyAlignment="1">
      <alignment horizontal="left" wrapText="1"/>
    </xf>
    <xf numFmtId="0" fontId="4" fillId="6" borderId="2" xfId="9" applyFill="1" applyBorder="1" applyAlignment="1">
      <alignment horizontal="left" wrapText="1"/>
    </xf>
    <xf numFmtId="0" fontId="4" fillId="11" borderId="12" xfId="9" applyFill="1" applyBorder="1" applyAlignment="1">
      <alignment horizontal="center"/>
    </xf>
    <xf numFmtId="0" fontId="4" fillId="11" borderId="11" xfId="9" applyFill="1" applyBorder="1" applyAlignment="1">
      <alignment horizontal="center"/>
    </xf>
    <xf numFmtId="0" fontId="4" fillId="11" borderId="13" xfId="9" applyFill="1" applyBorder="1" applyAlignment="1">
      <alignment horizontal="center"/>
    </xf>
    <xf numFmtId="0" fontId="4" fillId="11" borderId="1" xfId="9" applyFill="1" applyBorder="1" applyAlignment="1">
      <alignment horizontal="left"/>
    </xf>
  </cellXfs>
  <cellStyles count="10">
    <cellStyle name="Hyperlink" xfId="7" builtinId="8"/>
    <cellStyle name="Normal" xfId="0" builtinId="0"/>
    <cellStyle name="Normal 2" xfId="1" xr:uid="{BE770D6D-36E3-B548-AB33-1C82B1345D76}"/>
    <cellStyle name="Normal 2 2" xfId="3" xr:uid="{5562A2CD-96AF-D84A-9938-733A05F30282}"/>
    <cellStyle name="Normal 2 2 2" xfId="4" xr:uid="{6CA266C2-F338-4C52-A955-EB1F4FD970BA}"/>
    <cellStyle name="Normal 2 2 3" xfId="9" xr:uid="{DAA6229B-3643-424D-9FF3-A1C7F7607E09}"/>
    <cellStyle name="Normal 2 3" xfId="8" xr:uid="{9EB8480B-6CE2-49FD-8E01-62CF850B10C5}"/>
    <cellStyle name="Normal 3" xfId="6" xr:uid="{5D276892-EEC7-447F-BD91-11B2DDCC0C4B}"/>
    <cellStyle name="Per cent 2" xfId="2" xr:uid="{92FDF220-EB21-1A46-9C14-554B4596B1A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393700</xdr:colOff>
      <xdr:row>10</xdr:row>
      <xdr:rowOff>44450</xdr:rowOff>
    </xdr:from>
    <xdr:to>
      <xdr:col>4</xdr:col>
      <xdr:colOff>571642</xdr:colOff>
      <xdr:row>11</xdr:row>
      <xdr:rowOff>152400</xdr:rowOff>
    </xdr:to>
    <xdr:pic>
      <xdr:nvPicPr>
        <xdr:cNvPr id="3" name="Picture 2">
          <a:extLst>
            <a:ext uri="{FF2B5EF4-FFF2-40B4-BE49-F238E27FC236}">
              <a16:creationId xmlns:a16="http://schemas.microsoft.com/office/drawing/2014/main" id="{99375E6D-FE42-B381-1EB6-D77DE3E825F0}"/>
            </a:ext>
          </a:extLst>
        </xdr:cNvPr>
        <xdr:cNvPicPr>
          <a:picLocks noChangeAspect="1"/>
        </xdr:cNvPicPr>
      </xdr:nvPicPr>
      <xdr:blipFill>
        <a:blip xmlns:r="http://schemas.openxmlformats.org/officeDocument/2006/relationships" r:embed="rId1" cstate="email">
          <a:alphaModFix/>
          <a:extLst>
            <a:ext uri="{BEBA8EAE-BF5A-486C-A8C5-ECC9F3942E4B}">
              <a14:imgProps xmlns:a14="http://schemas.microsoft.com/office/drawing/2010/main">
                <a14:imgLayer r:embed="rId2">
                  <a14:imgEffect>
                    <a14:saturation sat="300000"/>
                  </a14:imgEffect>
                </a14:imgLayer>
              </a14:imgProps>
            </a:ext>
            <a:ext uri="{28A0092B-C50C-407E-A947-70E740481C1C}">
              <a14:useLocalDpi xmlns:a14="http://schemas.microsoft.com/office/drawing/2010/main" val="0"/>
            </a:ext>
          </a:extLst>
        </a:blip>
        <a:stretch>
          <a:fillRect/>
        </a:stretch>
      </xdr:blipFill>
      <xdr:spPr>
        <a:xfrm>
          <a:off x="1054100" y="2406650"/>
          <a:ext cx="2756042" cy="304800"/>
        </a:xfrm>
        <a:prstGeom prst="rect">
          <a:avLst/>
        </a:prstGeom>
        <a:effectLst>
          <a:glow>
            <a:schemeClr val="accent1">
              <a:alpha val="0"/>
            </a:schemeClr>
          </a:glo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12</xdr:row>
      <xdr:rowOff>0</xdr:rowOff>
    </xdr:from>
    <xdr:ext cx="4006850" cy="2857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F1A6052-BD64-4052-BEF9-29B35E83D6D8}"/>
                </a:ext>
              </a:extLst>
            </xdr:cNvPr>
            <xdr:cNvSpPr txBox="1"/>
          </xdr:nvSpPr>
          <xdr:spPr>
            <a:xfrm>
              <a:off x="2159000" y="2228850"/>
              <a:ext cx="4006850" cy="285750"/>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nary>
                    <m:naryPr>
                      <m:chr m:val="∑"/>
                      <m:ctrlPr>
                        <a:rPr lang="en-IN" sz="1100" i="1">
                          <a:latin typeface="Cambria Math" panose="02040503050406030204" pitchFamily="18" charset="0"/>
                        </a:rPr>
                      </m:ctrlPr>
                    </m:naryPr>
                    <m:sub>
                      <m:r>
                        <m:rPr>
                          <m:brk m:alnAt="23"/>
                        </m:rPr>
                        <a:rPr lang="en-US" sz="1100" b="0" i="1">
                          <a:latin typeface="Cambria Math" panose="02040503050406030204" pitchFamily="18" charset="0"/>
                        </a:rPr>
                        <m:t>𝑛</m:t>
                      </m:r>
                      <m:r>
                        <a:rPr lang="en-IN" sz="1100" i="1">
                          <a:latin typeface="Cambria Math" panose="02040503050406030204" pitchFamily="18" charset="0"/>
                        </a:rPr>
                        <m:t>=</m:t>
                      </m:r>
                      <m:r>
                        <a:rPr lang="en-US" sz="1100" b="0" i="1">
                          <a:latin typeface="Cambria Math" panose="02040503050406030204" pitchFamily="18" charset="0"/>
                        </a:rPr>
                        <m:t>5</m:t>
                      </m:r>
                    </m:sub>
                    <m:sup>
                      <m:r>
                        <a:rPr lang="en-US" sz="1100" b="0" i="1">
                          <a:latin typeface="Cambria Math" panose="02040503050406030204" pitchFamily="18" charset="0"/>
                        </a:rPr>
                        <m:t>𝑖𝑛𝑓</m:t>
                      </m:r>
                      <m:r>
                        <a:rPr lang="en-US" sz="1100" b="0" i="1">
                          <a:latin typeface="Cambria Math" panose="02040503050406030204" pitchFamily="18" charset="0"/>
                        </a:rPr>
                        <m:t>.</m:t>
                      </m:r>
                    </m:sup>
                    <m:e>
                      <m:r>
                        <a:rPr lang="en-US" sz="1100" b="0" i="1">
                          <a:latin typeface="Cambria Math" panose="02040503050406030204" pitchFamily="18" charset="0"/>
                        </a:rPr>
                        <m:t>𝑃𝑛</m:t>
                      </m:r>
                    </m:e>
                  </m:nary>
                </m:oMath>
              </a14:m>
              <a:r>
                <a:rPr lang="en-IN" sz="1100"/>
                <a:t> = </a:t>
              </a:r>
              <a14:m>
                <m:oMath xmlns:m="http://schemas.openxmlformats.org/officeDocument/2006/math">
                  <m:nary>
                    <m:naryPr>
                      <m:chr m:val="∑"/>
                      <m:ctrlPr>
                        <a:rPr lang="en-IN" sz="110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𝑛</m:t>
                      </m:r>
                      <m:r>
                        <a:rPr lang="en-IN"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sub>
                    <m:sup>
                      <m:r>
                        <a:rPr lang="en-US" sz="1100" b="0" i="1">
                          <a:solidFill>
                            <a:schemeClr val="tx1"/>
                          </a:solidFill>
                          <a:effectLst/>
                          <a:latin typeface="Cambria Math" panose="02040503050406030204" pitchFamily="18" charset="0"/>
                          <a:ea typeface="+mn-ea"/>
                          <a:cs typeface="+mn-cs"/>
                        </a:rPr>
                        <m:t>𝑖𝑛𝑓</m:t>
                      </m:r>
                      <m:r>
                        <a:rPr lang="en-US" sz="1100" b="0" i="1">
                          <a:solidFill>
                            <a:schemeClr val="tx1"/>
                          </a:solidFill>
                          <a:effectLst/>
                          <a:latin typeface="Cambria Math" panose="02040503050406030204" pitchFamily="18" charset="0"/>
                          <a:ea typeface="+mn-ea"/>
                          <a:cs typeface="+mn-cs"/>
                        </a:rPr>
                        <m:t>.</m:t>
                      </m:r>
                    </m:sup>
                    <m:e>
                      <m:r>
                        <a:rPr lang="en-US" sz="1100" b="0" i="1">
                          <a:solidFill>
                            <a:schemeClr val="tx1"/>
                          </a:solidFill>
                          <a:effectLst/>
                          <a:latin typeface="Cambria Math" panose="02040503050406030204" pitchFamily="18" charset="0"/>
                          <a:ea typeface="+mn-ea"/>
                          <a:cs typeface="+mn-cs"/>
                        </a:rPr>
                        <m:t>𝑃𝑛</m:t>
                      </m:r>
                    </m:e>
                  </m:nary>
                </m:oMath>
              </a14:m>
              <a:r>
                <a:rPr lang="en-IN" sz="1100">
                  <a:solidFill>
                    <a:schemeClr val="tx1"/>
                  </a:solidFill>
                  <a:effectLst/>
                  <a:latin typeface="+mn-lt"/>
                  <a:ea typeface="+mn-ea"/>
                  <a:cs typeface="+mn-cs"/>
                </a:rPr>
                <a:t> -</a:t>
              </a:r>
              <a14:m>
                <m:oMath xmlns:m="http://schemas.openxmlformats.org/officeDocument/2006/math">
                  <m:nary>
                    <m:naryPr>
                      <m:chr m:val="∑"/>
                      <m:ctrlPr>
                        <a:rPr lang="en-IN" sz="110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𝑛</m:t>
                      </m:r>
                      <m:r>
                        <a:rPr lang="en-IN"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sub>
                    <m:sup>
                      <m:r>
                        <a:rPr lang="en-US" sz="1100" b="0" i="1">
                          <a:solidFill>
                            <a:schemeClr val="tx1"/>
                          </a:solidFill>
                          <a:effectLst/>
                          <a:latin typeface="Cambria Math" panose="02040503050406030204" pitchFamily="18" charset="0"/>
                          <a:ea typeface="+mn-ea"/>
                          <a:cs typeface="+mn-cs"/>
                        </a:rPr>
                        <m:t>4</m:t>
                      </m:r>
                    </m:sup>
                    <m:e>
                      <m:r>
                        <a:rPr lang="en-US" sz="1100" b="0" i="1">
                          <a:solidFill>
                            <a:schemeClr val="tx1"/>
                          </a:solidFill>
                          <a:effectLst/>
                          <a:latin typeface="Cambria Math" panose="02040503050406030204" pitchFamily="18" charset="0"/>
                          <a:ea typeface="+mn-ea"/>
                          <a:cs typeface="+mn-cs"/>
                        </a:rPr>
                        <m:t>𝑃𝑛</m:t>
                      </m:r>
                    </m:e>
                  </m:nary>
                </m:oMath>
              </a14:m>
              <a:r>
                <a:rPr lang="en-IN" sz="1100">
                  <a:solidFill>
                    <a:schemeClr val="tx1"/>
                  </a:solidFill>
                  <a:effectLst/>
                  <a:latin typeface="+mn-lt"/>
                  <a:ea typeface="+mn-ea"/>
                  <a:cs typeface="+mn-cs"/>
                </a:rPr>
                <a:t> , whare Pn = 1/n!(</a:t>
              </a:r>
              <a:r>
                <a:rPr lang="el-GR" sz="1100">
                  <a:solidFill>
                    <a:schemeClr val="tx1"/>
                  </a:solidFill>
                  <a:effectLst/>
                  <a:latin typeface="+mn-lt"/>
                  <a:ea typeface="+mn-ea"/>
                  <a:cs typeface="+mn-cs"/>
                </a:rPr>
                <a:t>λ</a:t>
              </a:r>
              <a:r>
                <a:rPr lang="en-US" sz="1100">
                  <a:solidFill>
                    <a:schemeClr val="tx1"/>
                  </a:solidFill>
                  <a:effectLst/>
                  <a:latin typeface="+mn-lt"/>
                  <a:ea typeface="+mn-ea"/>
                  <a:cs typeface="+mn-cs"/>
                </a:rPr>
                <a:t>/</a:t>
              </a:r>
              <a:r>
                <a:rPr lang="el-GR" sz="1100">
                  <a:solidFill>
                    <a:schemeClr val="tx1"/>
                  </a:solidFill>
                  <a:effectLst/>
                  <a:latin typeface="+mn-lt"/>
                  <a:ea typeface="+mn-ea"/>
                  <a:cs typeface="+mn-cs"/>
                </a:rPr>
                <a:t>μ</a:t>
              </a:r>
              <a:r>
                <a:rPr lang="en-US" sz="1100">
                  <a:solidFill>
                    <a:schemeClr val="tx1"/>
                  </a:solidFill>
                  <a:effectLst/>
                  <a:latin typeface="+mn-lt"/>
                  <a:ea typeface="+mn-ea"/>
                  <a:cs typeface="+mn-cs"/>
                </a:rPr>
                <a:t>)^n e^-</a:t>
              </a:r>
              <a:r>
                <a:rPr lang="el-GR" sz="1100">
                  <a:solidFill>
                    <a:schemeClr val="tx1"/>
                  </a:solidFill>
                  <a:effectLst/>
                  <a:latin typeface="+mn-lt"/>
                  <a:ea typeface="+mn-ea"/>
                  <a:cs typeface="+mn-cs"/>
                </a:rPr>
                <a:t>μ</a:t>
              </a:r>
              <a:r>
                <a:rPr lang="en-US" sz="1100">
                  <a:solidFill>
                    <a:schemeClr val="tx1"/>
                  </a:solidFill>
                  <a:effectLst/>
                  <a:latin typeface="+mn-lt"/>
                  <a:ea typeface="+mn-ea"/>
                  <a:cs typeface="+mn-cs"/>
                </a:rPr>
                <a:t>/</a:t>
              </a:r>
              <a:r>
                <a:rPr lang="el-GR" sz="1100">
                  <a:solidFill>
                    <a:schemeClr val="tx1"/>
                  </a:solidFill>
                  <a:effectLst/>
                  <a:latin typeface="+mn-lt"/>
                  <a:ea typeface="+mn-ea"/>
                  <a:cs typeface="+mn-cs"/>
                </a:rPr>
                <a:t>μ</a:t>
              </a:r>
              <a:endParaRPr lang="en-IN" sz="1100"/>
            </a:p>
          </xdr:txBody>
        </xdr:sp>
      </mc:Choice>
      <mc:Fallback xmlns="">
        <xdr:sp macro="" textlink="">
          <xdr:nvSpPr>
            <xdr:cNvPr id="2" name="TextBox 1">
              <a:extLst>
                <a:ext uri="{FF2B5EF4-FFF2-40B4-BE49-F238E27FC236}">
                  <a16:creationId xmlns:a16="http://schemas.microsoft.com/office/drawing/2014/main" id="{DF1A6052-BD64-4052-BEF9-29B35E83D6D8}"/>
                </a:ext>
              </a:extLst>
            </xdr:cNvPr>
            <xdr:cNvSpPr txBox="1"/>
          </xdr:nvSpPr>
          <xdr:spPr>
            <a:xfrm>
              <a:off x="2159000" y="2228850"/>
              <a:ext cx="4006850" cy="285750"/>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100" i="0">
                  <a:latin typeface="Cambria Math" panose="02040503050406030204" pitchFamily="18" charset="0"/>
                </a:rPr>
                <a:t>∑</a:t>
              </a:r>
              <a:r>
                <a:rPr lang="en-US" sz="1100" b="0" i="0">
                  <a:latin typeface="Cambria Math" panose="02040503050406030204" pitchFamily="18" charset="0"/>
                </a:rPr>
                <a:t>_</a:t>
              </a:r>
              <a:r>
                <a:rPr lang="en-IN" sz="1100" b="0" i="0">
                  <a:latin typeface="Cambria Math" panose="02040503050406030204" pitchFamily="18" charset="0"/>
                </a:rPr>
                <a:t>(</a:t>
              </a:r>
              <a:r>
                <a:rPr lang="en-US" sz="1100" b="0" i="0">
                  <a:latin typeface="Cambria Math" panose="02040503050406030204" pitchFamily="18" charset="0"/>
                </a:rPr>
                <a:t>𝑛</a:t>
              </a:r>
              <a:r>
                <a:rPr lang="en-IN" sz="1100" i="0">
                  <a:latin typeface="Cambria Math" panose="02040503050406030204" pitchFamily="18" charset="0"/>
                </a:rPr>
                <a:t>=</a:t>
              </a:r>
              <a:r>
                <a:rPr lang="en-US" sz="1100" b="0" i="0">
                  <a:latin typeface="Cambria Math" panose="02040503050406030204" pitchFamily="18" charset="0"/>
                </a:rPr>
                <a:t>5</a:t>
              </a:r>
              <a:r>
                <a:rPr lang="en-IN" sz="1100" b="0" i="0">
                  <a:latin typeface="Cambria Math" panose="02040503050406030204" pitchFamily="18" charset="0"/>
                </a:rPr>
                <a:t>)</a:t>
              </a:r>
              <a:r>
                <a:rPr lang="en-US" sz="1100" b="0" i="0">
                  <a:latin typeface="Cambria Math" panose="02040503050406030204" pitchFamily="18" charset="0"/>
                </a:rPr>
                <a:t>^(𝑖𝑛𝑓.)▒𝑃𝑛</a:t>
              </a:r>
              <a:r>
                <a:rPr lang="en-IN" sz="1100"/>
                <a:t> = </a:t>
              </a:r>
              <a:r>
                <a:rPr lang="en-IN"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_</a:t>
              </a:r>
              <a:r>
                <a:rPr lang="en-IN"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𝑛</a:t>
              </a:r>
              <a:r>
                <a:rPr lang="en-IN"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r>
                <a:rPr lang="en-IN"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^(𝑖𝑛𝑓.)▒𝑃𝑛</a:t>
              </a:r>
              <a:r>
                <a:rPr lang="en-IN" sz="1100">
                  <a:solidFill>
                    <a:schemeClr val="tx1"/>
                  </a:solidFill>
                  <a:effectLst/>
                  <a:latin typeface="+mn-lt"/>
                  <a:ea typeface="+mn-ea"/>
                  <a:cs typeface="+mn-cs"/>
                </a:rPr>
                <a:t> -</a:t>
              </a:r>
              <a:r>
                <a:rPr lang="en-IN"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_</a:t>
              </a:r>
              <a:r>
                <a:rPr lang="en-IN"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𝑛</a:t>
              </a:r>
              <a:r>
                <a:rPr lang="en-IN"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r>
                <a:rPr lang="en-IN"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^4▒𝑃𝑛</a:t>
              </a:r>
              <a:r>
                <a:rPr lang="en-IN" sz="1100">
                  <a:solidFill>
                    <a:schemeClr val="tx1"/>
                  </a:solidFill>
                  <a:effectLst/>
                  <a:latin typeface="+mn-lt"/>
                  <a:ea typeface="+mn-ea"/>
                  <a:cs typeface="+mn-cs"/>
                </a:rPr>
                <a:t> , whare Pn = 1/n!(</a:t>
              </a:r>
              <a:r>
                <a:rPr lang="el-GR" sz="1100">
                  <a:solidFill>
                    <a:schemeClr val="tx1"/>
                  </a:solidFill>
                  <a:effectLst/>
                  <a:latin typeface="+mn-lt"/>
                  <a:ea typeface="+mn-ea"/>
                  <a:cs typeface="+mn-cs"/>
                </a:rPr>
                <a:t>λ</a:t>
              </a:r>
              <a:r>
                <a:rPr lang="en-US" sz="1100">
                  <a:solidFill>
                    <a:schemeClr val="tx1"/>
                  </a:solidFill>
                  <a:effectLst/>
                  <a:latin typeface="+mn-lt"/>
                  <a:ea typeface="+mn-ea"/>
                  <a:cs typeface="+mn-cs"/>
                </a:rPr>
                <a:t>/</a:t>
              </a:r>
              <a:r>
                <a:rPr lang="el-GR" sz="1100">
                  <a:solidFill>
                    <a:schemeClr val="tx1"/>
                  </a:solidFill>
                  <a:effectLst/>
                  <a:latin typeface="+mn-lt"/>
                  <a:ea typeface="+mn-ea"/>
                  <a:cs typeface="+mn-cs"/>
                </a:rPr>
                <a:t>μ</a:t>
              </a:r>
              <a:r>
                <a:rPr lang="en-US" sz="1100">
                  <a:solidFill>
                    <a:schemeClr val="tx1"/>
                  </a:solidFill>
                  <a:effectLst/>
                  <a:latin typeface="+mn-lt"/>
                  <a:ea typeface="+mn-ea"/>
                  <a:cs typeface="+mn-cs"/>
                </a:rPr>
                <a:t>)^n e^-</a:t>
              </a:r>
              <a:r>
                <a:rPr lang="el-GR" sz="1100">
                  <a:solidFill>
                    <a:schemeClr val="tx1"/>
                  </a:solidFill>
                  <a:effectLst/>
                  <a:latin typeface="+mn-lt"/>
                  <a:ea typeface="+mn-ea"/>
                  <a:cs typeface="+mn-cs"/>
                </a:rPr>
                <a:t>μ</a:t>
              </a:r>
              <a:r>
                <a:rPr lang="en-US" sz="1100">
                  <a:solidFill>
                    <a:schemeClr val="tx1"/>
                  </a:solidFill>
                  <a:effectLst/>
                  <a:latin typeface="+mn-lt"/>
                  <a:ea typeface="+mn-ea"/>
                  <a:cs typeface="+mn-cs"/>
                </a:rPr>
                <a:t>/</a:t>
              </a:r>
              <a:r>
                <a:rPr lang="el-GR" sz="1100">
                  <a:solidFill>
                    <a:schemeClr val="tx1"/>
                  </a:solidFill>
                  <a:effectLst/>
                  <a:latin typeface="+mn-lt"/>
                  <a:ea typeface="+mn-ea"/>
                  <a:cs typeface="+mn-cs"/>
                </a:rPr>
                <a:t>μ</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03A99-D2B1-4C77-B794-3BF65D0D37BA}">
  <dimension ref="B2:S13"/>
  <sheetViews>
    <sheetView showGridLines="0" zoomScale="59" zoomScaleNormal="100" workbookViewId="0">
      <selection activeCell="G20" sqref="G20"/>
    </sheetView>
  </sheetViews>
  <sheetFormatPr defaultColWidth="8.796875" defaultRowHeight="14.4" x14ac:dyDescent="0.3"/>
  <cols>
    <col min="1" max="1" width="2.5" style="1" customWidth="1"/>
    <col min="2" max="2" width="8.796875" style="1"/>
    <col min="3" max="3" width="8.796875" style="1" customWidth="1"/>
    <col min="4" max="6" width="8.796875" style="1"/>
    <col min="7" max="7" width="12.19921875" style="1" customWidth="1"/>
    <col min="8" max="8" width="8.796875" style="1"/>
    <col min="9" max="9" width="19.69921875" style="1" customWidth="1"/>
    <col min="10" max="15" width="8.796875" style="1"/>
    <col min="16" max="16" width="6.69921875" style="1" customWidth="1"/>
    <col min="17" max="17" width="6" style="1" customWidth="1"/>
    <col min="18" max="16384" width="8.796875" style="1"/>
  </cols>
  <sheetData>
    <row r="2" spans="2:19" ht="36.6" x14ac:dyDescent="0.7">
      <c r="B2" s="96" t="s">
        <v>21</v>
      </c>
      <c r="C2" s="96"/>
      <c r="D2" s="96"/>
      <c r="E2" s="96"/>
      <c r="F2" s="96"/>
      <c r="G2" s="96"/>
      <c r="H2" s="96"/>
      <c r="I2" s="96"/>
      <c r="J2" s="96"/>
      <c r="K2" s="96"/>
      <c r="L2" s="96"/>
      <c r="M2" s="96"/>
      <c r="N2" s="96"/>
      <c r="O2" s="96"/>
      <c r="P2" s="96"/>
      <c r="Q2" s="47"/>
    </row>
    <row r="3" spans="2:19" ht="33.6" x14ac:dyDescent="0.65">
      <c r="B3" s="97" t="s">
        <v>22</v>
      </c>
      <c r="C3" s="97"/>
      <c r="D3" s="97"/>
      <c r="E3" s="97"/>
      <c r="F3" s="97"/>
      <c r="G3" s="97"/>
      <c r="H3" s="97"/>
      <c r="I3" s="97"/>
      <c r="J3" s="97"/>
      <c r="K3" s="97"/>
      <c r="L3" s="97"/>
      <c r="M3" s="97"/>
      <c r="N3" s="97"/>
      <c r="O3" s="97"/>
      <c r="P3" s="97"/>
      <c r="Q3" s="47"/>
    </row>
    <row r="4" spans="2:19" ht="34.950000000000003" customHeight="1" x14ac:dyDescent="0.3">
      <c r="B4" s="47"/>
      <c r="C4" s="47"/>
      <c r="D4" s="47"/>
      <c r="E4" s="47"/>
      <c r="F4" s="47"/>
      <c r="G4" s="47"/>
      <c r="H4" s="47"/>
      <c r="I4" s="47"/>
      <c r="J4" s="47"/>
      <c r="K4" s="47"/>
      <c r="L4" s="47"/>
      <c r="M4" s="47"/>
      <c r="N4" s="47"/>
      <c r="O4" s="47"/>
      <c r="P4" s="47"/>
      <c r="Q4" s="47"/>
    </row>
    <row r="5" spans="2:19" ht="34.799999999999997" x14ac:dyDescent="0.55000000000000004">
      <c r="B5" s="98" t="s">
        <v>23</v>
      </c>
      <c r="C5" s="98"/>
      <c r="D5" s="98"/>
      <c r="E5" s="98"/>
      <c r="F5" s="98"/>
      <c r="G5" s="98"/>
      <c r="H5" s="98"/>
      <c r="I5" s="98"/>
      <c r="J5" s="98"/>
      <c r="K5" s="98"/>
      <c r="L5" s="98"/>
      <c r="M5" s="98"/>
      <c r="N5" s="98"/>
      <c r="O5" s="98"/>
      <c r="P5" s="98"/>
      <c r="Q5" s="47"/>
    </row>
    <row r="6" spans="2:19" x14ac:dyDescent="0.3">
      <c r="B6" s="47"/>
      <c r="C6" s="47"/>
      <c r="D6" s="47"/>
      <c r="E6" s="47"/>
      <c r="F6" s="47"/>
      <c r="G6" s="47"/>
      <c r="H6" s="47"/>
      <c r="I6" s="47"/>
      <c r="J6" s="47"/>
      <c r="K6" s="47"/>
      <c r="L6" s="47"/>
      <c r="M6" s="47"/>
      <c r="N6" s="47"/>
      <c r="O6" s="47"/>
      <c r="P6" s="47"/>
      <c r="Q6" s="47"/>
    </row>
    <row r="7" spans="2:19" ht="36.6" x14ac:dyDescent="0.7">
      <c r="B7" s="47"/>
      <c r="C7" s="47"/>
      <c r="D7" s="47"/>
      <c r="E7" s="47"/>
      <c r="F7" s="99" t="s">
        <v>94</v>
      </c>
      <c r="G7" s="99"/>
      <c r="H7" s="99"/>
      <c r="I7" s="99"/>
      <c r="J7" s="99"/>
      <c r="K7" s="99"/>
      <c r="L7" s="47"/>
      <c r="M7" s="47"/>
      <c r="N7" s="47"/>
      <c r="O7" s="47"/>
      <c r="P7" s="47"/>
      <c r="Q7" s="47"/>
    </row>
    <row r="8" spans="2:19" ht="28.8" x14ac:dyDescent="0.55000000000000004">
      <c r="B8" s="47"/>
      <c r="C8" s="47"/>
      <c r="D8" s="47"/>
      <c r="E8" s="47"/>
      <c r="F8" s="100" t="s">
        <v>95</v>
      </c>
      <c r="G8" s="100"/>
      <c r="H8" s="100"/>
      <c r="I8" s="100"/>
      <c r="J8" s="100"/>
      <c r="K8" s="100"/>
      <c r="L8" s="47"/>
      <c r="M8" s="47"/>
      <c r="N8" s="47"/>
      <c r="O8" s="47"/>
      <c r="P8" s="47"/>
      <c r="Q8" s="47"/>
    </row>
    <row r="9" spans="2:19" ht="36.6" x14ac:dyDescent="0.7">
      <c r="B9" s="47"/>
      <c r="C9" s="47"/>
      <c r="D9" s="99" t="s">
        <v>93</v>
      </c>
      <c r="E9" s="99"/>
      <c r="F9" s="99"/>
      <c r="G9" s="99"/>
      <c r="H9" s="47"/>
      <c r="I9" s="47"/>
      <c r="J9" s="47"/>
      <c r="K9" s="102" t="s">
        <v>155</v>
      </c>
      <c r="L9" s="102"/>
      <c r="M9" s="102"/>
      <c r="N9" s="102"/>
      <c r="O9" s="102"/>
      <c r="P9" s="102"/>
      <c r="Q9" s="102"/>
    </row>
    <row r="10" spans="2:19" ht="31.2" x14ac:dyDescent="0.6">
      <c r="B10" s="47"/>
      <c r="C10" s="48"/>
      <c r="D10" s="101" t="s">
        <v>156</v>
      </c>
      <c r="E10" s="101"/>
      <c r="F10" s="101"/>
      <c r="G10" s="101"/>
      <c r="H10" s="49"/>
      <c r="I10" s="48"/>
      <c r="J10" s="47"/>
      <c r="K10" s="47"/>
      <c r="L10" s="93" t="s">
        <v>97</v>
      </c>
      <c r="M10" s="93"/>
      <c r="N10" s="93"/>
      <c r="O10" s="93"/>
      <c r="P10" s="47"/>
      <c r="Q10" s="47"/>
    </row>
    <row r="11" spans="2:19" ht="31.2" x14ac:dyDescent="0.6">
      <c r="B11" s="47"/>
      <c r="C11" s="48"/>
      <c r="D11" s="101" t="s">
        <v>157</v>
      </c>
      <c r="E11" s="101"/>
      <c r="F11" s="101"/>
      <c r="G11" s="101"/>
      <c r="H11" s="49"/>
      <c r="I11" s="48"/>
      <c r="J11" s="47"/>
      <c r="K11" s="47"/>
      <c r="L11" s="47"/>
      <c r="M11" s="47"/>
      <c r="N11" s="47"/>
      <c r="O11" s="47"/>
      <c r="P11" s="94"/>
      <c r="Q11" s="94"/>
      <c r="R11" s="95"/>
      <c r="S11" s="95"/>
    </row>
    <row r="12" spans="2:19" ht="31.2" x14ac:dyDescent="0.45">
      <c r="B12" s="47"/>
      <c r="C12" s="101" t="s">
        <v>96</v>
      </c>
      <c r="D12" s="101"/>
      <c r="E12" s="101"/>
      <c r="F12" s="101"/>
      <c r="G12" s="101"/>
      <c r="H12" s="101"/>
      <c r="I12" s="101"/>
      <c r="J12" s="47"/>
      <c r="K12" s="47"/>
      <c r="L12" s="47"/>
      <c r="M12" s="47"/>
      <c r="N12" s="47"/>
      <c r="O12" s="47"/>
      <c r="P12" s="94"/>
      <c r="Q12" s="94"/>
      <c r="R12" s="95"/>
      <c r="S12" s="95"/>
    </row>
    <row r="13" spans="2:19" x14ac:dyDescent="0.3">
      <c r="D13" s="18"/>
      <c r="E13" s="18"/>
      <c r="F13" s="18"/>
      <c r="G13" s="18"/>
    </row>
  </sheetData>
  <mergeCells count="15">
    <mergeCell ref="L10:O10"/>
    <mergeCell ref="P12:Q12"/>
    <mergeCell ref="R12:S12"/>
    <mergeCell ref="B2:P2"/>
    <mergeCell ref="B3:P3"/>
    <mergeCell ref="B5:P5"/>
    <mergeCell ref="P11:Q11"/>
    <mergeCell ref="R11:S11"/>
    <mergeCell ref="D9:G9"/>
    <mergeCell ref="F7:K7"/>
    <mergeCell ref="F8:K8"/>
    <mergeCell ref="D10:G10"/>
    <mergeCell ref="D11:G11"/>
    <mergeCell ref="C12:I12"/>
    <mergeCell ref="K9:Q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8C01-EFF3-4C08-8F9E-53DE5AF19108}">
  <dimension ref="B2:M21"/>
  <sheetViews>
    <sheetView workbookViewId="0">
      <selection activeCell="H23" sqref="H23"/>
    </sheetView>
  </sheetViews>
  <sheetFormatPr defaultColWidth="8.796875" defaultRowHeight="14.4" x14ac:dyDescent="0.3"/>
  <cols>
    <col min="1" max="1" width="8.796875" style="13"/>
    <col min="2" max="2" width="10.09765625" style="13" customWidth="1"/>
    <col min="3" max="7" width="8.796875" style="13"/>
    <col min="8" max="8" width="22.19921875" style="13" customWidth="1"/>
    <col min="9" max="16384" width="8.796875" style="13"/>
  </cols>
  <sheetData>
    <row r="2" spans="2:13" x14ac:dyDescent="0.3">
      <c r="B2" s="75" t="s">
        <v>153</v>
      </c>
      <c r="C2" s="76"/>
      <c r="D2" s="76"/>
      <c r="E2" s="76"/>
      <c r="F2" s="76"/>
      <c r="G2" s="76"/>
      <c r="H2" s="76"/>
      <c r="I2" s="76"/>
      <c r="J2" s="76"/>
      <c r="K2" s="76"/>
      <c r="L2" s="76"/>
      <c r="M2" s="76"/>
    </row>
    <row r="3" spans="2:13" x14ac:dyDescent="0.3">
      <c r="B3" s="159" t="s">
        <v>46</v>
      </c>
      <c r="C3" s="160"/>
      <c r="D3" s="160"/>
      <c r="E3" s="160"/>
      <c r="F3" s="160"/>
      <c r="G3" s="160"/>
      <c r="H3" s="160"/>
      <c r="I3" s="160"/>
      <c r="J3" s="160"/>
      <c r="K3" s="160"/>
      <c r="L3" s="160"/>
      <c r="M3" s="160"/>
    </row>
    <row r="4" spans="2:13" x14ac:dyDescent="0.3">
      <c r="B4" s="160"/>
      <c r="C4" s="160"/>
      <c r="D4" s="160"/>
      <c r="E4" s="160"/>
      <c r="F4" s="160"/>
      <c r="G4" s="160"/>
      <c r="H4" s="160"/>
      <c r="I4" s="160"/>
      <c r="J4" s="160"/>
      <c r="K4" s="160"/>
      <c r="L4" s="160"/>
      <c r="M4" s="160"/>
    </row>
    <row r="5" spans="2:13" x14ac:dyDescent="0.3">
      <c r="B5" s="160"/>
      <c r="C5" s="160"/>
      <c r="D5" s="160"/>
      <c r="E5" s="160"/>
      <c r="F5" s="160"/>
      <c r="G5" s="160"/>
      <c r="H5" s="160"/>
      <c r="I5" s="160"/>
      <c r="J5" s="160"/>
      <c r="K5" s="160"/>
      <c r="L5" s="160"/>
      <c r="M5" s="160"/>
    </row>
    <row r="6" spans="2:13" x14ac:dyDescent="0.3">
      <c r="B6" s="160"/>
      <c r="C6" s="160"/>
      <c r="D6" s="160"/>
      <c r="E6" s="160"/>
      <c r="F6" s="160"/>
      <c r="G6" s="160"/>
      <c r="H6" s="160"/>
      <c r="I6" s="160"/>
      <c r="J6" s="160"/>
      <c r="K6" s="160"/>
      <c r="L6" s="160"/>
      <c r="M6" s="160"/>
    </row>
    <row r="7" spans="2:13" x14ac:dyDescent="0.3">
      <c r="B7" s="160"/>
      <c r="C7" s="160"/>
      <c r="D7" s="160"/>
      <c r="E7" s="160"/>
      <c r="F7" s="160"/>
      <c r="G7" s="160"/>
      <c r="H7" s="160"/>
      <c r="I7" s="160"/>
      <c r="J7" s="160"/>
      <c r="K7" s="160"/>
      <c r="L7" s="160"/>
      <c r="M7" s="160"/>
    </row>
    <row r="9" spans="2:13" x14ac:dyDescent="0.3">
      <c r="B9" s="78" t="s">
        <v>59</v>
      </c>
      <c r="C9" s="78"/>
      <c r="D9" s="78"/>
      <c r="E9" s="78"/>
      <c r="F9" s="78"/>
      <c r="G9" s="78"/>
    </row>
    <row r="10" spans="2:13" x14ac:dyDescent="0.3">
      <c r="B10" s="77" t="s">
        <v>60</v>
      </c>
      <c r="C10" s="77"/>
      <c r="D10" s="14"/>
    </row>
    <row r="11" spans="2:13" x14ac:dyDescent="0.3">
      <c r="B11" s="77" t="s">
        <v>61</v>
      </c>
      <c r="C11" s="77"/>
      <c r="D11" s="14"/>
    </row>
    <row r="12" spans="2:13" x14ac:dyDescent="0.3">
      <c r="B12" s="77" t="s">
        <v>53</v>
      </c>
      <c r="C12" s="77"/>
      <c r="D12" s="14"/>
    </row>
    <row r="13" spans="2:13" x14ac:dyDescent="0.3">
      <c r="B13" s="77" t="s">
        <v>7</v>
      </c>
      <c r="C13" s="14">
        <v>2.5000000000000001E-5</v>
      </c>
      <c r="D13" s="14" t="s">
        <v>45</v>
      </c>
    </row>
    <row r="16" spans="2:13" x14ac:dyDescent="0.3">
      <c r="B16" s="161" t="s">
        <v>44</v>
      </c>
      <c r="C16" s="14">
        <v>2</v>
      </c>
      <c r="D16" s="14" t="s">
        <v>43</v>
      </c>
    </row>
    <row r="17" spans="2:4" x14ac:dyDescent="0.3">
      <c r="B17" s="161"/>
      <c r="C17" s="14">
        <v>60</v>
      </c>
      <c r="D17" s="14" t="s">
        <v>42</v>
      </c>
    </row>
    <row r="18" spans="2:4" x14ac:dyDescent="0.3">
      <c r="B18" s="161"/>
      <c r="C18" s="14">
        <v>1440</v>
      </c>
      <c r="D18" s="14" t="s">
        <v>41</v>
      </c>
    </row>
    <row r="19" spans="2:4" x14ac:dyDescent="0.3">
      <c r="B19" s="78" t="s">
        <v>40</v>
      </c>
      <c r="C19" s="14">
        <f>1-(1-EXP(-C13*C18))</f>
        <v>0.96464029348312308</v>
      </c>
      <c r="D19" s="14"/>
    </row>
    <row r="20" spans="2:4" x14ac:dyDescent="0.3">
      <c r="B20" s="78" t="s">
        <v>39</v>
      </c>
      <c r="C20" s="14">
        <f>1/C13</f>
        <v>40000</v>
      </c>
      <c r="D20" s="14"/>
    </row>
    <row r="21" spans="2:4" x14ac:dyDescent="0.3">
      <c r="B21" s="78" t="s">
        <v>38</v>
      </c>
      <c r="C21" s="14">
        <f>1-(1-EXP(-C13*C20))</f>
        <v>0.36787944117144233</v>
      </c>
      <c r="D21" s="14"/>
    </row>
  </sheetData>
  <mergeCells count="2">
    <mergeCell ref="B3:M7"/>
    <mergeCell ref="B16:B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F9F8-19E5-48C9-BB36-C338C364FDE3}">
  <dimension ref="B2:M21"/>
  <sheetViews>
    <sheetView workbookViewId="0">
      <selection activeCell="F21" sqref="F21"/>
    </sheetView>
  </sheetViews>
  <sheetFormatPr defaultColWidth="8.796875" defaultRowHeight="14.4" x14ac:dyDescent="0.3"/>
  <cols>
    <col min="1" max="1" width="8.796875" style="13"/>
    <col min="2" max="2" width="31.69921875" style="13" customWidth="1"/>
    <col min="3" max="3" width="14.5" style="13" customWidth="1"/>
    <col min="4" max="16384" width="8.796875" style="13"/>
  </cols>
  <sheetData>
    <row r="2" spans="2:13" ht="18" x14ac:dyDescent="0.35">
      <c r="B2" s="79" t="s">
        <v>138</v>
      </c>
      <c r="C2" s="76"/>
      <c r="D2" s="76"/>
      <c r="E2" s="76"/>
      <c r="F2" s="76"/>
      <c r="G2" s="76"/>
      <c r="H2" s="76"/>
      <c r="I2" s="76"/>
      <c r="J2" s="76"/>
      <c r="K2" s="76"/>
      <c r="L2" s="76"/>
      <c r="M2" s="76"/>
    </row>
    <row r="3" spans="2:13" x14ac:dyDescent="0.3">
      <c r="B3" s="162" t="s">
        <v>57</v>
      </c>
      <c r="C3" s="163"/>
      <c r="D3" s="163"/>
      <c r="E3" s="163"/>
      <c r="F3" s="163"/>
      <c r="G3" s="163"/>
      <c r="H3" s="163"/>
      <c r="I3" s="163"/>
      <c r="J3" s="163"/>
      <c r="K3" s="163"/>
      <c r="L3" s="163"/>
      <c r="M3" s="163"/>
    </row>
    <row r="4" spans="2:13" x14ac:dyDescent="0.3">
      <c r="B4" s="163"/>
      <c r="C4" s="163"/>
      <c r="D4" s="163"/>
      <c r="E4" s="163"/>
      <c r="F4" s="163"/>
      <c r="G4" s="163"/>
      <c r="H4" s="163"/>
      <c r="I4" s="163"/>
      <c r="J4" s="163"/>
      <c r="K4" s="163"/>
      <c r="L4" s="163"/>
      <c r="M4" s="163"/>
    </row>
    <row r="5" spans="2:13" x14ac:dyDescent="0.3">
      <c r="B5" s="163"/>
      <c r="C5" s="163"/>
      <c r="D5" s="163"/>
      <c r="E5" s="163"/>
      <c r="F5" s="163"/>
      <c r="G5" s="163"/>
      <c r="H5" s="163"/>
      <c r="I5" s="163"/>
      <c r="J5" s="163"/>
      <c r="K5" s="163"/>
      <c r="L5" s="163"/>
      <c r="M5" s="163"/>
    </row>
    <row r="6" spans="2:13" x14ac:dyDescent="0.3">
      <c r="B6" s="163"/>
      <c r="C6" s="163"/>
      <c r="D6" s="163"/>
      <c r="E6" s="163"/>
      <c r="F6" s="163"/>
      <c r="G6" s="163"/>
      <c r="H6" s="163"/>
      <c r="I6" s="163"/>
      <c r="J6" s="163"/>
      <c r="K6" s="163"/>
      <c r="L6" s="163"/>
      <c r="M6" s="163"/>
    </row>
    <row r="7" spans="2:13" x14ac:dyDescent="0.3">
      <c r="B7" s="163"/>
      <c r="C7" s="163"/>
      <c r="D7" s="163"/>
      <c r="E7" s="163"/>
      <c r="F7" s="163"/>
      <c r="G7" s="163"/>
      <c r="H7" s="163"/>
      <c r="I7" s="163"/>
      <c r="J7" s="163"/>
      <c r="K7" s="163"/>
      <c r="L7" s="163"/>
      <c r="M7" s="163"/>
    </row>
    <row r="10" spans="2:13" x14ac:dyDescent="0.3">
      <c r="B10" s="164" t="s">
        <v>56</v>
      </c>
      <c r="C10" s="164"/>
      <c r="D10" s="164"/>
      <c r="E10" s="164"/>
      <c r="F10" s="164"/>
      <c r="G10" s="164"/>
      <c r="H10" s="164"/>
    </row>
    <row r="11" spans="2:13" x14ac:dyDescent="0.3">
      <c r="B11" s="77" t="s">
        <v>55</v>
      </c>
    </row>
    <row r="12" spans="2:13" x14ac:dyDescent="0.3">
      <c r="B12" s="77" t="s">
        <v>54</v>
      </c>
    </row>
    <row r="13" spans="2:13" x14ac:dyDescent="0.3">
      <c r="B13" s="77" t="s">
        <v>53</v>
      </c>
    </row>
    <row r="15" spans="2:13" x14ac:dyDescent="0.3">
      <c r="B15" s="77" t="s">
        <v>52</v>
      </c>
      <c r="C15" s="14"/>
    </row>
    <row r="16" spans="2:13" x14ac:dyDescent="0.3">
      <c r="B16" s="77" t="s">
        <v>7</v>
      </c>
      <c r="C16" s="14">
        <f>LN(0.5)/(-100)</f>
        <v>6.9314718055994533E-3</v>
      </c>
    </row>
    <row r="17" spans="2:3" x14ac:dyDescent="0.3">
      <c r="B17" s="77" t="s">
        <v>51</v>
      </c>
      <c r="C17" s="14">
        <f>1-(1-EXP(-100*C16))</f>
        <v>0.5</v>
      </c>
    </row>
    <row r="18" spans="2:3" x14ac:dyDescent="0.3">
      <c r="B18" s="77" t="s">
        <v>50</v>
      </c>
      <c r="C18" s="14">
        <f>1-(1-EXP(-500*C16))</f>
        <v>3.125E-2</v>
      </c>
    </row>
    <row r="19" spans="2:3" x14ac:dyDescent="0.3">
      <c r="B19" s="77" t="s">
        <v>49</v>
      </c>
      <c r="C19" s="14">
        <f>(1-(EXP(-1000*C16))-(1-(EXP(-500*C16))))/((EXP(-500*C16)))</f>
        <v>0.96875</v>
      </c>
    </row>
    <row r="20" spans="2:3" x14ac:dyDescent="0.3">
      <c r="B20" s="77" t="s">
        <v>48</v>
      </c>
      <c r="C20" s="14"/>
    </row>
    <row r="21" spans="2:3" x14ac:dyDescent="0.3">
      <c r="B21" s="77" t="s">
        <v>47</v>
      </c>
      <c r="C21" s="14"/>
    </row>
  </sheetData>
  <mergeCells count="2">
    <mergeCell ref="B3:M7"/>
    <mergeCell ref="B10:H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BFE77-B1A5-44E5-A5A4-9F93D9C1B6C4}">
  <dimension ref="B2:O20"/>
  <sheetViews>
    <sheetView workbookViewId="0">
      <selection activeCell="C20" sqref="C20:H20"/>
    </sheetView>
  </sheetViews>
  <sheetFormatPr defaultColWidth="8.796875" defaultRowHeight="15.6" x14ac:dyDescent="0.3"/>
  <cols>
    <col min="1" max="8" width="8.796875" style="15"/>
    <col min="9" max="9" width="11.69921875" style="15" bestFit="1" customWidth="1"/>
    <col min="10" max="16384" width="8.796875" style="15"/>
  </cols>
  <sheetData>
    <row r="2" spans="2:15" x14ac:dyDescent="0.3">
      <c r="C2" s="80" t="s">
        <v>154</v>
      </c>
      <c r="D2" s="80"/>
      <c r="E2" s="81"/>
      <c r="F2" s="81"/>
      <c r="G2" s="81"/>
      <c r="H2" s="81"/>
      <c r="I2" s="81"/>
      <c r="J2" s="81"/>
      <c r="K2" s="81"/>
      <c r="L2" s="81"/>
      <c r="M2" s="81"/>
      <c r="N2" s="81"/>
      <c r="O2" s="81"/>
    </row>
    <row r="3" spans="2:15" x14ac:dyDescent="0.3">
      <c r="B3" s="19"/>
      <c r="C3" s="165" t="s">
        <v>101</v>
      </c>
      <c r="D3" s="166"/>
      <c r="E3" s="166"/>
      <c r="F3" s="166"/>
      <c r="G3" s="166"/>
      <c r="H3" s="166"/>
      <c r="I3" s="166"/>
      <c r="J3" s="166"/>
      <c r="K3" s="166"/>
      <c r="L3" s="166"/>
      <c r="M3" s="166"/>
      <c r="N3" s="166"/>
      <c r="O3" s="166"/>
    </row>
    <row r="4" spans="2:15" x14ac:dyDescent="0.3">
      <c r="B4" s="20"/>
      <c r="C4" s="166"/>
      <c r="D4" s="166"/>
      <c r="E4" s="166"/>
      <c r="F4" s="166"/>
      <c r="G4" s="166"/>
      <c r="H4" s="166"/>
      <c r="I4" s="166"/>
      <c r="J4" s="166"/>
      <c r="K4" s="166"/>
      <c r="L4" s="166"/>
      <c r="M4" s="166"/>
      <c r="N4" s="166"/>
      <c r="O4" s="166"/>
    </row>
    <row r="5" spans="2:15" x14ac:dyDescent="0.3">
      <c r="B5" s="20"/>
      <c r="C5" s="167" t="s">
        <v>90</v>
      </c>
      <c r="D5" s="168"/>
      <c r="E5" s="168"/>
      <c r="F5" s="168"/>
      <c r="G5" s="168"/>
      <c r="H5" s="168"/>
      <c r="I5" s="168"/>
      <c r="J5" s="168"/>
      <c r="K5" s="168"/>
      <c r="L5" s="168"/>
      <c r="M5" s="168"/>
      <c r="N5" s="168"/>
      <c r="O5" s="168"/>
    </row>
    <row r="6" spans="2:15" x14ac:dyDescent="0.3">
      <c r="B6" s="20"/>
      <c r="C6" s="167" t="s">
        <v>91</v>
      </c>
      <c r="D6" s="168"/>
      <c r="E6" s="168"/>
      <c r="F6" s="168"/>
      <c r="G6" s="168"/>
      <c r="H6" s="168"/>
      <c r="I6" s="168"/>
      <c r="J6" s="168"/>
      <c r="K6" s="168"/>
      <c r="L6" s="168"/>
      <c r="M6" s="168"/>
      <c r="N6" s="168"/>
      <c r="O6" s="168"/>
    </row>
    <row r="7" spans="2:15" x14ac:dyDescent="0.3">
      <c r="B7" s="20"/>
      <c r="C7" s="167" t="s">
        <v>92</v>
      </c>
      <c r="D7" s="168"/>
      <c r="E7" s="168"/>
      <c r="F7" s="168"/>
      <c r="G7" s="168"/>
      <c r="H7" s="168"/>
      <c r="I7" s="168"/>
      <c r="J7" s="168"/>
      <c r="K7" s="168"/>
      <c r="L7" s="168"/>
      <c r="M7" s="168"/>
      <c r="N7" s="168"/>
      <c r="O7" s="168"/>
    </row>
    <row r="10" spans="2:15" x14ac:dyDescent="0.3">
      <c r="C10" s="82" t="s">
        <v>39</v>
      </c>
      <c r="D10" s="16">
        <v>2450</v>
      </c>
    </row>
    <row r="12" spans="2:15" x14ac:dyDescent="0.3">
      <c r="B12" s="42" t="s">
        <v>62</v>
      </c>
      <c r="C12" s="104" t="s">
        <v>63</v>
      </c>
      <c r="D12" s="104"/>
      <c r="E12" s="16">
        <f>1/D10</f>
        <v>4.0816326530612246E-4</v>
      </c>
      <c r="F12" s="16" t="s">
        <v>100</v>
      </c>
      <c r="G12" s="16"/>
    </row>
    <row r="13" spans="2:15" x14ac:dyDescent="0.3">
      <c r="B13" s="42" t="s">
        <v>64</v>
      </c>
      <c r="C13" s="104" t="s">
        <v>65</v>
      </c>
      <c r="D13" s="104"/>
      <c r="E13" s="104"/>
      <c r="F13" s="104"/>
      <c r="G13" s="104"/>
      <c r="H13" s="104"/>
      <c r="I13" s="104"/>
      <c r="J13" s="104"/>
      <c r="K13" s="104"/>
      <c r="L13" s="104"/>
      <c r="M13" s="104"/>
    </row>
    <row r="14" spans="2:15" x14ac:dyDescent="0.3">
      <c r="C14" s="83" t="s">
        <v>66</v>
      </c>
      <c r="D14" s="21">
        <v>3</v>
      </c>
      <c r="E14" s="21" t="s">
        <v>43</v>
      </c>
    </row>
    <row r="15" spans="2:15" x14ac:dyDescent="0.3">
      <c r="C15" s="50"/>
      <c r="D15" s="16">
        <f>D14*30</f>
        <v>90</v>
      </c>
      <c r="E15" s="16" t="s">
        <v>42</v>
      </c>
    </row>
    <row r="16" spans="2:15" x14ac:dyDescent="0.3">
      <c r="C16" s="50" t="s">
        <v>67</v>
      </c>
      <c r="D16" s="16">
        <f>EXP(-E12*D15)</f>
        <v>0.96393183844611829</v>
      </c>
    </row>
    <row r="17" spans="2:8" x14ac:dyDescent="0.3">
      <c r="B17" s="42" t="s">
        <v>68</v>
      </c>
      <c r="C17" s="50" t="s">
        <v>69</v>
      </c>
      <c r="D17" s="16">
        <f>45/100</f>
        <v>0.45</v>
      </c>
    </row>
    <row r="18" spans="2:8" x14ac:dyDescent="0.3">
      <c r="C18" s="50" t="s">
        <v>70</v>
      </c>
      <c r="D18" s="16">
        <f>D10/D17</f>
        <v>5444.4444444444443</v>
      </c>
    </row>
    <row r="19" spans="2:8" x14ac:dyDescent="0.3">
      <c r="C19" s="52"/>
      <c r="D19" s="17"/>
    </row>
    <row r="20" spans="2:8" x14ac:dyDescent="0.3">
      <c r="C20" s="104" t="s">
        <v>102</v>
      </c>
      <c r="D20" s="104"/>
      <c r="E20" s="104"/>
      <c r="F20" s="104"/>
      <c r="G20" s="104"/>
      <c r="H20" s="104"/>
    </row>
  </sheetData>
  <mergeCells count="7">
    <mergeCell ref="C13:M13"/>
    <mergeCell ref="C12:D12"/>
    <mergeCell ref="C20:H20"/>
    <mergeCell ref="C3:O4"/>
    <mergeCell ref="C5:O5"/>
    <mergeCell ref="C6:O6"/>
    <mergeCell ref="C7:O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FD39-C06D-4576-9ACE-5021F3D4B434}">
  <dimension ref="B1:Q29"/>
  <sheetViews>
    <sheetView showGridLines="0" topLeftCell="A10" workbookViewId="0">
      <selection activeCell="B27" sqref="B27:C29"/>
    </sheetView>
  </sheetViews>
  <sheetFormatPr defaultColWidth="8.796875" defaultRowHeight="14.4" x14ac:dyDescent="0.3"/>
  <cols>
    <col min="1" max="1" width="2.296875" style="22" customWidth="1"/>
    <col min="2" max="2" width="14.5" style="22" customWidth="1"/>
    <col min="3" max="3" width="12.296875" style="22" bestFit="1" customWidth="1"/>
    <col min="4" max="4" width="10.19921875" style="22" bestFit="1" customWidth="1"/>
    <col min="5" max="5" width="14.69921875" style="22" customWidth="1"/>
    <col min="6" max="6" width="10" style="22" customWidth="1"/>
    <col min="7" max="16384" width="8.796875" style="22"/>
  </cols>
  <sheetData>
    <row r="1" spans="2:17" ht="18" x14ac:dyDescent="0.35">
      <c r="B1" s="84" t="s">
        <v>72</v>
      </c>
      <c r="C1" s="71"/>
      <c r="D1" s="71"/>
      <c r="E1" s="71"/>
      <c r="F1" s="71"/>
      <c r="G1" s="71"/>
      <c r="H1" s="71"/>
      <c r="I1" s="71"/>
      <c r="J1" s="71"/>
      <c r="K1" s="71"/>
      <c r="L1" s="71"/>
      <c r="M1" s="71"/>
      <c r="N1" s="71"/>
      <c r="O1" s="71"/>
    </row>
    <row r="2" spans="2:17" ht="14.7" customHeight="1" x14ac:dyDescent="0.3">
      <c r="B2" s="170" t="s">
        <v>117</v>
      </c>
      <c r="C2" s="148"/>
      <c r="D2" s="148"/>
      <c r="E2" s="148"/>
      <c r="F2" s="148"/>
      <c r="G2" s="148"/>
      <c r="H2" s="148"/>
      <c r="I2" s="148"/>
      <c r="J2" s="148"/>
      <c r="K2" s="148"/>
      <c r="L2" s="148"/>
      <c r="M2" s="148"/>
      <c r="N2" s="148"/>
      <c r="O2" s="149"/>
      <c r="P2" s="29"/>
      <c r="Q2" s="29"/>
    </row>
    <row r="3" spans="2:17" x14ac:dyDescent="0.3">
      <c r="B3" s="150"/>
      <c r="C3" s="151"/>
      <c r="D3" s="151"/>
      <c r="E3" s="151"/>
      <c r="F3" s="151"/>
      <c r="G3" s="151"/>
      <c r="H3" s="151"/>
      <c r="I3" s="151"/>
      <c r="J3" s="151"/>
      <c r="K3" s="151"/>
      <c r="L3" s="151"/>
      <c r="M3" s="151"/>
      <c r="N3" s="151"/>
      <c r="O3" s="152"/>
      <c r="P3" s="29"/>
      <c r="Q3" s="29"/>
    </row>
    <row r="4" spans="2:17" x14ac:dyDescent="0.3">
      <c r="B4" s="150"/>
      <c r="C4" s="151"/>
      <c r="D4" s="151"/>
      <c r="E4" s="151"/>
      <c r="F4" s="151"/>
      <c r="G4" s="151"/>
      <c r="H4" s="151"/>
      <c r="I4" s="151"/>
      <c r="J4" s="151"/>
      <c r="K4" s="151"/>
      <c r="L4" s="151"/>
      <c r="M4" s="151"/>
      <c r="N4" s="151"/>
      <c r="O4" s="152"/>
      <c r="P4" s="29"/>
      <c r="Q4" s="29"/>
    </row>
    <row r="5" spans="2:17" x14ac:dyDescent="0.3">
      <c r="B5" s="150"/>
      <c r="C5" s="151"/>
      <c r="D5" s="151"/>
      <c r="E5" s="151"/>
      <c r="F5" s="151"/>
      <c r="G5" s="151"/>
      <c r="H5" s="151"/>
      <c r="I5" s="151"/>
      <c r="J5" s="151"/>
      <c r="K5" s="151"/>
      <c r="L5" s="151"/>
      <c r="M5" s="151"/>
      <c r="N5" s="151"/>
      <c r="O5" s="152"/>
      <c r="P5" s="29"/>
      <c r="Q5" s="29"/>
    </row>
    <row r="6" spans="2:17" ht="14.7" customHeight="1" x14ac:dyDescent="0.3">
      <c r="B6" s="150" t="s">
        <v>116</v>
      </c>
      <c r="C6" s="151"/>
      <c r="D6" s="151"/>
      <c r="E6" s="151"/>
      <c r="F6" s="151"/>
      <c r="G6" s="151"/>
      <c r="H6" s="151"/>
      <c r="I6" s="151"/>
      <c r="J6" s="151"/>
      <c r="K6" s="151"/>
      <c r="L6" s="151"/>
      <c r="M6" s="151"/>
      <c r="N6" s="151"/>
      <c r="O6" s="152"/>
      <c r="P6" s="29"/>
      <c r="Q6" s="29"/>
    </row>
    <row r="7" spans="2:17" ht="13.95" customHeight="1" x14ac:dyDescent="0.3">
      <c r="B7" s="150" t="s">
        <v>115</v>
      </c>
      <c r="C7" s="151"/>
      <c r="D7" s="151"/>
      <c r="E7" s="151"/>
      <c r="F7" s="151"/>
      <c r="G7" s="151"/>
      <c r="H7" s="151"/>
      <c r="I7" s="151"/>
      <c r="J7" s="151"/>
      <c r="K7" s="151"/>
      <c r="L7" s="151"/>
      <c r="M7" s="151"/>
      <c r="N7" s="151"/>
      <c r="O7" s="152"/>
      <c r="P7" s="29"/>
      <c r="Q7" s="29"/>
    </row>
    <row r="8" spans="2:17" ht="13.95" customHeight="1" x14ac:dyDescent="0.3">
      <c r="B8" s="171" t="s">
        <v>114</v>
      </c>
      <c r="C8" s="154"/>
      <c r="D8" s="154"/>
      <c r="E8" s="154"/>
      <c r="F8" s="154"/>
      <c r="G8" s="154"/>
      <c r="H8" s="154"/>
      <c r="I8" s="154"/>
      <c r="J8" s="154"/>
      <c r="K8" s="154"/>
      <c r="L8" s="154"/>
      <c r="M8" s="154"/>
      <c r="N8" s="154"/>
      <c r="O8" s="155"/>
      <c r="P8" s="29"/>
      <c r="Q8" s="29"/>
    </row>
    <row r="10" spans="2:17" x14ac:dyDescent="0.3">
      <c r="B10" s="72" t="s">
        <v>85</v>
      </c>
      <c r="C10" s="27">
        <f>60/12</f>
        <v>5</v>
      </c>
      <c r="D10" s="27" t="s">
        <v>14</v>
      </c>
    </row>
    <row r="11" spans="2:17" x14ac:dyDescent="0.3">
      <c r="B11" s="73" t="s">
        <v>86</v>
      </c>
      <c r="C11" s="27">
        <v>10</v>
      </c>
      <c r="D11" s="27" t="s">
        <v>113</v>
      </c>
    </row>
    <row r="13" spans="2:17" x14ac:dyDescent="0.3">
      <c r="B13" s="74" t="s">
        <v>112</v>
      </c>
      <c r="C13" s="85" t="s">
        <v>111</v>
      </c>
      <c r="D13" s="172" t="s">
        <v>110</v>
      </c>
      <c r="E13" s="173"/>
      <c r="F13" s="173"/>
      <c r="G13" s="174"/>
    </row>
    <row r="14" spans="2:17" x14ac:dyDescent="0.3">
      <c r="B14" s="27">
        <v>1</v>
      </c>
      <c r="C14" s="27">
        <f>$C$10*B14</f>
        <v>5</v>
      </c>
      <c r="D14" s="27">
        <v>0</v>
      </c>
      <c r="E14" s="27">
        <v>1</v>
      </c>
      <c r="F14" s="27">
        <v>2</v>
      </c>
      <c r="G14" s="27">
        <v>3</v>
      </c>
    </row>
    <row r="15" spans="2:17" x14ac:dyDescent="0.3">
      <c r="B15" s="27">
        <v>2</v>
      </c>
      <c r="C15" s="27">
        <f>$C$10*B15</f>
        <v>10</v>
      </c>
      <c r="D15" s="27">
        <v>4</v>
      </c>
      <c r="E15" s="27">
        <v>5</v>
      </c>
      <c r="F15" s="27">
        <v>6</v>
      </c>
      <c r="G15" s="27"/>
    </row>
    <row r="16" spans="2:17" x14ac:dyDescent="0.3">
      <c r="B16" s="27">
        <v>3</v>
      </c>
      <c r="C16" s="27">
        <f>$C$10*B16</f>
        <v>15</v>
      </c>
      <c r="D16" s="27">
        <v>7</v>
      </c>
      <c r="E16" s="27"/>
      <c r="F16" s="27"/>
      <c r="G16" s="27"/>
    </row>
    <row r="18" spans="2:6" ht="14.7" customHeight="1" x14ac:dyDescent="0.35">
      <c r="B18" s="74" t="s">
        <v>110</v>
      </c>
      <c r="C18" s="74" t="s">
        <v>109</v>
      </c>
      <c r="D18" s="74" t="s">
        <v>108</v>
      </c>
      <c r="E18" s="85" t="s">
        <v>107</v>
      </c>
      <c r="F18" s="85" t="s">
        <v>106</v>
      </c>
    </row>
    <row r="19" spans="2:6" x14ac:dyDescent="0.3">
      <c r="B19" s="27">
        <v>1</v>
      </c>
      <c r="C19" s="27">
        <f>C11/C14</f>
        <v>2</v>
      </c>
      <c r="D19" s="24">
        <f t="shared" ref="D19:D25" si="0">C19*$D$27</f>
        <v>3.6363636363636362E-2</v>
      </c>
      <c r="E19" s="27">
        <f t="shared" ref="E19:E25" si="1">IF(B19&lt;4,2,IF(B19&gt;6,0,1))</f>
        <v>2</v>
      </c>
      <c r="F19" s="25">
        <f t="shared" ref="F19:F25" si="2">D19*E19</f>
        <v>7.2727272727272724E-2</v>
      </c>
    </row>
    <row r="20" spans="2:6" x14ac:dyDescent="0.3">
      <c r="B20" s="27">
        <v>2</v>
      </c>
      <c r="C20" s="27">
        <f>C11*C19/C14</f>
        <v>4</v>
      </c>
      <c r="D20" s="24">
        <f t="shared" si="0"/>
        <v>7.2727272727272724E-2</v>
      </c>
      <c r="E20" s="27">
        <f t="shared" si="1"/>
        <v>2</v>
      </c>
      <c r="F20" s="25">
        <f t="shared" si="2"/>
        <v>0.14545454545454545</v>
      </c>
    </row>
    <row r="21" spans="2:6" x14ac:dyDescent="0.3">
      <c r="B21" s="27">
        <v>3</v>
      </c>
      <c r="C21" s="27">
        <f>C20*C11/C14</f>
        <v>8</v>
      </c>
      <c r="D21" s="24">
        <f t="shared" si="0"/>
        <v>0.14545454545454545</v>
      </c>
      <c r="E21" s="27">
        <f t="shared" si="1"/>
        <v>2</v>
      </c>
      <c r="F21" s="25">
        <f t="shared" si="2"/>
        <v>0.29090909090909089</v>
      </c>
    </row>
    <row r="22" spans="2:6" x14ac:dyDescent="0.3">
      <c r="B22" s="27">
        <v>4</v>
      </c>
      <c r="C22" s="27">
        <f>C21*C11/C15</f>
        <v>8</v>
      </c>
      <c r="D22" s="24">
        <f t="shared" si="0"/>
        <v>0.14545454545454545</v>
      </c>
      <c r="E22" s="27">
        <f t="shared" si="1"/>
        <v>1</v>
      </c>
      <c r="F22" s="25">
        <f t="shared" si="2"/>
        <v>0.14545454545454545</v>
      </c>
    </row>
    <row r="23" spans="2:6" x14ac:dyDescent="0.3">
      <c r="B23" s="27">
        <v>5</v>
      </c>
      <c r="C23" s="27">
        <f>C22*C11/C15</f>
        <v>8</v>
      </c>
      <c r="D23" s="24">
        <f t="shared" si="0"/>
        <v>0.14545454545454545</v>
      </c>
      <c r="E23" s="27">
        <f t="shared" si="1"/>
        <v>1</v>
      </c>
      <c r="F23" s="25">
        <f t="shared" si="2"/>
        <v>0.14545454545454545</v>
      </c>
    </row>
    <row r="24" spans="2:6" x14ac:dyDescent="0.3">
      <c r="B24" s="27">
        <v>6</v>
      </c>
      <c r="C24" s="27">
        <f>C23*C11/C15</f>
        <v>8</v>
      </c>
      <c r="D24" s="24">
        <f t="shared" si="0"/>
        <v>0.14545454545454545</v>
      </c>
      <c r="E24" s="27">
        <f t="shared" si="1"/>
        <v>1</v>
      </c>
      <c r="F24" s="25">
        <f t="shared" si="2"/>
        <v>0.14545454545454545</v>
      </c>
    </row>
    <row r="25" spans="2:6" x14ac:dyDescent="0.3">
      <c r="B25" s="43" t="s">
        <v>105</v>
      </c>
      <c r="C25" s="27">
        <f>C24*C11/C16*(1/(1-C11/C16))</f>
        <v>15.999999999999996</v>
      </c>
      <c r="D25" s="24">
        <f t="shared" si="0"/>
        <v>0.29090909090909084</v>
      </c>
      <c r="E25" s="27">
        <f t="shared" si="1"/>
        <v>0</v>
      </c>
      <c r="F25" s="23">
        <f t="shared" si="2"/>
        <v>0</v>
      </c>
    </row>
    <row r="26" spans="2:6" x14ac:dyDescent="0.3">
      <c r="D26" s="26"/>
      <c r="F26" s="25">
        <f>1-SUM(F19:F25)</f>
        <v>5.4545454545454453E-2</v>
      </c>
    </row>
    <row r="27" spans="2:6" ht="15.6" x14ac:dyDescent="0.35">
      <c r="B27" s="175" t="s">
        <v>3</v>
      </c>
      <c r="C27" s="175"/>
      <c r="D27" s="24">
        <f>1/(SUM(C19:C25) + 1)</f>
        <v>1.8181818181818181E-2</v>
      </c>
    </row>
    <row r="28" spans="2:6" x14ac:dyDescent="0.3">
      <c r="B28" s="169" t="s">
        <v>104</v>
      </c>
      <c r="C28" s="169"/>
      <c r="D28" s="23">
        <f>AVERAGE(E19:E25)</f>
        <v>1.2857142857142858</v>
      </c>
    </row>
    <row r="29" spans="2:6" x14ac:dyDescent="0.3">
      <c r="B29" s="169" t="s">
        <v>103</v>
      </c>
      <c r="C29" s="169"/>
      <c r="D29" s="23">
        <f>3-D28</f>
        <v>1.7142857142857142</v>
      </c>
    </row>
  </sheetData>
  <mergeCells count="8">
    <mergeCell ref="B28:C28"/>
    <mergeCell ref="B29:C29"/>
    <mergeCell ref="B2:O5"/>
    <mergeCell ref="B6:O6"/>
    <mergeCell ref="B7:O7"/>
    <mergeCell ref="B8:O8"/>
    <mergeCell ref="D13:G13"/>
    <mergeCell ref="B27:C2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2B7D-F7C3-4676-A2EE-3B63EFB898B1}">
  <dimension ref="B1:Q21"/>
  <sheetViews>
    <sheetView showGridLines="0" workbookViewId="0">
      <selection activeCell="B19" sqref="B19:I19"/>
    </sheetView>
  </sheetViews>
  <sheetFormatPr defaultColWidth="8.796875" defaultRowHeight="14.4" x14ac:dyDescent="0.3"/>
  <cols>
    <col min="1" max="1" width="2.296875" style="32" customWidth="1"/>
    <col min="2" max="2" width="8.796875" style="32" customWidth="1"/>
    <col min="3" max="3" width="8.796875" style="33" customWidth="1"/>
    <col min="4" max="4" width="8.796875" style="32" customWidth="1"/>
    <col min="5" max="5" width="9" style="32" customWidth="1"/>
    <col min="6" max="6" width="8.796875" style="32" customWidth="1"/>
    <col min="7" max="16384" width="8.796875" style="32"/>
  </cols>
  <sheetData>
    <row r="1" spans="2:17" ht="18" x14ac:dyDescent="0.35">
      <c r="B1" s="86" t="s">
        <v>130</v>
      </c>
      <c r="C1" s="87"/>
      <c r="D1" s="88"/>
      <c r="E1" s="88"/>
      <c r="F1" s="88"/>
      <c r="G1" s="88"/>
      <c r="H1" s="88"/>
      <c r="I1" s="88"/>
      <c r="J1" s="88"/>
      <c r="K1" s="88"/>
      <c r="L1" s="88"/>
      <c r="M1" s="88"/>
      <c r="N1" s="88"/>
      <c r="O1" s="88"/>
    </row>
    <row r="2" spans="2:17" ht="14.7" customHeight="1" x14ac:dyDescent="0.3">
      <c r="B2" s="176" t="s">
        <v>140</v>
      </c>
      <c r="C2" s="177"/>
      <c r="D2" s="177"/>
      <c r="E2" s="177"/>
      <c r="F2" s="177"/>
      <c r="G2" s="177"/>
      <c r="H2" s="177"/>
      <c r="I2" s="177"/>
      <c r="J2" s="177"/>
      <c r="K2" s="177"/>
      <c r="L2" s="177"/>
      <c r="M2" s="177"/>
      <c r="N2" s="177"/>
      <c r="O2" s="178"/>
      <c r="P2" s="36"/>
      <c r="Q2" s="36"/>
    </row>
    <row r="3" spans="2:17" x14ac:dyDescent="0.3">
      <c r="B3" s="179"/>
      <c r="C3" s="180"/>
      <c r="D3" s="180"/>
      <c r="E3" s="180"/>
      <c r="F3" s="180"/>
      <c r="G3" s="180"/>
      <c r="H3" s="180"/>
      <c r="I3" s="180"/>
      <c r="J3" s="180"/>
      <c r="K3" s="180"/>
      <c r="L3" s="180"/>
      <c r="M3" s="180"/>
      <c r="N3" s="180"/>
      <c r="O3" s="181"/>
      <c r="P3" s="36"/>
      <c r="Q3" s="36"/>
    </row>
    <row r="5" spans="2:17" x14ac:dyDescent="0.3">
      <c r="B5" s="91" t="s">
        <v>8</v>
      </c>
      <c r="C5" s="35">
        <f>1/20</f>
        <v>0.05</v>
      </c>
      <c r="D5" s="34" t="s">
        <v>6</v>
      </c>
    </row>
    <row r="6" spans="2:17" x14ac:dyDescent="0.3">
      <c r="B6" s="92" t="s">
        <v>7</v>
      </c>
      <c r="C6" s="35">
        <f>12/60</f>
        <v>0.2</v>
      </c>
      <c r="D6" s="34" t="s">
        <v>6</v>
      </c>
    </row>
    <row r="7" spans="2:17" x14ac:dyDescent="0.3">
      <c r="B7" s="92" t="s">
        <v>5</v>
      </c>
      <c r="C7" s="35">
        <f>C6/C5</f>
        <v>4</v>
      </c>
      <c r="D7" s="34"/>
    </row>
    <row r="8" spans="2:17" ht="15.6" x14ac:dyDescent="0.35">
      <c r="B8" s="182" t="s">
        <v>108</v>
      </c>
      <c r="C8" s="183"/>
      <c r="D8" s="184"/>
    </row>
    <row r="9" spans="2:17" x14ac:dyDescent="0.3">
      <c r="B9" s="89">
        <v>0</v>
      </c>
      <c r="C9" s="35">
        <f>EXP(-$C$7)</f>
        <v>1.8315638888734179E-2</v>
      </c>
      <c r="D9" s="34"/>
    </row>
    <row r="10" spans="2:17" x14ac:dyDescent="0.3">
      <c r="B10" s="90">
        <v>1</v>
      </c>
      <c r="C10" s="35">
        <f t="shared" ref="C10:C16" si="0">($C$9*$C$7^B10)/FACT(B10)</f>
        <v>7.3262555554936715E-2</v>
      </c>
      <c r="D10" s="34"/>
    </row>
    <row r="11" spans="2:17" x14ac:dyDescent="0.3">
      <c r="B11" s="90">
        <v>2</v>
      </c>
      <c r="C11" s="35">
        <f t="shared" si="0"/>
        <v>0.14652511110987343</v>
      </c>
      <c r="D11" s="34"/>
    </row>
    <row r="12" spans="2:17" x14ac:dyDescent="0.3">
      <c r="B12" s="89">
        <v>3</v>
      </c>
      <c r="C12" s="35">
        <f t="shared" si="0"/>
        <v>0.19536681481316456</v>
      </c>
      <c r="D12" s="34"/>
    </row>
    <row r="13" spans="2:17" x14ac:dyDescent="0.3">
      <c r="B13" s="90">
        <v>4</v>
      </c>
      <c r="C13" s="35">
        <f t="shared" si="0"/>
        <v>0.19536681481316456</v>
      </c>
      <c r="D13" s="34"/>
    </row>
    <row r="14" spans="2:17" x14ac:dyDescent="0.3">
      <c r="B14" s="89">
        <v>5</v>
      </c>
      <c r="C14" s="35">
        <f t="shared" si="0"/>
        <v>0.15629345185053165</v>
      </c>
      <c r="D14" s="34"/>
    </row>
    <row r="15" spans="2:17" x14ac:dyDescent="0.3">
      <c r="B15" s="90">
        <v>6</v>
      </c>
      <c r="C15" s="35">
        <f t="shared" si="0"/>
        <v>0.10419563456702111</v>
      </c>
      <c r="D15" s="34"/>
    </row>
    <row r="16" spans="2:17" x14ac:dyDescent="0.3">
      <c r="B16" s="90">
        <v>7</v>
      </c>
      <c r="C16" s="35">
        <f t="shared" si="0"/>
        <v>5.9540362609726345E-2</v>
      </c>
      <c r="D16" s="34"/>
    </row>
    <row r="17" spans="2:9" x14ac:dyDescent="0.3">
      <c r="B17" s="90" t="s">
        <v>129</v>
      </c>
      <c r="C17" s="35">
        <f>SUM(C9:C16)</f>
        <v>0.94886638420715252</v>
      </c>
      <c r="D17" s="34"/>
    </row>
    <row r="19" spans="2:9" x14ac:dyDescent="0.3">
      <c r="B19" s="185" t="s">
        <v>128</v>
      </c>
      <c r="C19" s="185"/>
      <c r="D19" s="185"/>
      <c r="E19" s="185"/>
      <c r="F19" s="185"/>
      <c r="G19" s="185"/>
      <c r="H19" s="185"/>
      <c r="I19" s="185"/>
    </row>
    <row r="20" spans="2:9" ht="13.95" customHeight="1" x14ac:dyDescent="0.3"/>
    <row r="21" spans="2:9" ht="13.95" customHeight="1" x14ac:dyDescent="0.3"/>
  </sheetData>
  <mergeCells count="3">
    <mergeCell ref="B2:O3"/>
    <mergeCell ref="B8:D8"/>
    <mergeCell ref="B19:I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C75D0-25DB-4692-88F5-AE348009CDEE}">
  <dimension ref="A3:Q26"/>
  <sheetViews>
    <sheetView tabSelected="1" zoomScale="91" workbookViewId="0">
      <selection activeCell="B13" sqref="B13"/>
    </sheetView>
  </sheetViews>
  <sheetFormatPr defaultColWidth="8.796875" defaultRowHeight="15.6" x14ac:dyDescent="0.3"/>
  <cols>
    <col min="1" max="1" width="8.796875" style="15"/>
    <col min="2" max="2" width="13.69921875" style="15" customWidth="1"/>
    <col min="3" max="16384" width="8.796875" style="15"/>
  </cols>
  <sheetData>
    <row r="3" spans="1:17" x14ac:dyDescent="0.3">
      <c r="B3" s="106" t="s">
        <v>139</v>
      </c>
      <c r="C3" s="107"/>
      <c r="D3" s="107"/>
      <c r="E3" s="107"/>
      <c r="F3" s="107"/>
      <c r="G3" s="107"/>
      <c r="H3" s="107"/>
      <c r="I3" s="107"/>
      <c r="J3" s="107"/>
      <c r="K3" s="107"/>
      <c r="L3" s="107"/>
      <c r="M3" s="107"/>
      <c r="N3" s="107"/>
      <c r="O3" s="107"/>
      <c r="P3" s="107"/>
      <c r="Q3" s="107"/>
    </row>
    <row r="4" spans="1:17" x14ac:dyDescent="0.3">
      <c r="B4" s="107"/>
      <c r="C4" s="107"/>
      <c r="D4" s="107"/>
      <c r="E4" s="107"/>
      <c r="F4" s="107"/>
      <c r="G4" s="107"/>
      <c r="H4" s="107"/>
      <c r="I4" s="107"/>
      <c r="J4" s="107"/>
      <c r="K4" s="107"/>
      <c r="L4" s="107"/>
      <c r="M4" s="107"/>
      <c r="N4" s="107"/>
      <c r="O4" s="107"/>
      <c r="P4" s="107"/>
      <c r="Q4" s="107"/>
    </row>
    <row r="5" spans="1:17" x14ac:dyDescent="0.3">
      <c r="B5" s="107"/>
      <c r="C5" s="107"/>
      <c r="D5" s="107"/>
      <c r="E5" s="107"/>
      <c r="F5" s="107"/>
      <c r="G5" s="107"/>
      <c r="H5" s="107"/>
      <c r="I5" s="107"/>
      <c r="J5" s="107"/>
      <c r="K5" s="107"/>
      <c r="L5" s="107"/>
      <c r="M5" s="107"/>
      <c r="N5" s="107"/>
      <c r="O5" s="107"/>
      <c r="P5" s="107"/>
      <c r="Q5" s="107"/>
    </row>
    <row r="6" spans="1:17" x14ac:dyDescent="0.3">
      <c r="B6" s="107"/>
      <c r="C6" s="107"/>
      <c r="D6" s="107"/>
      <c r="E6" s="107"/>
      <c r="F6" s="107"/>
      <c r="G6" s="107"/>
      <c r="H6" s="107"/>
      <c r="I6" s="107"/>
      <c r="J6" s="107"/>
      <c r="K6" s="107"/>
      <c r="L6" s="107"/>
      <c r="M6" s="107"/>
      <c r="N6" s="107"/>
      <c r="O6" s="107"/>
      <c r="P6" s="107"/>
      <c r="Q6" s="107"/>
    </row>
    <row r="7" spans="1:17" x14ac:dyDescent="0.3">
      <c r="B7" s="107" t="s">
        <v>80</v>
      </c>
      <c r="C7" s="107"/>
      <c r="D7" s="107"/>
      <c r="E7" s="107"/>
      <c r="F7" s="107"/>
      <c r="G7" s="107"/>
      <c r="H7" s="107"/>
      <c r="I7" s="107"/>
      <c r="J7" s="107"/>
      <c r="K7" s="107"/>
      <c r="L7" s="107"/>
      <c r="M7" s="107"/>
      <c r="N7" s="107"/>
      <c r="O7" s="107"/>
      <c r="P7" s="107"/>
      <c r="Q7" s="107"/>
    </row>
    <row r="10" spans="1:17" x14ac:dyDescent="0.3">
      <c r="B10" s="108" t="s">
        <v>73</v>
      </c>
      <c r="C10" s="109"/>
      <c r="D10" s="109"/>
      <c r="E10" s="110"/>
    </row>
    <row r="11" spans="1:17" x14ac:dyDescent="0.3">
      <c r="B11" s="50" t="s">
        <v>86</v>
      </c>
      <c r="C11" s="16">
        <f>96/(24*60)</f>
        <v>6.6666666666666666E-2</v>
      </c>
      <c r="D11" s="16" t="s">
        <v>74</v>
      </c>
      <c r="E11" s="16"/>
    </row>
    <row r="12" spans="1:17" x14ac:dyDescent="0.3">
      <c r="B12" s="50" t="s">
        <v>85</v>
      </c>
      <c r="C12" s="16">
        <f>1/10</f>
        <v>0.1</v>
      </c>
      <c r="D12" s="16" t="s">
        <v>74</v>
      </c>
      <c r="E12" s="16"/>
    </row>
    <row r="13" spans="1:17" x14ac:dyDescent="0.3">
      <c r="B13" s="50" t="s">
        <v>5</v>
      </c>
      <c r="C13" s="16">
        <f>C11/C12</f>
        <v>0.66666666666666663</v>
      </c>
      <c r="D13" s="16"/>
      <c r="E13" s="16"/>
    </row>
    <row r="15" spans="1:17" x14ac:dyDescent="0.3">
      <c r="B15" s="111" t="s">
        <v>75</v>
      </c>
      <c r="C15" s="112"/>
      <c r="D15" s="112"/>
      <c r="E15" s="113"/>
      <c r="G15" s="39"/>
      <c r="L15" s="44"/>
    </row>
    <row r="16" spans="1:17" x14ac:dyDescent="0.3">
      <c r="A16" s="45">
        <v>1</v>
      </c>
      <c r="B16" s="50" t="s">
        <v>77</v>
      </c>
      <c r="C16" s="16">
        <f>(C13)^2/(1-C13)</f>
        <v>1.333333333333333</v>
      </c>
      <c r="D16" s="16"/>
      <c r="E16" s="16"/>
      <c r="I16" s="39"/>
    </row>
    <row r="17" spans="1:12" x14ac:dyDescent="0.3">
      <c r="A17" s="45">
        <v>2</v>
      </c>
      <c r="B17" s="111" t="s">
        <v>78</v>
      </c>
      <c r="C17" s="112"/>
      <c r="D17" s="112"/>
      <c r="E17" s="113"/>
    </row>
    <row r="18" spans="1:12" ht="16.2" x14ac:dyDescent="0.35">
      <c r="A18" s="45"/>
      <c r="B18" s="51" t="s">
        <v>79</v>
      </c>
      <c r="C18" s="17">
        <f>1-C13</f>
        <v>0.33333333333333337</v>
      </c>
      <c r="D18" s="17"/>
      <c r="E18" s="17"/>
    </row>
    <row r="19" spans="1:12" x14ac:dyDescent="0.3">
      <c r="A19" s="45">
        <v>3</v>
      </c>
      <c r="B19" s="111" t="s">
        <v>81</v>
      </c>
      <c r="C19" s="112"/>
      <c r="D19" s="112"/>
      <c r="E19" s="112"/>
      <c r="F19" s="112"/>
      <c r="G19" s="112"/>
      <c r="H19" s="112"/>
      <c r="I19" s="112"/>
      <c r="J19" s="113"/>
    </row>
    <row r="20" spans="1:12" x14ac:dyDescent="0.3">
      <c r="B20" s="52" t="s">
        <v>82</v>
      </c>
    </row>
    <row r="21" spans="1:12" x14ac:dyDescent="0.3">
      <c r="B21" s="50" t="s">
        <v>76</v>
      </c>
      <c r="C21" s="16">
        <f>1/2</f>
        <v>0.5</v>
      </c>
    </row>
    <row r="22" spans="1:12" x14ac:dyDescent="0.3">
      <c r="B22" s="50" t="s">
        <v>8</v>
      </c>
      <c r="C22" s="16">
        <f>2/15</f>
        <v>0.13333333333333333</v>
      </c>
      <c r="D22" s="16" t="s">
        <v>141</v>
      </c>
      <c r="E22" s="16">
        <f>1/C22</f>
        <v>7.5</v>
      </c>
    </row>
    <row r="24" spans="1:12" x14ac:dyDescent="0.3">
      <c r="B24" s="104" t="s">
        <v>142</v>
      </c>
      <c r="C24" s="104"/>
      <c r="D24" s="104"/>
      <c r="E24" s="104"/>
      <c r="F24" s="104"/>
      <c r="G24" s="16">
        <f>1/C22</f>
        <v>7.5</v>
      </c>
      <c r="H24" s="103" t="s">
        <v>143</v>
      </c>
      <c r="I24" s="103"/>
      <c r="J24" s="103"/>
      <c r="K24" s="103"/>
      <c r="L24" s="103"/>
    </row>
    <row r="25" spans="1:12" x14ac:dyDescent="0.3">
      <c r="H25" s="103"/>
      <c r="I25" s="103"/>
      <c r="J25" s="103"/>
      <c r="K25" s="103"/>
      <c r="L25" s="103"/>
    </row>
    <row r="26" spans="1:12" x14ac:dyDescent="0.3">
      <c r="B26" s="105" t="s">
        <v>144</v>
      </c>
      <c r="C26" s="105"/>
      <c r="D26" s="16">
        <f>100+2.5*10</f>
        <v>125</v>
      </c>
      <c r="E26" s="46" t="s">
        <v>145</v>
      </c>
      <c r="F26" s="46"/>
    </row>
  </sheetData>
  <mergeCells count="9">
    <mergeCell ref="H24:L25"/>
    <mergeCell ref="B24:F24"/>
    <mergeCell ref="B26:C26"/>
    <mergeCell ref="B3:Q6"/>
    <mergeCell ref="B7:Q7"/>
    <mergeCell ref="B10:E10"/>
    <mergeCell ref="B15:E15"/>
    <mergeCell ref="B19:J19"/>
    <mergeCell ref="B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7BB0-6F9F-47B0-A862-6F9F1D6EE2A1}">
  <dimension ref="B1:Q23"/>
  <sheetViews>
    <sheetView showGridLines="0" workbookViewId="0">
      <selection activeCell="D18" sqref="D18"/>
    </sheetView>
  </sheetViews>
  <sheetFormatPr defaultColWidth="8.796875" defaultRowHeight="14.4" x14ac:dyDescent="0.3"/>
  <cols>
    <col min="1" max="1" width="2.296875" style="1" customWidth="1"/>
    <col min="2" max="2" width="8.796875" style="8" customWidth="1"/>
    <col min="3" max="3" width="12.59765625" style="1" customWidth="1"/>
    <col min="4" max="6" width="8.796875" style="1"/>
    <col min="7" max="7" width="12" style="1" customWidth="1"/>
    <col min="8" max="16384" width="8.796875" style="1"/>
  </cols>
  <sheetData>
    <row r="1" spans="2:17" x14ac:dyDescent="0.3">
      <c r="B1" s="53" t="s">
        <v>146</v>
      </c>
    </row>
    <row r="2" spans="2:17" s="4" customFormat="1" ht="14.7" customHeight="1" x14ac:dyDescent="0.3">
      <c r="B2" s="117" t="s">
        <v>30</v>
      </c>
      <c r="C2" s="118"/>
      <c r="D2" s="118"/>
      <c r="E2" s="118"/>
      <c r="F2" s="118"/>
      <c r="G2" s="118"/>
      <c r="H2" s="118"/>
      <c r="I2" s="118"/>
      <c r="J2" s="118"/>
      <c r="K2" s="118"/>
      <c r="L2" s="118"/>
      <c r="M2" s="118"/>
      <c r="N2" s="118"/>
      <c r="O2" s="119"/>
      <c r="P2" s="5"/>
      <c r="Q2" s="5"/>
    </row>
    <row r="3" spans="2:17" s="4" customFormat="1" ht="14.7" customHeight="1" x14ac:dyDescent="0.3">
      <c r="B3" s="120"/>
      <c r="C3" s="121"/>
      <c r="D3" s="121"/>
      <c r="E3" s="121"/>
      <c r="F3" s="121"/>
      <c r="G3" s="121"/>
      <c r="H3" s="121"/>
      <c r="I3" s="121"/>
      <c r="J3" s="121"/>
      <c r="K3" s="121"/>
      <c r="L3" s="121"/>
      <c r="M3" s="121"/>
      <c r="N3" s="121"/>
      <c r="O3" s="122"/>
      <c r="P3" s="5"/>
      <c r="Q3" s="5"/>
    </row>
    <row r="4" spans="2:17" s="4" customFormat="1" x14ac:dyDescent="0.3">
      <c r="B4" s="123"/>
      <c r="C4" s="121"/>
      <c r="D4" s="121"/>
      <c r="E4" s="121"/>
      <c r="F4" s="121"/>
      <c r="G4" s="121"/>
      <c r="H4" s="121"/>
      <c r="I4" s="121"/>
      <c r="J4" s="121"/>
      <c r="K4" s="121"/>
      <c r="L4" s="121"/>
      <c r="M4" s="121"/>
      <c r="N4" s="121"/>
      <c r="O4" s="122"/>
      <c r="P4" s="5"/>
      <c r="Q4" s="5"/>
    </row>
    <row r="5" spans="2:17" s="4" customFormat="1" x14ac:dyDescent="0.3">
      <c r="B5" s="120" t="s">
        <v>31</v>
      </c>
      <c r="C5" s="121"/>
      <c r="D5" s="121"/>
      <c r="E5" s="121"/>
      <c r="F5" s="121"/>
      <c r="G5" s="121"/>
      <c r="H5" s="121"/>
      <c r="I5" s="121"/>
      <c r="J5" s="121"/>
      <c r="K5" s="121"/>
      <c r="L5" s="121"/>
      <c r="M5" s="121"/>
      <c r="N5" s="121"/>
      <c r="O5" s="122"/>
      <c r="P5" s="5"/>
      <c r="Q5" s="5"/>
    </row>
    <row r="6" spans="2:17" s="4" customFormat="1" ht="14.7" customHeight="1" x14ac:dyDescent="0.3">
      <c r="B6" s="124" t="s">
        <v>32</v>
      </c>
      <c r="C6" s="125"/>
      <c r="D6" s="125"/>
      <c r="E6" s="125"/>
      <c r="F6" s="125"/>
      <c r="G6" s="125"/>
      <c r="H6" s="125"/>
      <c r="I6" s="125"/>
      <c r="J6" s="125"/>
      <c r="K6" s="125"/>
      <c r="L6" s="125"/>
      <c r="M6" s="125"/>
      <c r="N6" s="125"/>
      <c r="O6" s="126"/>
      <c r="P6" s="5"/>
      <c r="Q6" s="5"/>
    </row>
    <row r="8" spans="2:17" x14ac:dyDescent="0.3">
      <c r="B8" s="8" t="s">
        <v>1</v>
      </c>
      <c r="C8" s="54" t="s">
        <v>29</v>
      </c>
      <c r="D8" s="9" t="s">
        <v>28</v>
      </c>
      <c r="E8" s="7"/>
      <c r="G8" s="54" t="s">
        <v>27</v>
      </c>
      <c r="H8" s="9" t="s">
        <v>26</v>
      </c>
      <c r="I8" s="7"/>
    </row>
    <row r="9" spans="2:17" x14ac:dyDescent="0.3">
      <c r="C9" s="55" t="s">
        <v>85</v>
      </c>
      <c r="D9" s="3">
        <f>60/6</f>
        <v>10</v>
      </c>
      <c r="E9" s="7" t="s">
        <v>14</v>
      </c>
      <c r="G9" s="55" t="s">
        <v>85</v>
      </c>
      <c r="H9" s="3">
        <v>10</v>
      </c>
      <c r="I9" s="7" t="s">
        <v>14</v>
      </c>
    </row>
    <row r="10" spans="2:17" x14ac:dyDescent="0.3">
      <c r="C10" s="56" t="s">
        <v>86</v>
      </c>
      <c r="D10" s="3">
        <v>8</v>
      </c>
      <c r="E10" s="7" t="s">
        <v>14</v>
      </c>
      <c r="G10" s="56" t="s">
        <v>86</v>
      </c>
      <c r="H10" s="3">
        <v>5</v>
      </c>
      <c r="I10" s="7" t="s">
        <v>14</v>
      </c>
    </row>
    <row r="11" spans="2:17" x14ac:dyDescent="0.3">
      <c r="C11" s="55" t="s">
        <v>5</v>
      </c>
      <c r="D11" s="3">
        <f>D10/D9</f>
        <v>0.8</v>
      </c>
      <c r="E11" s="7"/>
      <c r="G11" s="55" t="s">
        <v>5</v>
      </c>
      <c r="H11" s="3">
        <f>H10/H9</f>
        <v>0.5</v>
      </c>
      <c r="I11" s="7"/>
    </row>
    <row r="12" spans="2:17" x14ac:dyDescent="0.3">
      <c r="C12" s="57" t="s">
        <v>34</v>
      </c>
      <c r="D12" s="3">
        <f>D11*(1/(D9-D10))</f>
        <v>0.4</v>
      </c>
      <c r="E12" s="7" t="s">
        <v>24</v>
      </c>
      <c r="G12" s="57" t="s">
        <v>34</v>
      </c>
      <c r="H12" s="3">
        <f>H11*(1/(H9-H10))</f>
        <v>0.1</v>
      </c>
      <c r="I12" s="7" t="s">
        <v>24</v>
      </c>
    </row>
    <row r="13" spans="2:17" x14ac:dyDescent="0.3">
      <c r="C13" s="55"/>
      <c r="D13" s="3">
        <f>D12*60</f>
        <v>24</v>
      </c>
      <c r="E13" s="7" t="s">
        <v>35</v>
      </c>
      <c r="G13" s="55"/>
      <c r="H13" s="3">
        <f>H12*60</f>
        <v>6</v>
      </c>
      <c r="I13" s="7" t="s">
        <v>35</v>
      </c>
    </row>
    <row r="15" spans="2:17" x14ac:dyDescent="0.3">
      <c r="B15" s="8" t="s">
        <v>0</v>
      </c>
      <c r="C15" s="55" t="s">
        <v>87</v>
      </c>
      <c r="D15" s="3">
        <v>2</v>
      </c>
      <c r="E15" s="7"/>
    </row>
    <row r="16" spans="2:17" x14ac:dyDescent="0.3">
      <c r="C16" s="56" t="s">
        <v>86</v>
      </c>
      <c r="D16" s="3">
        <f>D10+H10</f>
        <v>13</v>
      </c>
      <c r="E16" s="7" t="s">
        <v>14</v>
      </c>
    </row>
    <row r="17" spans="3:8" x14ac:dyDescent="0.3">
      <c r="C17" s="55" t="s">
        <v>85</v>
      </c>
      <c r="D17" s="3">
        <v>10</v>
      </c>
      <c r="E17" s="7" t="s">
        <v>14</v>
      </c>
    </row>
    <row r="18" spans="3:8" x14ac:dyDescent="0.3">
      <c r="C18" s="55" t="s">
        <v>5</v>
      </c>
      <c r="D18" s="3">
        <f>D16/(D17*D15)</f>
        <v>0.65</v>
      </c>
      <c r="E18" s="7"/>
      <c r="H18" s="1" t="s">
        <v>25</v>
      </c>
    </row>
    <row r="19" spans="3:8" x14ac:dyDescent="0.3">
      <c r="C19" s="114" t="s">
        <v>33</v>
      </c>
      <c r="D19" s="115"/>
      <c r="E19" s="116"/>
    </row>
    <row r="20" spans="3:8" ht="15.6" x14ac:dyDescent="0.35">
      <c r="C20" s="55" t="s">
        <v>71</v>
      </c>
      <c r="D20" s="47"/>
    </row>
    <row r="21" spans="3:8" ht="15.6" x14ac:dyDescent="0.35">
      <c r="C21" s="55" t="s">
        <v>3</v>
      </c>
      <c r="D21" s="3">
        <f>(2*D17-D16)/(2*D17+D16)</f>
        <v>0.21212121212121213</v>
      </c>
      <c r="E21" s="7"/>
    </row>
    <row r="22" spans="3:8" x14ac:dyDescent="0.3">
      <c r="C22" s="57" t="s">
        <v>34</v>
      </c>
      <c r="D22" s="3">
        <f>(D17*(D16/D17)^D15)/(FACT(D15-1)*(D15*D17-D16)^2)*D21</f>
        <v>7.3160173160173161E-2</v>
      </c>
      <c r="E22" s="7" t="s">
        <v>24</v>
      </c>
    </row>
    <row r="23" spans="3:8" x14ac:dyDescent="0.3">
      <c r="C23" s="55"/>
      <c r="D23" s="3">
        <f>D22*60</f>
        <v>4.3896103896103895</v>
      </c>
      <c r="E23" s="7" t="s">
        <v>35</v>
      </c>
    </row>
  </sheetData>
  <mergeCells count="4">
    <mergeCell ref="C19:E19"/>
    <mergeCell ref="B2:O4"/>
    <mergeCell ref="B5:O5"/>
    <mergeCell ref="B6:O6"/>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F82F-F85A-8442-B46C-EA00AE58576F}">
  <dimension ref="B1:Q18"/>
  <sheetViews>
    <sheetView showGridLines="0" workbookViewId="0">
      <selection activeCell="C18" sqref="C18"/>
    </sheetView>
  </sheetViews>
  <sheetFormatPr defaultColWidth="8.796875" defaultRowHeight="14.4" x14ac:dyDescent="0.3"/>
  <cols>
    <col min="1" max="1" width="2.296875" style="1" customWidth="1"/>
    <col min="2" max="2" width="16" style="1" customWidth="1"/>
    <col min="3" max="16384" width="8.796875" style="1"/>
  </cols>
  <sheetData>
    <row r="1" spans="2:17" x14ac:dyDescent="0.3">
      <c r="B1" s="58" t="s">
        <v>147</v>
      </c>
    </row>
    <row r="2" spans="2:17" s="4" customFormat="1" ht="14.7" customHeight="1" x14ac:dyDescent="0.3">
      <c r="B2" s="129" t="s">
        <v>13</v>
      </c>
      <c r="C2" s="118"/>
      <c r="D2" s="118"/>
      <c r="E2" s="118"/>
      <c r="F2" s="118"/>
      <c r="G2" s="118"/>
      <c r="H2" s="118"/>
      <c r="I2" s="118"/>
      <c r="J2" s="118"/>
      <c r="K2" s="118"/>
      <c r="L2" s="118"/>
      <c r="M2" s="118"/>
      <c r="N2" s="118"/>
      <c r="O2" s="119"/>
      <c r="P2" s="5"/>
      <c r="Q2" s="5"/>
    </row>
    <row r="3" spans="2:17" s="4" customFormat="1" x14ac:dyDescent="0.3">
      <c r="B3" s="123"/>
      <c r="C3" s="121"/>
      <c r="D3" s="121"/>
      <c r="E3" s="121"/>
      <c r="F3" s="121"/>
      <c r="G3" s="121"/>
      <c r="H3" s="121"/>
      <c r="I3" s="121"/>
      <c r="J3" s="121"/>
      <c r="K3" s="121"/>
      <c r="L3" s="121"/>
      <c r="M3" s="121"/>
      <c r="N3" s="121"/>
      <c r="O3" s="122"/>
      <c r="P3" s="5"/>
      <c r="Q3" s="5"/>
    </row>
    <row r="4" spans="2:17" s="4" customFormat="1" x14ac:dyDescent="0.3">
      <c r="B4" s="130" t="s">
        <v>12</v>
      </c>
      <c r="C4" s="121"/>
      <c r="D4" s="121"/>
      <c r="E4" s="121"/>
      <c r="F4" s="121"/>
      <c r="G4" s="121"/>
      <c r="H4" s="121"/>
      <c r="I4" s="121"/>
      <c r="J4" s="121"/>
      <c r="K4" s="121"/>
      <c r="L4" s="121"/>
      <c r="M4" s="121"/>
      <c r="N4" s="121"/>
      <c r="O4" s="122"/>
      <c r="P4" s="5"/>
      <c r="Q4" s="5"/>
    </row>
    <row r="5" spans="2:17" s="4" customFormat="1" ht="14.7" customHeight="1" x14ac:dyDescent="0.3">
      <c r="B5" s="130" t="s">
        <v>11</v>
      </c>
      <c r="C5" s="121"/>
      <c r="D5" s="121"/>
      <c r="E5" s="121"/>
      <c r="F5" s="121"/>
      <c r="G5" s="121"/>
      <c r="H5" s="121"/>
      <c r="I5" s="121"/>
      <c r="J5" s="121"/>
      <c r="K5" s="121"/>
      <c r="L5" s="121"/>
      <c r="M5" s="121"/>
      <c r="N5" s="121"/>
      <c r="O5" s="122"/>
      <c r="P5" s="5"/>
      <c r="Q5" s="5"/>
    </row>
    <row r="6" spans="2:17" s="4" customFormat="1" ht="13.95" customHeight="1" x14ac:dyDescent="0.3">
      <c r="B6" s="131" t="s">
        <v>10</v>
      </c>
      <c r="C6" s="125"/>
      <c r="D6" s="125"/>
      <c r="E6" s="125"/>
      <c r="F6" s="125"/>
      <c r="G6" s="125"/>
      <c r="H6" s="125"/>
      <c r="I6" s="125"/>
      <c r="J6" s="125"/>
      <c r="K6" s="125"/>
      <c r="L6" s="125"/>
      <c r="M6" s="125"/>
      <c r="N6" s="125"/>
      <c r="O6" s="126"/>
      <c r="P6" s="5"/>
      <c r="Q6" s="5"/>
    </row>
    <row r="8" spans="2:17" x14ac:dyDescent="0.3">
      <c r="B8" s="61" t="s">
        <v>88</v>
      </c>
      <c r="C8" s="3">
        <v>2</v>
      </c>
      <c r="D8" s="128"/>
      <c r="E8" s="128"/>
      <c r="F8" s="128"/>
    </row>
    <row r="9" spans="2:17" x14ac:dyDescent="0.3">
      <c r="B9" s="62" t="s">
        <v>85</v>
      </c>
      <c r="C9" s="3">
        <f>1/4</f>
        <v>0.25</v>
      </c>
      <c r="D9" s="128" t="s">
        <v>6</v>
      </c>
      <c r="E9" s="128"/>
      <c r="F9" s="128"/>
    </row>
    <row r="10" spans="2:17" x14ac:dyDescent="0.3">
      <c r="B10" s="61" t="s">
        <v>86</v>
      </c>
      <c r="C10" s="3">
        <f>10/60</f>
        <v>0.16666666666666666</v>
      </c>
      <c r="D10" s="128" t="s">
        <v>6</v>
      </c>
      <c r="E10" s="128"/>
      <c r="F10" s="128"/>
    </row>
    <row r="11" spans="2:17" x14ac:dyDescent="0.3">
      <c r="B11" s="62" t="s">
        <v>5</v>
      </c>
      <c r="C11" s="3">
        <f>C10/(C8*C9)</f>
        <v>0.33333333333333331</v>
      </c>
      <c r="D11" s="128" t="s">
        <v>4</v>
      </c>
      <c r="E11" s="128"/>
      <c r="F11" s="128"/>
    </row>
    <row r="12" spans="2:17" ht="15.6" x14ac:dyDescent="0.35">
      <c r="B12" s="62" t="s">
        <v>158</v>
      </c>
      <c r="C12" s="3">
        <f>(2*C9-C10)/(2*C9+C10)</f>
        <v>0.50000000000000011</v>
      </c>
      <c r="D12" s="128"/>
      <c r="E12" s="128"/>
      <c r="F12" s="128"/>
    </row>
    <row r="13" spans="2:17" ht="15.6" x14ac:dyDescent="0.35">
      <c r="B13" s="62" t="s">
        <v>159</v>
      </c>
      <c r="C13" s="3">
        <f>1/FACT(1)*(C10/C9)^1*C12</f>
        <v>0.33333333333333337</v>
      </c>
      <c r="D13" s="128"/>
      <c r="E13" s="128"/>
      <c r="F13" s="128"/>
    </row>
    <row r="15" spans="2:17" x14ac:dyDescent="0.3">
      <c r="B15" s="62" t="s">
        <v>1</v>
      </c>
      <c r="C15" s="3">
        <f>1-(C12+C13)</f>
        <v>0.16666666666666652</v>
      </c>
      <c r="D15" s="128"/>
      <c r="E15" s="128"/>
      <c r="F15" s="128"/>
    </row>
    <row r="16" spans="2:17" ht="15.6" x14ac:dyDescent="0.3">
      <c r="B16" s="62" t="s">
        <v>0</v>
      </c>
      <c r="C16" s="12">
        <f>1-C11</f>
        <v>0.66666666666666674</v>
      </c>
      <c r="D16" s="128"/>
      <c r="E16" s="128"/>
      <c r="F16" s="128"/>
    </row>
    <row r="17" spans="2:6" ht="16.2" x14ac:dyDescent="0.35">
      <c r="B17" s="63" t="s">
        <v>160</v>
      </c>
      <c r="C17" s="2">
        <f>(C10*C9*(C10/C9)^C8)/(FACT(C8-1)*(C8*C9-C10)^2)*C12</f>
        <v>8.3333333333333329E-2</v>
      </c>
      <c r="D17" s="127"/>
      <c r="E17" s="128"/>
      <c r="F17" s="128"/>
    </row>
    <row r="18" spans="2:6" ht="16.2" x14ac:dyDescent="0.35">
      <c r="B18" s="63" t="s">
        <v>161</v>
      </c>
      <c r="C18" s="2">
        <f>C17+(C10/C9)</f>
        <v>0.75</v>
      </c>
      <c r="D18" s="127" t="s">
        <v>89</v>
      </c>
      <c r="E18" s="128"/>
      <c r="F18" s="128"/>
    </row>
  </sheetData>
  <mergeCells count="14">
    <mergeCell ref="D18:F18"/>
    <mergeCell ref="B2:O3"/>
    <mergeCell ref="B5:O5"/>
    <mergeCell ref="B6:O6"/>
    <mergeCell ref="B4:O4"/>
    <mergeCell ref="D8:F8"/>
    <mergeCell ref="D17:F17"/>
    <mergeCell ref="D9:F9"/>
    <mergeCell ref="D10:F10"/>
    <mergeCell ref="D11:F11"/>
    <mergeCell ref="D12:F12"/>
    <mergeCell ref="D13:F13"/>
    <mergeCell ref="D15:F15"/>
    <mergeCell ref="D16:F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452F-9AC2-C349-A4D6-4BB2AC6EB3A8}">
  <dimension ref="B1:Q15"/>
  <sheetViews>
    <sheetView showGridLines="0" workbookViewId="0">
      <selection activeCell="C14" sqref="C14"/>
    </sheetView>
  </sheetViews>
  <sheetFormatPr defaultColWidth="8.796875" defaultRowHeight="14.4" x14ac:dyDescent="0.3"/>
  <cols>
    <col min="1" max="1" width="2.296875" style="1" customWidth="1"/>
    <col min="2" max="2" width="11.796875" style="1" customWidth="1"/>
    <col min="3" max="16384" width="8.796875" style="1"/>
  </cols>
  <sheetData>
    <row r="1" spans="2:17" x14ac:dyDescent="0.3">
      <c r="B1" s="58" t="s">
        <v>148</v>
      </c>
      <c r="C1" s="64"/>
      <c r="D1" s="64"/>
      <c r="E1" s="64"/>
      <c r="F1" s="64"/>
      <c r="G1" s="64"/>
      <c r="H1" s="64"/>
      <c r="I1" s="64"/>
      <c r="J1" s="64"/>
      <c r="K1" s="64"/>
      <c r="L1" s="64"/>
      <c r="M1" s="64"/>
      <c r="N1" s="64"/>
      <c r="O1" s="64"/>
      <c r="P1" s="64"/>
      <c r="Q1" s="64"/>
    </row>
    <row r="2" spans="2:17" s="4" customFormat="1" ht="14.7" customHeight="1" x14ac:dyDescent="0.3">
      <c r="B2" s="132" t="s">
        <v>17</v>
      </c>
      <c r="C2" s="118"/>
      <c r="D2" s="118"/>
      <c r="E2" s="118"/>
      <c r="F2" s="118"/>
      <c r="G2" s="118"/>
      <c r="H2" s="118"/>
      <c r="I2" s="118"/>
      <c r="J2" s="118"/>
      <c r="K2" s="118"/>
      <c r="L2" s="118"/>
      <c r="M2" s="118"/>
      <c r="N2" s="118"/>
      <c r="O2" s="118"/>
      <c r="P2" s="118"/>
      <c r="Q2" s="119"/>
    </row>
    <row r="3" spans="2:17" s="4" customFormat="1" ht="13.95" customHeight="1" x14ac:dyDescent="0.3">
      <c r="B3" s="123" t="s">
        <v>16</v>
      </c>
      <c r="C3" s="121"/>
      <c r="D3" s="121"/>
      <c r="E3" s="121"/>
      <c r="F3" s="121"/>
      <c r="G3" s="121"/>
      <c r="H3" s="121"/>
      <c r="I3" s="121"/>
      <c r="J3" s="121"/>
      <c r="K3" s="121"/>
      <c r="L3" s="121"/>
      <c r="M3" s="121"/>
      <c r="N3" s="121"/>
      <c r="O3" s="121"/>
      <c r="P3" s="121"/>
      <c r="Q3" s="122"/>
    </row>
    <row r="4" spans="2:17" s="4" customFormat="1" ht="13.95" customHeight="1" x14ac:dyDescent="0.3">
      <c r="B4" s="133" t="s">
        <v>15</v>
      </c>
      <c r="C4" s="125"/>
      <c r="D4" s="125"/>
      <c r="E4" s="125"/>
      <c r="F4" s="125"/>
      <c r="G4" s="125"/>
      <c r="H4" s="125"/>
      <c r="I4" s="125"/>
      <c r="J4" s="125"/>
      <c r="K4" s="125"/>
      <c r="L4" s="125"/>
      <c r="M4" s="125"/>
      <c r="N4" s="125"/>
      <c r="O4" s="125"/>
      <c r="P4" s="125"/>
      <c r="Q4" s="126"/>
    </row>
    <row r="6" spans="2:17" x14ac:dyDescent="0.3">
      <c r="B6" s="61" t="s">
        <v>9</v>
      </c>
      <c r="C6" s="3">
        <v>2</v>
      </c>
      <c r="D6" s="128"/>
      <c r="E6" s="128"/>
      <c r="F6" s="128"/>
    </row>
    <row r="7" spans="2:17" x14ac:dyDescent="0.3">
      <c r="B7" s="62" t="s">
        <v>85</v>
      </c>
      <c r="C7" s="3">
        <f>60/5</f>
        <v>12</v>
      </c>
      <c r="D7" s="128" t="s">
        <v>14</v>
      </c>
      <c r="E7" s="128"/>
      <c r="F7" s="128"/>
    </row>
    <row r="8" spans="2:17" x14ac:dyDescent="0.3">
      <c r="B8" s="61" t="s">
        <v>86</v>
      </c>
      <c r="C8" s="3">
        <v>15</v>
      </c>
      <c r="D8" s="128" t="s">
        <v>14</v>
      </c>
      <c r="E8" s="128"/>
      <c r="F8" s="128"/>
    </row>
    <row r="9" spans="2:17" x14ac:dyDescent="0.3">
      <c r="B9" s="62" t="s">
        <v>5</v>
      </c>
      <c r="C9" s="3">
        <f>C8/(C6*C7)</f>
        <v>0.625</v>
      </c>
      <c r="D9" s="128" t="s">
        <v>4</v>
      </c>
      <c r="E9" s="128"/>
      <c r="F9" s="128"/>
    </row>
    <row r="10" spans="2:17" ht="15.6" x14ac:dyDescent="0.35">
      <c r="B10" s="62" t="s">
        <v>158</v>
      </c>
      <c r="C10" s="3">
        <f>(2*C7-C8)/(2*C7+C8)</f>
        <v>0.23076923076923078</v>
      </c>
      <c r="D10" s="128"/>
      <c r="E10" s="128"/>
      <c r="F10" s="128"/>
    </row>
    <row r="11" spans="2:17" ht="15.6" x14ac:dyDescent="0.35">
      <c r="B11" s="62" t="s">
        <v>159</v>
      </c>
      <c r="C11" s="3">
        <f>1/FACT(1)*(C8/C7)^1*C10</f>
        <v>0.28846153846153849</v>
      </c>
      <c r="D11" s="128"/>
      <c r="E11" s="128"/>
      <c r="F11" s="128"/>
    </row>
    <row r="12" spans="2:17" x14ac:dyDescent="0.3">
      <c r="B12" s="65"/>
    </row>
    <row r="13" spans="2:17" x14ac:dyDescent="0.3">
      <c r="B13" s="62" t="s">
        <v>1</v>
      </c>
      <c r="C13" s="3">
        <f>1-(C10+C11)</f>
        <v>0.48076923076923073</v>
      </c>
      <c r="D13" s="128"/>
      <c r="E13" s="128"/>
      <c r="F13" s="128"/>
    </row>
    <row r="14" spans="2:17" ht="15.6" x14ac:dyDescent="0.3">
      <c r="B14" s="62" t="s">
        <v>0</v>
      </c>
      <c r="C14" s="2">
        <f>((C8*C7*(C8/C7)^C6)/(C8*FACT(C6-1)*(C6*C7-C8)^2))*C10</f>
        <v>5.3418803418803423E-2</v>
      </c>
      <c r="D14" s="128" t="s">
        <v>14</v>
      </c>
      <c r="E14" s="128"/>
      <c r="F14" s="128"/>
    </row>
    <row r="15" spans="2:17" ht="15.6" x14ac:dyDescent="0.3">
      <c r="B15" s="62"/>
      <c r="C15" s="2">
        <f>C14*60</f>
        <v>3.2051282051282053</v>
      </c>
      <c r="D15" s="128" t="s">
        <v>6</v>
      </c>
      <c r="E15" s="128"/>
      <c r="F15" s="128"/>
    </row>
  </sheetData>
  <mergeCells count="12">
    <mergeCell ref="B2:Q2"/>
    <mergeCell ref="B3:Q3"/>
    <mergeCell ref="B4:Q4"/>
    <mergeCell ref="D13:F13"/>
    <mergeCell ref="D14:F14"/>
    <mergeCell ref="D15:F15"/>
    <mergeCell ref="D9:F9"/>
    <mergeCell ref="D6:F6"/>
    <mergeCell ref="D7:F7"/>
    <mergeCell ref="D8:F8"/>
    <mergeCell ref="D10:F10"/>
    <mergeCell ref="D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3910-EDA5-E34C-BACD-E15C6A4910A6}">
  <dimension ref="B1:O16"/>
  <sheetViews>
    <sheetView showGridLines="0" workbookViewId="0">
      <selection activeCell="C16" sqref="C16"/>
    </sheetView>
  </sheetViews>
  <sheetFormatPr defaultColWidth="8.796875" defaultRowHeight="14.4" x14ac:dyDescent="0.3"/>
  <cols>
    <col min="1" max="1" width="2.296875" style="1" customWidth="1"/>
    <col min="2" max="2" width="12.5" style="1" customWidth="1"/>
    <col min="3" max="16384" width="8.796875" style="1"/>
  </cols>
  <sheetData>
    <row r="1" spans="2:15" x14ac:dyDescent="0.3">
      <c r="B1" s="58" t="s">
        <v>149</v>
      </c>
      <c r="C1" s="64"/>
      <c r="D1" s="64"/>
      <c r="E1" s="64"/>
      <c r="F1" s="64"/>
      <c r="G1" s="64"/>
      <c r="H1" s="64"/>
      <c r="I1" s="64"/>
      <c r="J1" s="64"/>
      <c r="K1" s="64"/>
      <c r="L1" s="64"/>
      <c r="M1" s="64"/>
      <c r="N1" s="64"/>
      <c r="O1" s="64"/>
    </row>
    <row r="2" spans="2:15" s="4" customFormat="1" ht="14.7" customHeight="1" x14ac:dyDescent="0.3">
      <c r="B2" s="132" t="s">
        <v>20</v>
      </c>
      <c r="C2" s="118"/>
      <c r="D2" s="118"/>
      <c r="E2" s="118"/>
      <c r="F2" s="118"/>
      <c r="G2" s="118"/>
      <c r="H2" s="118"/>
      <c r="I2" s="118"/>
      <c r="J2" s="118"/>
      <c r="K2" s="118"/>
      <c r="L2" s="118"/>
      <c r="M2" s="118"/>
      <c r="N2" s="118"/>
      <c r="O2" s="118"/>
    </row>
    <row r="3" spans="2:15" s="4" customFormat="1" ht="14.7" customHeight="1" x14ac:dyDescent="0.3">
      <c r="B3" s="123"/>
      <c r="C3" s="121"/>
      <c r="D3" s="121"/>
      <c r="E3" s="121"/>
      <c r="F3" s="121"/>
      <c r="G3" s="121"/>
      <c r="H3" s="121"/>
      <c r="I3" s="121"/>
      <c r="J3" s="121"/>
      <c r="K3" s="121"/>
      <c r="L3" s="121"/>
      <c r="M3" s="121"/>
      <c r="N3" s="121"/>
      <c r="O3" s="121"/>
    </row>
    <row r="4" spans="2:15" s="4" customFormat="1" ht="14.7" customHeight="1" x14ac:dyDescent="0.3">
      <c r="B4" s="123"/>
      <c r="C4" s="121"/>
      <c r="D4" s="121"/>
      <c r="E4" s="121"/>
      <c r="F4" s="121"/>
      <c r="G4" s="121"/>
      <c r="H4" s="121"/>
      <c r="I4" s="121"/>
      <c r="J4" s="121"/>
      <c r="K4" s="121"/>
      <c r="L4" s="121"/>
      <c r="M4" s="121"/>
      <c r="N4" s="121"/>
      <c r="O4" s="121"/>
    </row>
    <row r="5" spans="2:15" s="4" customFormat="1" ht="13.95" customHeight="1" x14ac:dyDescent="0.3">
      <c r="B5" s="123" t="s">
        <v>19</v>
      </c>
      <c r="C5" s="121"/>
      <c r="D5" s="121"/>
      <c r="E5" s="121"/>
      <c r="F5" s="121"/>
      <c r="G5" s="121"/>
      <c r="H5" s="121"/>
      <c r="I5" s="121"/>
      <c r="J5" s="121"/>
      <c r="K5" s="121"/>
      <c r="L5" s="121"/>
      <c r="M5" s="121"/>
      <c r="N5" s="121"/>
      <c r="O5" s="121"/>
    </row>
    <row r="6" spans="2:15" s="4" customFormat="1" ht="13.95" customHeight="1" x14ac:dyDescent="0.3">
      <c r="B6" s="133" t="s">
        <v>18</v>
      </c>
      <c r="C6" s="125"/>
      <c r="D6" s="125"/>
      <c r="E6" s="125"/>
      <c r="F6" s="125"/>
      <c r="G6" s="125"/>
      <c r="H6" s="125"/>
      <c r="I6" s="125"/>
      <c r="J6" s="125"/>
      <c r="K6" s="125"/>
      <c r="L6" s="125"/>
      <c r="M6" s="125"/>
      <c r="N6" s="125"/>
      <c r="O6" s="125"/>
    </row>
    <row r="8" spans="2:15" x14ac:dyDescent="0.3">
      <c r="B8" s="61" t="s">
        <v>9</v>
      </c>
      <c r="C8" s="3">
        <v>3</v>
      </c>
      <c r="D8" s="128"/>
      <c r="E8" s="128"/>
      <c r="F8" s="128"/>
    </row>
    <row r="9" spans="2:15" x14ac:dyDescent="0.3">
      <c r="B9" s="62" t="s">
        <v>85</v>
      </c>
      <c r="C9" s="3">
        <f>60/40</f>
        <v>1.5</v>
      </c>
      <c r="D9" s="128" t="s">
        <v>14</v>
      </c>
      <c r="E9" s="128"/>
      <c r="F9" s="128"/>
    </row>
    <row r="10" spans="2:15" x14ac:dyDescent="0.3">
      <c r="B10" s="61" t="s">
        <v>86</v>
      </c>
      <c r="C10" s="3">
        <f>20/8</f>
        <v>2.5</v>
      </c>
      <c r="D10" s="128" t="s">
        <v>14</v>
      </c>
      <c r="E10" s="128"/>
      <c r="F10" s="128"/>
    </row>
    <row r="11" spans="2:15" x14ac:dyDescent="0.3">
      <c r="B11" s="62" t="s">
        <v>5</v>
      </c>
      <c r="C11" s="3">
        <f>C10/(C8*C9)</f>
        <v>0.55555555555555558</v>
      </c>
      <c r="D11" s="128" t="s">
        <v>4</v>
      </c>
      <c r="E11" s="128"/>
      <c r="F11" s="128"/>
    </row>
    <row r="12" spans="2:15" ht="15.6" x14ac:dyDescent="0.35">
      <c r="B12" s="62" t="s">
        <v>158</v>
      </c>
      <c r="C12" s="3">
        <f>((C10/C9)^0/FACT(0)+(C10/C9)^1/FACT(1)+(C10/C9)^2/FACT(2)+(C10/C9)^3/FACT(3)*(C8*C9/(C8*C9-C10)))^(-1)</f>
        <v>0.17266187050359708</v>
      </c>
      <c r="D12" s="128"/>
      <c r="E12" s="128"/>
      <c r="F12" s="128"/>
    </row>
    <row r="13" spans="2:15" ht="15.6" x14ac:dyDescent="0.35">
      <c r="B13" s="62" t="s">
        <v>159</v>
      </c>
      <c r="C13" s="3">
        <f>1/FACT(1)*(C10/C9)^1*C12</f>
        <v>0.2877697841726618</v>
      </c>
      <c r="D13" s="128"/>
      <c r="E13" s="128"/>
      <c r="F13" s="128"/>
    </row>
    <row r="14" spans="2:15" x14ac:dyDescent="0.3">
      <c r="B14" s="65"/>
    </row>
    <row r="15" spans="2:15" x14ac:dyDescent="0.3">
      <c r="B15" s="62" t="s">
        <v>1</v>
      </c>
      <c r="C15" s="3">
        <f>C10/(C9*C8)*5*8</f>
        <v>22.222222222222221</v>
      </c>
      <c r="D15" s="128" t="s">
        <v>14</v>
      </c>
      <c r="E15" s="128"/>
      <c r="F15" s="128"/>
    </row>
    <row r="16" spans="2:15" ht="15.6" x14ac:dyDescent="0.3">
      <c r="B16" s="62" t="s">
        <v>0</v>
      </c>
      <c r="C16" s="2">
        <f>(((C10*C9*(C10/C9)^C8)/(C10*FACT(C8-1)*(C8*C9-C10)^2))*C12)+(1/C9)</f>
        <v>0.81654676258992798</v>
      </c>
      <c r="D16" s="128" t="s">
        <v>14</v>
      </c>
      <c r="E16" s="128"/>
      <c r="F16" s="128"/>
    </row>
  </sheetData>
  <mergeCells count="11">
    <mergeCell ref="D11:F11"/>
    <mergeCell ref="D12:F12"/>
    <mergeCell ref="D13:F13"/>
    <mergeCell ref="D15:F15"/>
    <mergeCell ref="D16:F16"/>
    <mergeCell ref="D10:F10"/>
    <mergeCell ref="B2:O4"/>
    <mergeCell ref="B5:O5"/>
    <mergeCell ref="B6:O6"/>
    <mergeCell ref="D8:F8"/>
    <mergeCell ref="D9:F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EED4-7E93-4BBF-9DE4-12E790A66807}">
  <dimension ref="B2:Q20"/>
  <sheetViews>
    <sheetView workbookViewId="0">
      <selection activeCell="G22" sqref="G22"/>
    </sheetView>
  </sheetViews>
  <sheetFormatPr defaultColWidth="8.796875" defaultRowHeight="15.6" x14ac:dyDescent="0.3"/>
  <cols>
    <col min="1" max="1" width="8.796875" style="15"/>
    <col min="2" max="2" width="13.3984375" style="15" customWidth="1"/>
    <col min="3" max="3" width="8.796875" style="15" customWidth="1"/>
    <col min="4" max="4" width="11.69921875" style="15" customWidth="1"/>
    <col min="5" max="7" width="8.796875" style="15"/>
    <col min="8" max="8" width="11.69921875" style="15" bestFit="1" customWidth="1"/>
    <col min="9" max="16384" width="8.796875" style="15"/>
  </cols>
  <sheetData>
    <row r="2" spans="2:17" ht="15.45" customHeight="1" x14ac:dyDescent="0.3">
      <c r="B2" s="66" t="s">
        <v>151</v>
      </c>
      <c r="C2" s="67"/>
      <c r="D2" s="67"/>
      <c r="E2" s="67"/>
      <c r="F2" s="67"/>
      <c r="G2" s="67"/>
      <c r="H2" s="67"/>
      <c r="I2" s="67"/>
      <c r="J2" s="67"/>
      <c r="K2" s="67"/>
      <c r="L2" s="67"/>
      <c r="M2" s="67"/>
      <c r="N2" s="67"/>
      <c r="O2" s="67"/>
      <c r="P2" s="67"/>
      <c r="Q2" s="40"/>
    </row>
    <row r="3" spans="2:17" x14ac:dyDescent="0.3">
      <c r="B3" s="136" t="s">
        <v>150</v>
      </c>
      <c r="C3" s="136"/>
      <c r="D3" s="136"/>
      <c r="E3" s="136"/>
      <c r="F3" s="136"/>
      <c r="G3" s="136"/>
      <c r="H3" s="136"/>
      <c r="I3" s="136"/>
      <c r="J3" s="136"/>
      <c r="K3" s="136"/>
      <c r="L3" s="136"/>
      <c r="M3" s="136"/>
      <c r="N3" s="136"/>
      <c r="O3" s="136"/>
      <c r="P3" s="136"/>
      <c r="Q3" s="40"/>
    </row>
    <row r="4" spans="2:17" x14ac:dyDescent="0.3">
      <c r="B4" s="136"/>
      <c r="C4" s="136"/>
      <c r="D4" s="136"/>
      <c r="E4" s="136"/>
      <c r="F4" s="136"/>
      <c r="G4" s="136"/>
      <c r="H4" s="136"/>
      <c r="I4" s="136"/>
      <c r="J4" s="136"/>
      <c r="K4" s="136"/>
      <c r="L4" s="136"/>
      <c r="M4" s="136"/>
      <c r="N4" s="136"/>
      <c r="O4" s="136"/>
      <c r="P4" s="136"/>
      <c r="Q4" s="40"/>
    </row>
    <row r="5" spans="2:17" x14ac:dyDescent="0.3">
      <c r="B5" s="40"/>
      <c r="C5" s="40"/>
      <c r="D5" s="40"/>
      <c r="E5" s="40"/>
      <c r="F5" s="40"/>
      <c r="G5" s="40"/>
      <c r="H5" s="40"/>
      <c r="I5" s="40"/>
      <c r="J5" s="40"/>
      <c r="K5" s="40"/>
      <c r="L5" s="40"/>
      <c r="M5" s="40"/>
      <c r="N5" s="40"/>
      <c r="O5" s="40"/>
      <c r="P5" s="40"/>
      <c r="Q5" s="40"/>
    </row>
    <row r="8" spans="2:17" x14ac:dyDescent="0.3">
      <c r="B8" s="59" t="s">
        <v>86</v>
      </c>
      <c r="C8" s="16">
        <v>20</v>
      </c>
      <c r="D8" s="16" t="s">
        <v>14</v>
      </c>
      <c r="G8" s="39"/>
    </row>
    <row r="9" spans="2:17" x14ac:dyDescent="0.3">
      <c r="B9" s="60" t="s">
        <v>85</v>
      </c>
      <c r="C9" s="37" t="s">
        <v>99</v>
      </c>
      <c r="D9" s="16"/>
    </row>
    <row r="10" spans="2:17" x14ac:dyDescent="0.3">
      <c r="B10" s="134" t="s">
        <v>98</v>
      </c>
      <c r="C10" s="134"/>
      <c r="D10" s="134"/>
      <c r="E10" s="134"/>
      <c r="F10" s="134"/>
      <c r="G10" s="134"/>
    </row>
    <row r="11" spans="2:17" x14ac:dyDescent="0.3">
      <c r="B11" s="135"/>
      <c r="C11" s="134"/>
      <c r="D11" s="134"/>
      <c r="E11" s="134"/>
      <c r="F11" s="134"/>
    </row>
    <row r="12" spans="2:17" x14ac:dyDescent="0.3">
      <c r="B12" s="134"/>
      <c r="C12" s="134"/>
      <c r="D12" s="134"/>
      <c r="E12" s="134"/>
      <c r="F12" s="134"/>
    </row>
    <row r="13" spans="2:17" x14ac:dyDescent="0.3">
      <c r="B13" s="50" t="s">
        <v>132</v>
      </c>
      <c r="C13" s="16">
        <v>20</v>
      </c>
      <c r="D13" s="16" t="s">
        <v>35</v>
      </c>
    </row>
    <row r="14" spans="2:17" x14ac:dyDescent="0.3">
      <c r="B14" s="50" t="s">
        <v>131</v>
      </c>
      <c r="C14" s="16">
        <f>95/100</f>
        <v>0.95</v>
      </c>
      <c r="D14" s="16"/>
    </row>
    <row r="16" spans="2:17" x14ac:dyDescent="0.3">
      <c r="B16" s="50" t="s">
        <v>133</v>
      </c>
      <c r="C16" s="50"/>
      <c r="D16" s="16"/>
    </row>
    <row r="17" spans="2:8" x14ac:dyDescent="0.3">
      <c r="B17" s="50" t="s">
        <v>134</v>
      </c>
      <c r="C17" s="50"/>
      <c r="D17" s="16"/>
    </row>
    <row r="18" spans="2:8" x14ac:dyDescent="0.3">
      <c r="B18" s="50" t="s">
        <v>135</v>
      </c>
      <c r="C18" s="50"/>
      <c r="D18" s="16" t="s">
        <v>136</v>
      </c>
    </row>
    <row r="19" spans="2:8" x14ac:dyDescent="0.3">
      <c r="B19" s="16"/>
      <c r="C19" s="16">
        <v>5.5719599999999998</v>
      </c>
      <c r="D19" s="16" t="s">
        <v>137</v>
      </c>
    </row>
    <row r="20" spans="2:8" x14ac:dyDescent="0.3">
      <c r="H20" s="38"/>
    </row>
  </sheetData>
  <mergeCells count="3">
    <mergeCell ref="B10:G10"/>
    <mergeCell ref="B11:F12"/>
    <mergeCell ref="B3:P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DEB8-3BA3-4144-8CCB-7B5CD794A10F}">
  <dimension ref="B1:O11"/>
  <sheetViews>
    <sheetView showGridLines="0" workbookViewId="0">
      <selection activeCell="B6" sqref="B6:B11"/>
    </sheetView>
  </sheetViews>
  <sheetFormatPr defaultColWidth="8.796875" defaultRowHeight="14.4" x14ac:dyDescent="0.3"/>
  <cols>
    <col min="1" max="1" width="4.69921875" style="1" customWidth="1"/>
    <col min="2" max="2" width="13.8984375" style="1" customWidth="1"/>
    <col min="3" max="16384" width="8.796875" style="1"/>
  </cols>
  <sheetData>
    <row r="1" spans="2:15" ht="18" x14ac:dyDescent="0.35">
      <c r="B1" s="68" t="s">
        <v>58</v>
      </c>
    </row>
    <row r="2" spans="2:15" s="4" customFormat="1" ht="14.7" customHeight="1" x14ac:dyDescent="0.3">
      <c r="B2" s="138" t="s">
        <v>36</v>
      </c>
      <c r="C2" s="139"/>
      <c r="D2" s="139"/>
      <c r="E2" s="139"/>
      <c r="F2" s="139"/>
      <c r="G2" s="139"/>
      <c r="H2" s="139"/>
      <c r="I2" s="139"/>
      <c r="J2" s="139"/>
      <c r="K2" s="139"/>
      <c r="L2" s="139"/>
      <c r="M2" s="139"/>
      <c r="N2" s="139"/>
      <c r="O2" s="139"/>
    </row>
    <row r="3" spans="2:15" s="4" customFormat="1" x14ac:dyDescent="0.3">
      <c r="B3" s="139"/>
      <c r="C3" s="139"/>
      <c r="D3" s="139"/>
      <c r="E3" s="139"/>
      <c r="F3" s="139"/>
      <c r="G3" s="139"/>
      <c r="H3" s="139"/>
      <c r="I3" s="139"/>
      <c r="J3" s="139"/>
      <c r="K3" s="139"/>
      <c r="L3" s="139"/>
      <c r="M3" s="139"/>
      <c r="N3" s="139"/>
      <c r="O3" s="139"/>
    </row>
    <row r="4" spans="2:15" s="4" customFormat="1" x14ac:dyDescent="0.3">
      <c r="B4" s="6"/>
      <c r="C4" s="6"/>
      <c r="D4" s="6"/>
      <c r="E4" s="6"/>
      <c r="F4" s="6"/>
      <c r="G4" s="6"/>
      <c r="H4" s="6"/>
      <c r="I4" s="6"/>
      <c r="J4" s="6"/>
      <c r="K4" s="6"/>
      <c r="L4" s="6"/>
      <c r="M4" s="6"/>
      <c r="N4" s="6"/>
      <c r="O4" s="6"/>
    </row>
    <row r="5" spans="2:15" x14ac:dyDescent="0.3">
      <c r="B5" s="137" t="s">
        <v>37</v>
      </c>
      <c r="C5" s="137"/>
      <c r="D5" s="137"/>
      <c r="E5" s="137"/>
      <c r="F5" s="137"/>
      <c r="G5" s="137"/>
    </row>
    <row r="6" spans="2:15" x14ac:dyDescent="0.3">
      <c r="B6" s="69" t="s">
        <v>9</v>
      </c>
      <c r="C6" s="10">
        <v>4</v>
      </c>
      <c r="D6" s="11"/>
    </row>
    <row r="7" spans="2:15" x14ac:dyDescent="0.3">
      <c r="B7" s="61" t="s">
        <v>86</v>
      </c>
      <c r="C7" s="3">
        <v>10</v>
      </c>
      <c r="D7" s="7" t="s">
        <v>14</v>
      </c>
    </row>
    <row r="8" spans="2:15" x14ac:dyDescent="0.3">
      <c r="B8" s="62" t="s">
        <v>85</v>
      </c>
      <c r="C8" s="3">
        <f>C7/2</f>
        <v>5</v>
      </c>
      <c r="D8" s="7" t="s">
        <v>14</v>
      </c>
    </row>
    <row r="9" spans="2:15" x14ac:dyDescent="0.3">
      <c r="B9" s="62" t="s">
        <v>5</v>
      </c>
      <c r="C9" s="3">
        <f>C7/(C8*C6)</f>
        <v>0.5</v>
      </c>
      <c r="D9" s="7"/>
    </row>
    <row r="10" spans="2:15" ht="15.6" x14ac:dyDescent="0.35">
      <c r="B10" s="62" t="s">
        <v>158</v>
      </c>
      <c r="C10" s="3">
        <f>1/((C7/C8)^0/FACT(0)+(C7/C8)^1/FACT(1)+(C7/C8)^2/FACT(2)+(C7/C8)^3/FACT(3)+((C7/C8)^C6/FACT(C6)*(C6*C8/(C6*C8-C7))))</f>
        <v>0.13043478260869565</v>
      </c>
      <c r="D10" s="7"/>
    </row>
    <row r="11" spans="2:15" ht="15.6" x14ac:dyDescent="0.35">
      <c r="B11" s="63" t="s">
        <v>162</v>
      </c>
      <c r="C11" s="3">
        <f>((C7*C8*(C7/C8)^C6)/(FACT(C6-1)*(C6*C8-C7)^2)*C10)</f>
        <v>0.17391304347826086</v>
      </c>
      <c r="D11" s="7"/>
    </row>
  </sheetData>
  <mergeCells count="2">
    <mergeCell ref="B5:G5"/>
    <mergeCell ref="B2: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F16A-AEBF-47BF-A621-CDA871AE43D1}">
  <dimension ref="B1:Q21"/>
  <sheetViews>
    <sheetView showGridLines="0" workbookViewId="0">
      <selection activeCell="B20" sqref="B20:E21"/>
    </sheetView>
  </sheetViews>
  <sheetFormatPr defaultColWidth="8.796875" defaultRowHeight="14.4" x14ac:dyDescent="0.3"/>
  <cols>
    <col min="1" max="1" width="2.296875" style="22" customWidth="1"/>
    <col min="2" max="2" width="13.8984375" style="22" customWidth="1"/>
    <col min="3" max="4" width="8.796875" style="22" customWidth="1"/>
    <col min="5" max="5" width="9" style="22" customWidth="1"/>
    <col min="6" max="6" width="8.796875" style="22" customWidth="1"/>
    <col min="7" max="16384" width="8.796875" style="22"/>
  </cols>
  <sheetData>
    <row r="1" spans="2:17" x14ac:dyDescent="0.3">
      <c r="B1" s="70" t="s">
        <v>152</v>
      </c>
      <c r="C1" s="71"/>
      <c r="D1" s="71"/>
      <c r="E1" s="71"/>
      <c r="F1" s="71"/>
      <c r="G1" s="71"/>
      <c r="H1" s="71"/>
      <c r="I1" s="71"/>
      <c r="J1" s="71"/>
      <c r="K1" s="71"/>
      <c r="L1" s="71"/>
      <c r="M1" s="71"/>
      <c r="N1" s="71"/>
      <c r="O1" s="71"/>
    </row>
    <row r="2" spans="2:17" ht="14.7" customHeight="1" x14ac:dyDescent="0.3">
      <c r="B2" s="147" t="s">
        <v>127</v>
      </c>
      <c r="C2" s="148"/>
      <c r="D2" s="148"/>
      <c r="E2" s="148"/>
      <c r="F2" s="148"/>
      <c r="G2" s="148"/>
      <c r="H2" s="148"/>
      <c r="I2" s="148"/>
      <c r="J2" s="148"/>
      <c r="K2" s="148"/>
      <c r="L2" s="148"/>
      <c r="M2" s="148"/>
      <c r="N2" s="148"/>
      <c r="O2" s="149"/>
      <c r="P2" s="29"/>
      <c r="Q2" s="29"/>
    </row>
    <row r="3" spans="2:17" x14ac:dyDescent="0.3">
      <c r="B3" s="150"/>
      <c r="C3" s="151"/>
      <c r="D3" s="151"/>
      <c r="E3" s="151"/>
      <c r="F3" s="151"/>
      <c r="G3" s="151"/>
      <c r="H3" s="151"/>
      <c r="I3" s="151"/>
      <c r="J3" s="151"/>
      <c r="K3" s="151"/>
      <c r="L3" s="151"/>
      <c r="M3" s="151"/>
      <c r="N3" s="151"/>
      <c r="O3" s="152"/>
      <c r="P3" s="29"/>
      <c r="Q3" s="29"/>
    </row>
    <row r="4" spans="2:17" x14ac:dyDescent="0.3">
      <c r="B4" s="150"/>
      <c r="C4" s="151"/>
      <c r="D4" s="151"/>
      <c r="E4" s="151"/>
      <c r="F4" s="151"/>
      <c r="G4" s="151"/>
      <c r="H4" s="151"/>
      <c r="I4" s="151"/>
      <c r="J4" s="151"/>
      <c r="K4" s="151"/>
      <c r="L4" s="151"/>
      <c r="M4" s="151"/>
      <c r="N4" s="151"/>
      <c r="O4" s="152"/>
      <c r="P4" s="29"/>
      <c r="Q4" s="29"/>
    </row>
    <row r="5" spans="2:17" ht="14.7" customHeight="1" x14ac:dyDescent="0.3">
      <c r="B5" s="150" t="s">
        <v>126</v>
      </c>
      <c r="C5" s="151"/>
      <c r="D5" s="151"/>
      <c r="E5" s="151"/>
      <c r="F5" s="151"/>
      <c r="G5" s="151"/>
      <c r="H5" s="151"/>
      <c r="I5" s="151"/>
      <c r="J5" s="151"/>
      <c r="K5" s="151"/>
      <c r="L5" s="151"/>
      <c r="M5" s="151"/>
      <c r="N5" s="151"/>
      <c r="O5" s="152"/>
      <c r="P5" s="29"/>
      <c r="Q5" s="29"/>
    </row>
    <row r="6" spans="2:17" ht="13.95" customHeight="1" x14ac:dyDescent="0.3">
      <c r="B6" s="153" t="s">
        <v>125</v>
      </c>
      <c r="C6" s="154"/>
      <c r="D6" s="154"/>
      <c r="E6" s="154"/>
      <c r="F6" s="154"/>
      <c r="G6" s="154"/>
      <c r="H6" s="154"/>
      <c r="I6" s="154"/>
      <c r="J6" s="154"/>
      <c r="K6" s="154"/>
      <c r="L6" s="154"/>
      <c r="M6" s="154"/>
      <c r="N6" s="154"/>
      <c r="O6" s="155"/>
      <c r="P6" s="29"/>
      <c r="Q6" s="29"/>
    </row>
    <row r="8" spans="2:17" x14ac:dyDescent="0.3">
      <c r="B8" s="72" t="s">
        <v>85</v>
      </c>
      <c r="C8" s="27">
        <v>2</v>
      </c>
      <c r="D8" s="27" t="s">
        <v>83</v>
      </c>
    </row>
    <row r="9" spans="2:17" x14ac:dyDescent="0.3">
      <c r="B9" s="73" t="s">
        <v>86</v>
      </c>
      <c r="C9" s="27">
        <v>3</v>
      </c>
      <c r="D9" s="27" t="s">
        <v>83</v>
      </c>
    </row>
    <row r="10" spans="2:17" x14ac:dyDescent="0.3">
      <c r="B10" s="73" t="s">
        <v>5</v>
      </c>
      <c r="C10" s="27">
        <f>C9/C8</f>
        <v>1.5</v>
      </c>
      <c r="D10" s="27"/>
    </row>
    <row r="11" spans="2:17" ht="15.6" x14ac:dyDescent="0.35">
      <c r="B11" s="140" t="s">
        <v>124</v>
      </c>
      <c r="C11" s="141"/>
      <c r="D11" s="142"/>
    </row>
    <row r="12" spans="2:17" ht="15.6" x14ac:dyDescent="0.3">
      <c r="B12" s="156" t="s">
        <v>84</v>
      </c>
      <c r="C12" s="157"/>
      <c r="D12" s="157"/>
      <c r="E12" s="157"/>
      <c r="F12" s="157"/>
      <c r="G12" s="157"/>
      <c r="H12" s="157"/>
      <c r="I12" s="157"/>
      <c r="J12" s="157"/>
      <c r="K12" s="157"/>
      <c r="L12" s="157"/>
      <c r="M12" s="157"/>
      <c r="N12" s="157"/>
      <c r="O12" s="157"/>
      <c r="P12" s="157"/>
      <c r="Q12" s="158"/>
    </row>
    <row r="13" spans="2:17" ht="15.6" x14ac:dyDescent="0.35">
      <c r="B13" s="74">
        <v>0</v>
      </c>
      <c r="C13" s="41" t="s">
        <v>3</v>
      </c>
      <c r="D13" s="27">
        <f>(EXP(-$C$10)*$C$10^B13)/FACT(B13)</f>
        <v>0.22313016014842982</v>
      </c>
    </row>
    <row r="14" spans="2:17" ht="13.95" customHeight="1" x14ac:dyDescent="0.35">
      <c r="B14" s="74">
        <v>1</v>
      </c>
      <c r="C14" s="41" t="s">
        <v>2</v>
      </c>
      <c r="D14" s="27">
        <f>(EXP(-$C$10)*$C$10^B14)/FACT(B14)</f>
        <v>0.33469524022264474</v>
      </c>
    </row>
    <row r="15" spans="2:17" ht="13.95" customHeight="1" x14ac:dyDescent="0.35">
      <c r="B15" s="74">
        <v>2</v>
      </c>
      <c r="C15" s="41" t="s">
        <v>123</v>
      </c>
      <c r="D15" s="27">
        <f>(EXP(-$C$10)*$C$10^B15)/FACT(B15)</f>
        <v>0.25102143016698353</v>
      </c>
    </row>
    <row r="16" spans="2:17" ht="15.6" x14ac:dyDescent="0.35">
      <c r="B16" s="74">
        <v>3</v>
      </c>
      <c r="C16" s="41" t="s">
        <v>122</v>
      </c>
      <c r="D16" s="27">
        <f>(EXP(-$C$10)*$C$10^B16)/FACT(B16)</f>
        <v>0.12551071508349176</v>
      </c>
    </row>
    <row r="17" spans="2:6" ht="15.6" x14ac:dyDescent="0.35">
      <c r="B17" s="74">
        <v>4</v>
      </c>
      <c r="C17" s="41" t="s">
        <v>121</v>
      </c>
      <c r="D17" s="27">
        <f>(EXP(-$C$10)*$C$10^B17)/FACT(B17)</f>
        <v>4.7066518156309411E-2</v>
      </c>
    </row>
    <row r="18" spans="2:6" x14ac:dyDescent="0.3">
      <c r="B18" s="145" t="s">
        <v>120</v>
      </c>
      <c r="C18" s="146"/>
      <c r="D18" s="28">
        <f>SUM(D13:D17)</f>
        <v>0.98142406377785929</v>
      </c>
    </row>
    <row r="20" spans="2:6" x14ac:dyDescent="0.3">
      <c r="B20" s="143" t="s">
        <v>119</v>
      </c>
      <c r="C20" s="143"/>
      <c r="D20" s="143"/>
      <c r="E20" s="143"/>
      <c r="F20" s="31">
        <f>C10</f>
        <v>1.5</v>
      </c>
    </row>
    <row r="21" spans="2:6" x14ac:dyDescent="0.3">
      <c r="B21" s="144" t="s">
        <v>118</v>
      </c>
      <c r="C21" s="144"/>
      <c r="D21" s="144"/>
      <c r="E21" s="144"/>
      <c r="F21" s="30">
        <f>1-D18</f>
        <v>1.857593622214071E-2</v>
      </c>
    </row>
  </sheetData>
  <mergeCells count="8">
    <mergeCell ref="B11:D11"/>
    <mergeCell ref="B20:E20"/>
    <mergeCell ref="B21:E21"/>
    <mergeCell ref="B18:C18"/>
    <mergeCell ref="B2:O4"/>
    <mergeCell ref="B5:O5"/>
    <mergeCell ref="B6:O6"/>
    <mergeCell ref="B12:Q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Ekta Gandhi</dc:creator>
  <cp:lastModifiedBy>Dell</cp:lastModifiedBy>
  <dcterms:created xsi:type="dcterms:W3CDTF">2022-09-01T10:41:52Z</dcterms:created>
  <dcterms:modified xsi:type="dcterms:W3CDTF">2023-12-18T15:53:25Z</dcterms:modified>
</cp:coreProperties>
</file>