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muedu-my.sharepoint.com/personal/kveerap_gmu_edu/Documents/Documents/SEM 1/OR 531/Project/"/>
    </mc:Choice>
  </mc:AlternateContent>
  <xr:revisionPtr revIDLastSave="20" documentId="8_{B0A93B30-8026-4C29-893A-441D502FC55E}" xr6:coauthVersionLast="47" xr6:coauthVersionMax="47" xr10:uidLastSave="{269DA23B-FC91-4080-A012-A2FEF84F98C3}"/>
  <bookViews>
    <workbookView xWindow="-110" yWindow="-110" windowWidth="19420" windowHeight="11500" activeTab="1" xr2:uid="{84DA994D-3E61-49D1-8C41-5D1696218EBA}"/>
  </bookViews>
  <sheets>
    <sheet name="Patients Arrived Per Day" sheetId="1" r:id="rId1"/>
    <sheet name="% patients requiring bed day" sheetId="2" r:id="rId2"/>
    <sheet name="Base case" sheetId="3" r:id="rId3"/>
    <sheet name="Optimal case" sheetId="7" r:id="rId4"/>
  </sheets>
  <definedNames>
    <definedName name="solver_nsim" hidden="1">1</definedName>
    <definedName name="solveri_ISpPars_F49" localSheetId="1" hidden="1">"RiskSolver.UI.Charts.InputDlgPars:-1000001;1;1;24;14;52;66;0;90;90;0;0;0;0;1;"</definedName>
    <definedName name="solveri_ISpPars_F6" localSheetId="0" hidden="1">"RiskSolver.UI.Charts.InputDlgPars:-1000001;1;1;24;14;52;66;0;90;90;0;0;0;0;1;"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5" i="2" l="1"/>
  <c r="F5" i="2"/>
  <c r="M35" i="7"/>
  <c r="B35" i="7"/>
  <c r="M34" i="7"/>
  <c r="B34" i="7"/>
  <c r="M33" i="7"/>
  <c r="B33" i="7"/>
  <c r="M32" i="7"/>
  <c r="B32" i="7"/>
  <c r="M31" i="7"/>
  <c r="B31" i="7"/>
  <c r="M30" i="7"/>
  <c r="B30" i="7"/>
  <c r="M29" i="7"/>
  <c r="B29" i="7"/>
  <c r="M28" i="7"/>
  <c r="B28" i="7"/>
  <c r="M27" i="7"/>
  <c r="B27" i="7"/>
  <c r="M26" i="7"/>
  <c r="B26" i="7"/>
  <c r="M25" i="7"/>
  <c r="B25" i="7"/>
  <c r="M24" i="7"/>
  <c r="B24" i="7"/>
  <c r="M23" i="7"/>
  <c r="B23" i="7"/>
  <c r="M22" i="7"/>
  <c r="B22" i="7"/>
  <c r="M21" i="7"/>
  <c r="B21" i="7"/>
  <c r="M20" i="7"/>
  <c r="B20" i="7"/>
  <c r="M19" i="7"/>
  <c r="B19" i="7"/>
  <c r="M18" i="7"/>
  <c r="B18" i="7"/>
  <c r="M17" i="7"/>
  <c r="B17" i="7"/>
  <c r="M16" i="7"/>
  <c r="B16" i="7"/>
  <c r="M15" i="7"/>
  <c r="B15" i="7"/>
  <c r="M14" i="7"/>
  <c r="B14" i="7"/>
  <c r="M13" i="7"/>
  <c r="B13" i="7"/>
  <c r="M12" i="7"/>
  <c r="B12" i="7"/>
  <c r="M11" i="7"/>
  <c r="B11" i="7"/>
  <c r="M10" i="7"/>
  <c r="B10" i="7"/>
  <c r="M9" i="7"/>
  <c r="B9" i="7"/>
  <c r="M8" i="7"/>
  <c r="B8" i="7"/>
  <c r="M7" i="7"/>
  <c r="B7" i="7"/>
  <c r="M6" i="7"/>
  <c r="C6" i="7"/>
  <c r="B6" i="7"/>
  <c r="G8" i="2" a="1"/>
  <c r="G8" i="2" s="1"/>
  <c r="XFD1048550" i="2"/>
  <c r="XFD1048551" i="2"/>
  <c r="XFC1048550" i="2"/>
  <c r="XFC1048551" i="2"/>
  <c r="XFC1048552" i="2"/>
  <c r="XFC1048553" i="2"/>
  <c r="XFC1048554" i="2"/>
  <c r="XFC1048555" i="2"/>
  <c r="XFC1048556" i="2"/>
  <c r="XFC1048557" i="2"/>
  <c r="XFC1048558" i="2"/>
  <c r="XFC1048559" i="2"/>
  <c r="G9" i="1" a="1"/>
  <c r="G9" i="1" s="1"/>
  <c r="XFD1048550" i="1"/>
  <c r="XFD1048551" i="1"/>
  <c r="XFC1048550" i="1"/>
  <c r="XFC1048551" i="1"/>
  <c r="XFC1048552" i="1"/>
  <c r="XFC1048553" i="1"/>
  <c r="XFC1048554" i="1"/>
  <c r="XFC1048555" i="1"/>
  <c r="XFC1048556" i="1"/>
  <c r="XFC1048557" i="1"/>
  <c r="XFC1048558" i="1"/>
  <c r="XFC1048559" i="1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2" i="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2" i="1"/>
  <c r="G8" i="1"/>
  <c r="G7" i="1"/>
  <c r="E6" i="7" l="1"/>
  <c r="K6" i="7" s="1"/>
  <c r="D6" i="7"/>
  <c r="F6" i="7"/>
  <c r="L6" i="7" s="1"/>
  <c r="D7" i="3"/>
  <c r="F7" i="3" s="1"/>
  <c r="D8" i="3"/>
  <c r="F8" i="3" s="1"/>
  <c r="D9" i="3"/>
  <c r="F9" i="3" s="1"/>
  <c r="D10" i="3"/>
  <c r="F10" i="3" s="1"/>
  <c r="D11" i="3"/>
  <c r="F11" i="3" s="1"/>
  <c r="D12" i="3"/>
  <c r="F12" i="3" s="1"/>
  <c r="D13" i="3"/>
  <c r="F13" i="3" s="1"/>
  <c r="D14" i="3"/>
  <c r="F14" i="3" s="1"/>
  <c r="D15" i="3"/>
  <c r="F15" i="3" s="1"/>
  <c r="D16" i="3"/>
  <c r="F16" i="3" s="1"/>
  <c r="D17" i="3"/>
  <c r="F17" i="3" s="1"/>
  <c r="D18" i="3"/>
  <c r="F18" i="3" s="1"/>
  <c r="D19" i="3"/>
  <c r="F19" i="3" s="1"/>
  <c r="D20" i="3"/>
  <c r="F20" i="3" s="1"/>
  <c r="D21" i="3"/>
  <c r="F21" i="3" s="1"/>
  <c r="D22" i="3"/>
  <c r="F22" i="3" s="1"/>
  <c r="D23" i="3"/>
  <c r="F23" i="3" s="1"/>
  <c r="D24" i="3"/>
  <c r="F24" i="3" s="1"/>
  <c r="D25" i="3"/>
  <c r="F25" i="3" s="1"/>
  <c r="D26" i="3"/>
  <c r="F26" i="3" s="1"/>
  <c r="D27" i="3"/>
  <c r="F27" i="3" s="1"/>
  <c r="D28" i="3"/>
  <c r="F28" i="3" s="1"/>
  <c r="D29" i="3"/>
  <c r="F29" i="3" s="1"/>
  <c r="D30" i="3"/>
  <c r="F30" i="3" s="1"/>
  <c r="D31" i="3"/>
  <c r="F31" i="3" s="1"/>
  <c r="D32" i="3"/>
  <c r="F32" i="3" s="1"/>
  <c r="D33" i="3"/>
  <c r="F33" i="3" s="1"/>
  <c r="D34" i="3"/>
  <c r="F34" i="3" s="1"/>
  <c r="D35" i="3"/>
  <c r="F35" i="3" s="1"/>
  <c r="D36" i="3"/>
  <c r="F36" i="3" s="1"/>
  <c r="D37" i="3"/>
  <c r="F37" i="3" s="1"/>
  <c r="D38" i="3"/>
  <c r="F38" i="3" s="1"/>
  <c r="D39" i="3"/>
  <c r="F39" i="3" s="1"/>
  <c r="D40" i="3"/>
  <c r="F40" i="3" s="1"/>
  <c r="D41" i="3"/>
  <c r="F41" i="3" s="1"/>
  <c r="D42" i="3"/>
  <c r="F42" i="3" s="1"/>
  <c r="D43" i="3"/>
  <c r="F43" i="3" s="1"/>
  <c r="D44" i="3"/>
  <c r="F44" i="3" s="1"/>
  <c r="D45" i="3"/>
  <c r="F45" i="3" s="1"/>
  <c r="D46" i="3"/>
  <c r="F46" i="3" s="1"/>
  <c r="D47" i="3"/>
  <c r="F47" i="3" s="1"/>
  <c r="D48" i="3"/>
  <c r="F48" i="3" s="1"/>
  <c r="D49" i="3"/>
  <c r="F49" i="3" s="1"/>
  <c r="D50" i="3"/>
  <c r="F50" i="3" s="1"/>
  <c r="D51" i="3"/>
  <c r="F51" i="3" s="1"/>
  <c r="D52" i="3"/>
  <c r="F52" i="3" s="1"/>
  <c r="D53" i="3"/>
  <c r="F53" i="3" s="1"/>
  <c r="D54" i="3"/>
  <c r="F54" i="3" s="1"/>
  <c r="D55" i="3"/>
  <c r="F55" i="3" s="1"/>
  <c r="D56" i="3"/>
  <c r="F56" i="3" s="1"/>
  <c r="D57" i="3"/>
  <c r="F57" i="3" s="1"/>
  <c r="D58" i="3"/>
  <c r="F58" i="3" s="1"/>
  <c r="D59" i="3"/>
  <c r="F59" i="3" s="1"/>
  <c r="D60" i="3"/>
  <c r="F60" i="3" s="1"/>
  <c r="D61" i="3"/>
  <c r="F61" i="3" s="1"/>
  <c r="D62" i="3"/>
  <c r="F62" i="3" s="1"/>
  <c r="D63" i="3"/>
  <c r="F63" i="3" s="1"/>
  <c r="D64" i="3"/>
  <c r="F64" i="3" s="1"/>
  <c r="D65" i="3"/>
  <c r="F65" i="3" s="1"/>
  <c r="D6" i="3"/>
  <c r="F6" i="3" s="1"/>
  <c r="E6" i="3"/>
  <c r="H6" i="7" l="1"/>
  <c r="I6" i="7" s="1"/>
  <c r="G6" i="7"/>
  <c r="H6" i="3"/>
  <c r="J6" i="3"/>
  <c r="L6" i="3" s="1"/>
  <c r="S6" i="3" s="1"/>
  <c r="G6" i="3"/>
  <c r="I6" i="3" s="1"/>
  <c r="R6" i="3" s="1"/>
  <c r="J6" i="7" l="1"/>
  <c r="C7" i="7"/>
  <c r="K6" i="3"/>
  <c r="T6" i="3" s="1"/>
  <c r="N6" i="3"/>
  <c r="O6" i="3" s="1"/>
  <c r="P6" i="3"/>
  <c r="Q6" i="3" s="1"/>
  <c r="M6" i="3"/>
  <c r="E7" i="3"/>
  <c r="G7" i="3"/>
  <c r="F7" i="7" l="1"/>
  <c r="L7" i="7" s="1"/>
  <c r="E7" i="7"/>
  <c r="D7" i="7"/>
  <c r="U6" i="3"/>
  <c r="J7" i="3"/>
  <c r="H7" i="3"/>
  <c r="G8" i="3"/>
  <c r="G7" i="7" l="1"/>
  <c r="H7" i="7"/>
  <c r="I7" i="7" s="1"/>
  <c r="K7" i="7"/>
  <c r="K7" i="3"/>
  <c r="T7" i="3" s="1"/>
  <c r="L7" i="3"/>
  <c r="S7" i="3" s="1"/>
  <c r="I7" i="3"/>
  <c r="E8" i="3" s="1"/>
  <c r="C8" i="7" l="1"/>
  <c r="J7" i="7"/>
  <c r="R7" i="3"/>
  <c r="N7" i="3"/>
  <c r="O7" i="3" s="1"/>
  <c r="M7" i="3"/>
  <c r="J8" i="3"/>
  <c r="K8" i="3" s="1"/>
  <c r="T8" i="3" s="1"/>
  <c r="P7" i="3"/>
  <c r="Q7" i="3" s="1"/>
  <c r="U7" i="3" s="1"/>
  <c r="L8" i="3"/>
  <c r="S8" i="3" s="1"/>
  <c r="H8" i="3"/>
  <c r="G9" i="3"/>
  <c r="F8" i="7" l="1"/>
  <c r="L8" i="7" s="1"/>
  <c r="E8" i="7"/>
  <c r="D8" i="7"/>
  <c r="I8" i="3"/>
  <c r="E9" i="3" s="1"/>
  <c r="G10" i="3"/>
  <c r="H8" i="7" l="1"/>
  <c r="I8" i="7" s="1"/>
  <c r="J8" i="7" s="1"/>
  <c r="G8" i="7"/>
  <c r="K8" i="7"/>
  <c r="N8" i="3"/>
  <c r="O8" i="3" s="1"/>
  <c r="J9" i="3"/>
  <c r="L9" i="3" s="1"/>
  <c r="S9" i="3" s="1"/>
  <c r="M8" i="3"/>
  <c r="P8" i="3"/>
  <c r="Q8" i="3" s="1"/>
  <c r="R8" i="3"/>
  <c r="K9" i="3"/>
  <c r="T9" i="3" s="1"/>
  <c r="H9" i="3"/>
  <c r="G11" i="3"/>
  <c r="C9" i="7" l="1"/>
  <c r="U8" i="3"/>
  <c r="I9" i="3"/>
  <c r="N9" i="3" s="1"/>
  <c r="O9" i="3" s="1"/>
  <c r="E9" i="7" l="1"/>
  <c r="F9" i="7"/>
  <c r="L9" i="7" s="1"/>
  <c r="D9" i="7"/>
  <c r="E10" i="3"/>
  <c r="R9" i="3"/>
  <c r="M9" i="3"/>
  <c r="P9" i="3"/>
  <c r="Q9" i="3" s="1"/>
  <c r="U9" i="3" s="1"/>
  <c r="G12" i="3"/>
  <c r="H9" i="7" l="1"/>
  <c r="I9" i="7" s="1"/>
  <c r="G9" i="7"/>
  <c r="K9" i="7"/>
  <c r="J10" i="3"/>
  <c r="H10" i="3"/>
  <c r="J9" i="7" l="1"/>
  <c r="C10" i="7"/>
  <c r="L10" i="3"/>
  <c r="S10" i="3" s="1"/>
  <c r="K10" i="3"/>
  <c r="T10" i="3" s="1"/>
  <c r="I10" i="3"/>
  <c r="N10" i="3" s="1"/>
  <c r="O10" i="3" s="1"/>
  <c r="M10" i="3"/>
  <c r="G13" i="3"/>
  <c r="F10" i="7" l="1"/>
  <c r="L10" i="7" s="1"/>
  <c r="D10" i="7"/>
  <c r="E10" i="7"/>
  <c r="P10" i="3"/>
  <c r="Q10" i="3" s="1"/>
  <c r="R10" i="3"/>
  <c r="E11" i="3"/>
  <c r="H10" i="7" l="1"/>
  <c r="I10" i="7" s="1"/>
  <c r="J10" i="7" s="1"/>
  <c r="G10" i="7"/>
  <c r="K10" i="7"/>
  <c r="U10" i="3"/>
  <c r="H11" i="3"/>
  <c r="J11" i="3"/>
  <c r="G14" i="3"/>
  <c r="C11" i="7" l="1"/>
  <c r="F11" i="7" s="1"/>
  <c r="L11" i="7" s="1"/>
  <c r="I11" i="3"/>
  <c r="N11" i="3" s="1"/>
  <c r="O11" i="3" s="1"/>
  <c r="K11" i="3"/>
  <c r="T11" i="3" s="1"/>
  <c r="L11" i="3"/>
  <c r="S11" i="3" s="1"/>
  <c r="E11" i="7" l="1"/>
  <c r="K11" i="7" s="1"/>
  <c r="D11" i="7"/>
  <c r="G11" i="7" s="1"/>
  <c r="E12" i="3"/>
  <c r="R11" i="3"/>
  <c r="M11" i="3"/>
  <c r="P11" i="3"/>
  <c r="Q11" i="3" s="1"/>
  <c r="U11" i="3" s="1"/>
  <c r="G15" i="3"/>
  <c r="H11" i="7" l="1"/>
  <c r="I11" i="7" s="1"/>
  <c r="C12" i="7" s="1"/>
  <c r="F12" i="7" s="1"/>
  <c r="L12" i="7" s="1"/>
  <c r="J12" i="3"/>
  <c r="H12" i="3"/>
  <c r="J11" i="7" l="1"/>
  <c r="E12" i="7"/>
  <c r="K12" i="7" s="1"/>
  <c r="D12" i="7"/>
  <c r="H12" i="7" s="1"/>
  <c r="I12" i="7" s="1"/>
  <c r="I12" i="3"/>
  <c r="E13" i="3" s="1"/>
  <c r="L12" i="3"/>
  <c r="S12" i="3" s="1"/>
  <c r="K12" i="3"/>
  <c r="T12" i="3" s="1"/>
  <c r="G16" i="3"/>
  <c r="G12" i="7" l="1"/>
  <c r="J12" i="7"/>
  <c r="C13" i="7"/>
  <c r="N12" i="3"/>
  <c r="O12" i="3" s="1"/>
  <c r="P12" i="3"/>
  <c r="Q12" i="3" s="1"/>
  <c r="J13" i="3"/>
  <c r="H13" i="3"/>
  <c r="M12" i="3"/>
  <c r="R12" i="3"/>
  <c r="F13" i="7" l="1"/>
  <c r="L13" i="7" s="1"/>
  <c r="E13" i="7"/>
  <c r="K13" i="7" s="1"/>
  <c r="D13" i="7"/>
  <c r="U12" i="3"/>
  <c r="I13" i="3"/>
  <c r="E14" i="3" s="1"/>
  <c r="H14" i="3" s="1"/>
  <c r="M13" i="3"/>
  <c r="K13" i="3"/>
  <c r="T13" i="3" s="1"/>
  <c r="L13" i="3"/>
  <c r="S13" i="3" s="1"/>
  <c r="G17" i="3"/>
  <c r="G13" i="7" l="1"/>
  <c r="H13" i="7"/>
  <c r="I13" i="7" s="1"/>
  <c r="J14" i="3"/>
  <c r="R13" i="3"/>
  <c r="P13" i="3"/>
  <c r="Q13" i="3" s="1"/>
  <c r="N13" i="3"/>
  <c r="O13" i="3" s="1"/>
  <c r="I14" i="3"/>
  <c r="E15" i="3" s="1"/>
  <c r="K14" i="3"/>
  <c r="T14" i="3" s="1"/>
  <c r="L14" i="3"/>
  <c r="S14" i="3" s="1"/>
  <c r="C14" i="7" l="1"/>
  <c r="J13" i="7"/>
  <c r="U13" i="3"/>
  <c r="P14" i="3"/>
  <c r="Q14" i="3" s="1"/>
  <c r="N14" i="3"/>
  <c r="O14" i="3" s="1"/>
  <c r="J15" i="3"/>
  <c r="H15" i="3"/>
  <c r="R14" i="3"/>
  <c r="M14" i="3"/>
  <c r="G18" i="3"/>
  <c r="E14" i="7" l="1"/>
  <c r="K14" i="7" s="1"/>
  <c r="F14" i="7"/>
  <c r="L14" i="7" s="1"/>
  <c r="D14" i="7"/>
  <c r="U14" i="3"/>
  <c r="K15" i="3"/>
  <c r="T15" i="3" s="1"/>
  <c r="L15" i="3"/>
  <c r="S15" i="3" s="1"/>
  <c r="I15" i="3"/>
  <c r="E16" i="3" s="1"/>
  <c r="H14" i="7" l="1"/>
  <c r="I14" i="7" s="1"/>
  <c r="G14" i="7"/>
  <c r="R15" i="3"/>
  <c r="N15" i="3"/>
  <c r="O15" i="3" s="1"/>
  <c r="J16" i="3"/>
  <c r="H16" i="3"/>
  <c r="I16" i="3"/>
  <c r="E17" i="3" s="1"/>
  <c r="M15" i="3"/>
  <c r="P15" i="3"/>
  <c r="Q15" i="3" s="1"/>
  <c r="U15" i="3" s="1"/>
  <c r="G19" i="3"/>
  <c r="C15" i="7" l="1"/>
  <c r="J14" i="7"/>
  <c r="N16" i="3"/>
  <c r="J17" i="3"/>
  <c r="H17" i="3"/>
  <c r="O16" i="3"/>
  <c r="P16" i="3"/>
  <c r="Q16" i="3" s="1"/>
  <c r="M16" i="3"/>
  <c r="K16" i="3"/>
  <c r="T16" i="3" s="1"/>
  <c r="L16" i="3"/>
  <c r="S16" i="3" s="1"/>
  <c r="R16" i="3"/>
  <c r="F15" i="7" l="1"/>
  <c r="L15" i="7" s="1"/>
  <c r="E15" i="7"/>
  <c r="K15" i="7" s="1"/>
  <c r="D15" i="7"/>
  <c r="U16" i="3"/>
  <c r="I17" i="3"/>
  <c r="E18" i="3" s="1"/>
  <c r="H18" i="3" s="1"/>
  <c r="I18" i="3" s="1"/>
  <c r="E19" i="3" s="1"/>
  <c r="K17" i="3"/>
  <c r="T17" i="3" s="1"/>
  <c r="L17" i="3"/>
  <c r="S17" i="3" s="1"/>
  <c r="G20" i="3"/>
  <c r="G15" i="7" l="1"/>
  <c r="H15" i="7"/>
  <c r="I15" i="7" s="1"/>
  <c r="R17" i="3"/>
  <c r="J18" i="3"/>
  <c r="M17" i="3"/>
  <c r="N18" i="3"/>
  <c r="O18" i="3" s="1"/>
  <c r="P17" i="3"/>
  <c r="Q17" i="3" s="1"/>
  <c r="N17" i="3"/>
  <c r="O17" i="3" s="1"/>
  <c r="J19" i="3"/>
  <c r="H19" i="3"/>
  <c r="I19" i="3" s="1"/>
  <c r="E20" i="3" s="1"/>
  <c r="P18" i="3"/>
  <c r="Q18" i="3" s="1"/>
  <c r="M18" i="3"/>
  <c r="L18" i="3"/>
  <c r="S18" i="3" s="1"/>
  <c r="K18" i="3"/>
  <c r="T18" i="3" s="1"/>
  <c r="R18" i="3"/>
  <c r="J15" i="7" l="1"/>
  <c r="C16" i="7"/>
  <c r="U17" i="3"/>
  <c r="U18" i="3"/>
  <c r="N19" i="3"/>
  <c r="J20" i="3"/>
  <c r="H20" i="3"/>
  <c r="O19" i="3"/>
  <c r="P19" i="3"/>
  <c r="Q19" i="3" s="1"/>
  <c r="M19" i="3"/>
  <c r="L19" i="3"/>
  <c r="S19" i="3" s="1"/>
  <c r="K19" i="3"/>
  <c r="T19" i="3" s="1"/>
  <c r="R19" i="3"/>
  <c r="G21" i="3"/>
  <c r="D16" i="7" l="1"/>
  <c r="F16" i="7"/>
  <c r="L16" i="7" s="1"/>
  <c r="E16" i="7"/>
  <c r="K16" i="7" s="1"/>
  <c r="U19" i="3"/>
  <c r="K20" i="3"/>
  <c r="T20" i="3" s="1"/>
  <c r="L20" i="3"/>
  <c r="S20" i="3" s="1"/>
  <c r="I20" i="3"/>
  <c r="P20" i="3" s="1"/>
  <c r="Q20" i="3" s="1"/>
  <c r="H16" i="7" l="1"/>
  <c r="I16" i="7" s="1"/>
  <c r="C17" i="7" s="1"/>
  <c r="G16" i="7"/>
  <c r="N20" i="3"/>
  <c r="O20" i="3" s="1"/>
  <c r="E21" i="3"/>
  <c r="M20" i="3"/>
  <c r="R20" i="3"/>
  <c r="U20" i="3" s="1"/>
  <c r="G22" i="3"/>
  <c r="F17" i="7" l="1"/>
  <c r="L17" i="7" s="1"/>
  <c r="D17" i="7"/>
  <c r="E17" i="7"/>
  <c r="K17" i="7" s="1"/>
  <c r="J16" i="7"/>
  <c r="J21" i="3"/>
  <c r="H21" i="3"/>
  <c r="H17" i="7" l="1"/>
  <c r="I17" i="7" s="1"/>
  <c r="G17" i="7"/>
  <c r="K21" i="3"/>
  <c r="T21" i="3" s="1"/>
  <c r="L21" i="3"/>
  <c r="S21" i="3" s="1"/>
  <c r="I21" i="3"/>
  <c r="E22" i="3" s="1"/>
  <c r="R21" i="3"/>
  <c r="G23" i="3"/>
  <c r="J17" i="7" l="1"/>
  <c r="C18" i="7"/>
  <c r="M21" i="3"/>
  <c r="P21" i="3"/>
  <c r="Q21" i="3" s="1"/>
  <c r="N21" i="3"/>
  <c r="O21" i="3" s="1"/>
  <c r="H22" i="3"/>
  <c r="J22" i="3"/>
  <c r="F18" i="7" l="1"/>
  <c r="L18" i="7" s="1"/>
  <c r="D18" i="7"/>
  <c r="E18" i="7"/>
  <c r="K18" i="7" s="1"/>
  <c r="U21" i="3"/>
  <c r="I22" i="3"/>
  <c r="E23" i="3" s="1"/>
  <c r="K22" i="3"/>
  <c r="T22" i="3" s="1"/>
  <c r="L22" i="3"/>
  <c r="S22" i="3" s="1"/>
  <c r="G24" i="3"/>
  <c r="H18" i="7" l="1"/>
  <c r="I18" i="7" s="1"/>
  <c r="G18" i="7"/>
  <c r="N22" i="3"/>
  <c r="O22" i="3" s="1"/>
  <c r="J23" i="3"/>
  <c r="H23" i="3"/>
  <c r="M22" i="3"/>
  <c r="P22" i="3"/>
  <c r="Q22" i="3" s="1"/>
  <c r="U22" i="3" s="1"/>
  <c r="R22" i="3"/>
  <c r="J18" i="7" l="1"/>
  <c r="C19" i="7"/>
  <c r="I23" i="3"/>
  <c r="E24" i="3" s="1"/>
  <c r="L23" i="3"/>
  <c r="S23" i="3" s="1"/>
  <c r="K23" i="3"/>
  <c r="T23" i="3" s="1"/>
  <c r="G25" i="3"/>
  <c r="F19" i="7" l="1"/>
  <c r="L19" i="7" s="1"/>
  <c r="D19" i="7"/>
  <c r="E19" i="7"/>
  <c r="K19" i="7" s="1"/>
  <c r="R23" i="3"/>
  <c r="N23" i="3"/>
  <c r="O23" i="3" s="1"/>
  <c r="J24" i="3"/>
  <c r="H24" i="3"/>
  <c r="M23" i="3"/>
  <c r="P23" i="3"/>
  <c r="Q23" i="3" s="1"/>
  <c r="U23" i="3" s="1"/>
  <c r="H19" i="7" l="1"/>
  <c r="I19" i="7" s="1"/>
  <c r="G19" i="7"/>
  <c r="L24" i="3"/>
  <c r="S24" i="3" s="1"/>
  <c r="K24" i="3"/>
  <c r="T24" i="3" s="1"/>
  <c r="I24" i="3"/>
  <c r="E25" i="3" s="1"/>
  <c r="G26" i="3"/>
  <c r="C20" i="7" l="1"/>
  <c r="J19" i="7"/>
  <c r="N24" i="3"/>
  <c r="O24" i="3" s="1"/>
  <c r="J25" i="3"/>
  <c r="H25" i="3"/>
  <c r="I25" i="3"/>
  <c r="R25" i="3" s="1"/>
  <c r="M24" i="3"/>
  <c r="R24" i="3"/>
  <c r="P24" i="3"/>
  <c r="Q24" i="3" s="1"/>
  <c r="U24" i="3" s="1"/>
  <c r="F20" i="7" l="1"/>
  <c r="L20" i="7" s="1"/>
  <c r="E20" i="7"/>
  <c r="K20" i="7" s="1"/>
  <c r="D20" i="7"/>
  <c r="N25" i="3"/>
  <c r="O25" i="3" s="1"/>
  <c r="L25" i="3"/>
  <c r="S25" i="3" s="1"/>
  <c r="K25" i="3"/>
  <c r="T25" i="3" s="1"/>
  <c r="M25" i="3"/>
  <c r="P25" i="3"/>
  <c r="Q25" i="3" s="1"/>
  <c r="E26" i="3"/>
  <c r="G27" i="3"/>
  <c r="H20" i="7" l="1"/>
  <c r="I20" i="7" s="1"/>
  <c r="G20" i="7"/>
  <c r="U25" i="3"/>
  <c r="J26" i="3"/>
  <c r="H26" i="3"/>
  <c r="I26" i="3" s="1"/>
  <c r="E27" i="3" s="1"/>
  <c r="C21" i="7" l="1"/>
  <c r="J20" i="7"/>
  <c r="N26" i="3"/>
  <c r="O26" i="3"/>
  <c r="P26" i="3"/>
  <c r="Q26" i="3" s="1"/>
  <c r="M26" i="3"/>
  <c r="K26" i="3"/>
  <c r="T26" i="3" s="1"/>
  <c r="L26" i="3"/>
  <c r="S26" i="3" s="1"/>
  <c r="J27" i="3"/>
  <c r="H27" i="3"/>
  <c r="R26" i="3"/>
  <c r="G28" i="3"/>
  <c r="F21" i="7" l="1"/>
  <c r="L21" i="7" s="1"/>
  <c r="E21" i="7"/>
  <c r="K21" i="7" s="1"/>
  <c r="D21" i="7"/>
  <c r="U26" i="3"/>
  <c r="K27" i="3"/>
  <c r="T27" i="3" s="1"/>
  <c r="L27" i="3"/>
  <c r="S27" i="3" s="1"/>
  <c r="I27" i="3"/>
  <c r="H21" i="7" l="1"/>
  <c r="I21" i="7" s="1"/>
  <c r="G21" i="7"/>
  <c r="E28" i="3"/>
  <c r="J28" i="3" s="1"/>
  <c r="N27" i="3"/>
  <c r="O27" i="3" s="1"/>
  <c r="H28" i="3"/>
  <c r="R27" i="3"/>
  <c r="M27" i="3"/>
  <c r="I28" i="3"/>
  <c r="E29" i="3" s="1"/>
  <c r="P27" i="3"/>
  <c r="Q27" i="3" s="1"/>
  <c r="U27" i="3" s="1"/>
  <c r="G29" i="3"/>
  <c r="C22" i="7" l="1"/>
  <c r="J21" i="7"/>
  <c r="N28" i="3"/>
  <c r="K28" i="3"/>
  <c r="T28" i="3" s="1"/>
  <c r="L28" i="3"/>
  <c r="S28" i="3" s="1"/>
  <c r="H29" i="3"/>
  <c r="R28" i="3"/>
  <c r="J29" i="3"/>
  <c r="K29" i="3" s="1"/>
  <c r="T29" i="3" s="1"/>
  <c r="O28" i="3"/>
  <c r="P28" i="3"/>
  <c r="Q28" i="3" s="1"/>
  <c r="M28" i="3"/>
  <c r="F22" i="7" l="1"/>
  <c r="L22" i="7" s="1"/>
  <c r="E22" i="7"/>
  <c r="K22" i="7" s="1"/>
  <c r="D22" i="7"/>
  <c r="U28" i="3"/>
  <c r="L29" i="3"/>
  <c r="S29" i="3" s="1"/>
  <c r="I29" i="3"/>
  <c r="N29" i="3" s="1"/>
  <c r="O29" i="3" s="1"/>
  <c r="G30" i="3"/>
  <c r="H22" i="7" l="1"/>
  <c r="I22" i="7" s="1"/>
  <c r="C23" i="7" s="1"/>
  <c r="G22" i="7"/>
  <c r="P29" i="3"/>
  <c r="Q29" i="3" s="1"/>
  <c r="M29" i="3"/>
  <c r="E30" i="3"/>
  <c r="R29" i="3"/>
  <c r="E23" i="7" l="1"/>
  <c r="K23" i="7" s="1"/>
  <c r="F23" i="7"/>
  <c r="L23" i="7" s="1"/>
  <c r="D23" i="7"/>
  <c r="J22" i="7"/>
  <c r="U29" i="3"/>
  <c r="H30" i="3"/>
  <c r="J30" i="3"/>
  <c r="G31" i="3"/>
  <c r="H23" i="7" l="1"/>
  <c r="I23" i="7" s="1"/>
  <c r="G23" i="7"/>
  <c r="L30" i="3"/>
  <c r="S30" i="3" s="1"/>
  <c r="K30" i="3"/>
  <c r="T30" i="3" s="1"/>
  <c r="I30" i="3"/>
  <c r="E31" i="3" s="1"/>
  <c r="J23" i="7" l="1"/>
  <c r="C24" i="7"/>
  <c r="R30" i="3"/>
  <c r="P30" i="3"/>
  <c r="Q30" i="3" s="1"/>
  <c r="N30" i="3"/>
  <c r="O30" i="3" s="1"/>
  <c r="J31" i="3"/>
  <c r="H31" i="3"/>
  <c r="M30" i="3"/>
  <c r="G32" i="3"/>
  <c r="E24" i="7" l="1"/>
  <c r="K24" i="7" s="1"/>
  <c r="D24" i="7"/>
  <c r="F24" i="7"/>
  <c r="L24" i="7" s="1"/>
  <c r="U30" i="3"/>
  <c r="I31" i="3"/>
  <c r="E32" i="3" s="1"/>
  <c r="L31" i="3"/>
  <c r="S31" i="3" s="1"/>
  <c r="K31" i="3"/>
  <c r="T31" i="3" s="1"/>
  <c r="H24" i="7" l="1"/>
  <c r="I24" i="7" s="1"/>
  <c r="C25" i="7" s="1"/>
  <c r="G24" i="7"/>
  <c r="P31" i="3"/>
  <c r="Q31" i="3" s="1"/>
  <c r="N31" i="3"/>
  <c r="O31" i="3" s="1"/>
  <c r="J32" i="3"/>
  <c r="H32" i="3"/>
  <c r="R31" i="3"/>
  <c r="M31" i="3"/>
  <c r="G33" i="3"/>
  <c r="F25" i="7" l="1"/>
  <c r="L25" i="7" s="1"/>
  <c r="E25" i="7"/>
  <c r="K25" i="7" s="1"/>
  <c r="D25" i="7"/>
  <c r="J24" i="7"/>
  <c r="U31" i="3"/>
  <c r="I32" i="3"/>
  <c r="N32" i="3" s="1"/>
  <c r="O32" i="3" s="1"/>
  <c r="K32" i="3"/>
  <c r="T32" i="3" s="1"/>
  <c r="L32" i="3"/>
  <c r="S32" i="3" s="1"/>
  <c r="H25" i="7" l="1"/>
  <c r="I25" i="7" s="1"/>
  <c r="G25" i="7"/>
  <c r="P32" i="3"/>
  <c r="Q32" i="3" s="1"/>
  <c r="E33" i="3"/>
  <c r="R32" i="3"/>
  <c r="M32" i="3"/>
  <c r="G34" i="3"/>
  <c r="J25" i="7" l="1"/>
  <c r="C26" i="7"/>
  <c r="U32" i="3"/>
  <c r="J33" i="3"/>
  <c r="H33" i="3"/>
  <c r="I33" i="3" s="1"/>
  <c r="E34" i="3" s="1"/>
  <c r="F26" i="7" l="1"/>
  <c r="L26" i="7" s="1"/>
  <c r="D26" i="7"/>
  <c r="E26" i="7"/>
  <c r="K26" i="7" s="1"/>
  <c r="N33" i="3"/>
  <c r="R33" i="3"/>
  <c r="K33" i="3"/>
  <c r="T33" i="3" s="1"/>
  <c r="L33" i="3"/>
  <c r="S33" i="3" s="1"/>
  <c r="J34" i="3"/>
  <c r="H34" i="3"/>
  <c r="O33" i="3"/>
  <c r="M33" i="3"/>
  <c r="P33" i="3"/>
  <c r="Q33" i="3" s="1"/>
  <c r="G35" i="3"/>
  <c r="H26" i="7" l="1"/>
  <c r="I26" i="7" s="1"/>
  <c r="C27" i="7" s="1"/>
  <c r="G26" i="7"/>
  <c r="U33" i="3"/>
  <c r="I34" i="3"/>
  <c r="E35" i="3" s="1"/>
  <c r="K34" i="3"/>
  <c r="T34" i="3" s="1"/>
  <c r="L34" i="3"/>
  <c r="S34" i="3" s="1"/>
  <c r="R34" i="3"/>
  <c r="F27" i="7" l="1"/>
  <c r="L27" i="7" s="1"/>
  <c r="D27" i="7"/>
  <c r="E27" i="7"/>
  <c r="K27" i="7" s="1"/>
  <c r="J26" i="7"/>
  <c r="N34" i="3"/>
  <c r="O34" i="3" s="1"/>
  <c r="J35" i="3"/>
  <c r="H35" i="3"/>
  <c r="M34" i="3"/>
  <c r="P34" i="3"/>
  <c r="Q34" i="3" s="1"/>
  <c r="U34" i="3" s="1"/>
  <c r="G36" i="3"/>
  <c r="H27" i="7" l="1"/>
  <c r="I27" i="7" s="1"/>
  <c r="J27" i="7" s="1"/>
  <c r="G27" i="7"/>
  <c r="I35" i="3"/>
  <c r="E36" i="3" s="1"/>
  <c r="K35" i="3"/>
  <c r="T35" i="3" s="1"/>
  <c r="L35" i="3"/>
  <c r="S35" i="3" s="1"/>
  <c r="C28" i="7" l="1"/>
  <c r="P35" i="3"/>
  <c r="Q35" i="3" s="1"/>
  <c r="N35" i="3"/>
  <c r="O35" i="3" s="1"/>
  <c r="J36" i="3"/>
  <c r="H36" i="3"/>
  <c r="R35" i="3"/>
  <c r="M35" i="3"/>
  <c r="G37" i="3"/>
  <c r="F28" i="7" l="1"/>
  <c r="L28" i="7" s="1"/>
  <c r="D28" i="7"/>
  <c r="E28" i="7"/>
  <c r="K28" i="7" s="1"/>
  <c r="U35" i="3"/>
  <c r="U67" i="3"/>
  <c r="I36" i="3"/>
  <c r="N36" i="3" s="1"/>
  <c r="O36" i="3" s="1"/>
  <c r="K36" i="3"/>
  <c r="T36" i="3" s="1"/>
  <c r="L36" i="3"/>
  <c r="S36" i="3" s="1"/>
  <c r="H28" i="7" l="1"/>
  <c r="I28" i="7" s="1"/>
  <c r="C29" i="7" s="1"/>
  <c r="G28" i="7"/>
  <c r="E37" i="3"/>
  <c r="R36" i="3"/>
  <c r="P36" i="3"/>
  <c r="Q36" i="3" s="1"/>
  <c r="U36" i="3" s="1"/>
  <c r="M36" i="3"/>
  <c r="G38" i="3"/>
  <c r="F29" i="7" l="1"/>
  <c r="L29" i="7" s="1"/>
  <c r="D29" i="7"/>
  <c r="E29" i="7"/>
  <c r="K29" i="7" s="1"/>
  <c r="J28" i="7"/>
  <c r="J37" i="3"/>
  <c r="H37" i="3"/>
  <c r="G29" i="7" l="1"/>
  <c r="H29" i="7"/>
  <c r="I29" i="7" s="1"/>
  <c r="L37" i="3"/>
  <c r="S37" i="3" s="1"/>
  <c r="K37" i="3"/>
  <c r="T37" i="3" s="1"/>
  <c r="I37" i="3"/>
  <c r="E38" i="3" s="1"/>
  <c r="G39" i="3"/>
  <c r="C30" i="7" l="1"/>
  <c r="J29" i="7"/>
  <c r="N37" i="3"/>
  <c r="O37" i="3" s="1"/>
  <c r="M37" i="3"/>
  <c r="R37" i="3"/>
  <c r="P37" i="3"/>
  <c r="Q37" i="3" s="1"/>
  <c r="U37" i="3" s="1"/>
  <c r="J38" i="3"/>
  <c r="H38" i="3"/>
  <c r="F30" i="7" l="1"/>
  <c r="L30" i="7" s="1"/>
  <c r="E30" i="7"/>
  <c r="K30" i="7" s="1"/>
  <c r="D30" i="7"/>
  <c r="I38" i="3"/>
  <c r="E39" i="3" s="1"/>
  <c r="H39" i="3" s="1"/>
  <c r="K38" i="3"/>
  <c r="T38" i="3" s="1"/>
  <c r="L38" i="3"/>
  <c r="S38" i="3" s="1"/>
  <c r="G40" i="3"/>
  <c r="H30" i="7" l="1"/>
  <c r="I30" i="7" s="1"/>
  <c r="C31" i="7" s="1"/>
  <c r="G30" i="7"/>
  <c r="I39" i="3"/>
  <c r="E40" i="3" s="1"/>
  <c r="J40" i="3" s="1"/>
  <c r="K40" i="3" s="1"/>
  <c r="T40" i="3" s="1"/>
  <c r="J39" i="3"/>
  <c r="N39" i="3"/>
  <c r="O39" i="3" s="1"/>
  <c r="H40" i="3"/>
  <c r="M38" i="3"/>
  <c r="P38" i="3"/>
  <c r="Q38" i="3" s="1"/>
  <c r="R38" i="3"/>
  <c r="N38" i="3"/>
  <c r="O38" i="3" s="1"/>
  <c r="R39" i="3"/>
  <c r="P39" i="3"/>
  <c r="Q39" i="3" s="1"/>
  <c r="M39" i="3"/>
  <c r="L39" i="3"/>
  <c r="S39" i="3" s="1"/>
  <c r="K39" i="3"/>
  <c r="T39" i="3" s="1"/>
  <c r="U39" i="3" s="1"/>
  <c r="J30" i="7" l="1"/>
  <c r="F31" i="7"/>
  <c r="L31" i="7" s="1"/>
  <c r="E31" i="7"/>
  <c r="K31" i="7" s="1"/>
  <c r="D31" i="7"/>
  <c r="U38" i="3"/>
  <c r="I40" i="3"/>
  <c r="E41" i="3" s="1"/>
  <c r="L40" i="3"/>
  <c r="S40" i="3" s="1"/>
  <c r="R40" i="3"/>
  <c r="J41" i="3"/>
  <c r="H41" i="3"/>
  <c r="G41" i="3"/>
  <c r="H31" i="7" l="1"/>
  <c r="I31" i="7" s="1"/>
  <c r="G31" i="7"/>
  <c r="N40" i="3"/>
  <c r="O40" i="3" s="1"/>
  <c r="M40" i="3"/>
  <c r="P40" i="3"/>
  <c r="Q40" i="3" s="1"/>
  <c r="U40" i="3" s="1"/>
  <c r="K41" i="3"/>
  <c r="T41" i="3" s="1"/>
  <c r="L41" i="3"/>
  <c r="S41" i="3" s="1"/>
  <c r="I41" i="3"/>
  <c r="N41" i="3" s="1"/>
  <c r="O41" i="3" s="1"/>
  <c r="J31" i="7" l="1"/>
  <c r="C32" i="7"/>
  <c r="E42" i="3"/>
  <c r="J42" i="3" s="1"/>
  <c r="R41" i="3"/>
  <c r="M41" i="3"/>
  <c r="P41" i="3"/>
  <c r="Q41" i="3" s="1"/>
  <c r="U41" i="3" s="1"/>
  <c r="G42" i="3"/>
  <c r="H42" i="3"/>
  <c r="D32" i="7" l="1"/>
  <c r="F32" i="7"/>
  <c r="L32" i="7" s="1"/>
  <c r="E32" i="7"/>
  <c r="K32" i="7" s="1"/>
  <c r="K42" i="3"/>
  <c r="T42" i="3" s="1"/>
  <c r="L42" i="3"/>
  <c r="S42" i="3" s="1"/>
  <c r="I42" i="3"/>
  <c r="E43" i="3" s="1"/>
  <c r="H32" i="7" l="1"/>
  <c r="I32" i="7" s="1"/>
  <c r="C33" i="7" s="1"/>
  <c r="G32" i="7"/>
  <c r="R42" i="3"/>
  <c r="M42" i="3"/>
  <c r="N42" i="3"/>
  <c r="O42" i="3" s="1"/>
  <c r="P42" i="3"/>
  <c r="Q42" i="3" s="1"/>
  <c r="U42" i="3" s="1"/>
  <c r="J43" i="3"/>
  <c r="H43" i="3"/>
  <c r="G43" i="3"/>
  <c r="F33" i="7" l="1"/>
  <c r="L33" i="7" s="1"/>
  <c r="D33" i="7"/>
  <c r="E33" i="7"/>
  <c r="K33" i="7" s="1"/>
  <c r="J32" i="7"/>
  <c r="K43" i="3"/>
  <c r="T43" i="3" s="1"/>
  <c r="L43" i="3"/>
  <c r="S43" i="3" s="1"/>
  <c r="I43" i="3"/>
  <c r="E44" i="3" s="1"/>
  <c r="H33" i="7" l="1"/>
  <c r="I33" i="7" s="1"/>
  <c r="G33" i="7"/>
  <c r="R43" i="3"/>
  <c r="M43" i="3"/>
  <c r="N43" i="3"/>
  <c r="O43" i="3" s="1"/>
  <c r="P43" i="3"/>
  <c r="Q43" i="3" s="1"/>
  <c r="U43" i="3" s="1"/>
  <c r="J44" i="3"/>
  <c r="H44" i="3"/>
  <c r="G44" i="3"/>
  <c r="J33" i="7" l="1"/>
  <c r="C34" i="7"/>
  <c r="K44" i="3"/>
  <c r="T44" i="3" s="1"/>
  <c r="L44" i="3"/>
  <c r="S44" i="3" s="1"/>
  <c r="I44" i="3"/>
  <c r="E45" i="3" s="1"/>
  <c r="F34" i="7" l="1"/>
  <c r="L34" i="7" s="1"/>
  <c r="E34" i="7"/>
  <c r="K34" i="7" s="1"/>
  <c r="D34" i="7"/>
  <c r="M44" i="3"/>
  <c r="P44" i="3"/>
  <c r="Q44" i="3" s="1"/>
  <c r="N44" i="3"/>
  <c r="O44" i="3" s="1"/>
  <c r="R44" i="3"/>
  <c r="J45" i="3"/>
  <c r="H45" i="3"/>
  <c r="G45" i="3"/>
  <c r="H34" i="7" l="1"/>
  <c r="I34" i="7" s="1"/>
  <c r="C35" i="7" s="1"/>
  <c r="G34" i="7"/>
  <c r="U44" i="3"/>
  <c r="K45" i="3"/>
  <c r="T45" i="3" s="1"/>
  <c r="L45" i="3"/>
  <c r="S45" i="3" s="1"/>
  <c r="I45" i="3"/>
  <c r="M45" i="3" s="1"/>
  <c r="F35" i="7" l="1"/>
  <c r="L35" i="7" s="1"/>
  <c r="D35" i="7"/>
  <c r="E35" i="7"/>
  <c r="J34" i="7"/>
  <c r="N45" i="3"/>
  <c r="O45" i="3" s="1"/>
  <c r="E46" i="3"/>
  <c r="H46" i="3" s="1"/>
  <c r="R45" i="3"/>
  <c r="P45" i="3"/>
  <c r="Q45" i="3" s="1"/>
  <c r="U45" i="3" s="1"/>
  <c r="G46" i="3"/>
  <c r="K35" i="7" l="1"/>
  <c r="J40" i="7" s="1" a="1"/>
  <c r="J40" i="7" s="1"/>
  <c r="J44" i="7" a="1"/>
  <c r="J44" i="7" s="1"/>
  <c r="H35" i="7"/>
  <c r="I35" i="7" s="1"/>
  <c r="J35" i="7" s="1"/>
  <c r="J39" i="7" s="1" a="1"/>
  <c r="J39" i="7" s="1"/>
  <c r="G35" i="7"/>
  <c r="J46" i="3"/>
  <c r="K46" i="3" s="1"/>
  <c r="T46" i="3" s="1"/>
  <c r="I46" i="3"/>
  <c r="E47" i="3" s="1"/>
  <c r="J42" i="7" l="1"/>
  <c r="L46" i="3"/>
  <c r="S46" i="3" s="1"/>
  <c r="N46" i="3"/>
  <c r="O46" i="3" s="1"/>
  <c r="P46" i="3"/>
  <c r="Q46" i="3" s="1"/>
  <c r="R46" i="3"/>
  <c r="U46" i="3" s="1"/>
  <c r="M46" i="3"/>
  <c r="J47" i="3"/>
  <c r="H47" i="3"/>
  <c r="G47" i="3"/>
  <c r="K47" i="3" l="1"/>
  <c r="T47" i="3" s="1"/>
  <c r="L47" i="3"/>
  <c r="S47" i="3" s="1"/>
  <c r="I47" i="3"/>
  <c r="P47" i="3" s="1"/>
  <c r="Q47" i="3" s="1"/>
  <c r="N47" i="3" l="1"/>
  <c r="O47" i="3" s="1"/>
  <c r="M47" i="3"/>
  <c r="E48" i="3"/>
  <c r="R47" i="3"/>
  <c r="U47" i="3" s="1"/>
  <c r="H48" i="3"/>
  <c r="G48" i="3"/>
  <c r="J48" i="3" l="1"/>
  <c r="K48" i="3"/>
  <c r="T48" i="3" s="1"/>
  <c r="L48" i="3"/>
  <c r="S48" i="3" s="1"/>
  <c r="I48" i="3"/>
  <c r="E49" i="3" s="1"/>
  <c r="M48" i="3" l="1"/>
  <c r="P48" i="3"/>
  <c r="Q48" i="3" s="1"/>
  <c r="N48" i="3"/>
  <c r="O48" i="3" s="1"/>
  <c r="R48" i="3"/>
  <c r="J49" i="3"/>
  <c r="G49" i="3"/>
  <c r="H49" i="3"/>
  <c r="U48" i="3" l="1"/>
  <c r="K49" i="3"/>
  <c r="T49" i="3" s="1"/>
  <c r="L49" i="3"/>
  <c r="S49" i="3" s="1"/>
  <c r="I49" i="3"/>
  <c r="N49" i="3" s="1"/>
  <c r="O49" i="3" s="1"/>
  <c r="M49" i="3" l="1"/>
  <c r="E50" i="3"/>
  <c r="J50" i="3" s="1"/>
  <c r="R49" i="3"/>
  <c r="P49" i="3"/>
  <c r="Q49" i="3" s="1"/>
  <c r="U49" i="3" s="1"/>
  <c r="G50" i="3"/>
  <c r="H50" i="3" l="1"/>
  <c r="K50" i="3"/>
  <c r="T50" i="3" s="1"/>
  <c r="L50" i="3"/>
  <c r="S50" i="3" s="1"/>
  <c r="I50" i="3"/>
  <c r="E51" i="3" s="1"/>
  <c r="N50" i="3" l="1"/>
  <c r="O50" i="3" s="1"/>
  <c r="M50" i="3"/>
  <c r="R50" i="3"/>
  <c r="P50" i="3"/>
  <c r="Q50" i="3" s="1"/>
  <c r="U50" i="3" s="1"/>
  <c r="J51" i="3"/>
  <c r="H51" i="3"/>
  <c r="G51" i="3"/>
  <c r="K51" i="3" l="1"/>
  <c r="T51" i="3" s="1"/>
  <c r="L51" i="3"/>
  <c r="S51" i="3" s="1"/>
  <c r="I51" i="3"/>
  <c r="N51" i="3" s="1"/>
  <c r="O51" i="3" s="1"/>
  <c r="M51" i="3" l="1"/>
  <c r="P51" i="3"/>
  <c r="Q51" i="3" s="1"/>
  <c r="E52" i="3"/>
  <c r="J52" i="3" s="1"/>
  <c r="R51" i="3"/>
  <c r="G52" i="3"/>
  <c r="U51" i="3" l="1"/>
  <c r="H52" i="3"/>
  <c r="K52" i="3"/>
  <c r="T52" i="3" s="1"/>
  <c r="L52" i="3"/>
  <c r="S52" i="3" s="1"/>
  <c r="I52" i="3"/>
  <c r="E53" i="3" s="1"/>
  <c r="N52" i="3" l="1"/>
  <c r="O52" i="3"/>
  <c r="P52" i="3"/>
  <c r="Q52" i="3" s="1"/>
  <c r="M52" i="3"/>
  <c r="R52" i="3"/>
  <c r="J53" i="3"/>
  <c r="H53" i="3"/>
  <c r="G53" i="3"/>
  <c r="U52" i="3" l="1"/>
  <c r="K53" i="3"/>
  <c r="T53" i="3" s="1"/>
  <c r="L53" i="3"/>
  <c r="S53" i="3" s="1"/>
  <c r="I53" i="3"/>
  <c r="E54" i="3" s="1"/>
  <c r="R53" i="3" l="1"/>
  <c r="N53" i="3"/>
  <c r="O53" i="3" s="1"/>
  <c r="M53" i="3"/>
  <c r="P53" i="3"/>
  <c r="Q53" i="3" s="1"/>
  <c r="U53" i="3" s="1"/>
  <c r="J54" i="3"/>
  <c r="G54" i="3"/>
  <c r="H54" i="3"/>
  <c r="K54" i="3" l="1"/>
  <c r="T54" i="3" s="1"/>
  <c r="L54" i="3"/>
  <c r="S54" i="3" s="1"/>
  <c r="I54" i="3"/>
  <c r="E55" i="3" s="1"/>
  <c r="M54" i="3" l="1"/>
  <c r="P54" i="3"/>
  <c r="Q54" i="3" s="1"/>
  <c r="N54" i="3"/>
  <c r="O54" i="3" s="1"/>
  <c r="R54" i="3"/>
  <c r="J55" i="3"/>
  <c r="H55" i="3"/>
  <c r="G55" i="3"/>
  <c r="U54" i="3" l="1"/>
  <c r="K55" i="3"/>
  <c r="T55" i="3" s="1"/>
  <c r="L55" i="3"/>
  <c r="S55" i="3" s="1"/>
  <c r="I55" i="3"/>
  <c r="N55" i="3" s="1"/>
  <c r="O55" i="3" s="1"/>
  <c r="P55" i="3" l="1"/>
  <c r="Q55" i="3" s="1"/>
  <c r="E56" i="3"/>
  <c r="R55" i="3"/>
  <c r="M55" i="3"/>
  <c r="J56" i="3"/>
  <c r="G56" i="3"/>
  <c r="U55" i="3" l="1"/>
  <c r="H56" i="3"/>
  <c r="I56" i="3" s="1"/>
  <c r="E57" i="3" s="1"/>
  <c r="K56" i="3"/>
  <c r="T56" i="3" s="1"/>
  <c r="L56" i="3"/>
  <c r="S56" i="3" s="1"/>
  <c r="N56" i="3" l="1"/>
  <c r="O56" i="3" s="1"/>
  <c r="P56" i="3"/>
  <c r="Q56" i="3" s="1"/>
  <c r="M56" i="3"/>
  <c r="R56" i="3"/>
  <c r="J57" i="3"/>
  <c r="G57" i="3"/>
  <c r="H57" i="3"/>
  <c r="U56" i="3" l="1"/>
  <c r="K57" i="3"/>
  <c r="T57" i="3" s="1"/>
  <c r="L57" i="3"/>
  <c r="S57" i="3" s="1"/>
  <c r="I57" i="3"/>
  <c r="E58" i="3" s="1"/>
  <c r="N57" i="3" l="1"/>
  <c r="O57" i="3" s="1"/>
  <c r="R57" i="3"/>
  <c r="P57" i="3"/>
  <c r="Q57" i="3" s="1"/>
  <c r="U57" i="3" s="1"/>
  <c r="M57" i="3"/>
  <c r="J58" i="3"/>
  <c r="G58" i="3"/>
  <c r="H58" i="3"/>
  <c r="K58" i="3" l="1"/>
  <c r="T58" i="3" s="1"/>
  <c r="L58" i="3"/>
  <c r="S58" i="3" s="1"/>
  <c r="I58" i="3"/>
  <c r="E59" i="3" s="1"/>
  <c r="P58" i="3" l="1"/>
  <c r="Q58" i="3" s="1"/>
  <c r="N58" i="3"/>
  <c r="O58" i="3" s="1"/>
  <c r="R58" i="3"/>
  <c r="M58" i="3"/>
  <c r="J59" i="3"/>
  <c r="H59" i="3"/>
  <c r="G59" i="3"/>
  <c r="U58" i="3" l="1"/>
  <c r="K59" i="3"/>
  <c r="T59" i="3" s="1"/>
  <c r="L59" i="3"/>
  <c r="S59" i="3" s="1"/>
  <c r="I59" i="3"/>
  <c r="N59" i="3" s="1"/>
  <c r="O59" i="3" s="1"/>
  <c r="E60" i="3" l="1"/>
  <c r="R59" i="3"/>
  <c r="M59" i="3"/>
  <c r="P59" i="3"/>
  <c r="Q59" i="3" s="1"/>
  <c r="U59" i="3" s="1"/>
  <c r="J60" i="3"/>
  <c r="H60" i="3"/>
  <c r="G60" i="3"/>
  <c r="K60" i="3" l="1"/>
  <c r="T60" i="3" s="1"/>
  <c r="L60" i="3"/>
  <c r="S60" i="3" s="1"/>
  <c r="I60" i="3"/>
  <c r="E61" i="3" s="1"/>
  <c r="M60" i="3" l="1"/>
  <c r="N60" i="3"/>
  <c r="O60" i="3" s="1"/>
  <c r="P60" i="3"/>
  <c r="Q60" i="3" s="1"/>
  <c r="R60" i="3"/>
  <c r="J61" i="3"/>
  <c r="G61" i="3"/>
  <c r="H61" i="3"/>
  <c r="U60" i="3" l="1"/>
  <c r="K61" i="3"/>
  <c r="T61" i="3" s="1"/>
  <c r="L61" i="3"/>
  <c r="S61" i="3" s="1"/>
  <c r="I61" i="3"/>
  <c r="E62" i="3" s="1"/>
  <c r="M61" i="3" l="1"/>
  <c r="N61" i="3"/>
  <c r="O61" i="3" s="1"/>
  <c r="R61" i="3"/>
  <c r="P61" i="3"/>
  <c r="Q61" i="3" s="1"/>
  <c r="U61" i="3" s="1"/>
  <c r="J62" i="3"/>
  <c r="G62" i="3"/>
  <c r="H62" i="3"/>
  <c r="K62" i="3" l="1"/>
  <c r="T62" i="3" s="1"/>
  <c r="L62" i="3"/>
  <c r="S62" i="3" s="1"/>
  <c r="I62" i="3"/>
  <c r="N62" i="3" s="1"/>
  <c r="O62" i="3" s="1"/>
  <c r="P62" i="3" l="1"/>
  <c r="Q62" i="3" s="1"/>
  <c r="E63" i="3"/>
  <c r="R62" i="3"/>
  <c r="M62" i="3"/>
  <c r="H63" i="3"/>
  <c r="G63" i="3"/>
  <c r="U62" i="3" l="1"/>
  <c r="J63" i="3"/>
  <c r="L63" i="3" s="1"/>
  <c r="S63" i="3" s="1"/>
  <c r="K63" i="3"/>
  <c r="T63" i="3" s="1"/>
  <c r="I63" i="3"/>
  <c r="E64" i="3" s="1"/>
  <c r="R63" i="3" l="1"/>
  <c r="M63" i="3"/>
  <c r="N63" i="3"/>
  <c r="O63" i="3" s="1"/>
  <c r="P63" i="3"/>
  <c r="Q63" i="3" s="1"/>
  <c r="U63" i="3" s="1"/>
  <c r="J64" i="3"/>
  <c r="H64" i="3"/>
  <c r="G64" i="3"/>
  <c r="K64" i="3" l="1"/>
  <c r="T64" i="3" s="1"/>
  <c r="L64" i="3"/>
  <c r="S64" i="3" s="1"/>
  <c r="I64" i="3"/>
  <c r="E65" i="3" s="1"/>
  <c r="R64" i="3" l="1"/>
  <c r="N64" i="3"/>
  <c r="O64" i="3" s="1"/>
  <c r="M64" i="3"/>
  <c r="P64" i="3"/>
  <c r="Q64" i="3" s="1"/>
  <c r="U64" i="3" s="1"/>
  <c r="J65" i="3"/>
  <c r="H65" i="3"/>
  <c r="G65" i="3"/>
  <c r="K65" i="3" l="1"/>
  <c r="T65" i="3" s="1"/>
  <c r="L65" i="3"/>
  <c r="S65" i="3" s="1"/>
  <c r="I65" i="3"/>
  <c r="M65" i="3" s="1"/>
  <c r="R65" i="3" l="1"/>
  <c r="P65" i="3"/>
  <c r="Q65" i="3" s="1"/>
  <c r="N65" i="3"/>
  <c r="O65" i="3" s="1"/>
  <c r="U65" i="3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<sst xmlns="http://schemas.openxmlformats.org/spreadsheetml/2006/main" count="65" uniqueCount="54">
  <si>
    <t>Day</t>
  </si>
  <si>
    <t>#Patients arrived per day</t>
  </si>
  <si>
    <t>patient % requiring bed per day</t>
  </si>
  <si>
    <t>Avaiable beds</t>
  </si>
  <si>
    <t>Hospital revenue</t>
  </si>
  <si>
    <t>Military fee</t>
  </si>
  <si>
    <t>Minimal treatment patients</t>
  </si>
  <si>
    <t>patients who need a bed</t>
  </si>
  <si>
    <t>number of doctors for minimal treatment</t>
  </si>
  <si>
    <t>Number of doctors for patients occupying beds</t>
  </si>
  <si>
    <t>excess number of patients when doctors are unavailable</t>
  </si>
  <si>
    <t>Total numbe rof beds needed per day</t>
  </si>
  <si>
    <t>patients sent to Military referrals</t>
  </si>
  <si>
    <t>number of empty beds per day</t>
  </si>
  <si>
    <t>number of unoccupied bed per overnight</t>
  </si>
  <si>
    <t>number of doctors worked per day</t>
  </si>
  <si>
    <t>Amount paid to doctors per day</t>
  </si>
  <si>
    <t>patients staying overnight who require treatment</t>
  </si>
  <si>
    <t>Total Overnight paitents</t>
  </si>
  <si>
    <t>revenue incurred from overnight patients</t>
  </si>
  <si>
    <t>renew incurred from day time patients with beds</t>
  </si>
  <si>
    <t>Cost for unused beds</t>
  </si>
  <si>
    <t>Mean</t>
  </si>
  <si>
    <t>Standard deviation</t>
  </si>
  <si>
    <t>PsiNormal</t>
  </si>
  <si>
    <t>PsiUniform</t>
  </si>
  <si>
    <t>Total Revenue</t>
  </si>
  <si>
    <t>Days</t>
  </si>
  <si>
    <t>Number of beds required each day</t>
  </si>
  <si>
    <t>Available number of beds</t>
  </si>
  <si>
    <t>Number of patients assigned to beds</t>
  </si>
  <si>
    <t>Number of patients reffered to the military facility</t>
  </si>
  <si>
    <t>Number of Unused beds</t>
  </si>
  <si>
    <t>Number pf patients who received doctor's treatment</t>
  </si>
  <si>
    <t>Number of patients who are not treated by the doctor</t>
  </si>
  <si>
    <t>Number of Patients who stay overnight</t>
  </si>
  <si>
    <t>Revenue of patients</t>
  </si>
  <si>
    <t>Military facility cost</t>
  </si>
  <si>
    <t>cost per unused bed</t>
  </si>
  <si>
    <t>Salary of doctor</t>
  </si>
  <si>
    <t xml:space="preserve">Revenue </t>
  </si>
  <si>
    <t>Costs</t>
  </si>
  <si>
    <t xml:space="preserve">Maximum Profit </t>
  </si>
  <si>
    <t xml:space="preserve">Avg daily referrals </t>
  </si>
  <si>
    <t>Standard Deviation</t>
  </si>
  <si>
    <t>Number of beds available intitally</t>
  </si>
  <si>
    <t>maximum number of patients a doctor can serve</t>
  </si>
  <si>
    <t xml:space="preserve">Total number of doctors </t>
  </si>
  <si>
    <t>Considering the increase in number of beds to 26 would be the optiomal solution.</t>
  </si>
  <si>
    <t>#Patients arrived per day2</t>
  </si>
  <si>
    <t>patient % requiring bed per day2</t>
  </si>
  <si>
    <t>overnight stay requirment &gt;=</t>
  </si>
  <si>
    <t>Column1</t>
  </si>
  <si>
    <t>Column2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</si>
</sst>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 wrapText="1"/>
    </xf>
    <xf numFmtId="9" fontId="0" fillId="0" borderId="0" xfId="0" applyNumberFormat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2" borderId="0" xfId="0" applyFont="1" applyFill="1" applyAlignment="1">
      <alignment horizontal="center"/>
    </xf>
    <xf numFmtId="0" fontId="0" fillId="2" borderId="0" xfId="0" applyFill="1"/>
  </cellXfs>
  <cellStyles count="1">
    <cellStyle name="Normal" xfId="0" builtinId="0"/>
  </cellStyles>
  <dxfs count="12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165100</xdr:colOff>
      <xdr:row>12</xdr:row>
      <xdr:rowOff>152400</xdr:rowOff>
    </xdr:from>
    <xdr:to>
      <xdr:col>15</xdr:col>
      <xdr:colOff>38100</xdr:colOff>
      <xdr:row>38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473910-13E4-0D88-83C2-377E7BFC65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01" t="6455" r="4301" b="6455"/>
        <a:stretch/>
      </xdr:blipFill>
      <xdr:spPr>
        <a:xfrm>
          <a:off x="3454400" y="2438400"/>
          <a:ext cx="7772400" cy="4857750"/>
        </a:xfrm>
        <a:prstGeom prst="rect">
          <a:avLst/>
        </a:prstGeom>
      </xdr:spPr>
    </xdr:pic>
    <xdr:clientData/>
  </xdr:twoCellAnchor>
  <xdr:twoCellAnchor editAs="oneCell">
    <xdr:from>
      <xdr:col>5</xdr:col>
      <xdr:colOff>63500</xdr:colOff>
      <xdr:row>43</xdr:row>
      <xdr:rowOff>0</xdr:rowOff>
    </xdr:from>
    <xdr:to>
      <xdr:col>15</xdr:col>
      <xdr:colOff>539750</xdr:colOff>
      <xdr:row>68</xdr:row>
      <xdr:rowOff>95250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697AB16-7196-3463-E976-E69AD4D2F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3200" y="8191500"/>
          <a:ext cx="7772400" cy="48577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482600</xdr:colOff>
      <xdr:row>44</xdr:row>
      <xdr:rowOff>114300</xdr:rowOff>
    </xdr:from>
    <xdr:to>
      <xdr:col>15</xdr:col>
      <xdr:colOff>120650</xdr:colOff>
      <xdr:row>70</xdr:row>
      <xdr:rowOff>19050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C1AB4F1-D5BE-82CF-3583-EE2B1A128E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00" t="7157" r="7500" b="7157"/>
        <a:stretch/>
      </xdr:blipFill>
      <xdr:spPr>
        <a:xfrm>
          <a:off x="4864100" y="8496300"/>
          <a:ext cx="7772400" cy="4857750"/>
        </a:xfrm>
        <a:prstGeom prst="rect">
          <a:avLst/>
        </a:prstGeom>
      </xdr:spPr>
    </xdr:pic>
    <xdr:clientData/>
  </xdr:twoCellAnchor>
  <xdr:twoCellAnchor editAs="oneCell">
    <xdr:from>
      <xdr:col>5</xdr:col>
      <xdr:colOff>228600</xdr:colOff>
      <xdr:row>12</xdr:row>
      <xdr:rowOff>152400</xdr:rowOff>
    </xdr:from>
    <xdr:to>
      <xdr:col>14</xdr:col>
      <xdr:colOff>469900</xdr:colOff>
      <xdr:row>38</xdr:row>
      <xdr:rowOff>57150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6036532-66C1-0D5D-AB8E-25E35CEE6C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47" t="7837" r="2247" b="7837"/>
        <a:stretch/>
      </xdr:blipFill>
      <xdr:spPr>
        <a:xfrm>
          <a:off x="4610100" y="2438400"/>
          <a:ext cx="7772400" cy="485775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09224FF-92EF-4294-AC9A-8D6A250240C3}" name="Table3" displayName="Table3" ref="F6:G9" totalsRowShown="0" headerRowDxfId="0" dataDxfId="1">
  <autoFilter ref="F6:G9" xr:uid="{C09224FF-92EF-4294-AC9A-8D6A250240C3}"/>
  <tableColumns count="2">
    <tableColumn id="1" xr3:uid="{1BC0AA9E-5BDB-46BA-A5EE-573B16FB5DA2}" name="Column1" dataDxfId="3"/>
    <tableColumn id="2" xr3:uid="{D3E4E073-97B7-4A33-B8A7-CDC8C8B341F6}" name="Column2" dataDxfId="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05A7756-E3A6-40C2-87E8-BA7D6FB0BD0C}" name="Table1" displayName="Table1" ref="B38:C40" totalsRowShown="0" headerRowDxfId="8" dataDxfId="9">
  <autoFilter ref="B38:C40" xr:uid="{C05A7756-E3A6-40C2-87E8-BA7D6FB0BD0C}"/>
  <tableColumns count="2">
    <tableColumn id="1" xr3:uid="{C247A264-F571-429F-B732-7CDA75839D53}" name="#Patients arrived per day" dataDxfId="11"/>
    <tableColumn id="2" xr3:uid="{A5EB3AD7-DD94-44AF-BBDD-FB41D0EDF3BE}" name="#Patients arrived per day2" dataDxfId="1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3B74E5F-053F-494D-B3EF-A4A6D99DF012}" name="Table2" displayName="Table2" ref="B42:C44" totalsRowShown="0" headerRowDxfId="4" dataDxfId="5">
  <autoFilter ref="B42:C44" xr:uid="{D3B74E5F-053F-494D-B3EF-A4A6D99DF012}"/>
  <tableColumns count="2">
    <tableColumn id="1" xr3:uid="{93FC9BFE-8336-4B71-89F4-F8CC242181AF}" name="patient % requiring bed per day" dataDxfId="7"/>
    <tableColumn id="2" xr3:uid="{6D00B315-6629-4185-8389-5BAF15D4709E}" name="patient % requiring bed per day2" dataDxfId="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1" width="350" row="2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FFCCDA6A-A130-4F66-9370-FD22BEE69BFF}">
  <we:reference id="0986d9dd-94f1-4b67-978d-c4cf6e6142a8" version="21.5.1.1" store="EXCatalog" storeType="EXCatalog"/>
  <we:alternateReferences>
    <we:reference id="WA200000018" version="21.5.1.1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 val="1"/>
    </a:ext>
    <a:ext xmlns:a="http://schemas.openxmlformats.org/drawingml/2006/main" uri="{7C84B067-C214-45C3-A712-C9D94CD141B2}">
      <we:customFunctionIdList>
        <we:customFunctionIds>PsiNormal</we:customFunctionIds>
        <we:customFunctionIds>PsiBernoulli</we:customFunctionIds>
        <we:customFunctionIds>PsiBeta</we:customFunctionIds>
        <we:customFunctionIds>PsiBetaGen</we:customFunctionIds>
        <we:customFunctionIds>PsiBetaSubj</we:customFunctionIds>
        <we:customFunctionIds>PsiBinomial</we:customFunctionIds>
        <we:customFunctionIds>PsiCauchy</we:customFunctionIds>
        <we:customFunctionIds>PsiChiSquare</we:customFunctionIds>
        <we:customFunctionIds>PsiCumul</we:customFunctionIds>
        <we:customFunctionIds>PsiCumulD</we:customFunctionIds>
        <we:customFunctionIds>PsiDiscrete</we:customFunctionIds>
        <we:customFunctionIds>PsiDisUniform</we:customFunctionIds>
        <we:customFunctionIds>PsiErf</we:customFunctionIds>
        <we:customFunctionIds>PsiErlang</we:customFunctionIds>
        <we:customFunctionIds>PsiExponential</we:customFunctionIds>
        <we:customFunctionIds>PsiGamma</we:customFunctionIds>
        <we:customFunctionIds>PsiGeneral</we:customFunctionIds>
        <we:customFunctionIds>PsiGeometric</we:customFunctionIds>
        <we:customFunctionIds>PsiHistogram</we:customFunctionIds>
        <we:customFunctionIds>PsiHyperGeo</we:customFunctionIds>
        <we:customFunctionIds>PsiIntUniform</we:customFunctionIds>
        <we:customFunctionIds>PsiInvNormal</we:customFunctionIds>
        <we:customFunctionIds>PsiLaplace</we:customFunctionIds>
        <we:customFunctionIds>PsiLogarithmic</we:customFunctionIds>
        <we:customFunctionIds>PsiLogistic</we:customFunctionIds>
        <we:customFunctionIds>PsiLogLogistic</we:customFunctionIds>
        <we:customFunctionIds>PsiLogNormal</we:customFunctionIds>
        <we:customFunctionIds>PsiLogNorm2</we:customFunctionIds>
        <we:customFunctionIds>PsiMaxExtreme</we:customFunctionIds>
        <we:customFunctionIds>PsiMinExtreme</we:customFunctionIds>
        <we:customFunctionIds>PsiMyerson</we:customFunctionIds>
        <we:customFunctionIds>PsiNegBinomial</we:customFunctionIds>
        <we:customFunctionIds>PsiNormalSkew</we:customFunctionIds>
        <we:customFunctionIds>PsiPareto</we:customFunctionIds>
        <we:customFunctionIds>PsiPareto2</we:customFunctionIds>
        <we:customFunctionIds>PsiPearson5</we:customFunctionIds>
        <we:customFunctionIds>PsiPearson6</we:customFunctionIds>
        <we:customFunctionIds>PsiPert</we:customFunctionIds>
        <we:customFunctionIds>PsiPoisson</we:customFunctionIds>
        <we:customFunctionIds>PsiRayleigh</we:customFunctionIds>
        <we:customFunctionIds>PsiStudent</we:customFunctionIds>
        <we:customFunctionIds>PsiTriangular</we:customFunctionIds>
        <we:customFunctionIds>PsiTriangGen</we:customFunctionIds>
        <we:customFunctionIds>PsiUniform</we:customFunctionIds>
        <we:customFunctionIds>PsiWeibull</we:customFunctionIds>
        <we:customFunctionIds>PsiBurr12</we:customFunctionIds>
        <we:customFunctionIds>PsiDagum</we:customFunctionIds>
        <we:customFunctionIds>PsiDblTriang</we:customFunctionIds>
        <we:customFunctionIds>PsiFdist</we:customFunctionIds>
        <we:customFunctionIds>PsiFatigueLife</we:customFunctionIds>
        <we:customFunctionIds>PsiFrechet</we:customFunctionIds>
        <we:customFunctionIds>PsiHypSecant</we:customFunctionIds>
        <we:customFunctionIds>PsiJohnsonSB</we:customFunctionIds>
        <we:customFunctionIds>PsiJohnsonSU</we:customFunctionIds>
        <we:customFunctionIds>PsiKumaraswamy</we:customFunctionIds>
        <we:customFunctionIds>PsiLevy</we:customFunctionIds>
        <we:customFunctionIds>PsiReciprocal</we:customFunctionIds>
        <we:customFunctionIds>PsiMVLogNormal</we:customFunctionIds>
        <we:customFunctionIds>PsiMVNormal</we:customFunctionIds>
        <we:customFunctionIds>PsiMVResample</we:customFunctionIds>
        <we:customFunctionIds>PsiMVShuffle</we:customFunctionIds>
        <we:customFunctionIds>PsiMean</we:customFunctionIds>
        <we:customFunctionIds>PsiTheoMean</we:customFunctionIds>
        <we:customFunctionIds>PsiLock</we:customFunctionIds>
        <we:customFunctionIds>PsiName</we:customFunctionIds>
        <we:customFunctionIds>PsiShift</we:customFunctionIds>
        <we:customFunctionIds>PsiSample</we:customFunctionIds>
        <we:customFunctionIds>PsiTruncate</we:customFunctionIds>
        <we:customFunctionIds>PsiSeed</we:customFunctionIds>
        <we:customFunctionIds>PsiOutput</we:customFunctionIds>
        <we:customFunctionIds>PsiInput</we:customFunctionIds>
        <we:customFunctionIds>PsiSimParam</we:customFunctionIds>
        <we:customFunctionIds>PsiSenParam</we:customFunctionIds>
        <we:customFunctionIds>PsiOptParam</we:customFunctionIds>
        <we:customFunctionIds>PsiCalcParam</we:customFunctionIds>
        <we:customFunctionIds>PsiSlurp</we:customFunctionIds>
        <we:customFunctionIds>PsiSip</we:customFunctionIds>
        <we:customFunctionIds>PsiTSSip</we:customFunctionIds>
        <we:customFunctionIds>PsiCorrMatrix</we:customFunctionIds>
        <we:customFunctionIds>PsiCorrDepen</we:customFunctionIds>
        <we:customFunctionIds>PsiCorrIndep</we:customFunctionIds>
        <we:customFunctionIds>PsiFit</we:customFunctionIds>
        <we:customFunctionIds>PsiData</we:customFunctionIds>
        <we:customFunctionIds>PsiKurtosis</we:customFunctionIds>
        <we:customFunctionIds>PsiTheoKurtosis</we:customFunctionIds>
        <we:customFunctionIds>PsiMax</we:customFunctionIds>
        <we:customFunctionIds>PsiTheoMax</we:customFunctionIds>
        <we:customFunctionIds>PsiMin</we:customFunctionIds>
        <we:customFunctionIds>PsiTheoMin</we:customFunctionIds>
        <we:customFunctionIds>PsiMode</we:customFunctionIds>
        <we:customFunctionIds>PsiTheoMode</we:customFunctionIds>
        <we:customFunctionIds>PsiPercentile</we:customFunctionIds>
        <we:customFunctionIds>PsiTheoPercentile</we:customFunctionIds>
        <we:customFunctionIds>PsiPtoX</we:customFunctionIds>
        <we:customFunctionIds>PsiTheoPtoX</we:customFunctionIds>
        <we:customFunctionIds>PsiPercentileD</we:customFunctionIds>
        <we:customFunctionIds>PsiTheoPercentileD</we:customFunctionIds>
        <we:customFunctionIds>PsiQtoX</we:customFunctionIds>
        <we:customFunctionIds>PsiTheoQtoX</we:customFunctionIds>
        <we:customFunctionIds>PsiRange</we:customFunctionIds>
        <we:customFunctionIds>PsiTheoRange</we:customFunctionIds>
        <we:customFunctionIds>PsiSkewness</we:customFunctionIds>
        <we:customFunctionIds>PsiTheoSkewness</we:customFunctionIds>
        <we:customFunctionIds>PsiStdDev</we:customFunctionIds>
        <we:customFunctionIds>PsiTheoStdDev</we:customFunctionIds>
        <we:customFunctionIds>PsiTarget</we:customFunctionIds>
        <we:customFunctionIds>PsiTheoTarget</we:customFunctionIds>
        <we:customFunctionIds>PsiXtoP</we:customFunctionIds>
        <we:customFunctionIds>PsiTheoXtoP</we:customFunctionIds>
        <we:customFunctionIds>PsiTargetD</we:customFunctionIds>
        <we:customFunctionIds>PsiTheoTargetD</we:customFunctionIds>
        <we:customFunctionIds>PsiXtoQ</we:customFunctionIds>
        <we:customFunctionIds>PsiTheoXtoQ</we:customFunctionIds>
        <we:customFunctionIds>PsiTheoXtoY</we:customFunctionIds>
        <we:customFunctionIds>PsiVariance</we:customFunctionIds>
        <we:customFunctionIds>PsiTheoVariance</we:customFunctionIds>
        <we:customFunctionIds>PsiAbsDev</we:customFunctionIds>
        <we:customFunctionIds>PsiCITrials</we:customFunctionIds>
        <we:customFunctionIds>PsiCorrelation</we:customFunctionIds>
        <we:customFunctionIds>PsiFrequency</we:customFunctionIds>
        <we:customFunctionIds>PsiMeanCI</we:customFunctionIds>
        <we:customFunctionIds>PsiMeanCIB</we:customFunctionIds>
        <we:customFunctionIds>PsiSemiDev</we:customFunctionIds>
        <we:customFunctionIds>PsiSemiDev2</we:customFunctionIds>
        <we:customFunctionIds>PsiSemiVar</we:customFunctionIds>
        <we:customFunctionIds>PsiSemiVar2</we:customFunctionIds>
        <we:customFunctionIds>PsiStdDevCI</we:customFunctionIds>
        <we:customFunctionIds>PsiBVaR</we:customFunctionIds>
        <we:customFunctionIds>PsiCVaR</we:customFunctionIds>
        <we:customFunctionIds>PsiCurrentTrial</we:customFunctionIds>
        <we:customFunctionIds>PsiCurrentSim</we:customFunctionIds>
        <we:customFunctionIds>PsiCount</we:customFunctionIds>
        <we:customFunctionIds>PsiSenValue</we:customFunctionIds>
        <we:customFunctionIds>PsiCurrentOpt</we:customFunctionIds>
        <we:customFunctionIds>PsiMedian</we:customFunctionIds>
        <we:customFunctionIds>PsiTheoMedian</we:customFunctionIds>
        <we:customFunctionIds>PsiDim</we:customFunctionIds>
        <we:customFunctionIds>PsiCube</we:customFunctionIds>
        <we:customFunctionIds>PsiReduce</we:customFunctionIds>
        <we:customFunctionIds>PsiJoin</we:customFunctionIds>
        <we:customFunctionIds>PsiOptStatus</we:customFunctionIds>
        <we:customFunctionIds>PsiPivotCube</we:customFunctionIds>
        <we:customFunctionIds>PsiCalcValue</we:customFunctionIds>
        <we:customFunctionIds>PsiOptData</we:customFunctionIds>
        <we:customFunctionIds>PsiParamDim</we:customFunctionIds>
        <we:customFunctionIds>PsiPivotDim</we:customFunctionIds>
        <we:customFunctionIds>PsiCubeOutput</we:customFunctionIds>
        <we:customFunctionIds>PsiDimLock</we:customFunctionIds>
        <we:customFunctionIds>PsiDimActive</we:customFunctionIds>
        <we:customFunctionIds>PsiCubeData</we:customFunctionIds>
        <we:customFunctionIds>PsiSimOutput</we:customFunctionIds>
        <we:customFunctionIds>PsiSimData</we:customFunctionIds>
        <we:customFunctionIds>PsiResample</we:customFunctionIds>
        <we:customFunctionIds>PsiTableCube</we:customFunctionIds>
        <we:customFunctionIds>PsiCompound</we:customFunctionIds>
        <we:customFunctionIds>PsiCopula</we:customFunctionIds>
        <we:customFunctionIds>PsiCopulaStudent</we:customFunctionIds>
        <we:customFunctionIds>PsiCopulaGauss</we:customFunctionIds>
        <we:customFunctionIds>PsiKendallTau</we:customFunctionIds>
        <we:customFunctionIds>PsiSpearmanRho</we:customFunctionIds>
        <we:customFunctionIds>PsiMetalog</we:customFunctionIds>
        <we:customFunctionIds>PsiMetalogSPT</we:customFunctionIds>
        <we:customFunctionIds>PsiMetalogFit</we:customFunctionIds>
        <we:customFunctionIds>PsiDataSrc</we:customFunctionIds>
        <we:customFunctionIds>PsiModelSrc</we:customFunctionIds>
        <we:customFunctionIds>PsiSigmaCP</we:customFunctionIds>
        <we:customFunctionIds>PsiSigmaCPK</we:customFunctionIds>
        <we:customFunctionIds>PsiSigmaCPKLower</we:customFunctionIds>
        <we:customFunctionIds>PsiSigmaCPKUpper</we:customFunctionIds>
        <we:customFunctionIds>PsiSigmaCPM</we:customFunctionIds>
        <we:customFunctionIds>PsiSigmaDefectPPM</we:customFunctionIds>
        <we:customFunctionIds>PsiSigmaDefectShiftPPM</we:customFunctionIds>
        <we:customFunctionIds>PsiSigmaDefectShiftPPMLower</we:customFunctionIds>
        <we:customFunctionIds>PsiSigmaDefectShiftPPMUpper</we:customFunctionIds>
        <we:customFunctionIds>PsiSigmaK</we:customFunctionIds>
        <we:customFunctionIds>PsiSigmaLowerBound</we:customFunctionIds>
        <we:customFunctionIds>PsiSigmaProbDefectShift</we:customFunctionIds>
        <we:customFunctionIds>PsiSigmaProbDefectShiftLower</we:customFunctionIds>
        <we:customFunctionIds>PsiSigmaProbDefectShiftUpper</we:customFunctionIds>
        <we:customFunctionIds>PsiSigmaSigmaLevel</we:customFunctionIds>
        <we:customFunctionIds>PsiSigmaUpperBound</we:customFunctionIds>
        <we:customFunctionIds>PsiSigmaYield</we:customFunctionIds>
        <we:customFunctionIds>PsiSigmaZLower</we:customFunctionIds>
        <we:customFunctionIds>PsiSigmaZMin</we:customFunctionIds>
        <we:customFunctionIds>PsiSigmaZUpper</we:customFunctionIds>
        <we:customFunctionIds>PsiBetaGenAlt</we:customFunctionIds>
        <we:customFunctionIds>PsiCauchyAlt</we:customFunctionIds>
        <we:customFunctionIds>PsiChiSquareAlt</we:customFunctionIds>
        <we:customFunctionIds>PsiErfAlt</we:customFunctionIds>
        <we:customFunctionIds>PsiExponentialAlt</we:customFunctionIds>
        <we:customFunctionIds>PsiGammaAlt</we:customFunctionIds>
        <we:customFunctionIds>PsiInvNormalAlt</we:customFunctionIds>
        <we:customFunctionIds>PsiLaplaceAlt</we:customFunctionIds>
        <we:customFunctionIds>PsiLogisticAlt</we:customFunctionIds>
        <we:customFunctionIds>PsiLogLogisticAlt</we:customFunctionIds>
        <we:customFunctionIds>PsiLogNormalAlt</we:customFunctionIds>
        <we:customFunctionIds>PsiMaxExtremeAlt</we:customFunctionIds>
        <we:customFunctionIds>PsiMinExtremeAlt</we:customFunctionIds>
        <we:customFunctionIds>PsiNormalAlt</we:customFunctionIds>
        <we:customFunctionIds>PsiUniformAlt</we:customFunctionIds>
        <we:customFunctionIds>PsiTriangularAlt</we:customFunctionIds>
        <we:customFunctionIds>PsiParetoAlt</we:customFunctionIds>
        <we:customFunctionIds>PsiPareto2Alt</we:customFunctionIds>
        <we:customFunctionIds>PsiPearson5Alt</we:customFunctionIds>
        <we:customFunctionIds>PsiPearson6Alt</we:customFunctionIds>
        <we:customFunctionIds>PsiPertAlt</we:customFunctionIds>
        <we:customFunctionIds>PsiRayleighAlt</we:customFunctionIds>
        <we:customFunctionIds>PsiStudentAlt</we:customFunctionIds>
        <we:customFunctionIds>PsiWeibullAlt</we:customFunctionIds>
        <we:customFunctionIds>PsiOptValue</we:customFunctionIds>
        <we:customFunctionIds>PsiCoeffVar</we:customFunctionIds>
        <we:customFunctionIds>PsiStdErr</we:customFunctionIds>
        <we:customFunctionIds>PsiExpGain</we:customFunctionIds>
        <we:customFunctionIds>PsiExpGainRatio</we:customFunctionIds>
        <we:customFunctionIds>PsiExpLoss</we:customFunctionIds>
        <we:customFunctionIds>PsiExpLossRatio</we:customFunctionIds>
        <we:customFunctionIds>PsiExpValMargin</we:customFunctionIds>
        <we:customFunctionIds>PsiCertified</we:customFunctionIds>
        <we:customFunctionIds>PsiCensor</we:customFunctionIds>
        <we:customFunctionIds>PsiBaseCase</we:customFunctionIds>
        <we:customFunctionIds>PsiForecastETS</we:customFunctionIds>
        <we:customFunctionIds>PsiForecastLinear</we:customFunctionIds>
        <we:customFunctionIds>DotProduct</we:customFunctionIds>
        <we:customFunctionIds>QuadProduct</we:customFunctionIds>
        <we:customFunctionIds>PsiDecTable</we:customFunctionIds>
        <we:customFunctionIds>PsiBoxFunction</we:customFunctionIds>
        <we:customFunctionIds>PsiInitialValue</we:customFunctionIds>
        <we:customFunctionIds>PsiFinalValue</we:customFunctionIds>
        <we:customFunctionIds>PsiDualValue</we:customFunctionIds>
        <we:customFunctionIds>PsiSlackValue</we:customFunctionIds>
        <we:customFunctionIds>PsiDualUpper</we:customFunctionIds>
        <we:customFunctionIds>PsiDualLower</we:customFunctionIds>
        <we:customFunctionIds>PsiTSIntegrate</we:customFunctionIds>
        <we:customFunctionIds>PsiTransform</we:customFunctionIds>
        <we:customFunctionIds>PsiTSSeasonality</we:customFunctionIds>
        <we:customFunctionIds>PsiTSLen</we:customFunctionIds>
        <we:customFunctionIds>PsiAR1</we:customFunctionIds>
        <we:customFunctionIds>PsiAR2</we:customFunctionIds>
        <we:customFunctionIds>PsiMA1</we:customFunctionIds>
        <we:customFunctionIds>PsiMA2</we:customFunctionIds>
        <we:customFunctionIds>PsiARMA11</we:customFunctionIds>
        <we:customFunctionIds>PsiARCH1</we:customFunctionIds>
        <we:customFunctionIds>PsiGARCH11</we:customFunctionIds>
        <we:customFunctionIds>PsiEGARCH11</we:customFunctionIds>
        <we:customFunctionIds>PsiAPARCH11</we:customFunctionIds>
        <we:customFunctionIds>PsiTargetCI</we:customFunctionIds>
        <we:customFunctionIds>PsiPercentileCI</we:customFunctionIds>
        <we:customFunctionIds>PsiPercentiles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70DAE-E2B6-40C5-B7DA-513F4C40D79A}">
  <dimension ref="A1:XFD1048559"/>
  <sheetViews>
    <sheetView workbookViewId="0">
      <selection activeCell="F6" sqref="F6"/>
    </sheetView>
  </sheetViews>
  <sheetFormatPr defaultColWidth="8.6328125" defaultRowHeight="14.5" x14ac:dyDescent="0.35"/>
  <cols>
    <col min="1" max="1" width="4" style="1" bestFit="1" customWidth="1"/>
    <col min="2" max="2" width="21.81640625" style="1" bestFit="1" customWidth="1"/>
    <col min="3" max="5" width="8.6328125" style="1"/>
    <col min="6" max="6" width="15.453125" style="1" bestFit="1" customWidth="1"/>
    <col min="7" max="7" width="10.26953125" style="1" customWidth="1"/>
    <col min="8" max="16384" width="8.6328125" style="1"/>
  </cols>
  <sheetData>
    <row r="1" spans="1:7" s="8" customFormat="1" x14ac:dyDescent="0.35">
      <c r="A1" s="8" t="s">
        <v>0</v>
      </c>
      <c r="B1" s="8" t="s">
        <v>1</v>
      </c>
    </row>
    <row r="2" spans="1:7" x14ac:dyDescent="0.35">
      <c r="A2" s="1">
        <v>1</v>
      </c>
      <c r="B2" s="1">
        <v>27</v>
      </c>
      <c r="C2" s="1">
        <f ca="1">_xlfn.NORM.INV(RAND(),24.8167,2.50079)</f>
        <v>26.147288668002666</v>
      </c>
    </row>
    <row r="3" spans="1:7" x14ac:dyDescent="0.35">
      <c r="A3" s="1">
        <v>2</v>
      </c>
      <c r="B3" s="1">
        <v>24</v>
      </c>
      <c r="C3" s="1">
        <f t="shared" ref="C3:C61" ca="1" si="0">_xlfn.NORM.INV(RAND(),24.8167,2.50079)</f>
        <v>27.949029903179387</v>
      </c>
    </row>
    <row r="4" spans="1:7" x14ac:dyDescent="0.35">
      <c r="A4" s="1">
        <v>3</v>
      </c>
      <c r="B4" s="1">
        <v>25</v>
      </c>
      <c r="C4" s="1">
        <f t="shared" ca="1" si="0"/>
        <v>24.943359709056768</v>
      </c>
    </row>
    <row r="5" spans="1:7" x14ac:dyDescent="0.35">
      <c r="A5" s="1">
        <v>4</v>
      </c>
      <c r="B5" s="1">
        <v>23</v>
      </c>
      <c r="C5" s="1">
        <f t="shared" ca="1" si="0"/>
        <v>30.426485023367192</v>
      </c>
    </row>
    <row r="6" spans="1:7" x14ac:dyDescent="0.35">
      <c r="A6" s="1">
        <v>5</v>
      </c>
      <c r="B6" s="1">
        <v>25</v>
      </c>
      <c r="C6" s="1">
        <f t="shared" ca="1" si="0"/>
        <v>21.255951624355863</v>
      </c>
      <c r="F6" s="1" t="s">
        <v>52</v>
      </c>
      <c r="G6" s="1" t="s">
        <v>53</v>
      </c>
    </row>
    <row r="7" spans="1:7" x14ac:dyDescent="0.35">
      <c r="A7" s="1">
        <v>6</v>
      </c>
      <c r="B7" s="1">
        <v>24</v>
      </c>
      <c r="C7" s="1">
        <f t="shared" ca="1" si="0"/>
        <v>23.684193817089859</v>
      </c>
      <c r="F7" s="1" t="s">
        <v>22</v>
      </c>
      <c r="G7" s="1">
        <f>AVERAGE(B2:B61)</f>
        <v>24.816666666666666</v>
      </c>
    </row>
    <row r="8" spans="1:7" x14ac:dyDescent="0.35">
      <c r="A8" s="1">
        <v>7</v>
      </c>
      <c r="B8" s="1">
        <v>22</v>
      </c>
      <c r="C8" s="1">
        <f t="shared" ca="1" si="0"/>
        <v>20.992940421760309</v>
      </c>
      <c r="F8" s="1" t="s">
        <v>23</v>
      </c>
      <c r="G8" s="1">
        <f>_xlfn.STDEV.S(B2:B61)</f>
        <v>2.5007908353678614</v>
      </c>
    </row>
    <row r="9" spans="1:7" x14ac:dyDescent="0.35">
      <c r="A9" s="1">
        <v>8</v>
      </c>
      <c r="B9" s="1">
        <v>26</v>
      </c>
      <c r="C9" s="1">
        <f t="shared" ca="1" si="0"/>
        <v>27.387712488850021</v>
      </c>
      <c r="F9" s="1" t="s">
        <v>24</v>
      </c>
      <c r="G9" s="1" cm="1">
        <f t="array" aca="1" ref="G9" ca="1">_xll.PsiNormal(24.8166666666667,2.47986334748958, _xll.PsiTruncate(-1E+30,1E+30))</f>
        <v>25.38394975223909</v>
      </c>
    </row>
    <row r="10" spans="1:7" x14ac:dyDescent="0.35">
      <c r="A10" s="1">
        <v>9</v>
      </c>
      <c r="B10" s="1">
        <v>23</v>
      </c>
      <c r="C10" s="1">
        <f t="shared" ca="1" si="0"/>
        <v>23.208165966416153</v>
      </c>
    </row>
    <row r="11" spans="1:7" x14ac:dyDescent="0.35">
      <c r="A11" s="1">
        <v>10</v>
      </c>
      <c r="B11" s="1">
        <v>27</v>
      </c>
      <c r="C11" s="1">
        <f t="shared" ca="1" si="0"/>
        <v>25.771015509842822</v>
      </c>
    </row>
    <row r="12" spans="1:7" x14ac:dyDescent="0.35">
      <c r="A12" s="1">
        <v>11</v>
      </c>
      <c r="B12" s="1">
        <v>21</v>
      </c>
      <c r="C12" s="1">
        <f t="shared" ca="1" si="0"/>
        <v>28.10738267092507</v>
      </c>
    </row>
    <row r="13" spans="1:7" x14ac:dyDescent="0.35">
      <c r="A13" s="1">
        <v>12</v>
      </c>
      <c r="B13" s="1">
        <v>25</v>
      </c>
      <c r="C13" s="1">
        <f t="shared" ca="1" si="0"/>
        <v>23.400544268557461</v>
      </c>
    </row>
    <row r="14" spans="1:7" x14ac:dyDescent="0.35">
      <c r="A14" s="1">
        <v>13</v>
      </c>
      <c r="B14" s="1">
        <v>25</v>
      </c>
      <c r="C14" s="1">
        <f t="shared" ca="1" si="0"/>
        <v>25.849929129757651</v>
      </c>
    </row>
    <row r="15" spans="1:7" x14ac:dyDescent="0.35">
      <c r="A15" s="1">
        <v>14</v>
      </c>
      <c r="B15" s="1">
        <v>24</v>
      </c>
      <c r="C15" s="1">
        <f t="shared" ca="1" si="0"/>
        <v>23.317240677015214</v>
      </c>
    </row>
    <row r="16" spans="1:7" x14ac:dyDescent="0.35">
      <c r="A16" s="1">
        <v>15</v>
      </c>
      <c r="B16" s="1">
        <v>26</v>
      </c>
      <c r="C16" s="1">
        <f t="shared" ca="1" si="0"/>
        <v>22.144139485104596</v>
      </c>
    </row>
    <row r="17" spans="1:3" x14ac:dyDescent="0.35">
      <c r="A17" s="1">
        <v>16</v>
      </c>
      <c r="B17" s="1">
        <v>24</v>
      </c>
      <c r="C17" s="1">
        <f t="shared" ca="1" si="0"/>
        <v>27.715063338031541</v>
      </c>
    </row>
    <row r="18" spans="1:3" x14ac:dyDescent="0.35">
      <c r="A18" s="1">
        <v>17</v>
      </c>
      <c r="B18" s="1">
        <v>26</v>
      </c>
      <c r="C18" s="1">
        <f t="shared" ca="1" si="0"/>
        <v>24.478751850676431</v>
      </c>
    </row>
    <row r="19" spans="1:3" x14ac:dyDescent="0.35">
      <c r="A19" s="1">
        <v>18</v>
      </c>
      <c r="B19" s="1">
        <v>23</v>
      </c>
      <c r="C19" s="1">
        <f t="shared" ca="1" si="0"/>
        <v>25.93319438848139</v>
      </c>
    </row>
    <row r="20" spans="1:3" x14ac:dyDescent="0.35">
      <c r="A20" s="1">
        <v>19</v>
      </c>
      <c r="B20" s="1">
        <v>29</v>
      </c>
      <c r="C20" s="1">
        <f t="shared" ca="1" si="0"/>
        <v>21.722031206721446</v>
      </c>
    </row>
    <row r="21" spans="1:3" x14ac:dyDescent="0.35">
      <c r="A21" s="1">
        <v>20</v>
      </c>
      <c r="B21" s="1">
        <v>19</v>
      </c>
      <c r="C21" s="1">
        <f t="shared" ca="1" si="0"/>
        <v>24.233254726785464</v>
      </c>
    </row>
    <row r="22" spans="1:3" x14ac:dyDescent="0.35">
      <c r="A22" s="1">
        <v>21</v>
      </c>
      <c r="B22" s="1">
        <v>21</v>
      </c>
      <c r="C22" s="1">
        <f t="shared" ca="1" si="0"/>
        <v>19.752930441458179</v>
      </c>
    </row>
    <row r="23" spans="1:3" x14ac:dyDescent="0.35">
      <c r="A23" s="1">
        <v>22</v>
      </c>
      <c r="B23" s="1">
        <v>25</v>
      </c>
      <c r="C23" s="1">
        <f t="shared" ca="1" si="0"/>
        <v>22.881099159618962</v>
      </c>
    </row>
    <row r="24" spans="1:3" x14ac:dyDescent="0.35">
      <c r="A24" s="1">
        <v>23</v>
      </c>
      <c r="B24" s="1">
        <v>26</v>
      </c>
      <c r="C24" s="1">
        <f t="shared" ca="1" si="0"/>
        <v>24.644534462030201</v>
      </c>
    </row>
    <row r="25" spans="1:3" x14ac:dyDescent="0.35">
      <c r="A25" s="1">
        <v>24</v>
      </c>
      <c r="B25" s="1">
        <v>23</v>
      </c>
      <c r="C25" s="1">
        <f t="shared" ca="1" si="0"/>
        <v>19.716660115444956</v>
      </c>
    </row>
    <row r="26" spans="1:3" x14ac:dyDescent="0.35">
      <c r="A26" s="1">
        <v>25</v>
      </c>
      <c r="B26" s="1">
        <v>23</v>
      </c>
      <c r="C26" s="1">
        <f t="shared" ca="1" si="0"/>
        <v>25.508404956646061</v>
      </c>
    </row>
    <row r="27" spans="1:3" x14ac:dyDescent="0.35">
      <c r="A27" s="1">
        <v>26</v>
      </c>
      <c r="B27" s="1">
        <v>23</v>
      </c>
      <c r="C27" s="1">
        <f t="shared" ca="1" si="0"/>
        <v>21.671589340184973</v>
      </c>
    </row>
    <row r="28" spans="1:3" x14ac:dyDescent="0.35">
      <c r="A28" s="1">
        <v>27</v>
      </c>
      <c r="B28" s="1">
        <v>26</v>
      </c>
      <c r="C28" s="1">
        <f t="shared" ca="1" si="0"/>
        <v>22.959660487526431</v>
      </c>
    </row>
    <row r="29" spans="1:3" x14ac:dyDescent="0.35">
      <c r="A29" s="1">
        <v>28</v>
      </c>
      <c r="B29" s="1">
        <v>23</v>
      </c>
      <c r="C29" s="1">
        <f t="shared" ca="1" si="0"/>
        <v>25.426469561747439</v>
      </c>
    </row>
    <row r="30" spans="1:3" x14ac:dyDescent="0.35">
      <c r="A30" s="1">
        <v>29</v>
      </c>
      <c r="B30" s="1">
        <v>23</v>
      </c>
      <c r="C30" s="1">
        <f t="shared" ca="1" si="0"/>
        <v>27.298255713364529</v>
      </c>
    </row>
    <row r="31" spans="1:3" x14ac:dyDescent="0.35">
      <c r="A31" s="1">
        <v>30</v>
      </c>
      <c r="B31" s="1">
        <v>27</v>
      </c>
      <c r="C31" s="1">
        <f t="shared" ca="1" si="0"/>
        <v>22.408225073419192</v>
      </c>
    </row>
    <row r="32" spans="1:3" x14ac:dyDescent="0.35">
      <c r="A32" s="1">
        <v>31</v>
      </c>
      <c r="B32" s="1">
        <v>29</v>
      </c>
      <c r="C32" s="1">
        <f t="shared" ca="1" si="0"/>
        <v>21.842351723537465</v>
      </c>
    </row>
    <row r="33" spans="1:3" x14ac:dyDescent="0.35">
      <c r="A33" s="1">
        <v>32</v>
      </c>
      <c r="B33" s="1">
        <v>25</v>
      </c>
      <c r="C33" s="1">
        <f t="shared" ca="1" si="0"/>
        <v>26.447179218721018</v>
      </c>
    </row>
    <row r="34" spans="1:3" x14ac:dyDescent="0.35">
      <c r="A34" s="1">
        <v>33</v>
      </c>
      <c r="B34" s="1">
        <v>24</v>
      </c>
      <c r="C34" s="1">
        <f t="shared" ca="1" si="0"/>
        <v>25.965740400597173</v>
      </c>
    </row>
    <row r="35" spans="1:3" x14ac:dyDescent="0.35">
      <c r="A35" s="1">
        <v>34</v>
      </c>
      <c r="B35" s="1">
        <v>22</v>
      </c>
      <c r="C35" s="1">
        <f t="shared" ca="1" si="0"/>
        <v>29.455680544825313</v>
      </c>
    </row>
    <row r="36" spans="1:3" x14ac:dyDescent="0.35">
      <c r="A36" s="1">
        <v>35</v>
      </c>
      <c r="B36" s="1">
        <v>26</v>
      </c>
      <c r="C36" s="1">
        <f t="shared" ca="1" si="0"/>
        <v>24.266325485906684</v>
      </c>
    </row>
    <row r="37" spans="1:3" x14ac:dyDescent="0.35">
      <c r="A37" s="1">
        <v>36</v>
      </c>
      <c r="B37" s="1">
        <v>24</v>
      </c>
      <c r="C37" s="1">
        <f t="shared" ca="1" si="0"/>
        <v>22.877457332373524</v>
      </c>
    </row>
    <row r="38" spans="1:3" x14ac:dyDescent="0.35">
      <c r="A38" s="1">
        <v>37</v>
      </c>
      <c r="B38" s="1">
        <v>19</v>
      </c>
      <c r="C38" s="1">
        <f t="shared" ca="1" si="0"/>
        <v>25.910380950809753</v>
      </c>
    </row>
    <row r="39" spans="1:3" x14ac:dyDescent="0.35">
      <c r="A39" s="1">
        <v>38</v>
      </c>
      <c r="B39" s="1">
        <v>24</v>
      </c>
      <c r="C39" s="1">
        <f t="shared" ca="1" si="0"/>
        <v>25.610119603447458</v>
      </c>
    </row>
    <row r="40" spans="1:3" x14ac:dyDescent="0.35">
      <c r="A40" s="1">
        <v>39</v>
      </c>
      <c r="B40" s="1">
        <v>29</v>
      </c>
      <c r="C40" s="1">
        <f t="shared" ca="1" si="0"/>
        <v>23.941367077430289</v>
      </c>
    </row>
    <row r="41" spans="1:3" x14ac:dyDescent="0.35">
      <c r="A41" s="1">
        <v>40</v>
      </c>
      <c r="B41" s="1">
        <v>23</v>
      </c>
      <c r="C41" s="1">
        <f t="shared" ca="1" si="0"/>
        <v>23.89124697348322</v>
      </c>
    </row>
    <row r="42" spans="1:3" x14ac:dyDescent="0.35">
      <c r="A42" s="1">
        <v>41</v>
      </c>
      <c r="B42" s="1">
        <v>24</v>
      </c>
      <c r="C42" s="1">
        <f t="shared" ca="1" si="0"/>
        <v>23.497766917494666</v>
      </c>
    </row>
    <row r="43" spans="1:3" x14ac:dyDescent="0.35">
      <c r="A43" s="1">
        <v>42</v>
      </c>
      <c r="B43" s="1">
        <v>23</v>
      </c>
      <c r="C43" s="1">
        <f t="shared" ca="1" si="0"/>
        <v>23.831089279668252</v>
      </c>
    </row>
    <row r="44" spans="1:3" x14ac:dyDescent="0.35">
      <c r="A44" s="1">
        <v>43</v>
      </c>
      <c r="B44" s="1">
        <v>27</v>
      </c>
      <c r="C44" s="1">
        <f t="shared" ca="1" si="0"/>
        <v>20.347487049879405</v>
      </c>
    </row>
    <row r="45" spans="1:3" x14ac:dyDescent="0.35">
      <c r="A45" s="1">
        <v>44</v>
      </c>
      <c r="B45" s="1">
        <v>24</v>
      </c>
      <c r="C45" s="1">
        <f t="shared" ca="1" si="0"/>
        <v>27.00505255689751</v>
      </c>
    </row>
    <row r="46" spans="1:3" x14ac:dyDescent="0.35">
      <c r="A46" s="1">
        <v>45</v>
      </c>
      <c r="B46" s="1">
        <v>28</v>
      </c>
      <c r="C46" s="1">
        <f t="shared" ca="1" si="0"/>
        <v>23.47125433615329</v>
      </c>
    </row>
    <row r="47" spans="1:3" x14ac:dyDescent="0.35">
      <c r="A47" s="1">
        <v>46</v>
      </c>
      <c r="B47" s="1">
        <v>25</v>
      </c>
      <c r="C47" s="1">
        <f t="shared" ca="1" si="0"/>
        <v>27.735793653297023</v>
      </c>
    </row>
    <row r="48" spans="1:3" x14ac:dyDescent="0.35">
      <c r="A48" s="1">
        <v>47</v>
      </c>
      <c r="B48" s="1">
        <v>29</v>
      </c>
      <c r="C48" s="1">
        <f t="shared" ca="1" si="0"/>
        <v>28.190229804370954</v>
      </c>
    </row>
    <row r="49" spans="1:3" x14ac:dyDescent="0.35">
      <c r="A49" s="1">
        <v>48</v>
      </c>
      <c r="B49" s="1">
        <v>25</v>
      </c>
      <c r="C49" s="1">
        <f t="shared" ca="1" si="0"/>
        <v>26.457721790994135</v>
      </c>
    </row>
    <row r="50" spans="1:3" x14ac:dyDescent="0.35">
      <c r="A50" s="1">
        <v>49</v>
      </c>
      <c r="B50" s="1">
        <v>33</v>
      </c>
      <c r="C50" s="1">
        <f t="shared" ca="1" si="0"/>
        <v>26.15119847464997</v>
      </c>
    </row>
    <row r="51" spans="1:3" x14ac:dyDescent="0.35">
      <c r="A51" s="1">
        <v>50</v>
      </c>
      <c r="B51" s="1">
        <v>24</v>
      </c>
      <c r="C51" s="1">
        <f t="shared" ca="1" si="0"/>
        <v>26.544488942245703</v>
      </c>
    </row>
    <row r="52" spans="1:3" x14ac:dyDescent="0.35">
      <c r="A52" s="1">
        <v>51</v>
      </c>
      <c r="B52" s="1">
        <v>29</v>
      </c>
      <c r="C52" s="1">
        <f t="shared" ca="1" si="0"/>
        <v>24.584119893593552</v>
      </c>
    </row>
    <row r="53" spans="1:3" x14ac:dyDescent="0.35">
      <c r="A53" s="1">
        <v>52</v>
      </c>
      <c r="B53" s="1">
        <v>25</v>
      </c>
      <c r="C53" s="1">
        <f t="shared" ca="1" si="0"/>
        <v>20.176052872012416</v>
      </c>
    </row>
    <row r="54" spans="1:3" x14ac:dyDescent="0.35">
      <c r="A54" s="1">
        <v>53</v>
      </c>
      <c r="B54" s="1">
        <v>25</v>
      </c>
      <c r="C54" s="1">
        <f t="shared" ca="1" si="0"/>
        <v>23.732681189093537</v>
      </c>
    </row>
    <row r="55" spans="1:3" x14ac:dyDescent="0.35">
      <c r="A55" s="1">
        <v>54</v>
      </c>
      <c r="B55" s="1">
        <v>22</v>
      </c>
      <c r="C55" s="1">
        <f t="shared" ca="1" si="0"/>
        <v>23.131397628224878</v>
      </c>
    </row>
    <row r="56" spans="1:3" x14ac:dyDescent="0.35">
      <c r="A56" s="1">
        <v>55</v>
      </c>
      <c r="B56" s="1">
        <v>27</v>
      </c>
      <c r="C56" s="1">
        <f t="shared" ca="1" si="0"/>
        <v>23.631688206819682</v>
      </c>
    </row>
    <row r="57" spans="1:3" x14ac:dyDescent="0.35">
      <c r="A57" s="1">
        <v>56</v>
      </c>
      <c r="B57" s="1">
        <v>27</v>
      </c>
      <c r="C57" s="1">
        <f t="shared" ca="1" si="0"/>
        <v>25.500142842301546</v>
      </c>
    </row>
    <row r="58" spans="1:3" x14ac:dyDescent="0.35">
      <c r="A58" s="1">
        <v>57</v>
      </c>
      <c r="B58" s="1">
        <v>24</v>
      </c>
      <c r="C58" s="1">
        <f t="shared" ca="1" si="0"/>
        <v>27.979789054655875</v>
      </c>
    </row>
    <row r="59" spans="1:3" x14ac:dyDescent="0.35">
      <c r="A59" s="1">
        <v>58</v>
      </c>
      <c r="B59" s="1">
        <v>24</v>
      </c>
      <c r="C59" s="1">
        <f t="shared" ca="1" si="0"/>
        <v>22.549100678440062</v>
      </c>
    </row>
    <row r="60" spans="1:3" x14ac:dyDescent="0.35">
      <c r="A60" s="1">
        <v>59</v>
      </c>
      <c r="B60" s="1">
        <v>24</v>
      </c>
      <c r="C60" s="1">
        <f t="shared" ca="1" si="0"/>
        <v>26.886177235522656</v>
      </c>
    </row>
    <row r="61" spans="1:3" x14ac:dyDescent="0.35">
      <c r="A61" s="1">
        <v>60</v>
      </c>
      <c r="B61" s="1">
        <v>27</v>
      </c>
      <c r="C61" s="1">
        <f t="shared" ca="1" si="0"/>
        <v>24.285666460532305</v>
      </c>
    </row>
    <row r="1048550" spans="16383:16384" x14ac:dyDescent="0.35">
      <c r="XFC1048550" s="1">
        <f>0</f>
        <v>0</v>
      </c>
      <c r="XFD1048550" s="1">
        <f>24.8166666666667</f>
        <v>24.816666666666698</v>
      </c>
    </row>
    <row r="1048551" spans="16383:16384" x14ac:dyDescent="0.35">
      <c r="XFC1048551" s="1" t="str">
        <f>""</f>
        <v/>
      </c>
      <c r="XFD1048551" s="1">
        <f>2.47986334748958</f>
        <v>2.4798633474895801</v>
      </c>
    </row>
    <row r="1048552" spans="16383:16384" x14ac:dyDescent="0.35">
      <c r="XFC1048552" s="1">
        <f>-1E+30</f>
        <v>-1E+30</v>
      </c>
    </row>
    <row r="1048553" spans="16383:16384" x14ac:dyDescent="0.35">
      <c r="XFC1048553" s="1">
        <f>1E+30</f>
        <v>1E+30</v>
      </c>
    </row>
    <row r="1048554" spans="16383:16384" x14ac:dyDescent="0.35">
      <c r="XFC1048554" s="1" t="str">
        <f>""</f>
        <v/>
      </c>
    </row>
    <row r="1048555" spans="16383:16384" x14ac:dyDescent="0.35">
      <c r="XFC1048555" s="1" t="str">
        <f>""</f>
        <v/>
      </c>
    </row>
    <row r="1048556" spans="16383:16384" x14ac:dyDescent="0.35">
      <c r="XFC1048556" s="1" t="str">
        <f>""</f>
        <v/>
      </c>
    </row>
    <row r="1048557" spans="16383:16384" x14ac:dyDescent="0.35">
      <c r="XFC1048557" s="1" t="str">
        <f>""</f>
        <v/>
      </c>
    </row>
    <row r="1048558" spans="16383:16384" x14ac:dyDescent="0.35">
      <c r="XFC1048558" s="1" t="str">
        <f>""</f>
        <v/>
      </c>
    </row>
    <row r="1048559" spans="16383:16384" x14ac:dyDescent="0.35">
      <c r="XFC1048559" s="1" t="str">
        <f>""</f>
        <v/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A0CFC-6D87-47D1-804A-4089980B1C68}">
  <dimension ref="A1:XFD1048559"/>
  <sheetViews>
    <sheetView tabSelected="1" workbookViewId="0">
      <selection activeCell="G6" sqref="G6"/>
    </sheetView>
  </sheetViews>
  <sheetFormatPr defaultColWidth="8.6328125" defaultRowHeight="14.5" x14ac:dyDescent="0.35"/>
  <cols>
    <col min="1" max="1" width="4" style="1" bestFit="1" customWidth="1"/>
    <col min="2" max="2" width="27.453125" style="1" bestFit="1" customWidth="1"/>
    <col min="3" max="5" width="8.6328125" style="1"/>
    <col min="6" max="6" width="14.1796875" style="1" customWidth="1"/>
    <col min="7" max="7" width="23.36328125" style="1" customWidth="1"/>
    <col min="8" max="16384" width="8.6328125" style="1"/>
  </cols>
  <sheetData>
    <row r="1" spans="1:7" x14ac:dyDescent="0.35">
      <c r="A1" s="1" t="s">
        <v>0</v>
      </c>
      <c r="B1" s="1" t="s">
        <v>2</v>
      </c>
    </row>
    <row r="2" spans="1:7" x14ac:dyDescent="0.35">
      <c r="A2" s="1">
        <v>1</v>
      </c>
      <c r="B2" s="2">
        <v>0.76746376702380226</v>
      </c>
      <c r="C2" s="1">
        <f ca="1">_xlfn.NORM.INV(RAND(),0.65,0.07307)</f>
        <v>0.70943428480857973</v>
      </c>
    </row>
    <row r="3" spans="1:7" x14ac:dyDescent="0.35">
      <c r="A3" s="1">
        <v>2</v>
      </c>
      <c r="B3" s="2">
        <v>0.68523848535299337</v>
      </c>
      <c r="C3" s="1">
        <f t="shared" ref="C3:C61" ca="1" si="0">_xlfn.NORM.INV(RAND(),0.65,0.07307)</f>
        <v>0.71349828138649585</v>
      </c>
    </row>
    <row r="4" spans="1:7" x14ac:dyDescent="0.35">
      <c r="A4" s="1">
        <v>3</v>
      </c>
      <c r="B4" s="2">
        <v>0.61343259757752944</v>
      </c>
      <c r="C4" s="1">
        <f t="shared" ca="1" si="0"/>
        <v>0.67830764091461826</v>
      </c>
      <c r="F4" s="1" t="s">
        <v>22</v>
      </c>
      <c r="G4" s="2" t="s">
        <v>44</v>
      </c>
    </row>
    <row r="5" spans="1:7" x14ac:dyDescent="0.35">
      <c r="A5" s="1">
        <v>4</v>
      </c>
      <c r="B5" s="2">
        <v>0.67559236337544759</v>
      </c>
      <c r="C5" s="1">
        <f t="shared" ca="1" si="0"/>
        <v>0.72089447180759636</v>
      </c>
      <c r="F5" s="2">
        <f>AVERAGE(B2:B61)</f>
        <v>0.6548275566494447</v>
      </c>
      <c r="G5" s="1">
        <f>STDEV(B2:B61)</f>
        <v>7.3067442820088799E-2</v>
      </c>
    </row>
    <row r="6" spans="1:7" x14ac:dyDescent="0.35">
      <c r="A6" s="1">
        <v>5</v>
      </c>
      <c r="B6" s="2">
        <v>0.65338275218607955</v>
      </c>
      <c r="C6" s="1">
        <f t="shared" ca="1" si="0"/>
        <v>0.6435869497774791</v>
      </c>
    </row>
    <row r="7" spans="1:7" x14ac:dyDescent="0.35">
      <c r="A7" s="1">
        <v>6</v>
      </c>
      <c r="B7" s="2">
        <v>0.61397333946384514</v>
      </c>
      <c r="C7" s="1">
        <f t="shared" ca="1" si="0"/>
        <v>0.62558103524495856</v>
      </c>
    </row>
    <row r="8" spans="1:7" x14ac:dyDescent="0.35">
      <c r="A8" s="1">
        <v>7</v>
      </c>
      <c r="B8" s="2">
        <v>0.65728838490810437</v>
      </c>
      <c r="C8" s="1">
        <f t="shared" ca="1" si="0"/>
        <v>0.636148810506171</v>
      </c>
      <c r="F8" s="1" t="s">
        <v>25</v>
      </c>
      <c r="G8" s="1" cm="1">
        <f t="array" aca="1" ref="G8" ca="1">_xll.PsiUniform(0.521067868178684,0.829668910713641, _xll.PsiTruncate(-1E+30,1E+30))</f>
        <v>0.74740074407876045</v>
      </c>
    </row>
    <row r="9" spans="1:7" x14ac:dyDescent="0.35">
      <c r="A9" s="1">
        <v>8</v>
      </c>
      <c r="B9" s="2">
        <v>0.58788488751337364</v>
      </c>
      <c r="C9" s="1">
        <f t="shared" ca="1" si="0"/>
        <v>0.73513440997891555</v>
      </c>
    </row>
    <row r="10" spans="1:7" x14ac:dyDescent="0.35">
      <c r="A10" s="1">
        <v>9</v>
      </c>
      <c r="B10" s="2">
        <v>0.60213925650918676</v>
      </c>
      <c r="C10" s="1">
        <f t="shared" ca="1" si="0"/>
        <v>0.59830502276412889</v>
      </c>
    </row>
    <row r="11" spans="1:7" x14ac:dyDescent="0.35">
      <c r="A11" s="1">
        <v>10</v>
      </c>
      <c r="B11" s="2">
        <v>0.62670527821577382</v>
      </c>
      <c r="C11" s="1">
        <f t="shared" ca="1" si="0"/>
        <v>0.68701436342260247</v>
      </c>
    </row>
    <row r="12" spans="1:7" x14ac:dyDescent="0.35">
      <c r="A12" s="1">
        <v>11</v>
      </c>
      <c r="B12" s="2">
        <v>0.74589128536748239</v>
      </c>
      <c r="C12" s="1">
        <f t="shared" ca="1" si="0"/>
        <v>0.72917623098699968</v>
      </c>
    </row>
    <row r="13" spans="1:7" x14ac:dyDescent="0.35">
      <c r="A13" s="1">
        <v>12</v>
      </c>
      <c r="B13" s="2">
        <v>0.67725094965319443</v>
      </c>
      <c r="C13" s="1">
        <f t="shared" ca="1" si="0"/>
        <v>0.68714950249387585</v>
      </c>
    </row>
    <row r="14" spans="1:7" x14ac:dyDescent="0.35">
      <c r="A14" s="1">
        <v>13</v>
      </c>
      <c r="B14" s="2">
        <v>0.70365169892171109</v>
      </c>
      <c r="C14" s="1">
        <f t="shared" ca="1" si="0"/>
        <v>0.58636745179596639</v>
      </c>
    </row>
    <row r="15" spans="1:7" x14ac:dyDescent="0.35">
      <c r="A15" s="1">
        <v>14</v>
      </c>
      <c r="B15" s="2">
        <v>0.63880757457153103</v>
      </c>
      <c r="C15" s="1">
        <f t="shared" ca="1" si="0"/>
        <v>0.55559015287813673</v>
      </c>
    </row>
    <row r="16" spans="1:7" x14ac:dyDescent="0.35">
      <c r="A16" s="1">
        <v>15</v>
      </c>
      <c r="B16" s="2">
        <v>0.572332135579393</v>
      </c>
      <c r="C16" s="1">
        <f t="shared" ca="1" si="0"/>
        <v>0.72981726618189857</v>
      </c>
    </row>
    <row r="17" spans="1:3" x14ac:dyDescent="0.35">
      <c r="A17" s="1">
        <v>16</v>
      </c>
      <c r="B17" s="2">
        <v>0.61570250610547084</v>
      </c>
      <c r="C17" s="1">
        <f t="shared" ca="1" si="0"/>
        <v>0.64736428029730164</v>
      </c>
    </row>
    <row r="18" spans="1:3" x14ac:dyDescent="0.35">
      <c r="A18" s="1">
        <v>17</v>
      </c>
      <c r="B18" s="2">
        <v>0.64646052713962221</v>
      </c>
      <c r="C18" s="1">
        <f t="shared" ca="1" si="0"/>
        <v>0.67576257387996697</v>
      </c>
    </row>
    <row r="19" spans="1:3" x14ac:dyDescent="0.35">
      <c r="A19" s="1">
        <v>18</v>
      </c>
      <c r="B19" s="2">
        <v>0.65936870324737529</v>
      </c>
      <c r="C19" s="1">
        <f t="shared" ca="1" si="0"/>
        <v>0.68504283092619478</v>
      </c>
    </row>
    <row r="20" spans="1:3" x14ac:dyDescent="0.35">
      <c r="A20" s="1">
        <v>19</v>
      </c>
      <c r="B20" s="2">
        <v>0.68261970636471214</v>
      </c>
      <c r="C20" s="1">
        <f t="shared" ca="1" si="0"/>
        <v>0.6936549441628137</v>
      </c>
    </row>
    <row r="21" spans="1:3" x14ac:dyDescent="0.35">
      <c r="A21" s="1">
        <v>20</v>
      </c>
      <c r="B21" s="2">
        <v>0.65805918458189661</v>
      </c>
      <c r="C21" s="1">
        <f t="shared" ca="1" si="0"/>
        <v>0.77258245697235806</v>
      </c>
    </row>
    <row r="22" spans="1:3" x14ac:dyDescent="0.35">
      <c r="A22" s="1">
        <v>21</v>
      </c>
      <c r="B22" s="2">
        <v>0.6630098858909651</v>
      </c>
      <c r="C22" s="1">
        <f t="shared" ca="1" si="0"/>
        <v>0.52069262280698214</v>
      </c>
    </row>
    <row r="23" spans="1:3" x14ac:dyDescent="0.35">
      <c r="A23" s="1">
        <v>22</v>
      </c>
      <c r="B23" s="2">
        <v>0.60479065238456564</v>
      </c>
      <c r="C23" s="1">
        <f t="shared" ca="1" si="0"/>
        <v>0.60067869731739498</v>
      </c>
    </row>
    <row r="24" spans="1:3" x14ac:dyDescent="0.35">
      <c r="A24" s="1">
        <v>23</v>
      </c>
      <c r="B24" s="2">
        <v>0.59172560775616845</v>
      </c>
      <c r="C24" s="1">
        <f t="shared" ca="1" si="0"/>
        <v>0.63417347326162632</v>
      </c>
    </row>
    <row r="25" spans="1:3" x14ac:dyDescent="0.35">
      <c r="A25" s="1">
        <v>24</v>
      </c>
      <c r="B25" s="2">
        <v>0.7751296154990619</v>
      </c>
      <c r="C25" s="1">
        <f t="shared" ca="1" si="0"/>
        <v>0.59664897651370297</v>
      </c>
    </row>
    <row r="26" spans="1:3" x14ac:dyDescent="0.35">
      <c r="A26" s="1">
        <v>25</v>
      </c>
      <c r="B26" s="2">
        <v>0.54543281530494148</v>
      </c>
      <c r="C26" s="1">
        <f t="shared" ca="1" si="0"/>
        <v>0.50472954746224818</v>
      </c>
    </row>
    <row r="27" spans="1:3" x14ac:dyDescent="0.35">
      <c r="A27" s="1">
        <v>26</v>
      </c>
      <c r="B27" s="2">
        <v>0.5549559072993232</v>
      </c>
      <c r="C27" s="1">
        <f t="shared" ca="1" si="0"/>
        <v>0.72311642741506743</v>
      </c>
    </row>
    <row r="28" spans="1:3" x14ac:dyDescent="0.35">
      <c r="A28" s="1">
        <v>27</v>
      </c>
      <c r="B28" s="2">
        <v>0.79070445335129458</v>
      </c>
      <c r="C28" s="1">
        <f t="shared" ca="1" si="0"/>
        <v>0.67862155436506866</v>
      </c>
    </row>
    <row r="29" spans="1:3" x14ac:dyDescent="0.35">
      <c r="A29" s="1">
        <v>28</v>
      </c>
      <c r="B29" s="2">
        <v>0.5417879111343491</v>
      </c>
      <c r="C29" s="1">
        <f t="shared" ca="1" si="0"/>
        <v>0.79445782026475731</v>
      </c>
    </row>
    <row r="30" spans="1:3" x14ac:dyDescent="0.35">
      <c r="A30" s="1">
        <v>29</v>
      </c>
      <c r="B30" s="2">
        <v>0.63045765052593872</v>
      </c>
      <c r="C30" s="1">
        <f t="shared" ca="1" si="0"/>
        <v>0.62206581528762761</v>
      </c>
    </row>
    <row r="31" spans="1:3" x14ac:dyDescent="0.35">
      <c r="A31" s="1">
        <v>30</v>
      </c>
      <c r="B31" s="2">
        <v>0.58285590922654307</v>
      </c>
      <c r="C31" s="1">
        <f t="shared" ca="1" si="0"/>
        <v>0.73847212017160413</v>
      </c>
    </row>
    <row r="32" spans="1:3" x14ac:dyDescent="0.35">
      <c r="A32" s="1">
        <v>31</v>
      </c>
      <c r="B32" s="2">
        <v>0.64287975196835923</v>
      </c>
      <c r="C32" s="1">
        <f t="shared" ca="1" si="0"/>
        <v>0.68145723103073919</v>
      </c>
    </row>
    <row r="33" spans="1:3" x14ac:dyDescent="0.35">
      <c r="A33" s="1">
        <v>32</v>
      </c>
      <c r="B33" s="2">
        <v>0.69717799037859218</v>
      </c>
      <c r="C33" s="1">
        <f t="shared" ca="1" si="0"/>
        <v>0.59315270334361969</v>
      </c>
    </row>
    <row r="34" spans="1:3" x14ac:dyDescent="0.35">
      <c r="A34" s="1">
        <v>33</v>
      </c>
      <c r="B34" s="2">
        <v>0.70054252653543392</v>
      </c>
      <c r="C34" s="1">
        <f t="shared" ca="1" si="0"/>
        <v>0.724427055668175</v>
      </c>
    </row>
    <row r="35" spans="1:3" x14ac:dyDescent="0.35">
      <c r="A35" s="1">
        <v>34</v>
      </c>
      <c r="B35" s="2">
        <v>0.58469694176163001</v>
      </c>
      <c r="C35" s="1">
        <f t="shared" ca="1" si="0"/>
        <v>0.63254412573237651</v>
      </c>
    </row>
    <row r="36" spans="1:3" x14ac:dyDescent="0.35">
      <c r="A36" s="1">
        <v>35</v>
      </c>
      <c r="B36" s="2">
        <v>0.67747251513779128</v>
      </c>
      <c r="C36" s="1">
        <f t="shared" ca="1" si="0"/>
        <v>0.71488258518585879</v>
      </c>
    </row>
    <row r="37" spans="1:3" x14ac:dyDescent="0.35">
      <c r="A37" s="1">
        <v>36</v>
      </c>
      <c r="B37" s="2">
        <v>0.58176278343650378</v>
      </c>
      <c r="C37" s="1">
        <f t="shared" ca="1" si="0"/>
        <v>0.61998145576527164</v>
      </c>
    </row>
    <row r="38" spans="1:3" x14ac:dyDescent="0.35">
      <c r="A38" s="1">
        <v>37</v>
      </c>
      <c r="B38" s="2">
        <v>0.52106786817868445</v>
      </c>
      <c r="C38" s="1">
        <f t="shared" ca="1" si="0"/>
        <v>0.68406918954217866</v>
      </c>
    </row>
    <row r="39" spans="1:3" x14ac:dyDescent="0.35">
      <c r="A39" s="1">
        <v>38</v>
      </c>
      <c r="B39" s="2">
        <v>0.81134558432350601</v>
      </c>
      <c r="C39" s="1">
        <f t="shared" ca="1" si="0"/>
        <v>0.64144702003651766</v>
      </c>
    </row>
    <row r="40" spans="1:3" x14ac:dyDescent="0.35">
      <c r="A40" s="1">
        <v>39</v>
      </c>
      <c r="B40" s="2">
        <v>0.66833579026220458</v>
      </c>
      <c r="C40" s="1">
        <f t="shared" ca="1" si="0"/>
        <v>0.59333807715030995</v>
      </c>
    </row>
    <row r="41" spans="1:3" x14ac:dyDescent="0.35">
      <c r="A41" s="1">
        <v>40</v>
      </c>
      <c r="B41" s="2">
        <v>0.57595584082466411</v>
      </c>
      <c r="C41" s="1">
        <f t="shared" ca="1" si="0"/>
        <v>0.82667594616881035</v>
      </c>
    </row>
    <row r="42" spans="1:3" x14ac:dyDescent="0.35">
      <c r="A42" s="1">
        <v>41</v>
      </c>
      <c r="B42" s="2">
        <v>0.56151845490491059</v>
      </c>
      <c r="C42" s="1">
        <f t="shared" ca="1" si="0"/>
        <v>0.66572632318643965</v>
      </c>
    </row>
    <row r="43" spans="1:3" x14ac:dyDescent="0.35">
      <c r="A43" s="1">
        <v>42</v>
      </c>
      <c r="B43" s="2">
        <v>0.63957817350648372</v>
      </c>
      <c r="C43" s="1">
        <f t="shared" ca="1" si="0"/>
        <v>0.66329030524609545</v>
      </c>
    </row>
    <row r="44" spans="1:3" x14ac:dyDescent="0.35">
      <c r="A44" s="1">
        <v>43</v>
      </c>
      <c r="B44" s="2">
        <v>0.74604550501854094</v>
      </c>
      <c r="C44" s="1">
        <f t="shared" ca="1" si="0"/>
        <v>0.62606611607661067</v>
      </c>
    </row>
    <row r="45" spans="1:3" x14ac:dyDescent="0.35">
      <c r="A45" s="1">
        <v>44</v>
      </c>
      <c r="B45" s="2">
        <v>0.59429186197615891</v>
      </c>
      <c r="C45" s="1">
        <f t="shared" ca="1" si="0"/>
        <v>0.79075396123837516</v>
      </c>
    </row>
    <row r="46" spans="1:3" x14ac:dyDescent="0.35">
      <c r="A46" s="1">
        <v>45</v>
      </c>
      <c r="B46" s="2">
        <v>0.63120487371005907</v>
      </c>
      <c r="C46" s="1">
        <f t="shared" ca="1" si="0"/>
        <v>0.74865228364928449</v>
      </c>
    </row>
    <row r="47" spans="1:3" x14ac:dyDescent="0.35">
      <c r="A47" s="1">
        <v>46</v>
      </c>
      <c r="B47" s="2">
        <v>0.74500017953722975</v>
      </c>
      <c r="C47" s="1">
        <f t="shared" ca="1" si="0"/>
        <v>0.67875197351163685</v>
      </c>
    </row>
    <row r="48" spans="1:3" x14ac:dyDescent="0.35">
      <c r="A48" s="1">
        <v>47</v>
      </c>
      <c r="B48" s="2">
        <v>0.59971965164532925</v>
      </c>
      <c r="C48" s="1">
        <f t="shared" ca="1" si="0"/>
        <v>0.67115042671465996</v>
      </c>
    </row>
    <row r="49" spans="1:3" x14ac:dyDescent="0.35">
      <c r="A49" s="1">
        <v>48</v>
      </c>
      <c r="B49" s="2">
        <v>0.61827245096830108</v>
      </c>
      <c r="C49" s="1">
        <f t="shared" ca="1" si="0"/>
        <v>0.78012434453416968</v>
      </c>
    </row>
    <row r="50" spans="1:3" x14ac:dyDescent="0.35">
      <c r="A50" s="1">
        <v>49</v>
      </c>
      <c r="B50" s="2">
        <v>0.72536933863101583</v>
      </c>
      <c r="C50" s="1">
        <f t="shared" ca="1" si="0"/>
        <v>0.57342705327758914</v>
      </c>
    </row>
    <row r="51" spans="1:3" x14ac:dyDescent="0.35">
      <c r="A51" s="1">
        <v>50</v>
      </c>
      <c r="B51" s="2">
        <v>0.70786437434336025</v>
      </c>
      <c r="C51" s="1">
        <f t="shared" ca="1" si="0"/>
        <v>0.68077473714370573</v>
      </c>
    </row>
    <row r="52" spans="1:3" x14ac:dyDescent="0.35">
      <c r="A52" s="1">
        <v>51</v>
      </c>
      <c r="B52" s="2">
        <v>0.65024028262986633</v>
      </c>
      <c r="C52" s="1">
        <f t="shared" ca="1" si="0"/>
        <v>0.61145751794875769</v>
      </c>
    </row>
    <row r="53" spans="1:3" x14ac:dyDescent="0.35">
      <c r="A53" s="1">
        <v>52</v>
      </c>
      <c r="B53" s="2">
        <v>0.82966891071364079</v>
      </c>
      <c r="C53" s="1">
        <f t="shared" ca="1" si="0"/>
        <v>0.63274424182279188</v>
      </c>
    </row>
    <row r="54" spans="1:3" x14ac:dyDescent="0.35">
      <c r="A54" s="1">
        <v>53</v>
      </c>
      <c r="B54" s="2">
        <v>0.64578637040650078</v>
      </c>
      <c r="C54" s="1">
        <f t="shared" ca="1" si="0"/>
        <v>0.62014326301742251</v>
      </c>
    </row>
    <row r="55" spans="1:3" x14ac:dyDescent="0.35">
      <c r="A55" s="1">
        <v>54</v>
      </c>
      <c r="B55" s="2">
        <v>0.73220476867126161</v>
      </c>
      <c r="C55" s="1">
        <f t="shared" ca="1" si="0"/>
        <v>0.65996723754495645</v>
      </c>
    </row>
    <row r="56" spans="1:3" x14ac:dyDescent="0.35">
      <c r="A56" s="1">
        <v>55</v>
      </c>
      <c r="B56" s="2">
        <v>0.784151839966169</v>
      </c>
      <c r="C56" s="1">
        <f t="shared" ca="1" si="0"/>
        <v>0.63886114355933088</v>
      </c>
    </row>
    <row r="57" spans="1:3" x14ac:dyDescent="0.35">
      <c r="A57" s="1">
        <v>56</v>
      </c>
      <c r="B57" s="2">
        <v>0.65897621484403623</v>
      </c>
      <c r="C57" s="1">
        <f t="shared" ca="1" si="0"/>
        <v>0.61589745219807035</v>
      </c>
    </row>
    <row r="58" spans="1:3" x14ac:dyDescent="0.35">
      <c r="A58" s="1">
        <v>57</v>
      </c>
      <c r="B58" s="2">
        <v>0.59739374390004596</v>
      </c>
      <c r="C58" s="1">
        <f t="shared" ca="1" si="0"/>
        <v>0.69957546454153752</v>
      </c>
    </row>
    <row r="59" spans="1:3" x14ac:dyDescent="0.35">
      <c r="A59" s="1">
        <v>58</v>
      </c>
      <c r="B59" s="2">
        <v>0.54748722183830401</v>
      </c>
      <c r="C59" s="1">
        <f t="shared" ca="1" si="0"/>
        <v>0.59693236888669332</v>
      </c>
    </row>
    <row r="60" spans="1:3" x14ac:dyDescent="0.35">
      <c r="A60" s="1">
        <v>59</v>
      </c>
      <c r="B60" s="2">
        <v>0.67227175258452077</v>
      </c>
      <c r="C60" s="1">
        <f t="shared" ca="1" si="0"/>
        <v>0.68911569753935153</v>
      </c>
    </row>
    <row r="61" spans="1:3" x14ac:dyDescent="0.35">
      <c r="A61" s="1">
        <v>60</v>
      </c>
      <c r="B61" s="2">
        <v>0.77727404433191372</v>
      </c>
      <c r="C61" s="1">
        <f t="shared" ca="1" si="0"/>
        <v>0.69046612991144618</v>
      </c>
    </row>
    <row r="1048550" spans="16383:16384" x14ac:dyDescent="0.35">
      <c r="XFC1048550" s="1">
        <f>0</f>
        <v>0</v>
      </c>
      <c r="XFD1048550" s="1">
        <f>0.521067868178684</f>
        <v>0.521067868178684</v>
      </c>
    </row>
    <row r="1048551" spans="16383:16384" x14ac:dyDescent="0.35">
      <c r="XFC1048551" s="1" t="str">
        <f>""</f>
        <v/>
      </c>
      <c r="XFD1048551" s="1">
        <f>0.829668910713641</f>
        <v>0.82966891071364102</v>
      </c>
    </row>
    <row r="1048552" spans="16383:16384" x14ac:dyDescent="0.35">
      <c r="XFC1048552" s="1">
        <f>-1E+30</f>
        <v>-1E+30</v>
      </c>
    </row>
    <row r="1048553" spans="16383:16384" x14ac:dyDescent="0.35">
      <c r="XFC1048553" s="1">
        <f>1E+30</f>
        <v>1E+30</v>
      </c>
    </row>
    <row r="1048554" spans="16383:16384" x14ac:dyDescent="0.35">
      <c r="XFC1048554" s="1" t="str">
        <f>""</f>
        <v/>
      </c>
    </row>
    <row r="1048555" spans="16383:16384" x14ac:dyDescent="0.35">
      <c r="XFC1048555" s="1" t="str">
        <f>""</f>
        <v/>
      </c>
    </row>
    <row r="1048556" spans="16383:16384" x14ac:dyDescent="0.35">
      <c r="XFC1048556" s="1" t="str">
        <f>""</f>
        <v/>
      </c>
    </row>
    <row r="1048557" spans="16383:16384" x14ac:dyDescent="0.35">
      <c r="XFC1048557" s="1" t="str">
        <f>""</f>
        <v/>
      </c>
    </row>
    <row r="1048558" spans="16383:16384" x14ac:dyDescent="0.35">
      <c r="XFC1048558" s="1" t="str">
        <f>""</f>
        <v/>
      </c>
    </row>
    <row r="1048559" spans="16383:16384" x14ac:dyDescent="0.35">
      <c r="XFC1048559" s="1" t="str">
        <f>""</f>
        <v/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E46A9-DD1E-45E4-A0D3-CBD0CB0AE5D3}">
  <dimension ref="A1:U67"/>
  <sheetViews>
    <sheetView topLeftCell="J21" zoomScale="80" workbookViewId="0">
      <selection activeCell="K6" sqref="K6"/>
    </sheetView>
  </sheetViews>
  <sheetFormatPr defaultColWidth="8.81640625" defaultRowHeight="14.5" x14ac:dyDescent="0.35"/>
  <cols>
    <col min="1" max="1" width="11.81640625" bestFit="1" customWidth="1"/>
    <col min="2" max="2" width="22.81640625" customWidth="1"/>
    <col min="3" max="4" width="31.81640625" customWidth="1"/>
    <col min="5" max="5" width="40.36328125" customWidth="1"/>
    <col min="6" max="6" width="29.36328125" customWidth="1"/>
    <col min="7" max="7" width="28" customWidth="1"/>
    <col min="8" max="8" width="43.81640625" customWidth="1"/>
    <col min="9" max="9" width="42.453125" customWidth="1"/>
    <col min="10" max="10" width="26.6328125" customWidth="1"/>
    <col min="11" max="13" width="28.453125" customWidth="1"/>
    <col min="14" max="14" width="26.453125" customWidth="1"/>
    <col min="15" max="15" width="23" customWidth="1"/>
    <col min="16" max="16" width="24.6328125" customWidth="1"/>
    <col min="17" max="17" width="33.6328125" bestFit="1" customWidth="1"/>
    <col min="18" max="18" width="39.453125" bestFit="1" customWidth="1"/>
    <col min="19" max="19" width="39.453125" customWidth="1"/>
    <col min="20" max="20" width="21.453125" customWidth="1"/>
    <col min="21" max="21" width="17.453125" customWidth="1"/>
    <col min="22" max="22" width="14.81640625" customWidth="1"/>
    <col min="26" max="26" width="23.1796875" customWidth="1"/>
  </cols>
  <sheetData>
    <row r="1" spans="1:21" x14ac:dyDescent="0.35">
      <c r="A1" t="s">
        <v>3</v>
      </c>
    </row>
    <row r="2" spans="1:21" x14ac:dyDescent="0.35">
      <c r="A2">
        <v>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7</v>
      </c>
      <c r="F5" s="1" t="s">
        <v>8</v>
      </c>
      <c r="G5" s="1" t="s">
        <v>9</v>
      </c>
      <c r="H5" s="1" t="s">
        <v>17</v>
      </c>
      <c r="I5" s="1" t="s">
        <v>10</v>
      </c>
      <c r="J5" s="1" t="s">
        <v>11</v>
      </c>
      <c r="K5" s="1" t="s">
        <v>12</v>
      </c>
      <c r="L5" s="1" t="s">
        <v>13</v>
      </c>
      <c r="M5" s="1" t="s">
        <v>14</v>
      </c>
      <c r="N5" s="1" t="s">
        <v>15</v>
      </c>
      <c r="O5" s="1" t="s">
        <v>16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5</v>
      </c>
      <c r="U5" t="s">
        <v>4</v>
      </c>
    </row>
    <row r="6" spans="1:21" x14ac:dyDescent="0.35">
      <c r="A6" s="1">
        <v>1</v>
      </c>
      <c r="B6" s="1">
        <v>27</v>
      </c>
      <c r="C6" s="2">
        <v>0.76746376702380226</v>
      </c>
      <c r="D6" s="2">
        <f>ABS(PRODUCT(B6,C6)-B6)</f>
        <v>6.278478290357338</v>
      </c>
      <c r="E6" s="3">
        <f>PRODUCT(B6:C6)</f>
        <v>20.721521709642662</v>
      </c>
      <c r="F6" s="3">
        <f t="shared" ref="F6:F37" si="0">D6/2.5</f>
        <v>2.5113913161429351</v>
      </c>
      <c r="G6" s="3">
        <f>10-F6</f>
        <v>7.4886086838570645</v>
      </c>
      <c r="H6" s="3">
        <f t="shared" ref="H6:H37" si="1">PRODUCT(E6,0.2)</f>
        <v>4.1443043419285326</v>
      </c>
      <c r="I6" s="3">
        <f t="shared" ref="I6:I37" si="2">IF((E6-H6)&lt;=G6*2.5,0,ABS((G6*2.5)-(E6-H6)))</f>
        <v>0</v>
      </c>
      <c r="J6" s="3">
        <f t="shared" ref="J6:J37" si="3">$A$2-E6</f>
        <v>-0.72152170964266205</v>
      </c>
      <c r="K6" s="3">
        <f>IF(J6&lt;0, ABS(J6),0)</f>
        <v>0.72152170964266205</v>
      </c>
      <c r="L6" s="3">
        <f>IF(J6&gt;0,J6,0)</f>
        <v>0</v>
      </c>
      <c r="M6" s="3">
        <f t="shared" ref="M6:M37" si="4">$A$2-SUM(H6,I6)</f>
        <v>15.855695658071468</v>
      </c>
      <c r="N6" s="4">
        <f>((E6-H6-I6)/2.5)+F6</f>
        <v>9.1422782632285866</v>
      </c>
      <c r="O6">
        <f>PRODUCT(N6,1500)</f>
        <v>13713.41739484288</v>
      </c>
      <c r="P6" s="3">
        <f>SUM(H6,I6)</f>
        <v>4.1443043419285326</v>
      </c>
      <c r="Q6">
        <f>P6*3700</f>
        <v>15333.926065135571</v>
      </c>
      <c r="R6">
        <f>(E6-(SUM(H6,I6)))*1200</f>
        <v>19892.660841256955</v>
      </c>
      <c r="S6">
        <f>($L6*1000)</f>
        <v>0</v>
      </c>
      <c r="T6">
        <f>PRODUCT(K6,5000)</f>
        <v>3607.6085482133103</v>
      </c>
      <c r="U6">
        <f>SUM(Q6,R6)-O6-T6-S6</f>
        <v>17905.560963336338</v>
      </c>
    </row>
    <row r="7" spans="1:21" x14ac:dyDescent="0.35">
      <c r="A7" s="1">
        <v>2</v>
      </c>
      <c r="B7" s="1">
        <v>24</v>
      </c>
      <c r="C7" s="2">
        <v>0.68523848535299337</v>
      </c>
      <c r="D7" s="2">
        <f t="shared" ref="D7:D65" si="5">ABS(PRODUCT(B7,C7)-B7)</f>
        <v>7.5542763515281592</v>
      </c>
      <c r="E7" s="3">
        <f t="shared" ref="E7:E38" si="6">PRODUCT(B7:C7)+H6+I6</f>
        <v>20.590027990400372</v>
      </c>
      <c r="F7" s="3">
        <f t="shared" si="0"/>
        <v>3.0217105406112639</v>
      </c>
      <c r="G7" s="3">
        <f t="shared" ref="G7:G65" si="7">10-F7</f>
        <v>6.9782894593887361</v>
      </c>
      <c r="H7" s="3">
        <f t="shared" si="1"/>
        <v>4.1180055980800745</v>
      </c>
      <c r="I7" s="3">
        <f t="shared" si="2"/>
        <v>0</v>
      </c>
      <c r="J7" s="3">
        <f t="shared" si="3"/>
        <v>-0.59002799040037246</v>
      </c>
      <c r="K7" s="3">
        <f t="shared" ref="K7:K65" si="8">IF(J7&lt;0, ABS(J7),0)</f>
        <v>0.59002799040037246</v>
      </c>
      <c r="L7" s="3">
        <f t="shared" ref="L7:L65" si="9">IF(J7&gt;0,J7,0)</f>
        <v>0</v>
      </c>
      <c r="M7" s="3">
        <f t="shared" si="4"/>
        <v>15.881994401919926</v>
      </c>
      <c r="N7" s="4">
        <f t="shared" ref="N7:N65" si="10">((E7-H7-I7)/2.5)+F7</f>
        <v>9.6105194975393822</v>
      </c>
      <c r="O7">
        <f t="shared" ref="O7:O65" si="11">PRODUCT(N7,1500)</f>
        <v>14415.779246309074</v>
      </c>
      <c r="P7" s="3">
        <f t="shared" ref="P7:P65" si="12">SUM(H7,I7)</f>
        <v>4.1180055980800745</v>
      </c>
      <c r="Q7">
        <f t="shared" ref="Q7:Q65" si="13">P7*3700</f>
        <v>15236.620712896276</v>
      </c>
      <c r="R7">
        <f>(E7-(SUM(H7,I7)))*1200</f>
        <v>19766.426870784358</v>
      </c>
      <c r="S7">
        <f t="shared" ref="S7:S65" si="14">($L7*1000)</f>
        <v>0</v>
      </c>
      <c r="T7">
        <f t="shared" ref="T7:T65" si="15">PRODUCT(K7,5000)</f>
        <v>2950.1399520018622</v>
      </c>
      <c r="U7">
        <f t="shared" ref="U7:U65" si="16">SUM(Q7,R7)-O7-T7-S7</f>
        <v>17637.128385369702</v>
      </c>
    </row>
    <row r="8" spans="1:21" x14ac:dyDescent="0.35">
      <c r="A8" s="1">
        <v>3</v>
      </c>
      <c r="B8" s="1">
        <v>25</v>
      </c>
      <c r="C8" s="2">
        <v>0.61343259757752944</v>
      </c>
      <c r="D8" s="2">
        <f t="shared" si="5"/>
        <v>9.6641850605617634</v>
      </c>
      <c r="E8" s="3">
        <f t="shared" si="6"/>
        <v>19.453820537518311</v>
      </c>
      <c r="F8" s="3">
        <f t="shared" si="0"/>
        <v>3.8656740242247052</v>
      </c>
      <c r="G8" s="3">
        <f t="shared" si="7"/>
        <v>6.1343259757752948</v>
      </c>
      <c r="H8" s="3">
        <f t="shared" si="1"/>
        <v>3.8907641075036623</v>
      </c>
      <c r="I8" s="3">
        <f t="shared" si="2"/>
        <v>0.22724149057641263</v>
      </c>
      <c r="J8" s="3">
        <f t="shared" si="3"/>
        <v>0.54617946248168892</v>
      </c>
      <c r="K8" s="3">
        <f t="shared" si="8"/>
        <v>0</v>
      </c>
      <c r="L8" s="3">
        <f t="shared" si="9"/>
        <v>0.54617946248168892</v>
      </c>
      <c r="M8" s="3">
        <f t="shared" si="4"/>
        <v>15.881994401919926</v>
      </c>
      <c r="N8" s="4">
        <f t="shared" si="10"/>
        <v>10</v>
      </c>
      <c r="O8">
        <f t="shared" si="11"/>
        <v>15000</v>
      </c>
      <c r="P8" s="3">
        <f t="shared" si="12"/>
        <v>4.1180055980800745</v>
      </c>
      <c r="Q8">
        <f t="shared" si="13"/>
        <v>15236.620712896276</v>
      </c>
      <c r="R8">
        <f t="shared" ref="R8:R65" si="17">(E8-(SUM(H8,I8)))*1200</f>
        <v>18402.977927325883</v>
      </c>
      <c r="S8">
        <f t="shared" si="14"/>
        <v>546.17946248168892</v>
      </c>
      <c r="T8">
        <f t="shared" si="15"/>
        <v>0</v>
      </c>
      <c r="U8">
        <f t="shared" si="16"/>
        <v>18093.41917774047</v>
      </c>
    </row>
    <row r="9" spans="1:21" x14ac:dyDescent="0.35">
      <c r="A9" s="1">
        <v>4</v>
      </c>
      <c r="B9" s="1">
        <v>23</v>
      </c>
      <c r="C9" s="2">
        <v>0.67559236337544759</v>
      </c>
      <c r="D9" s="2">
        <f t="shared" si="5"/>
        <v>7.4613756423647057</v>
      </c>
      <c r="E9" s="3">
        <f t="shared" si="6"/>
        <v>19.656629955715367</v>
      </c>
      <c r="F9" s="3">
        <f t="shared" si="0"/>
        <v>2.9845502569458824</v>
      </c>
      <c r="G9" s="3">
        <f t="shared" si="7"/>
        <v>7.0154497430541181</v>
      </c>
      <c r="H9" s="3">
        <f t="shared" si="1"/>
        <v>3.9313259911430736</v>
      </c>
      <c r="I9" s="3">
        <f t="shared" si="2"/>
        <v>0</v>
      </c>
      <c r="J9" s="3">
        <f t="shared" si="3"/>
        <v>0.34337004428463302</v>
      </c>
      <c r="K9" s="3">
        <f t="shared" si="8"/>
        <v>0</v>
      </c>
      <c r="L9" s="3">
        <f t="shared" si="9"/>
        <v>0.34337004428463302</v>
      </c>
      <c r="M9" s="3">
        <f t="shared" si="4"/>
        <v>16.068674008856927</v>
      </c>
      <c r="N9" s="4">
        <f t="shared" si="10"/>
        <v>9.2746718427748007</v>
      </c>
      <c r="O9">
        <f t="shared" si="11"/>
        <v>13912.007764162201</v>
      </c>
      <c r="P9" s="3">
        <f t="shared" si="12"/>
        <v>3.9313259911430736</v>
      </c>
      <c r="Q9">
        <f t="shared" si="13"/>
        <v>14545.906167229372</v>
      </c>
      <c r="R9">
        <f t="shared" si="17"/>
        <v>18870.364757486754</v>
      </c>
      <c r="S9">
        <f t="shared" si="14"/>
        <v>343.37004428463302</v>
      </c>
      <c r="T9">
        <f t="shared" si="15"/>
        <v>0</v>
      </c>
      <c r="U9">
        <f t="shared" si="16"/>
        <v>19160.89311626929</v>
      </c>
    </row>
    <row r="10" spans="1:21" x14ac:dyDescent="0.35">
      <c r="A10" s="1">
        <v>5</v>
      </c>
      <c r="B10" s="1">
        <v>25</v>
      </c>
      <c r="C10" s="2">
        <v>0.65338275218608</v>
      </c>
      <c r="D10" s="2">
        <f t="shared" si="5"/>
        <v>8.665431195347999</v>
      </c>
      <c r="E10" s="3">
        <f t="shared" si="6"/>
        <v>20.265894795795074</v>
      </c>
      <c r="F10" s="3">
        <f t="shared" si="0"/>
        <v>3.4661724781391996</v>
      </c>
      <c r="G10" s="3">
        <f t="shared" si="7"/>
        <v>6.5338275218608004</v>
      </c>
      <c r="H10" s="3">
        <f t="shared" si="1"/>
        <v>4.0531789591590153</v>
      </c>
      <c r="I10" s="3">
        <f t="shared" si="2"/>
        <v>0</v>
      </c>
      <c r="J10" s="3">
        <f t="shared" si="3"/>
        <v>-0.26589479579507369</v>
      </c>
      <c r="K10" s="3">
        <f t="shared" si="8"/>
        <v>0.26589479579507369</v>
      </c>
      <c r="L10" s="3">
        <f t="shared" si="9"/>
        <v>0</v>
      </c>
      <c r="M10" s="3">
        <f t="shared" si="4"/>
        <v>15.946821040840984</v>
      </c>
      <c r="N10" s="4">
        <f t="shared" si="10"/>
        <v>9.9512588127936219</v>
      </c>
      <c r="O10">
        <f t="shared" si="11"/>
        <v>14926.888219190432</v>
      </c>
      <c r="P10" s="3">
        <f t="shared" si="12"/>
        <v>4.0531789591590153</v>
      </c>
      <c r="Q10">
        <f t="shared" si="13"/>
        <v>14996.762148888356</v>
      </c>
      <c r="R10">
        <f>(E10-(SUM(H10,I10)))*1200</f>
        <v>19455.259003963271</v>
      </c>
      <c r="S10">
        <f t="shared" si="14"/>
        <v>0</v>
      </c>
      <c r="T10">
        <f t="shared" si="15"/>
        <v>1329.4739789753685</v>
      </c>
      <c r="U10">
        <f t="shared" si="16"/>
        <v>18195.658954685819</v>
      </c>
    </row>
    <row r="11" spans="1:21" x14ac:dyDescent="0.35">
      <c r="A11" s="1">
        <v>6</v>
      </c>
      <c r="B11" s="1">
        <v>24</v>
      </c>
      <c r="C11" s="2">
        <v>0.61397333946384514</v>
      </c>
      <c r="D11" s="2">
        <f t="shared" si="5"/>
        <v>9.2646398528677167</v>
      </c>
      <c r="E11" s="3">
        <f t="shared" si="6"/>
        <v>18.788539106291299</v>
      </c>
      <c r="F11" s="3">
        <f t="shared" si="0"/>
        <v>3.7058559411470866</v>
      </c>
      <c r="G11" s="3">
        <f t="shared" si="7"/>
        <v>6.2941440588529129</v>
      </c>
      <c r="H11" s="3">
        <f t="shared" si="1"/>
        <v>3.75770782125826</v>
      </c>
      <c r="I11" s="3">
        <f t="shared" si="2"/>
        <v>0</v>
      </c>
      <c r="J11" s="3">
        <f t="shared" si="3"/>
        <v>1.2114608937087006</v>
      </c>
      <c r="K11" s="3">
        <f t="shared" si="8"/>
        <v>0</v>
      </c>
      <c r="L11" s="3">
        <f t="shared" si="9"/>
        <v>1.2114608937087006</v>
      </c>
      <c r="M11" s="3">
        <f t="shared" si="4"/>
        <v>16.242292178741739</v>
      </c>
      <c r="N11" s="4">
        <f t="shared" si="10"/>
        <v>9.7181884551603019</v>
      </c>
      <c r="O11">
        <f t="shared" si="11"/>
        <v>14577.282682740453</v>
      </c>
      <c r="P11" s="3">
        <f t="shared" si="12"/>
        <v>3.75770782125826</v>
      </c>
      <c r="Q11">
        <f t="shared" si="13"/>
        <v>13903.518938655561</v>
      </c>
      <c r="R11">
        <f t="shared" si="17"/>
        <v>18036.997542039648</v>
      </c>
      <c r="S11">
        <f t="shared" si="14"/>
        <v>1211.4608937087005</v>
      </c>
      <c r="T11">
        <f t="shared" si="15"/>
        <v>0</v>
      </c>
      <c r="U11">
        <f t="shared" si="16"/>
        <v>16151.772904246056</v>
      </c>
    </row>
    <row r="12" spans="1:21" x14ac:dyDescent="0.35">
      <c r="A12" s="1">
        <v>7</v>
      </c>
      <c r="B12" s="1">
        <v>22</v>
      </c>
      <c r="C12" s="2">
        <v>0.65728838490810437</v>
      </c>
      <c r="D12" s="2">
        <f t="shared" si="5"/>
        <v>7.5396555320217047</v>
      </c>
      <c r="E12" s="3">
        <f t="shared" si="6"/>
        <v>18.218052289236557</v>
      </c>
      <c r="F12" s="3">
        <f t="shared" si="0"/>
        <v>3.0158622128086821</v>
      </c>
      <c r="G12" s="3">
        <f t="shared" si="7"/>
        <v>6.9841377871913179</v>
      </c>
      <c r="H12" s="3">
        <f t="shared" si="1"/>
        <v>3.6436104578473114</v>
      </c>
      <c r="I12" s="3">
        <f t="shared" si="2"/>
        <v>0</v>
      </c>
      <c r="J12" s="3">
        <f t="shared" si="3"/>
        <v>1.7819477107634434</v>
      </c>
      <c r="K12" s="3">
        <f t="shared" si="8"/>
        <v>0</v>
      </c>
      <c r="L12" s="3">
        <f t="shared" si="9"/>
        <v>1.7819477107634434</v>
      </c>
      <c r="M12" s="3">
        <f t="shared" si="4"/>
        <v>16.356389542152687</v>
      </c>
      <c r="N12" s="4">
        <f t="shared" si="10"/>
        <v>8.8456389453643816</v>
      </c>
      <c r="O12">
        <f t="shared" si="11"/>
        <v>13268.458418046572</v>
      </c>
      <c r="P12" s="3">
        <f t="shared" si="12"/>
        <v>3.6436104578473114</v>
      </c>
      <c r="Q12">
        <f t="shared" si="13"/>
        <v>13481.358694035052</v>
      </c>
      <c r="R12">
        <f t="shared" si="17"/>
        <v>17489.330197667095</v>
      </c>
      <c r="S12">
        <f t="shared" si="14"/>
        <v>1781.9477107634434</v>
      </c>
      <c r="T12">
        <f t="shared" si="15"/>
        <v>0</v>
      </c>
      <c r="U12">
        <f t="shared" si="16"/>
        <v>15920.282762892135</v>
      </c>
    </row>
    <row r="13" spans="1:21" x14ac:dyDescent="0.35">
      <c r="A13" s="1">
        <v>8</v>
      </c>
      <c r="B13" s="1">
        <v>26</v>
      </c>
      <c r="C13" s="2">
        <v>0.58788488751337364</v>
      </c>
      <c r="D13" s="2">
        <f t="shared" si="5"/>
        <v>10.714992924652286</v>
      </c>
      <c r="E13" s="3">
        <f t="shared" si="6"/>
        <v>18.928617533195027</v>
      </c>
      <c r="F13" s="3">
        <f t="shared" si="0"/>
        <v>4.2859971698609147</v>
      </c>
      <c r="G13" s="3">
        <f t="shared" si="7"/>
        <v>5.7140028301390853</v>
      </c>
      <c r="H13" s="3">
        <f t="shared" si="1"/>
        <v>3.7857235066390054</v>
      </c>
      <c r="I13" s="3">
        <f t="shared" si="2"/>
        <v>0.85788695120830738</v>
      </c>
      <c r="J13" s="3">
        <f t="shared" si="3"/>
        <v>1.0713824668049732</v>
      </c>
      <c r="K13" s="3">
        <f t="shared" si="8"/>
        <v>0</v>
      </c>
      <c r="L13" s="3">
        <f t="shared" si="9"/>
        <v>1.0713824668049732</v>
      </c>
      <c r="M13" s="3">
        <f t="shared" si="4"/>
        <v>15.356389542152687</v>
      </c>
      <c r="N13" s="4">
        <f t="shared" si="10"/>
        <v>10</v>
      </c>
      <c r="O13">
        <f t="shared" si="11"/>
        <v>15000</v>
      </c>
      <c r="P13" s="3">
        <f t="shared" si="12"/>
        <v>4.6436104578473127</v>
      </c>
      <c r="Q13">
        <f t="shared" si="13"/>
        <v>17181.358694035058</v>
      </c>
      <c r="R13">
        <f t="shared" si="17"/>
        <v>17142.008490417258</v>
      </c>
      <c r="S13">
        <f t="shared" si="14"/>
        <v>1071.3824668049731</v>
      </c>
      <c r="T13">
        <f t="shared" si="15"/>
        <v>0</v>
      </c>
      <c r="U13">
        <f t="shared" si="16"/>
        <v>18251.984717647345</v>
      </c>
    </row>
    <row r="14" spans="1:21" x14ac:dyDescent="0.35">
      <c r="A14" s="1">
        <v>9</v>
      </c>
      <c r="B14" s="1">
        <v>23</v>
      </c>
      <c r="C14" s="2">
        <v>0.60213925650918676</v>
      </c>
      <c r="D14" s="2">
        <f t="shared" si="5"/>
        <v>9.1507971002887043</v>
      </c>
      <c r="E14" s="3">
        <f t="shared" si="6"/>
        <v>18.49281335755861</v>
      </c>
      <c r="F14" s="3">
        <f t="shared" si="0"/>
        <v>3.6603188401154818</v>
      </c>
      <c r="G14" s="3">
        <f t="shared" si="7"/>
        <v>6.3396811598845186</v>
      </c>
      <c r="H14" s="3">
        <f t="shared" si="1"/>
        <v>3.6985626715117221</v>
      </c>
      <c r="I14" s="3">
        <f t="shared" si="2"/>
        <v>0</v>
      </c>
      <c r="J14" s="3">
        <f t="shared" si="3"/>
        <v>1.5071866424413898</v>
      </c>
      <c r="K14" s="3">
        <f t="shared" si="8"/>
        <v>0</v>
      </c>
      <c r="L14" s="3">
        <f t="shared" si="9"/>
        <v>1.5071866424413898</v>
      </c>
      <c r="M14" s="3">
        <f t="shared" si="4"/>
        <v>16.301437328488277</v>
      </c>
      <c r="N14" s="4">
        <f t="shared" si="10"/>
        <v>9.5780191145342375</v>
      </c>
      <c r="O14">
        <f t="shared" si="11"/>
        <v>14367.028671801356</v>
      </c>
      <c r="P14" s="3">
        <f t="shared" si="12"/>
        <v>3.6985626715117221</v>
      </c>
      <c r="Q14">
        <f t="shared" si="13"/>
        <v>13684.681884593372</v>
      </c>
      <c r="R14">
        <f t="shared" si="17"/>
        <v>17753.100823256267</v>
      </c>
      <c r="S14">
        <f t="shared" si="14"/>
        <v>1507.1866424413897</v>
      </c>
      <c r="T14">
        <f t="shared" si="15"/>
        <v>0</v>
      </c>
      <c r="U14">
        <f t="shared" si="16"/>
        <v>15563.567393606896</v>
      </c>
    </row>
    <row r="15" spans="1:21" x14ac:dyDescent="0.35">
      <c r="A15" s="1">
        <v>10</v>
      </c>
      <c r="B15" s="1">
        <v>27</v>
      </c>
      <c r="C15" s="2">
        <v>0.62670527821577382</v>
      </c>
      <c r="D15" s="2">
        <f t="shared" si="5"/>
        <v>10.078957488174108</v>
      </c>
      <c r="E15" s="3">
        <f t="shared" si="6"/>
        <v>20.619605183337615</v>
      </c>
      <c r="F15" s="3">
        <f t="shared" si="0"/>
        <v>4.0315829952696429</v>
      </c>
      <c r="G15" s="3">
        <f t="shared" si="7"/>
        <v>5.9684170047303571</v>
      </c>
      <c r="H15" s="3">
        <f t="shared" si="1"/>
        <v>4.1239210366675234</v>
      </c>
      <c r="I15" s="3">
        <f t="shared" si="2"/>
        <v>1.5746416348442018</v>
      </c>
      <c r="J15" s="3">
        <f t="shared" si="3"/>
        <v>-0.61960518333761527</v>
      </c>
      <c r="K15" s="3">
        <f t="shared" si="8"/>
        <v>0.61960518333761527</v>
      </c>
      <c r="L15" s="3">
        <f t="shared" si="9"/>
        <v>0</v>
      </c>
      <c r="M15" s="3">
        <f t="shared" si="4"/>
        <v>14.301437328488275</v>
      </c>
      <c r="N15" s="4">
        <f t="shared" si="10"/>
        <v>10</v>
      </c>
      <c r="O15">
        <f t="shared" si="11"/>
        <v>15000</v>
      </c>
      <c r="P15" s="3">
        <f t="shared" si="12"/>
        <v>5.6985626715117252</v>
      </c>
      <c r="Q15">
        <f t="shared" si="13"/>
        <v>21084.681884593385</v>
      </c>
      <c r="R15">
        <f t="shared" si="17"/>
        <v>17905.251014191068</v>
      </c>
      <c r="S15">
        <f t="shared" si="14"/>
        <v>0</v>
      </c>
      <c r="T15">
        <f t="shared" si="15"/>
        <v>3098.0259166880764</v>
      </c>
      <c r="U15">
        <f t="shared" si="16"/>
        <v>20891.906982096374</v>
      </c>
    </row>
    <row r="16" spans="1:21" x14ac:dyDescent="0.35">
      <c r="A16" s="1">
        <v>11</v>
      </c>
      <c r="B16" s="1">
        <v>21</v>
      </c>
      <c r="C16" s="2">
        <v>0.74589128536748239</v>
      </c>
      <c r="D16" s="2">
        <f t="shared" si="5"/>
        <v>5.3362830072828693</v>
      </c>
      <c r="E16" s="3">
        <f t="shared" si="6"/>
        <v>21.362279664228854</v>
      </c>
      <c r="F16" s="3">
        <f t="shared" si="0"/>
        <v>2.1345132029131477</v>
      </c>
      <c r="G16" s="3">
        <f t="shared" si="7"/>
        <v>7.8654867970868523</v>
      </c>
      <c r="H16" s="3">
        <f t="shared" si="1"/>
        <v>4.2724559328457712</v>
      </c>
      <c r="I16" s="3">
        <f t="shared" si="2"/>
        <v>0</v>
      </c>
      <c r="J16" s="3">
        <f t="shared" si="3"/>
        <v>-1.3622796642288542</v>
      </c>
      <c r="K16" s="3">
        <f t="shared" si="8"/>
        <v>1.3622796642288542</v>
      </c>
      <c r="L16" s="3">
        <f t="shared" si="9"/>
        <v>0</v>
      </c>
      <c r="M16" s="3">
        <f t="shared" si="4"/>
        <v>15.727544067154229</v>
      </c>
      <c r="N16" s="4">
        <f t="shared" si="10"/>
        <v>8.9704426954663816</v>
      </c>
      <c r="O16">
        <f t="shared" si="11"/>
        <v>13455.664043199573</v>
      </c>
      <c r="P16" s="3">
        <f t="shared" si="12"/>
        <v>4.2724559328457712</v>
      </c>
      <c r="Q16">
        <f t="shared" si="13"/>
        <v>15808.086951529353</v>
      </c>
      <c r="R16">
        <f t="shared" si="17"/>
        <v>20507.788477659702</v>
      </c>
      <c r="S16">
        <f t="shared" si="14"/>
        <v>0</v>
      </c>
      <c r="T16">
        <f t="shared" si="15"/>
        <v>6811.398321144271</v>
      </c>
      <c r="U16">
        <f t="shared" si="16"/>
        <v>16048.813064845206</v>
      </c>
    </row>
    <row r="17" spans="1:21" x14ac:dyDescent="0.35">
      <c r="A17" s="1">
        <v>12</v>
      </c>
      <c r="B17" s="1">
        <v>25</v>
      </c>
      <c r="C17" s="2">
        <v>0.67725094965319443</v>
      </c>
      <c r="D17" s="2">
        <f t="shared" si="5"/>
        <v>8.0687262586701394</v>
      </c>
      <c r="E17" s="3">
        <f t="shared" si="6"/>
        <v>21.203729674175634</v>
      </c>
      <c r="F17" s="3">
        <f t="shared" si="0"/>
        <v>3.2274905034680557</v>
      </c>
      <c r="G17" s="3">
        <f t="shared" si="7"/>
        <v>6.7725094965319439</v>
      </c>
      <c r="H17" s="3">
        <f t="shared" si="1"/>
        <v>4.2407459348351271</v>
      </c>
      <c r="I17" s="3">
        <f t="shared" si="2"/>
        <v>3.1709998010647666E-2</v>
      </c>
      <c r="J17" s="3">
        <f t="shared" si="3"/>
        <v>-1.2037296741756336</v>
      </c>
      <c r="K17" s="3">
        <f t="shared" si="8"/>
        <v>1.2037296741756336</v>
      </c>
      <c r="L17" s="3">
        <f t="shared" si="9"/>
        <v>0</v>
      </c>
      <c r="M17" s="3">
        <f t="shared" si="4"/>
        <v>15.727544067154225</v>
      </c>
      <c r="N17" s="4">
        <f t="shared" si="10"/>
        <v>10</v>
      </c>
      <c r="O17">
        <f t="shared" si="11"/>
        <v>15000</v>
      </c>
      <c r="P17" s="3">
        <f t="shared" si="12"/>
        <v>4.2724559328457747</v>
      </c>
      <c r="Q17">
        <f t="shared" si="13"/>
        <v>15808.086951529367</v>
      </c>
      <c r="R17">
        <f t="shared" si="17"/>
        <v>20317.528489595832</v>
      </c>
      <c r="S17">
        <f t="shared" si="14"/>
        <v>0</v>
      </c>
      <c r="T17">
        <f t="shared" si="15"/>
        <v>6018.648370878168</v>
      </c>
      <c r="U17">
        <f t="shared" si="16"/>
        <v>15106.967070247032</v>
      </c>
    </row>
    <row r="18" spans="1:21" x14ac:dyDescent="0.35">
      <c r="A18" s="1">
        <v>13</v>
      </c>
      <c r="B18" s="1">
        <v>25</v>
      </c>
      <c r="C18" s="2">
        <v>0.70365169892171109</v>
      </c>
      <c r="D18" s="2">
        <f t="shared" si="5"/>
        <v>7.4087075269572225</v>
      </c>
      <c r="E18" s="3">
        <f t="shared" si="6"/>
        <v>21.863748405888551</v>
      </c>
      <c r="F18" s="3">
        <f t="shared" si="0"/>
        <v>2.9634830107828889</v>
      </c>
      <c r="G18" s="3">
        <f t="shared" si="7"/>
        <v>7.0365169892171107</v>
      </c>
      <c r="H18" s="3">
        <f t="shared" si="1"/>
        <v>4.3727496811777105</v>
      </c>
      <c r="I18" s="3">
        <f t="shared" si="2"/>
        <v>0</v>
      </c>
      <c r="J18" s="3">
        <f t="shared" si="3"/>
        <v>-1.8637484058885505</v>
      </c>
      <c r="K18" s="3">
        <f t="shared" si="8"/>
        <v>1.8637484058885505</v>
      </c>
      <c r="L18" s="3">
        <f t="shared" si="9"/>
        <v>0</v>
      </c>
      <c r="M18" s="3">
        <f t="shared" si="4"/>
        <v>15.62725031882229</v>
      </c>
      <c r="N18" s="4">
        <f t="shared" si="10"/>
        <v>9.9598825006672254</v>
      </c>
      <c r="O18">
        <f t="shared" si="11"/>
        <v>14939.823751000838</v>
      </c>
      <c r="P18" s="3">
        <f t="shared" si="12"/>
        <v>4.3727496811777105</v>
      </c>
      <c r="Q18">
        <f t="shared" si="13"/>
        <v>16179.173820357528</v>
      </c>
      <c r="R18">
        <f t="shared" si="17"/>
        <v>20989.198469653009</v>
      </c>
      <c r="S18">
        <f t="shared" si="14"/>
        <v>0</v>
      </c>
      <c r="T18">
        <f t="shared" si="15"/>
        <v>9318.742029442752</v>
      </c>
      <c r="U18">
        <f t="shared" si="16"/>
        <v>12909.806509566943</v>
      </c>
    </row>
    <row r="19" spans="1:21" x14ac:dyDescent="0.35">
      <c r="A19" s="1">
        <v>14</v>
      </c>
      <c r="B19" s="1">
        <v>24</v>
      </c>
      <c r="C19" s="2">
        <v>0.63880757457153103</v>
      </c>
      <c r="D19" s="2">
        <f t="shared" si="5"/>
        <v>8.6686182102832561</v>
      </c>
      <c r="E19" s="3">
        <f t="shared" si="6"/>
        <v>19.704131470894453</v>
      </c>
      <c r="F19" s="3">
        <f t="shared" si="0"/>
        <v>3.4674472841133026</v>
      </c>
      <c r="G19" s="3">
        <f t="shared" si="7"/>
        <v>6.5325527158866974</v>
      </c>
      <c r="H19" s="3">
        <f t="shared" si="1"/>
        <v>3.9408262941788905</v>
      </c>
      <c r="I19" s="3">
        <f t="shared" si="2"/>
        <v>0</v>
      </c>
      <c r="J19" s="3">
        <f t="shared" si="3"/>
        <v>0.2958685291055474</v>
      </c>
      <c r="K19" s="3">
        <f t="shared" si="8"/>
        <v>0</v>
      </c>
      <c r="L19" s="3">
        <f t="shared" si="9"/>
        <v>0.2958685291055474</v>
      </c>
      <c r="M19" s="3">
        <f t="shared" si="4"/>
        <v>16.059173705821109</v>
      </c>
      <c r="N19" s="4">
        <f t="shared" si="10"/>
        <v>9.7727693547995287</v>
      </c>
      <c r="O19">
        <f t="shared" si="11"/>
        <v>14659.154032199292</v>
      </c>
      <c r="P19" s="3">
        <f t="shared" si="12"/>
        <v>3.9408262941788905</v>
      </c>
      <c r="Q19">
        <f t="shared" si="13"/>
        <v>14581.057288461894</v>
      </c>
      <c r="R19">
        <f t="shared" si="17"/>
        <v>18915.966212058673</v>
      </c>
      <c r="S19">
        <f t="shared" si="14"/>
        <v>295.8685291055474</v>
      </c>
      <c r="T19">
        <f t="shared" si="15"/>
        <v>0</v>
      </c>
      <c r="U19">
        <f t="shared" si="16"/>
        <v>18542.000939215726</v>
      </c>
    </row>
    <row r="20" spans="1:21" x14ac:dyDescent="0.35">
      <c r="A20" s="1">
        <v>15</v>
      </c>
      <c r="B20" s="1">
        <v>26</v>
      </c>
      <c r="C20" s="2">
        <v>0.572332135579393</v>
      </c>
      <c r="D20" s="2">
        <f t="shared" si="5"/>
        <v>11.119364474935782</v>
      </c>
      <c r="E20" s="3">
        <f t="shared" si="6"/>
        <v>18.821461819243108</v>
      </c>
      <c r="F20" s="3">
        <f t="shared" si="0"/>
        <v>4.4477457899743129</v>
      </c>
      <c r="G20" s="3">
        <f t="shared" si="7"/>
        <v>5.5522542100256871</v>
      </c>
      <c r="H20" s="3">
        <f t="shared" si="1"/>
        <v>3.7642923638486216</v>
      </c>
      <c r="I20" s="3">
        <f t="shared" si="2"/>
        <v>1.1765339303302689</v>
      </c>
      <c r="J20" s="3">
        <f t="shared" si="3"/>
        <v>1.1785381807568918</v>
      </c>
      <c r="K20" s="3">
        <f t="shared" si="8"/>
        <v>0</v>
      </c>
      <c r="L20" s="3">
        <f t="shared" si="9"/>
        <v>1.1785381807568918</v>
      </c>
      <c r="M20" s="3">
        <f t="shared" si="4"/>
        <v>15.059173705821109</v>
      </c>
      <c r="N20" s="4">
        <f t="shared" si="10"/>
        <v>10</v>
      </c>
      <c r="O20">
        <f t="shared" si="11"/>
        <v>15000</v>
      </c>
      <c r="P20" s="3">
        <f t="shared" si="12"/>
        <v>4.9408262941788905</v>
      </c>
      <c r="Q20">
        <f t="shared" si="13"/>
        <v>18281.057288461896</v>
      </c>
      <c r="R20">
        <f t="shared" si="17"/>
        <v>16656.762630077061</v>
      </c>
      <c r="S20">
        <f t="shared" si="14"/>
        <v>1178.5381807568917</v>
      </c>
      <c r="T20">
        <f t="shared" si="15"/>
        <v>0</v>
      </c>
      <c r="U20">
        <f>SUM(Q20,R20)-O20-T20-S20</f>
        <v>18759.281737782061</v>
      </c>
    </row>
    <row r="21" spans="1:21" x14ac:dyDescent="0.35">
      <c r="A21" s="1">
        <v>16</v>
      </c>
      <c r="B21" s="1">
        <v>24</v>
      </c>
      <c r="C21" s="2">
        <v>0.61570250610547084</v>
      </c>
      <c r="D21" s="2">
        <f t="shared" si="5"/>
        <v>9.2231398534686999</v>
      </c>
      <c r="E21" s="3">
        <f t="shared" si="6"/>
        <v>19.717686440710192</v>
      </c>
      <c r="F21" s="3">
        <f t="shared" si="0"/>
        <v>3.6892559413874801</v>
      </c>
      <c r="G21" s="3">
        <f t="shared" si="7"/>
        <v>6.3107440586125199</v>
      </c>
      <c r="H21" s="3">
        <f t="shared" si="1"/>
        <v>3.9435372881420387</v>
      </c>
      <c r="I21" s="3">
        <f t="shared" si="2"/>
        <v>0</v>
      </c>
      <c r="J21" s="3">
        <f t="shared" si="3"/>
        <v>0.28231355928980761</v>
      </c>
      <c r="K21" s="3">
        <f t="shared" si="8"/>
        <v>0</v>
      </c>
      <c r="L21" s="3">
        <f t="shared" si="9"/>
        <v>0.28231355928980761</v>
      </c>
      <c r="M21" s="3">
        <f t="shared" si="4"/>
        <v>16.056462711857961</v>
      </c>
      <c r="N21" s="4">
        <f t="shared" si="10"/>
        <v>9.9989156024147405</v>
      </c>
      <c r="O21">
        <f t="shared" si="11"/>
        <v>14998.37340362211</v>
      </c>
      <c r="P21" s="3">
        <f t="shared" si="12"/>
        <v>3.9435372881420387</v>
      </c>
      <c r="Q21">
        <f t="shared" si="13"/>
        <v>14591.087966125544</v>
      </c>
      <c r="R21">
        <f t="shared" si="17"/>
        <v>18928.978983081783</v>
      </c>
      <c r="S21">
        <f t="shared" si="14"/>
        <v>282.31355928980759</v>
      </c>
      <c r="T21">
        <f t="shared" si="15"/>
        <v>0</v>
      </c>
      <c r="U21">
        <f t="shared" si="16"/>
        <v>18239.379986295411</v>
      </c>
    </row>
    <row r="22" spans="1:21" x14ac:dyDescent="0.35">
      <c r="A22" s="1">
        <v>17</v>
      </c>
      <c r="B22" s="1">
        <v>26</v>
      </c>
      <c r="C22" s="2">
        <v>0.64646052713962221</v>
      </c>
      <c r="D22" s="2">
        <f t="shared" si="5"/>
        <v>9.1920262943698212</v>
      </c>
      <c r="E22" s="3">
        <f t="shared" si="6"/>
        <v>20.751510993772218</v>
      </c>
      <c r="F22" s="3">
        <f t="shared" si="0"/>
        <v>3.6768105177479287</v>
      </c>
      <c r="G22" s="3">
        <f t="shared" si="7"/>
        <v>6.3231894822520713</v>
      </c>
      <c r="H22" s="3">
        <f t="shared" si="1"/>
        <v>4.1503021987544439</v>
      </c>
      <c r="I22" s="3">
        <f t="shared" si="2"/>
        <v>0.79323508938759701</v>
      </c>
      <c r="J22" s="3">
        <f t="shared" si="3"/>
        <v>-0.75151099377221797</v>
      </c>
      <c r="K22" s="3">
        <f t="shared" si="8"/>
        <v>0.75151099377221797</v>
      </c>
      <c r="L22" s="3">
        <f t="shared" si="9"/>
        <v>0</v>
      </c>
      <c r="M22" s="3">
        <f t="shared" si="4"/>
        <v>15.056462711857959</v>
      </c>
      <c r="N22" s="4">
        <f t="shared" si="10"/>
        <v>10</v>
      </c>
      <c r="O22">
        <f t="shared" si="11"/>
        <v>15000</v>
      </c>
      <c r="P22" s="3">
        <f t="shared" si="12"/>
        <v>4.943537288142041</v>
      </c>
      <c r="Q22">
        <f t="shared" si="13"/>
        <v>18291.087966125553</v>
      </c>
      <c r="R22">
        <f t="shared" si="17"/>
        <v>18969.568446756213</v>
      </c>
      <c r="S22">
        <f t="shared" si="14"/>
        <v>0</v>
      </c>
      <c r="T22">
        <f t="shared" si="15"/>
        <v>3757.5549688610899</v>
      </c>
      <c r="U22">
        <f t="shared" si="16"/>
        <v>18503.101444020678</v>
      </c>
    </row>
    <row r="23" spans="1:21" x14ac:dyDescent="0.35">
      <c r="A23" s="1">
        <v>18</v>
      </c>
      <c r="B23" s="1">
        <v>23</v>
      </c>
      <c r="C23" s="2">
        <v>0.65936870324737529</v>
      </c>
      <c r="D23" s="2">
        <f t="shared" si="5"/>
        <v>7.8345198253103678</v>
      </c>
      <c r="E23" s="3">
        <f t="shared" si="6"/>
        <v>20.109017462831673</v>
      </c>
      <c r="F23" s="3">
        <f t="shared" si="0"/>
        <v>3.133807930124147</v>
      </c>
      <c r="G23" s="3">
        <f t="shared" si="7"/>
        <v>6.8661920698758525</v>
      </c>
      <c r="H23" s="3">
        <f t="shared" si="1"/>
        <v>4.0218034925663346</v>
      </c>
      <c r="I23" s="3">
        <f t="shared" si="2"/>
        <v>0</v>
      </c>
      <c r="J23" s="3">
        <f t="shared" si="3"/>
        <v>-0.10901746283167313</v>
      </c>
      <c r="K23" s="3">
        <f t="shared" si="8"/>
        <v>0.10901746283167313</v>
      </c>
      <c r="L23" s="3">
        <f t="shared" si="9"/>
        <v>0</v>
      </c>
      <c r="M23" s="3">
        <f t="shared" si="4"/>
        <v>15.978196507433665</v>
      </c>
      <c r="N23" s="4">
        <f t="shared" si="10"/>
        <v>9.5686935182302832</v>
      </c>
      <c r="O23">
        <f t="shared" si="11"/>
        <v>14353.040277345424</v>
      </c>
      <c r="P23" s="3">
        <f t="shared" si="12"/>
        <v>4.0218034925663346</v>
      </c>
      <c r="Q23">
        <f t="shared" si="13"/>
        <v>14880.672922495438</v>
      </c>
      <c r="R23">
        <f t="shared" si="17"/>
        <v>19304.656764318406</v>
      </c>
      <c r="S23">
        <f t="shared" si="14"/>
        <v>0</v>
      </c>
      <c r="T23">
        <f t="shared" si="15"/>
        <v>545.08731415836564</v>
      </c>
      <c r="U23">
        <f t="shared" si="16"/>
        <v>19287.202095310051</v>
      </c>
    </row>
    <row r="24" spans="1:21" x14ac:dyDescent="0.35">
      <c r="A24" s="1">
        <v>19</v>
      </c>
      <c r="B24" s="1">
        <v>29</v>
      </c>
      <c r="C24" s="2">
        <v>0.68261970636471214</v>
      </c>
      <c r="D24" s="2">
        <f t="shared" si="5"/>
        <v>9.2040285154233494</v>
      </c>
      <c r="E24" s="3">
        <f t="shared" si="6"/>
        <v>23.817774977142985</v>
      </c>
      <c r="F24" s="3">
        <f t="shared" si="0"/>
        <v>3.6816114061693397</v>
      </c>
      <c r="G24" s="3">
        <f t="shared" si="7"/>
        <v>6.3183885938306599</v>
      </c>
      <c r="H24" s="3">
        <f t="shared" si="1"/>
        <v>4.7635549954285974</v>
      </c>
      <c r="I24" s="3">
        <f t="shared" si="2"/>
        <v>3.258248497137739</v>
      </c>
      <c r="J24" s="3">
        <f t="shared" si="3"/>
        <v>-3.8177749771429852</v>
      </c>
      <c r="K24" s="3">
        <f t="shared" si="8"/>
        <v>3.8177749771429852</v>
      </c>
      <c r="L24" s="3">
        <f t="shared" si="9"/>
        <v>0</v>
      </c>
      <c r="M24" s="3">
        <f t="shared" si="4"/>
        <v>11.978196507433664</v>
      </c>
      <c r="N24" s="4">
        <f t="shared" si="10"/>
        <v>10</v>
      </c>
      <c r="O24">
        <f t="shared" si="11"/>
        <v>15000</v>
      </c>
      <c r="P24" s="3">
        <f t="shared" si="12"/>
        <v>8.0218034925663364</v>
      </c>
      <c r="Q24">
        <f t="shared" si="13"/>
        <v>29680.672922495443</v>
      </c>
      <c r="R24">
        <f t="shared" si="17"/>
        <v>18955.165781491978</v>
      </c>
      <c r="S24">
        <f t="shared" si="14"/>
        <v>0</v>
      </c>
      <c r="T24">
        <f t="shared" si="15"/>
        <v>19088.874885714926</v>
      </c>
      <c r="U24">
        <f t="shared" si="16"/>
        <v>14546.963818272496</v>
      </c>
    </row>
    <row r="25" spans="1:21" x14ac:dyDescent="0.35">
      <c r="A25" s="1">
        <v>20</v>
      </c>
      <c r="B25" s="1">
        <v>19</v>
      </c>
      <c r="C25" s="2">
        <v>0.65805918458189661</v>
      </c>
      <c r="D25" s="2">
        <f t="shared" si="5"/>
        <v>6.496875492943964</v>
      </c>
      <c r="E25" s="3">
        <f t="shared" si="6"/>
        <v>20.524927999622374</v>
      </c>
      <c r="F25" s="3">
        <f t="shared" si="0"/>
        <v>2.5987501971775857</v>
      </c>
      <c r="G25" s="3">
        <f t="shared" si="7"/>
        <v>7.4012498028224147</v>
      </c>
      <c r="H25" s="3">
        <f t="shared" si="1"/>
        <v>4.1049855999244746</v>
      </c>
      <c r="I25" s="3">
        <f t="shared" si="2"/>
        <v>0</v>
      </c>
      <c r="J25" s="3">
        <f t="shared" si="3"/>
        <v>-0.52492799962237413</v>
      </c>
      <c r="K25" s="3">
        <f t="shared" si="8"/>
        <v>0.52492799962237413</v>
      </c>
      <c r="L25" s="3">
        <f t="shared" si="9"/>
        <v>0</v>
      </c>
      <c r="M25" s="3">
        <f t="shared" si="4"/>
        <v>15.895014400075524</v>
      </c>
      <c r="N25" s="4">
        <f t="shared" si="10"/>
        <v>9.1667271570567443</v>
      </c>
      <c r="O25">
        <f t="shared" si="11"/>
        <v>13750.090735585116</v>
      </c>
      <c r="P25" s="3">
        <f t="shared" si="12"/>
        <v>4.1049855999244746</v>
      </c>
      <c r="Q25">
        <f t="shared" si="13"/>
        <v>15188.446719720556</v>
      </c>
      <c r="R25">
        <f t="shared" si="17"/>
        <v>19703.930879637479</v>
      </c>
      <c r="S25">
        <f t="shared" si="14"/>
        <v>0</v>
      </c>
      <c r="T25">
        <f t="shared" si="15"/>
        <v>2624.6399981118707</v>
      </c>
      <c r="U25">
        <f t="shared" si="16"/>
        <v>18517.646865661049</v>
      </c>
    </row>
    <row r="26" spans="1:21" x14ac:dyDescent="0.35">
      <c r="A26" s="1">
        <v>21</v>
      </c>
      <c r="B26" s="1">
        <v>21</v>
      </c>
      <c r="C26" s="2">
        <v>0.6630098858909651</v>
      </c>
      <c r="D26" s="2">
        <f t="shared" si="5"/>
        <v>7.0767923962897328</v>
      </c>
      <c r="E26" s="3">
        <f t="shared" si="6"/>
        <v>18.028193203634743</v>
      </c>
      <c r="F26" s="3">
        <f t="shared" si="0"/>
        <v>2.8307169585158931</v>
      </c>
      <c r="G26" s="3">
        <f t="shared" si="7"/>
        <v>7.1692830414841069</v>
      </c>
      <c r="H26" s="3">
        <f t="shared" si="1"/>
        <v>3.6056386407269487</v>
      </c>
      <c r="I26" s="3">
        <f t="shared" si="2"/>
        <v>0</v>
      </c>
      <c r="J26" s="3">
        <f t="shared" si="3"/>
        <v>1.9718067963652572</v>
      </c>
      <c r="K26" s="3">
        <f t="shared" si="8"/>
        <v>0</v>
      </c>
      <c r="L26" s="3">
        <f t="shared" si="9"/>
        <v>1.9718067963652572</v>
      </c>
      <c r="M26" s="3">
        <f t="shared" si="4"/>
        <v>16.394361359273052</v>
      </c>
      <c r="N26" s="4">
        <f t="shared" si="10"/>
        <v>8.5997387836790118</v>
      </c>
      <c r="O26">
        <f t="shared" si="11"/>
        <v>12899.608175518517</v>
      </c>
      <c r="P26" s="3">
        <f t="shared" si="12"/>
        <v>3.6056386407269487</v>
      </c>
      <c r="Q26">
        <f t="shared" si="13"/>
        <v>13340.86297068971</v>
      </c>
      <c r="R26">
        <f t="shared" si="17"/>
        <v>17307.065475489355</v>
      </c>
      <c r="S26">
        <f t="shared" si="14"/>
        <v>1971.8067963652572</v>
      </c>
      <c r="T26">
        <f t="shared" si="15"/>
        <v>0</v>
      </c>
      <c r="U26">
        <f t="shared" si="16"/>
        <v>15776.513474295294</v>
      </c>
    </row>
    <row r="27" spans="1:21" x14ac:dyDescent="0.35">
      <c r="A27" s="1">
        <v>22</v>
      </c>
      <c r="B27" s="1">
        <v>25</v>
      </c>
      <c r="C27" s="2">
        <v>0.60479065238456564</v>
      </c>
      <c r="D27" s="2">
        <f t="shared" si="5"/>
        <v>9.8802336903858592</v>
      </c>
      <c r="E27" s="3">
        <f t="shared" si="6"/>
        <v>18.72540495034109</v>
      </c>
      <c r="F27" s="3">
        <f t="shared" si="0"/>
        <v>3.9520934761543436</v>
      </c>
      <c r="G27" s="3">
        <f t="shared" si="7"/>
        <v>6.047906523845656</v>
      </c>
      <c r="H27" s="3">
        <f t="shared" si="1"/>
        <v>3.7450809900682183</v>
      </c>
      <c r="I27" s="3">
        <f t="shared" si="2"/>
        <v>0</v>
      </c>
      <c r="J27" s="3">
        <f t="shared" si="3"/>
        <v>1.2745950496589096</v>
      </c>
      <c r="K27" s="3">
        <f t="shared" si="8"/>
        <v>0</v>
      </c>
      <c r="L27" s="3">
        <f t="shared" si="9"/>
        <v>1.2745950496589096</v>
      </c>
      <c r="M27" s="3">
        <f t="shared" si="4"/>
        <v>16.254919009931783</v>
      </c>
      <c r="N27" s="4">
        <f t="shared" si="10"/>
        <v>9.9442230602634929</v>
      </c>
      <c r="O27">
        <f t="shared" si="11"/>
        <v>14916.33459039524</v>
      </c>
      <c r="P27" s="3">
        <f t="shared" si="12"/>
        <v>3.7450809900682183</v>
      </c>
      <c r="Q27">
        <f t="shared" si="13"/>
        <v>13856.799663252408</v>
      </c>
      <c r="R27">
        <f t="shared" si="17"/>
        <v>17976.388752327446</v>
      </c>
      <c r="S27">
        <f t="shared" si="14"/>
        <v>1274.5950496589096</v>
      </c>
      <c r="T27">
        <f t="shared" si="15"/>
        <v>0</v>
      </c>
      <c r="U27">
        <f t="shared" si="16"/>
        <v>15642.258775525705</v>
      </c>
    </row>
    <row r="28" spans="1:21" x14ac:dyDescent="0.35">
      <c r="A28" s="1">
        <v>23</v>
      </c>
      <c r="B28" s="1">
        <v>26</v>
      </c>
      <c r="C28" s="2">
        <v>0.59172560775616845</v>
      </c>
      <c r="D28" s="2">
        <f t="shared" si="5"/>
        <v>10.61513419833962</v>
      </c>
      <c r="E28" s="3">
        <f t="shared" si="6"/>
        <v>19.129946791728599</v>
      </c>
      <c r="F28" s="3">
        <f t="shared" si="0"/>
        <v>4.2460536793358479</v>
      </c>
      <c r="G28" s="3">
        <f t="shared" si="7"/>
        <v>5.7539463206641521</v>
      </c>
      <c r="H28" s="3">
        <f t="shared" si="1"/>
        <v>3.8259893583457201</v>
      </c>
      <c r="I28" s="3">
        <f t="shared" si="2"/>
        <v>0.91909163172249997</v>
      </c>
      <c r="J28" s="3">
        <f t="shared" si="3"/>
        <v>0.87005320827140054</v>
      </c>
      <c r="K28" s="3">
        <f t="shared" si="8"/>
        <v>0</v>
      </c>
      <c r="L28" s="3">
        <f t="shared" si="9"/>
        <v>0.87005320827140054</v>
      </c>
      <c r="M28" s="3">
        <f t="shared" si="4"/>
        <v>15.254919009931779</v>
      </c>
      <c r="N28" s="4">
        <f t="shared" si="10"/>
        <v>10</v>
      </c>
      <c r="O28">
        <f t="shared" si="11"/>
        <v>15000</v>
      </c>
      <c r="P28" s="3">
        <f t="shared" si="12"/>
        <v>4.74508099006822</v>
      </c>
      <c r="Q28">
        <f t="shared" si="13"/>
        <v>17556.799663252415</v>
      </c>
      <c r="R28">
        <f t="shared" si="17"/>
        <v>17261.838961992453</v>
      </c>
      <c r="S28">
        <f t="shared" si="14"/>
        <v>870.05320827140054</v>
      </c>
      <c r="T28">
        <f t="shared" si="15"/>
        <v>0</v>
      </c>
      <c r="U28">
        <f t="shared" si="16"/>
        <v>18948.58541697347</v>
      </c>
    </row>
    <row r="29" spans="1:21" x14ac:dyDescent="0.35">
      <c r="A29" s="1">
        <v>24</v>
      </c>
      <c r="B29" s="1">
        <v>23</v>
      </c>
      <c r="C29" s="2">
        <v>0.7751296154990619</v>
      </c>
      <c r="D29" s="2">
        <f t="shared" si="5"/>
        <v>5.1720188435215775</v>
      </c>
      <c r="E29" s="3">
        <f t="shared" si="6"/>
        <v>22.57306214654664</v>
      </c>
      <c r="F29" s="3">
        <f t="shared" si="0"/>
        <v>2.068807537408631</v>
      </c>
      <c r="G29" s="3">
        <f t="shared" si="7"/>
        <v>7.931192462591369</v>
      </c>
      <c r="H29" s="3">
        <f t="shared" si="1"/>
        <v>4.5146124293093282</v>
      </c>
      <c r="I29" s="3">
        <f t="shared" si="2"/>
        <v>0</v>
      </c>
      <c r="J29" s="3">
        <f t="shared" si="3"/>
        <v>-2.5730621465466399</v>
      </c>
      <c r="K29" s="3">
        <f t="shared" si="8"/>
        <v>2.5730621465466399</v>
      </c>
      <c r="L29" s="3">
        <f t="shared" si="9"/>
        <v>0</v>
      </c>
      <c r="M29" s="3">
        <f t="shared" si="4"/>
        <v>15.485387570690673</v>
      </c>
      <c r="N29" s="4">
        <f t="shared" si="10"/>
        <v>9.292187424303556</v>
      </c>
      <c r="O29">
        <f t="shared" si="11"/>
        <v>13938.281136455334</v>
      </c>
      <c r="P29" s="3">
        <f t="shared" si="12"/>
        <v>4.5146124293093282</v>
      </c>
      <c r="Q29">
        <f t="shared" si="13"/>
        <v>16704.065988444516</v>
      </c>
      <c r="R29">
        <f t="shared" si="17"/>
        <v>21670.139660684774</v>
      </c>
      <c r="S29">
        <f t="shared" si="14"/>
        <v>0</v>
      </c>
      <c r="T29">
        <f t="shared" si="15"/>
        <v>12865.3107327332</v>
      </c>
      <c r="U29">
        <f t="shared" si="16"/>
        <v>11570.613779940755</v>
      </c>
    </row>
    <row r="30" spans="1:21" x14ac:dyDescent="0.35">
      <c r="A30" s="1">
        <v>25</v>
      </c>
      <c r="B30" s="1">
        <v>23</v>
      </c>
      <c r="C30" s="2">
        <v>0.54543281530494148</v>
      </c>
      <c r="D30" s="2">
        <f t="shared" si="5"/>
        <v>10.455045247986346</v>
      </c>
      <c r="E30" s="3">
        <f t="shared" si="6"/>
        <v>17.059567181322983</v>
      </c>
      <c r="F30" s="3">
        <f t="shared" si="0"/>
        <v>4.1820180991945382</v>
      </c>
      <c r="G30" s="3">
        <f t="shared" si="7"/>
        <v>5.8179819008054618</v>
      </c>
      <c r="H30" s="3">
        <f t="shared" si="1"/>
        <v>3.4119134362645966</v>
      </c>
      <c r="I30" s="3">
        <f t="shared" si="2"/>
        <v>0</v>
      </c>
      <c r="J30" s="3">
        <f t="shared" si="3"/>
        <v>2.9404328186770172</v>
      </c>
      <c r="K30" s="3">
        <f t="shared" si="8"/>
        <v>0</v>
      </c>
      <c r="L30" s="3">
        <f t="shared" si="9"/>
        <v>2.9404328186770172</v>
      </c>
      <c r="M30" s="3">
        <f t="shared" si="4"/>
        <v>16.588086563735402</v>
      </c>
      <c r="N30" s="4">
        <f t="shared" si="10"/>
        <v>9.6410795972178924</v>
      </c>
      <c r="O30">
        <f t="shared" si="11"/>
        <v>14461.61939582684</v>
      </c>
      <c r="P30" s="3">
        <f t="shared" si="12"/>
        <v>3.4119134362645966</v>
      </c>
      <c r="Q30">
        <f t="shared" si="13"/>
        <v>12624.079714179008</v>
      </c>
      <c r="R30">
        <f t="shared" si="17"/>
        <v>16377.184494070063</v>
      </c>
      <c r="S30">
        <f t="shared" si="14"/>
        <v>2940.4328186770172</v>
      </c>
      <c r="T30">
        <f t="shared" si="15"/>
        <v>0</v>
      </c>
      <c r="U30">
        <f t="shared" si="16"/>
        <v>11599.211993745215</v>
      </c>
    </row>
    <row r="31" spans="1:21" x14ac:dyDescent="0.35">
      <c r="A31" s="1">
        <v>26</v>
      </c>
      <c r="B31" s="1">
        <v>23</v>
      </c>
      <c r="C31" s="2">
        <v>0.5549559072993232</v>
      </c>
      <c r="D31" s="2">
        <f t="shared" si="5"/>
        <v>10.236014132115566</v>
      </c>
      <c r="E31" s="3">
        <f t="shared" si="6"/>
        <v>16.175899304149031</v>
      </c>
      <c r="F31" s="3">
        <f t="shared" si="0"/>
        <v>4.094405652846226</v>
      </c>
      <c r="G31" s="3">
        <f t="shared" si="7"/>
        <v>5.905594347153774</v>
      </c>
      <c r="H31" s="3">
        <f t="shared" si="1"/>
        <v>3.2351798608298061</v>
      </c>
      <c r="I31" s="3">
        <f t="shared" si="2"/>
        <v>0</v>
      </c>
      <c r="J31" s="3">
        <f t="shared" si="3"/>
        <v>3.8241006958509693</v>
      </c>
      <c r="K31" s="3">
        <f t="shared" si="8"/>
        <v>0</v>
      </c>
      <c r="L31" s="3">
        <f t="shared" si="9"/>
        <v>3.8241006958509693</v>
      </c>
      <c r="M31" s="3">
        <f t="shared" si="4"/>
        <v>16.764820139170194</v>
      </c>
      <c r="N31" s="4">
        <f t="shared" si="10"/>
        <v>9.2706934301739157</v>
      </c>
      <c r="O31">
        <f t="shared" si="11"/>
        <v>13906.040145260873</v>
      </c>
      <c r="P31" s="3">
        <f t="shared" si="12"/>
        <v>3.2351798608298061</v>
      </c>
      <c r="Q31">
        <f t="shared" si="13"/>
        <v>11970.165485070283</v>
      </c>
      <c r="R31">
        <f t="shared" si="17"/>
        <v>15528.86333198307</v>
      </c>
      <c r="S31">
        <f t="shared" si="14"/>
        <v>3824.1006958509693</v>
      </c>
      <c r="T31">
        <f t="shared" si="15"/>
        <v>0</v>
      </c>
      <c r="U31">
        <f t="shared" si="16"/>
        <v>9768.8879759415104</v>
      </c>
    </row>
    <row r="32" spans="1:21" x14ac:dyDescent="0.35">
      <c r="A32" s="1">
        <v>27</v>
      </c>
      <c r="B32" s="1">
        <v>26</v>
      </c>
      <c r="C32" s="2">
        <v>0.79070445335129458</v>
      </c>
      <c r="D32" s="2">
        <f t="shared" si="5"/>
        <v>5.4416842128663419</v>
      </c>
      <c r="E32" s="3">
        <f t="shared" si="6"/>
        <v>23.793495647963464</v>
      </c>
      <c r="F32" s="3">
        <f t="shared" si="0"/>
        <v>2.1766736851465369</v>
      </c>
      <c r="G32" s="3">
        <f t="shared" si="7"/>
        <v>7.8233263148534631</v>
      </c>
      <c r="H32" s="3">
        <f t="shared" si="1"/>
        <v>4.758699129592693</v>
      </c>
      <c r="I32" s="3">
        <f t="shared" si="2"/>
        <v>0</v>
      </c>
      <c r="J32" s="3">
        <f t="shared" si="3"/>
        <v>-3.7934956479634643</v>
      </c>
      <c r="K32" s="3">
        <f t="shared" si="8"/>
        <v>3.7934956479634643</v>
      </c>
      <c r="L32" s="3">
        <f t="shared" si="9"/>
        <v>0</v>
      </c>
      <c r="M32" s="3">
        <f t="shared" si="4"/>
        <v>15.241300870407308</v>
      </c>
      <c r="N32" s="4">
        <f t="shared" si="10"/>
        <v>9.7905922924948463</v>
      </c>
      <c r="O32">
        <f t="shared" si="11"/>
        <v>14685.888438742269</v>
      </c>
      <c r="P32" s="3">
        <f t="shared" si="12"/>
        <v>4.758699129592693</v>
      </c>
      <c r="Q32">
        <f t="shared" si="13"/>
        <v>17607.186779492964</v>
      </c>
      <c r="R32">
        <f t="shared" si="17"/>
        <v>22841.755822044928</v>
      </c>
      <c r="S32">
        <f t="shared" si="14"/>
        <v>0</v>
      </c>
      <c r="T32">
        <f t="shared" si="15"/>
        <v>18967.478239817323</v>
      </c>
      <c r="U32">
        <f t="shared" si="16"/>
        <v>6795.5759229782998</v>
      </c>
    </row>
    <row r="33" spans="1:21" x14ac:dyDescent="0.35">
      <c r="A33" s="1">
        <v>28</v>
      </c>
      <c r="B33" s="1">
        <v>23</v>
      </c>
      <c r="C33" s="2">
        <v>0.5417879111343491</v>
      </c>
      <c r="D33" s="2">
        <f t="shared" si="5"/>
        <v>10.538878043909971</v>
      </c>
      <c r="E33" s="3">
        <f t="shared" si="6"/>
        <v>17.219821085682721</v>
      </c>
      <c r="F33" s="3">
        <f t="shared" si="0"/>
        <v>4.2155512175639887</v>
      </c>
      <c r="G33" s="3">
        <f t="shared" si="7"/>
        <v>5.7844487824360113</v>
      </c>
      <c r="H33" s="3">
        <f t="shared" si="1"/>
        <v>3.4439642171365445</v>
      </c>
      <c r="I33" s="3">
        <f t="shared" si="2"/>
        <v>0</v>
      </c>
      <c r="J33" s="3">
        <f t="shared" si="3"/>
        <v>2.780178914317279</v>
      </c>
      <c r="K33" s="3">
        <f t="shared" si="8"/>
        <v>0</v>
      </c>
      <c r="L33" s="3">
        <f t="shared" si="9"/>
        <v>2.780178914317279</v>
      </c>
      <c r="M33" s="3">
        <f t="shared" si="4"/>
        <v>16.556035782863454</v>
      </c>
      <c r="N33" s="4">
        <f t="shared" si="10"/>
        <v>9.7258939649824594</v>
      </c>
      <c r="O33">
        <f t="shared" si="11"/>
        <v>14588.840947473689</v>
      </c>
      <c r="P33" s="3">
        <f t="shared" si="12"/>
        <v>3.4439642171365445</v>
      </c>
      <c r="Q33">
        <f t="shared" si="13"/>
        <v>12742.667603405214</v>
      </c>
      <c r="R33">
        <f t="shared" si="17"/>
        <v>16531.028242255412</v>
      </c>
      <c r="S33">
        <f t="shared" si="14"/>
        <v>2780.1789143172791</v>
      </c>
      <c r="T33">
        <f t="shared" si="15"/>
        <v>0</v>
      </c>
      <c r="U33">
        <f t="shared" si="16"/>
        <v>11904.675983869658</v>
      </c>
    </row>
    <row r="34" spans="1:21" x14ac:dyDescent="0.35">
      <c r="A34" s="1">
        <v>29</v>
      </c>
      <c r="B34" s="1">
        <v>23</v>
      </c>
      <c r="C34" s="2">
        <v>0.63045765052593872</v>
      </c>
      <c r="D34" s="2">
        <f t="shared" si="5"/>
        <v>8.4994740379034095</v>
      </c>
      <c r="E34" s="3">
        <f t="shared" si="6"/>
        <v>17.944490179233135</v>
      </c>
      <c r="F34" s="3">
        <f t="shared" si="0"/>
        <v>3.3997896151613638</v>
      </c>
      <c r="G34" s="3">
        <f t="shared" si="7"/>
        <v>6.6002103848386362</v>
      </c>
      <c r="H34" s="3">
        <f t="shared" si="1"/>
        <v>3.5888980358466274</v>
      </c>
      <c r="I34" s="3">
        <f t="shared" si="2"/>
        <v>0</v>
      </c>
      <c r="J34" s="3">
        <f t="shared" si="3"/>
        <v>2.0555098207668649</v>
      </c>
      <c r="K34" s="3">
        <f t="shared" si="8"/>
        <v>0</v>
      </c>
      <c r="L34" s="3">
        <f t="shared" si="9"/>
        <v>2.0555098207668649</v>
      </c>
      <c r="M34" s="3">
        <f t="shared" si="4"/>
        <v>16.411101964153374</v>
      </c>
      <c r="N34" s="4">
        <f t="shared" si="10"/>
        <v>9.1420264725159672</v>
      </c>
      <c r="O34">
        <f t="shared" si="11"/>
        <v>13713.039708773951</v>
      </c>
      <c r="P34" s="3">
        <f t="shared" si="12"/>
        <v>3.5888980358466274</v>
      </c>
      <c r="Q34">
        <f t="shared" si="13"/>
        <v>13278.922732632522</v>
      </c>
      <c r="R34">
        <f t="shared" si="17"/>
        <v>17226.71057206381</v>
      </c>
      <c r="S34">
        <f t="shared" si="14"/>
        <v>2055.5098207668648</v>
      </c>
      <c r="T34">
        <f t="shared" si="15"/>
        <v>0</v>
      </c>
      <c r="U34">
        <f t="shared" si="16"/>
        <v>14737.083775155517</v>
      </c>
    </row>
    <row r="35" spans="1:21" x14ac:dyDescent="0.35">
      <c r="A35" s="1">
        <v>30</v>
      </c>
      <c r="B35" s="1">
        <v>27</v>
      </c>
      <c r="C35" s="2">
        <v>0.58285590922654307</v>
      </c>
      <c r="D35" s="2">
        <f t="shared" si="5"/>
        <v>11.262890450883337</v>
      </c>
      <c r="E35" s="3">
        <f t="shared" si="6"/>
        <v>19.326007584963293</v>
      </c>
      <c r="F35" s="3">
        <f t="shared" si="0"/>
        <v>4.5051561803533344</v>
      </c>
      <c r="G35" s="3">
        <f t="shared" si="7"/>
        <v>5.4948438196466656</v>
      </c>
      <c r="H35" s="3">
        <f t="shared" si="1"/>
        <v>3.8652015169926588</v>
      </c>
      <c r="I35" s="3">
        <f t="shared" si="2"/>
        <v>1.7236965188539699</v>
      </c>
      <c r="J35" s="3">
        <f t="shared" si="3"/>
        <v>0.67399241503670737</v>
      </c>
      <c r="K35" s="3">
        <f t="shared" si="8"/>
        <v>0</v>
      </c>
      <c r="L35" s="3">
        <f t="shared" si="9"/>
        <v>0.67399241503670737</v>
      </c>
      <c r="M35" s="3">
        <f t="shared" si="4"/>
        <v>14.411101964153371</v>
      </c>
      <c r="N35" s="4">
        <f t="shared" si="10"/>
        <v>10</v>
      </c>
      <c r="O35">
        <f t="shared" si="11"/>
        <v>15000</v>
      </c>
      <c r="P35" s="3">
        <f t="shared" si="12"/>
        <v>5.5888980358466291</v>
      </c>
      <c r="Q35">
        <f t="shared" si="13"/>
        <v>20678.922732632527</v>
      </c>
      <c r="R35">
        <f t="shared" si="17"/>
        <v>16484.531458939997</v>
      </c>
      <c r="S35">
        <f t="shared" si="14"/>
        <v>673.99241503670737</v>
      </c>
      <c r="T35">
        <f t="shared" si="15"/>
        <v>0</v>
      </c>
      <c r="U35">
        <f t="shared" si="16"/>
        <v>21489.46177653582</v>
      </c>
    </row>
    <row r="36" spans="1:21" x14ac:dyDescent="0.35">
      <c r="A36" s="1">
        <v>31</v>
      </c>
      <c r="B36" s="1">
        <v>29</v>
      </c>
      <c r="C36" s="2">
        <v>0.64287975196835923</v>
      </c>
      <c r="D36" s="2">
        <f t="shared" si="5"/>
        <v>10.356487192917584</v>
      </c>
      <c r="E36" s="3">
        <f t="shared" si="6"/>
        <v>24.232410842929045</v>
      </c>
      <c r="F36" s="3">
        <f t="shared" si="0"/>
        <v>4.1425948771670331</v>
      </c>
      <c r="G36" s="3">
        <f t="shared" si="7"/>
        <v>5.8574051228329669</v>
      </c>
      <c r="H36" s="3">
        <f t="shared" si="1"/>
        <v>4.8464821685858093</v>
      </c>
      <c r="I36" s="3">
        <f t="shared" si="2"/>
        <v>4.7424158672608208</v>
      </c>
      <c r="J36" s="3">
        <f t="shared" si="3"/>
        <v>-4.2324108429290455</v>
      </c>
      <c r="K36" s="3">
        <f t="shared" si="8"/>
        <v>4.2324108429290455</v>
      </c>
      <c r="L36" s="3">
        <f t="shared" si="9"/>
        <v>0</v>
      </c>
      <c r="M36" s="3">
        <f t="shared" si="4"/>
        <v>10.411101964153371</v>
      </c>
      <c r="N36" s="4">
        <f t="shared" si="10"/>
        <v>10</v>
      </c>
      <c r="O36">
        <f t="shared" si="11"/>
        <v>15000</v>
      </c>
      <c r="P36" s="3">
        <f t="shared" si="12"/>
        <v>9.5888980358466291</v>
      </c>
      <c r="Q36">
        <f t="shared" si="13"/>
        <v>35478.922732632527</v>
      </c>
      <c r="R36">
        <f t="shared" si="17"/>
        <v>17572.215368498899</v>
      </c>
      <c r="S36">
        <f t="shared" si="14"/>
        <v>0</v>
      </c>
      <c r="T36">
        <f t="shared" si="15"/>
        <v>21162.054214645228</v>
      </c>
      <c r="U36">
        <f t="shared" si="16"/>
        <v>16889.083886486194</v>
      </c>
    </row>
    <row r="37" spans="1:21" x14ac:dyDescent="0.35">
      <c r="A37" s="1">
        <v>32</v>
      </c>
      <c r="B37" s="1">
        <v>25</v>
      </c>
      <c r="C37" s="2">
        <v>0.69717799037859218</v>
      </c>
      <c r="D37" s="2">
        <f t="shared" si="5"/>
        <v>7.5705502405351943</v>
      </c>
      <c r="E37" s="3">
        <f t="shared" si="6"/>
        <v>27.018347795311435</v>
      </c>
      <c r="F37" s="3">
        <f t="shared" si="0"/>
        <v>3.0282200962140777</v>
      </c>
      <c r="G37" s="3">
        <f t="shared" si="7"/>
        <v>6.9717799037859223</v>
      </c>
      <c r="H37" s="3">
        <f t="shared" si="1"/>
        <v>5.403669559062287</v>
      </c>
      <c r="I37" s="3">
        <f t="shared" si="2"/>
        <v>4.1852284767843422</v>
      </c>
      <c r="J37" s="3">
        <f t="shared" si="3"/>
        <v>-7.0183477953114348</v>
      </c>
      <c r="K37" s="3">
        <f t="shared" si="8"/>
        <v>7.0183477953114348</v>
      </c>
      <c r="L37" s="3">
        <f t="shared" si="9"/>
        <v>0</v>
      </c>
      <c r="M37" s="3">
        <f t="shared" si="4"/>
        <v>10.411101964153371</v>
      </c>
      <c r="N37" s="4">
        <f t="shared" si="10"/>
        <v>10</v>
      </c>
      <c r="O37">
        <f t="shared" si="11"/>
        <v>15000</v>
      </c>
      <c r="P37" s="3">
        <f t="shared" si="12"/>
        <v>9.5888980358466291</v>
      </c>
      <c r="Q37">
        <f t="shared" si="13"/>
        <v>35478.922732632527</v>
      </c>
      <c r="R37">
        <f t="shared" si="17"/>
        <v>20915.339711357767</v>
      </c>
      <c r="S37">
        <f t="shared" si="14"/>
        <v>0</v>
      </c>
      <c r="T37">
        <f t="shared" si="15"/>
        <v>35091.738976557172</v>
      </c>
      <c r="U37">
        <f t="shared" si="16"/>
        <v>6302.5234674331223</v>
      </c>
    </row>
    <row r="38" spans="1:21" x14ac:dyDescent="0.35">
      <c r="A38" s="1">
        <v>33</v>
      </c>
      <c r="B38" s="1">
        <v>24</v>
      </c>
      <c r="C38" s="2">
        <v>0.70054252653543392</v>
      </c>
      <c r="D38" s="2">
        <f t="shared" si="5"/>
        <v>7.186979363149586</v>
      </c>
      <c r="E38" s="3">
        <f t="shared" si="6"/>
        <v>26.401918672697043</v>
      </c>
      <c r="F38" s="3">
        <f t="shared" ref="F38:F65" si="18">D38/2.5</f>
        <v>2.8747917452598344</v>
      </c>
      <c r="G38" s="3">
        <f t="shared" si="7"/>
        <v>7.1252082547401656</v>
      </c>
      <c r="H38" s="3">
        <f t="shared" ref="H38:H65" si="19">PRODUCT(E38,0.2)</f>
        <v>5.2803837345394093</v>
      </c>
      <c r="I38" s="3">
        <f t="shared" ref="I38:I65" si="20">IF((E38-H38)&lt;=G38*2.5,0,ABS((G38*2.5)-(E38-H38)))</f>
        <v>3.3085143013072198</v>
      </c>
      <c r="J38" s="3">
        <f t="shared" ref="J38:J65" si="21">$A$2-E38</f>
        <v>-6.4019186726970432</v>
      </c>
      <c r="K38" s="3">
        <f t="shared" si="8"/>
        <v>6.4019186726970432</v>
      </c>
      <c r="L38" s="3">
        <f t="shared" si="9"/>
        <v>0</v>
      </c>
      <c r="M38" s="3">
        <f t="shared" ref="M38:M65" si="22">$A$2-SUM(H38,I38)</f>
        <v>11.411101964153371</v>
      </c>
      <c r="N38" s="4">
        <f t="shared" si="10"/>
        <v>10</v>
      </c>
      <c r="O38">
        <f t="shared" si="11"/>
        <v>15000</v>
      </c>
      <c r="P38" s="3">
        <f t="shared" si="12"/>
        <v>8.5888980358466291</v>
      </c>
      <c r="Q38">
        <f t="shared" si="13"/>
        <v>31778.922732632527</v>
      </c>
      <c r="R38">
        <f t="shared" si="17"/>
        <v>21375.624764220498</v>
      </c>
      <c r="S38">
        <f t="shared" si="14"/>
        <v>0</v>
      </c>
      <c r="T38">
        <f t="shared" si="15"/>
        <v>32009.593363485215</v>
      </c>
      <c r="U38">
        <f t="shared" si="16"/>
        <v>6144.9541333678098</v>
      </c>
    </row>
    <row r="39" spans="1:21" x14ac:dyDescent="0.35">
      <c r="A39" s="1">
        <v>34</v>
      </c>
      <c r="B39" s="1">
        <v>22</v>
      </c>
      <c r="C39" s="2">
        <v>0.58469694176163001</v>
      </c>
      <c r="D39" s="2">
        <f t="shared" si="5"/>
        <v>9.1366672812441401</v>
      </c>
      <c r="E39" s="3">
        <f t="shared" ref="E39:E65" si="23">PRODUCT(B39:C39)+H38+I38</f>
        <v>21.452230754602489</v>
      </c>
      <c r="F39" s="3">
        <f t="shared" si="18"/>
        <v>3.6546669124976559</v>
      </c>
      <c r="G39" s="3">
        <f t="shared" si="7"/>
        <v>6.3453330875023441</v>
      </c>
      <c r="H39" s="3">
        <f t="shared" si="19"/>
        <v>4.2904461509204976</v>
      </c>
      <c r="I39" s="3">
        <f t="shared" si="20"/>
        <v>1.2984518849261306</v>
      </c>
      <c r="J39" s="3">
        <f t="shared" si="21"/>
        <v>-1.4522307546024891</v>
      </c>
      <c r="K39" s="3">
        <f t="shared" si="8"/>
        <v>1.4522307546024891</v>
      </c>
      <c r="L39" s="3">
        <f t="shared" si="9"/>
        <v>0</v>
      </c>
      <c r="M39" s="3">
        <f t="shared" si="22"/>
        <v>14.411101964153371</v>
      </c>
      <c r="N39" s="4">
        <f t="shared" si="10"/>
        <v>10</v>
      </c>
      <c r="O39">
        <f t="shared" si="11"/>
        <v>15000</v>
      </c>
      <c r="P39" s="3">
        <f t="shared" si="12"/>
        <v>5.5888980358466283</v>
      </c>
      <c r="Q39">
        <f t="shared" si="13"/>
        <v>20678.922732632524</v>
      </c>
      <c r="R39">
        <f t="shared" si="17"/>
        <v>19035.999262507034</v>
      </c>
      <c r="S39">
        <f t="shared" si="14"/>
        <v>0</v>
      </c>
      <c r="T39">
        <f t="shared" si="15"/>
        <v>7261.1537730124455</v>
      </c>
      <c r="U39">
        <f t="shared" si="16"/>
        <v>17453.76822212711</v>
      </c>
    </row>
    <row r="40" spans="1:21" x14ac:dyDescent="0.35">
      <c r="A40" s="1">
        <v>35</v>
      </c>
      <c r="B40" s="1">
        <v>26</v>
      </c>
      <c r="C40" s="2">
        <v>0.67747251513779128</v>
      </c>
      <c r="D40" s="2">
        <f t="shared" si="5"/>
        <v>8.3857146064174266</v>
      </c>
      <c r="E40" s="3">
        <f t="shared" si="23"/>
        <v>23.203183429429203</v>
      </c>
      <c r="F40" s="3">
        <f t="shared" si="18"/>
        <v>3.3542858425669708</v>
      </c>
      <c r="G40" s="3">
        <f t="shared" si="7"/>
        <v>6.6457141574330292</v>
      </c>
      <c r="H40" s="3">
        <f t="shared" si="19"/>
        <v>4.6406366858858403</v>
      </c>
      <c r="I40" s="3">
        <f t="shared" si="20"/>
        <v>1.9482613499607879</v>
      </c>
      <c r="J40" s="3">
        <f t="shared" si="21"/>
        <v>-3.2031834294292025</v>
      </c>
      <c r="K40" s="3">
        <f t="shared" si="8"/>
        <v>3.2031834294292025</v>
      </c>
      <c r="L40" s="3">
        <f t="shared" si="9"/>
        <v>0</v>
      </c>
      <c r="M40" s="3">
        <f t="shared" si="22"/>
        <v>13.411101964153371</v>
      </c>
      <c r="N40" s="4">
        <f t="shared" si="10"/>
        <v>10</v>
      </c>
      <c r="O40">
        <f t="shared" si="11"/>
        <v>15000</v>
      </c>
      <c r="P40" s="3">
        <f t="shared" si="12"/>
        <v>6.5888980358466283</v>
      </c>
      <c r="Q40">
        <f t="shared" si="13"/>
        <v>24378.922732632524</v>
      </c>
      <c r="R40">
        <f t="shared" si="17"/>
        <v>19937.142472299089</v>
      </c>
      <c r="S40">
        <f t="shared" si="14"/>
        <v>0</v>
      </c>
      <c r="T40">
        <f t="shared" si="15"/>
        <v>16015.917147146012</v>
      </c>
      <c r="U40">
        <f t="shared" si="16"/>
        <v>13300.1480577856</v>
      </c>
    </row>
    <row r="41" spans="1:21" x14ac:dyDescent="0.35">
      <c r="A41" s="1">
        <v>36</v>
      </c>
      <c r="B41" s="1">
        <v>24</v>
      </c>
      <c r="C41" s="2">
        <v>0.58176278343650378</v>
      </c>
      <c r="D41" s="2">
        <f t="shared" si="5"/>
        <v>10.037693197523909</v>
      </c>
      <c r="E41" s="3">
        <f t="shared" si="23"/>
        <v>20.551204838322718</v>
      </c>
      <c r="F41" s="3">
        <f t="shared" si="18"/>
        <v>4.0150772790095637</v>
      </c>
      <c r="G41" s="3">
        <f t="shared" si="7"/>
        <v>5.9849227209904363</v>
      </c>
      <c r="H41" s="3">
        <f t="shared" si="19"/>
        <v>4.1102409676645442</v>
      </c>
      <c r="I41" s="3">
        <f t="shared" si="20"/>
        <v>1.4786570681820823</v>
      </c>
      <c r="J41" s="3">
        <f t="shared" si="21"/>
        <v>-0.55120483832271816</v>
      </c>
      <c r="K41" s="3">
        <f t="shared" si="8"/>
        <v>0.55120483832271816</v>
      </c>
      <c r="L41" s="3">
        <f t="shared" si="9"/>
        <v>0</v>
      </c>
      <c r="M41" s="3">
        <f t="shared" si="22"/>
        <v>14.411101964153374</v>
      </c>
      <c r="N41" s="4">
        <f t="shared" si="10"/>
        <v>10</v>
      </c>
      <c r="O41">
        <f t="shared" si="11"/>
        <v>15000</v>
      </c>
      <c r="P41" s="3">
        <f t="shared" si="12"/>
        <v>5.5888980358466265</v>
      </c>
      <c r="Q41">
        <f t="shared" si="13"/>
        <v>20678.922732632516</v>
      </c>
      <c r="R41">
        <f t="shared" si="17"/>
        <v>17954.768162971312</v>
      </c>
      <c r="S41">
        <f t="shared" si="14"/>
        <v>0</v>
      </c>
      <c r="T41">
        <f t="shared" si="15"/>
        <v>2756.024191613591</v>
      </c>
      <c r="U41">
        <f t="shared" si="16"/>
        <v>20877.666703990231</v>
      </c>
    </row>
    <row r="42" spans="1:21" x14ac:dyDescent="0.35">
      <c r="A42" s="1">
        <v>37</v>
      </c>
      <c r="B42" s="1">
        <v>19</v>
      </c>
      <c r="C42" s="2">
        <v>0.52106786817868445</v>
      </c>
      <c r="D42" s="2">
        <f t="shared" si="5"/>
        <v>9.099710504604996</v>
      </c>
      <c r="E42" s="3">
        <f t="shared" si="23"/>
        <v>15.489187531241631</v>
      </c>
      <c r="F42" s="3">
        <f t="shared" si="18"/>
        <v>3.6398842018419986</v>
      </c>
      <c r="G42" s="3">
        <f t="shared" si="7"/>
        <v>6.3601157981580014</v>
      </c>
      <c r="H42" s="3">
        <f t="shared" si="19"/>
        <v>3.0978375062483265</v>
      </c>
      <c r="I42" s="3">
        <f t="shared" si="20"/>
        <v>0</v>
      </c>
      <c r="J42" s="3">
        <f t="shared" si="21"/>
        <v>4.5108124687583686</v>
      </c>
      <c r="K42" s="3">
        <f t="shared" si="8"/>
        <v>0</v>
      </c>
      <c r="L42" s="3">
        <f t="shared" si="9"/>
        <v>4.5108124687583686</v>
      </c>
      <c r="M42" s="3">
        <f t="shared" si="22"/>
        <v>16.902162493751675</v>
      </c>
      <c r="N42" s="4">
        <f t="shared" si="10"/>
        <v>8.5964242118393202</v>
      </c>
      <c r="O42">
        <f t="shared" si="11"/>
        <v>12894.636317758981</v>
      </c>
      <c r="P42" s="3">
        <f t="shared" si="12"/>
        <v>3.0978375062483265</v>
      </c>
      <c r="Q42">
        <f t="shared" si="13"/>
        <v>11461.998773118808</v>
      </c>
      <c r="R42">
        <f t="shared" si="17"/>
        <v>14869.620029991966</v>
      </c>
      <c r="S42">
        <f t="shared" si="14"/>
        <v>4510.8124687583686</v>
      </c>
      <c r="T42">
        <f t="shared" si="15"/>
        <v>0</v>
      </c>
      <c r="U42">
        <f t="shared" si="16"/>
        <v>8926.1700165934235</v>
      </c>
    </row>
    <row r="43" spans="1:21" x14ac:dyDescent="0.35">
      <c r="A43" s="1">
        <v>38</v>
      </c>
      <c r="B43" s="1">
        <v>24</v>
      </c>
      <c r="C43" s="2">
        <v>0.81134558432350601</v>
      </c>
      <c r="D43" s="2">
        <f t="shared" si="5"/>
        <v>4.5277059762358576</v>
      </c>
      <c r="E43" s="3">
        <f t="shared" si="23"/>
        <v>22.570131530012468</v>
      </c>
      <c r="F43" s="3">
        <f t="shared" si="18"/>
        <v>1.8110823904943429</v>
      </c>
      <c r="G43" s="3">
        <f t="shared" si="7"/>
        <v>8.1889176095056566</v>
      </c>
      <c r="H43" s="3">
        <f t="shared" si="19"/>
        <v>4.5140263060024939</v>
      </c>
      <c r="I43" s="3">
        <f t="shared" si="20"/>
        <v>0</v>
      </c>
      <c r="J43" s="3">
        <f t="shared" si="21"/>
        <v>-2.5701315300124676</v>
      </c>
      <c r="K43" s="3">
        <f t="shared" si="8"/>
        <v>2.5701315300124676</v>
      </c>
      <c r="L43" s="3">
        <f t="shared" si="9"/>
        <v>0</v>
      </c>
      <c r="M43" s="3">
        <f t="shared" si="22"/>
        <v>15.485973693997506</v>
      </c>
      <c r="N43" s="4">
        <f t="shared" si="10"/>
        <v>9.0335244800983325</v>
      </c>
      <c r="O43">
        <f t="shared" si="11"/>
        <v>13550.286720147498</v>
      </c>
      <c r="P43" s="3">
        <f t="shared" si="12"/>
        <v>4.5140263060024939</v>
      </c>
      <c r="Q43">
        <f t="shared" si="13"/>
        <v>16701.897332209228</v>
      </c>
      <c r="R43">
        <f t="shared" si="17"/>
        <v>21667.326268811972</v>
      </c>
      <c r="S43">
        <f t="shared" si="14"/>
        <v>0</v>
      </c>
      <c r="T43">
        <f t="shared" si="15"/>
        <v>12850.657650062338</v>
      </c>
      <c r="U43">
        <f t="shared" si="16"/>
        <v>11968.279230811364</v>
      </c>
    </row>
    <row r="44" spans="1:21" x14ac:dyDescent="0.35">
      <c r="A44" s="1">
        <v>39</v>
      </c>
      <c r="B44" s="1">
        <v>29</v>
      </c>
      <c r="C44" s="2">
        <v>0.66833579026220458</v>
      </c>
      <c r="D44" s="2">
        <f t="shared" si="5"/>
        <v>9.6182620823960683</v>
      </c>
      <c r="E44" s="3">
        <f t="shared" si="23"/>
        <v>23.895764223606427</v>
      </c>
      <c r="F44" s="3">
        <f t="shared" si="18"/>
        <v>3.8473048329584274</v>
      </c>
      <c r="G44" s="3">
        <f t="shared" si="7"/>
        <v>6.152695167041573</v>
      </c>
      <c r="H44" s="3">
        <f t="shared" si="19"/>
        <v>4.7791528447212857</v>
      </c>
      <c r="I44" s="3">
        <f t="shared" si="20"/>
        <v>3.7348734612812109</v>
      </c>
      <c r="J44" s="3">
        <f t="shared" si="21"/>
        <v>-3.8957642236064274</v>
      </c>
      <c r="K44" s="3">
        <f t="shared" si="8"/>
        <v>3.8957642236064274</v>
      </c>
      <c r="L44" s="3">
        <f t="shared" si="9"/>
        <v>0</v>
      </c>
      <c r="M44" s="3">
        <f t="shared" si="22"/>
        <v>11.485973693997504</v>
      </c>
      <c r="N44" s="4">
        <f t="shared" si="10"/>
        <v>10</v>
      </c>
      <c r="O44">
        <f t="shared" si="11"/>
        <v>15000</v>
      </c>
      <c r="P44" s="3">
        <f t="shared" si="12"/>
        <v>8.5140263060024957</v>
      </c>
      <c r="Q44">
        <f t="shared" si="13"/>
        <v>31501.897332209235</v>
      </c>
      <c r="R44">
        <f t="shared" si="17"/>
        <v>18458.085501124719</v>
      </c>
      <c r="S44">
        <f t="shared" si="14"/>
        <v>0</v>
      </c>
      <c r="T44">
        <f t="shared" si="15"/>
        <v>19478.821118032138</v>
      </c>
      <c r="U44">
        <f t="shared" si="16"/>
        <v>15481.161715301816</v>
      </c>
    </row>
    <row r="45" spans="1:21" x14ac:dyDescent="0.35">
      <c r="A45" s="1">
        <v>40</v>
      </c>
      <c r="B45" s="1">
        <v>23</v>
      </c>
      <c r="C45" s="2">
        <v>0.57595584082466411</v>
      </c>
      <c r="D45" s="2">
        <f t="shared" si="5"/>
        <v>9.753015661032725</v>
      </c>
      <c r="E45" s="3">
        <f t="shared" si="23"/>
        <v>21.761010644969772</v>
      </c>
      <c r="F45" s="3">
        <f t="shared" si="18"/>
        <v>3.9012062644130898</v>
      </c>
      <c r="G45" s="3">
        <f t="shared" si="7"/>
        <v>6.0987937355869102</v>
      </c>
      <c r="H45" s="3">
        <f t="shared" si="19"/>
        <v>4.3522021289939543</v>
      </c>
      <c r="I45" s="3">
        <f t="shared" si="20"/>
        <v>2.1618241770085422</v>
      </c>
      <c r="J45" s="3">
        <f t="shared" si="21"/>
        <v>-1.7610106449697724</v>
      </c>
      <c r="K45" s="3">
        <f t="shared" si="8"/>
        <v>1.7610106449697724</v>
      </c>
      <c r="L45" s="3">
        <f t="shared" si="9"/>
        <v>0</v>
      </c>
      <c r="M45" s="3">
        <f t="shared" si="22"/>
        <v>13.485973693997504</v>
      </c>
      <c r="N45" s="4">
        <f t="shared" si="10"/>
        <v>10</v>
      </c>
      <c r="O45">
        <f t="shared" si="11"/>
        <v>15000</v>
      </c>
      <c r="P45" s="3">
        <f t="shared" si="12"/>
        <v>6.5140263060024965</v>
      </c>
      <c r="Q45">
        <f t="shared" si="13"/>
        <v>24101.897332209239</v>
      </c>
      <c r="R45">
        <f t="shared" si="17"/>
        <v>18296.381206760732</v>
      </c>
      <c r="S45">
        <f t="shared" si="14"/>
        <v>0</v>
      </c>
      <c r="T45">
        <f t="shared" si="15"/>
        <v>8805.0532248488616</v>
      </c>
      <c r="U45">
        <f t="shared" si="16"/>
        <v>18593.225314121111</v>
      </c>
    </row>
    <row r="46" spans="1:21" x14ac:dyDescent="0.35">
      <c r="A46" s="1">
        <v>41</v>
      </c>
      <c r="B46" s="1">
        <v>24</v>
      </c>
      <c r="C46" s="2">
        <v>0.56151845490491059</v>
      </c>
      <c r="D46" s="2">
        <f t="shared" si="5"/>
        <v>10.523557082282146</v>
      </c>
      <c r="E46" s="3">
        <f t="shared" si="23"/>
        <v>19.990469223720353</v>
      </c>
      <c r="F46" s="3">
        <f t="shared" si="18"/>
        <v>4.2094228329128587</v>
      </c>
      <c r="G46" s="3">
        <f t="shared" si="7"/>
        <v>5.7905771670871413</v>
      </c>
      <c r="H46" s="3">
        <f t="shared" si="19"/>
        <v>3.998093844744071</v>
      </c>
      <c r="I46" s="3">
        <f t="shared" si="20"/>
        <v>1.5159324612584282</v>
      </c>
      <c r="J46" s="3">
        <f t="shared" si="21"/>
        <v>9.5307762796466022E-3</v>
      </c>
      <c r="K46" s="3">
        <f t="shared" si="8"/>
        <v>0</v>
      </c>
      <c r="L46" s="3">
        <f t="shared" si="9"/>
        <v>9.5307762796466022E-3</v>
      </c>
      <c r="M46" s="3">
        <f t="shared" si="22"/>
        <v>14.485973693997501</v>
      </c>
      <c r="N46" s="4">
        <f t="shared" si="10"/>
        <v>10</v>
      </c>
      <c r="O46">
        <f t="shared" si="11"/>
        <v>15000</v>
      </c>
      <c r="P46" s="3">
        <f t="shared" si="12"/>
        <v>5.5140263060024992</v>
      </c>
      <c r="Q46">
        <f t="shared" si="13"/>
        <v>20401.897332209246</v>
      </c>
      <c r="R46">
        <f t="shared" si="17"/>
        <v>17371.731501261424</v>
      </c>
      <c r="S46">
        <f t="shared" si="14"/>
        <v>9.5307762796466022</v>
      </c>
      <c r="T46">
        <f t="shared" si="15"/>
        <v>0</v>
      </c>
      <c r="U46">
        <f t="shared" si="16"/>
        <v>22764.098057191022</v>
      </c>
    </row>
    <row r="47" spans="1:21" x14ac:dyDescent="0.35">
      <c r="A47" s="1">
        <v>42</v>
      </c>
      <c r="B47" s="1">
        <v>23</v>
      </c>
      <c r="C47" s="2">
        <v>0.63957817350648372</v>
      </c>
      <c r="D47" s="2">
        <f t="shared" si="5"/>
        <v>8.289702009350874</v>
      </c>
      <c r="E47" s="3">
        <f t="shared" si="23"/>
        <v>20.224324296651623</v>
      </c>
      <c r="F47" s="3">
        <f t="shared" si="18"/>
        <v>3.3158808037403498</v>
      </c>
      <c r="G47" s="3">
        <f t="shared" si="7"/>
        <v>6.6841191962596502</v>
      </c>
      <c r="H47" s="3">
        <f t="shared" si="19"/>
        <v>4.0448648593303247</v>
      </c>
      <c r="I47" s="3">
        <f t="shared" si="20"/>
        <v>0</v>
      </c>
      <c r="J47" s="3">
        <f t="shared" si="21"/>
        <v>-0.22432429665162346</v>
      </c>
      <c r="K47" s="3">
        <f t="shared" si="8"/>
        <v>0.22432429665162346</v>
      </c>
      <c r="L47" s="3">
        <f t="shared" si="9"/>
        <v>0</v>
      </c>
      <c r="M47" s="3">
        <f t="shared" si="22"/>
        <v>15.955135140669675</v>
      </c>
      <c r="N47" s="4">
        <f t="shared" si="10"/>
        <v>9.7876645786688705</v>
      </c>
      <c r="O47">
        <f t="shared" si="11"/>
        <v>14681.496868003305</v>
      </c>
      <c r="P47" s="3">
        <f t="shared" si="12"/>
        <v>4.0448648593303247</v>
      </c>
      <c r="Q47">
        <f t="shared" si="13"/>
        <v>14965.999979522201</v>
      </c>
      <c r="R47">
        <f t="shared" si="17"/>
        <v>19415.351324785559</v>
      </c>
      <c r="S47">
        <f t="shared" si="14"/>
        <v>0</v>
      </c>
      <c r="T47">
        <f t="shared" si="15"/>
        <v>1121.6214832581172</v>
      </c>
      <c r="U47">
        <f t="shared" si="16"/>
        <v>18578.232953046339</v>
      </c>
    </row>
    <row r="48" spans="1:21" x14ac:dyDescent="0.35">
      <c r="A48" s="1">
        <v>43</v>
      </c>
      <c r="B48" s="1">
        <v>27</v>
      </c>
      <c r="C48" s="2">
        <v>0.74604550501854094</v>
      </c>
      <c r="D48" s="2">
        <f t="shared" si="5"/>
        <v>6.8567713644993944</v>
      </c>
      <c r="E48" s="3">
        <f t="shared" si="23"/>
        <v>24.18809349483093</v>
      </c>
      <c r="F48" s="3">
        <f t="shared" si="18"/>
        <v>2.7427085457997578</v>
      </c>
      <c r="G48" s="3">
        <f t="shared" si="7"/>
        <v>7.2572914542002422</v>
      </c>
      <c r="H48" s="3">
        <f t="shared" si="19"/>
        <v>4.8376186989661862</v>
      </c>
      <c r="I48" s="3">
        <f t="shared" si="20"/>
        <v>1.2072461603641393</v>
      </c>
      <c r="J48" s="3">
        <f t="shared" si="21"/>
        <v>-4.1880934948309303</v>
      </c>
      <c r="K48" s="3">
        <f t="shared" si="8"/>
        <v>4.1880934948309303</v>
      </c>
      <c r="L48" s="3">
        <f t="shared" si="9"/>
        <v>0</v>
      </c>
      <c r="M48" s="3">
        <f t="shared" si="22"/>
        <v>13.955135140669675</v>
      </c>
      <c r="N48" s="4">
        <f t="shared" si="10"/>
        <v>10</v>
      </c>
      <c r="O48">
        <f t="shared" si="11"/>
        <v>15000</v>
      </c>
      <c r="P48" s="3">
        <f t="shared" si="12"/>
        <v>6.0448648593303256</v>
      </c>
      <c r="Q48">
        <f t="shared" si="13"/>
        <v>22365.999979522203</v>
      </c>
      <c r="R48">
        <f t="shared" si="17"/>
        <v>21771.874362600727</v>
      </c>
      <c r="S48">
        <f t="shared" si="14"/>
        <v>0</v>
      </c>
      <c r="T48">
        <f t="shared" si="15"/>
        <v>20940.467474154651</v>
      </c>
      <c r="U48">
        <f t="shared" si="16"/>
        <v>8197.4068679682787</v>
      </c>
    </row>
    <row r="49" spans="1:21" x14ac:dyDescent="0.35">
      <c r="A49" s="1">
        <v>44</v>
      </c>
      <c r="B49" s="1">
        <v>24</v>
      </c>
      <c r="C49" s="2">
        <v>0.59429186197615891</v>
      </c>
      <c r="D49" s="2">
        <f t="shared" si="5"/>
        <v>9.7369953125721871</v>
      </c>
      <c r="E49" s="3">
        <f t="shared" si="23"/>
        <v>20.307869546758138</v>
      </c>
      <c r="F49" s="3">
        <f t="shared" si="18"/>
        <v>3.894798125028875</v>
      </c>
      <c r="G49" s="3">
        <f t="shared" si="7"/>
        <v>6.105201874971125</v>
      </c>
      <c r="H49" s="3">
        <f t="shared" si="19"/>
        <v>4.0615739093516279</v>
      </c>
      <c r="I49" s="3">
        <f t="shared" si="20"/>
        <v>0.98329094997869859</v>
      </c>
      <c r="J49" s="3">
        <f t="shared" si="21"/>
        <v>-0.3078695467581376</v>
      </c>
      <c r="K49" s="3">
        <f t="shared" si="8"/>
        <v>0.3078695467581376</v>
      </c>
      <c r="L49" s="3">
        <f t="shared" si="9"/>
        <v>0</v>
      </c>
      <c r="M49" s="3">
        <f t="shared" si="22"/>
        <v>14.955135140669674</v>
      </c>
      <c r="N49" s="4">
        <f t="shared" si="10"/>
        <v>10</v>
      </c>
      <c r="O49">
        <f t="shared" si="11"/>
        <v>15000</v>
      </c>
      <c r="P49" s="3">
        <f t="shared" si="12"/>
        <v>5.0448648593303265</v>
      </c>
      <c r="Q49">
        <f t="shared" si="13"/>
        <v>18665.999979522207</v>
      </c>
      <c r="R49">
        <f t="shared" si="17"/>
        <v>18315.605624913373</v>
      </c>
      <c r="S49">
        <f t="shared" si="14"/>
        <v>0</v>
      </c>
      <c r="T49">
        <f t="shared" si="15"/>
        <v>1539.3477337906879</v>
      </c>
      <c r="U49">
        <f t="shared" si="16"/>
        <v>20442.257870644891</v>
      </c>
    </row>
    <row r="50" spans="1:21" x14ac:dyDescent="0.35">
      <c r="A50" s="1">
        <v>45</v>
      </c>
      <c r="B50" s="1">
        <v>28</v>
      </c>
      <c r="C50" s="2">
        <v>0.63120487371005907</v>
      </c>
      <c r="D50" s="2">
        <f t="shared" si="5"/>
        <v>10.326263536118347</v>
      </c>
      <c r="E50" s="3">
        <f t="shared" si="23"/>
        <v>22.718601323211981</v>
      </c>
      <c r="F50" s="3">
        <f t="shared" si="18"/>
        <v>4.130505414447339</v>
      </c>
      <c r="G50" s="3">
        <f t="shared" si="7"/>
        <v>5.869494585552661</v>
      </c>
      <c r="H50" s="3">
        <f t="shared" si="19"/>
        <v>4.5437202646423964</v>
      </c>
      <c r="I50" s="3">
        <f t="shared" si="20"/>
        <v>3.5011445946879327</v>
      </c>
      <c r="J50" s="3">
        <f t="shared" si="21"/>
        <v>-2.7186013232119812</v>
      </c>
      <c r="K50" s="3">
        <f t="shared" si="8"/>
        <v>2.7186013232119812</v>
      </c>
      <c r="L50" s="3">
        <f t="shared" si="9"/>
        <v>0</v>
      </c>
      <c r="M50" s="3">
        <f t="shared" si="22"/>
        <v>11.955135140669672</v>
      </c>
      <c r="N50" s="4">
        <f t="shared" si="10"/>
        <v>10</v>
      </c>
      <c r="O50">
        <f t="shared" si="11"/>
        <v>15000</v>
      </c>
      <c r="P50" s="3">
        <f t="shared" si="12"/>
        <v>8.0448648593303282</v>
      </c>
      <c r="Q50">
        <f t="shared" si="13"/>
        <v>29765.999979522214</v>
      </c>
      <c r="R50">
        <f t="shared" si="17"/>
        <v>17608.483756657984</v>
      </c>
      <c r="S50">
        <f t="shared" si="14"/>
        <v>0</v>
      </c>
      <c r="T50">
        <f t="shared" si="15"/>
        <v>13593.006616059905</v>
      </c>
      <c r="U50">
        <f t="shared" si="16"/>
        <v>18781.477120120293</v>
      </c>
    </row>
    <row r="51" spans="1:21" x14ac:dyDescent="0.35">
      <c r="A51" s="1">
        <v>46</v>
      </c>
      <c r="B51" s="1">
        <v>25</v>
      </c>
      <c r="C51" s="2">
        <v>0.74500017953722975</v>
      </c>
      <c r="D51" s="2">
        <f t="shared" si="5"/>
        <v>6.3749955115692565</v>
      </c>
      <c r="E51" s="3">
        <f t="shared" si="23"/>
        <v>26.669869347761072</v>
      </c>
      <c r="F51" s="3">
        <f t="shared" si="18"/>
        <v>2.5499982046277028</v>
      </c>
      <c r="G51" s="3">
        <f t="shared" si="7"/>
        <v>7.4500017953722972</v>
      </c>
      <c r="H51" s="3">
        <f t="shared" si="19"/>
        <v>5.3339738695522145</v>
      </c>
      <c r="I51" s="3">
        <f t="shared" si="20"/>
        <v>2.7108909897781146</v>
      </c>
      <c r="J51" s="3">
        <f t="shared" si="21"/>
        <v>-6.6698693477610718</v>
      </c>
      <c r="K51" s="3">
        <f t="shared" si="8"/>
        <v>6.6698693477610718</v>
      </c>
      <c r="L51" s="3">
        <f t="shared" si="9"/>
        <v>0</v>
      </c>
      <c r="M51" s="3">
        <f t="shared" si="22"/>
        <v>11.955135140669672</v>
      </c>
      <c r="N51" s="4">
        <f t="shared" si="10"/>
        <v>10</v>
      </c>
      <c r="O51">
        <f t="shared" si="11"/>
        <v>15000</v>
      </c>
      <c r="P51" s="3">
        <f t="shared" si="12"/>
        <v>8.0448648593303282</v>
      </c>
      <c r="Q51">
        <f t="shared" si="13"/>
        <v>29765.999979522214</v>
      </c>
      <c r="R51">
        <f t="shared" si="17"/>
        <v>22350.005386116893</v>
      </c>
      <c r="S51">
        <f t="shared" si="14"/>
        <v>0</v>
      </c>
      <c r="T51">
        <f t="shared" si="15"/>
        <v>33349.346738805361</v>
      </c>
      <c r="U51">
        <f t="shared" si="16"/>
        <v>3766.6586268337487</v>
      </c>
    </row>
    <row r="52" spans="1:21" x14ac:dyDescent="0.35">
      <c r="A52" s="1">
        <v>47</v>
      </c>
      <c r="B52" s="1">
        <v>29</v>
      </c>
      <c r="C52" s="2">
        <v>0.59971965164532925</v>
      </c>
      <c r="D52" s="2">
        <f t="shared" si="5"/>
        <v>11.60813010228545</v>
      </c>
      <c r="E52" s="3">
        <f t="shared" si="23"/>
        <v>25.436734757044878</v>
      </c>
      <c r="F52" s="3">
        <f t="shared" si="18"/>
        <v>4.64325204091418</v>
      </c>
      <c r="G52" s="3">
        <f t="shared" si="7"/>
        <v>5.35674795908582</v>
      </c>
      <c r="H52" s="3">
        <f t="shared" si="19"/>
        <v>5.0873469514089757</v>
      </c>
      <c r="I52" s="3">
        <f t="shared" si="20"/>
        <v>6.9575179079213534</v>
      </c>
      <c r="J52" s="3">
        <f t="shared" si="21"/>
        <v>-5.4367347570448779</v>
      </c>
      <c r="K52" s="3">
        <f t="shared" si="8"/>
        <v>5.4367347570448779</v>
      </c>
      <c r="L52" s="3">
        <f t="shared" si="9"/>
        <v>0</v>
      </c>
      <c r="M52" s="3">
        <f t="shared" si="22"/>
        <v>7.9551351406696718</v>
      </c>
      <c r="N52" s="4">
        <f t="shared" si="10"/>
        <v>10</v>
      </c>
      <c r="O52">
        <f t="shared" si="11"/>
        <v>15000</v>
      </c>
      <c r="P52" s="3">
        <f t="shared" si="12"/>
        <v>12.044864859330328</v>
      </c>
      <c r="Q52">
        <f t="shared" si="13"/>
        <v>44565.999979522217</v>
      </c>
      <c r="R52">
        <f t="shared" si="17"/>
        <v>16070.243877257459</v>
      </c>
      <c r="S52">
        <f>($L52*1000)</f>
        <v>0</v>
      </c>
      <c r="T52">
        <f t="shared" si="15"/>
        <v>27183.67378522439</v>
      </c>
      <c r="U52">
        <f t="shared" si="16"/>
        <v>18452.570071555288</v>
      </c>
    </row>
    <row r="53" spans="1:21" x14ac:dyDescent="0.35">
      <c r="A53" s="1">
        <v>48</v>
      </c>
      <c r="B53" s="1">
        <v>25</v>
      </c>
      <c r="C53" s="2">
        <v>0.61827245096830108</v>
      </c>
      <c r="D53" s="2">
        <f t="shared" si="5"/>
        <v>9.5431887257924721</v>
      </c>
      <c r="E53" s="3">
        <f t="shared" si="23"/>
        <v>27.501676133537856</v>
      </c>
      <c r="F53" s="3">
        <f t="shared" si="18"/>
        <v>3.8172754903169888</v>
      </c>
      <c r="G53" s="3">
        <f t="shared" si="7"/>
        <v>6.1827245096830108</v>
      </c>
      <c r="H53" s="3">
        <f t="shared" si="19"/>
        <v>5.5003352267075716</v>
      </c>
      <c r="I53" s="3">
        <f t="shared" si="20"/>
        <v>6.5445296326227584</v>
      </c>
      <c r="J53" s="3">
        <f t="shared" si="21"/>
        <v>-7.5016761335378561</v>
      </c>
      <c r="K53" s="3">
        <f t="shared" si="8"/>
        <v>7.5016761335378561</v>
      </c>
      <c r="L53" s="3">
        <f t="shared" si="9"/>
        <v>0</v>
      </c>
      <c r="M53" s="3">
        <f t="shared" si="22"/>
        <v>7.95513514066967</v>
      </c>
      <c r="N53" s="4">
        <f t="shared" si="10"/>
        <v>10</v>
      </c>
      <c r="O53">
        <f t="shared" si="11"/>
        <v>15000</v>
      </c>
      <c r="P53" s="3">
        <f t="shared" si="12"/>
        <v>12.04486485933033</v>
      </c>
      <c r="Q53">
        <f t="shared" si="13"/>
        <v>44565.999979522217</v>
      </c>
      <c r="R53">
        <f t="shared" si="17"/>
        <v>18548.173529049032</v>
      </c>
      <c r="S53">
        <f t="shared" si="14"/>
        <v>0</v>
      </c>
      <c r="T53">
        <f t="shared" si="15"/>
        <v>37508.380667689278</v>
      </c>
      <c r="U53">
        <f t="shared" si="16"/>
        <v>10605.792840881972</v>
      </c>
    </row>
    <row r="54" spans="1:21" x14ac:dyDescent="0.35">
      <c r="A54" s="1">
        <v>49</v>
      </c>
      <c r="B54" s="1">
        <v>33</v>
      </c>
      <c r="C54" s="2">
        <v>0.72536933863101583</v>
      </c>
      <c r="D54" s="2">
        <f t="shared" si="5"/>
        <v>9.0628118251764782</v>
      </c>
      <c r="E54" s="3">
        <f t="shared" si="23"/>
        <v>35.98205303415385</v>
      </c>
      <c r="F54" s="3">
        <f t="shared" si="18"/>
        <v>3.6251247300705911</v>
      </c>
      <c r="G54" s="3">
        <f t="shared" si="7"/>
        <v>6.3748752699294089</v>
      </c>
      <c r="H54" s="3">
        <f t="shared" si="19"/>
        <v>7.1964106068307707</v>
      </c>
      <c r="I54" s="3">
        <f t="shared" si="20"/>
        <v>12.848454252499558</v>
      </c>
      <c r="J54" s="3">
        <f t="shared" si="21"/>
        <v>-15.98205303415385</v>
      </c>
      <c r="K54" s="3">
        <f t="shared" si="8"/>
        <v>15.98205303415385</v>
      </c>
      <c r="L54" s="3">
        <f t="shared" si="9"/>
        <v>0</v>
      </c>
      <c r="M54" s="3">
        <f t="shared" si="22"/>
        <v>-4.4864859330328244E-2</v>
      </c>
      <c r="N54" s="4">
        <f t="shared" si="10"/>
        <v>10</v>
      </c>
      <c r="O54">
        <f t="shared" si="11"/>
        <v>15000</v>
      </c>
      <c r="P54" s="3">
        <f t="shared" si="12"/>
        <v>20.044864859330328</v>
      </c>
      <c r="Q54">
        <f t="shared" si="13"/>
        <v>74165.99997952221</v>
      </c>
      <c r="R54">
        <f t="shared" si="17"/>
        <v>19124.625809788227</v>
      </c>
      <c r="S54">
        <f t="shared" si="14"/>
        <v>0</v>
      </c>
      <c r="T54">
        <f t="shared" si="15"/>
        <v>79910.265170769257</v>
      </c>
      <c r="U54">
        <f t="shared" si="16"/>
        <v>-1619.6393814588228</v>
      </c>
    </row>
    <row r="55" spans="1:21" x14ac:dyDescent="0.35">
      <c r="A55" s="1">
        <v>50</v>
      </c>
      <c r="B55" s="1">
        <v>24</v>
      </c>
      <c r="C55" s="2">
        <v>0.70786437434336025</v>
      </c>
      <c r="D55" s="2">
        <f t="shared" si="5"/>
        <v>7.0112550157593532</v>
      </c>
      <c r="E55" s="3">
        <f t="shared" si="23"/>
        <v>37.033609843570972</v>
      </c>
      <c r="F55" s="3">
        <f t="shared" si="18"/>
        <v>2.8045020063037414</v>
      </c>
      <c r="G55" s="3">
        <f t="shared" si="7"/>
        <v>7.1954979936962591</v>
      </c>
      <c r="H55" s="3">
        <f t="shared" si="19"/>
        <v>7.4067219687141943</v>
      </c>
      <c r="I55" s="3">
        <f t="shared" si="20"/>
        <v>11.63814289061613</v>
      </c>
      <c r="J55" s="3">
        <f t="shared" si="21"/>
        <v>-17.033609843570972</v>
      </c>
      <c r="K55" s="3">
        <f t="shared" si="8"/>
        <v>17.033609843570972</v>
      </c>
      <c r="L55" s="3">
        <f t="shared" si="9"/>
        <v>0</v>
      </c>
      <c r="M55" s="3">
        <f t="shared" si="22"/>
        <v>0.95513514066967531</v>
      </c>
      <c r="N55" s="4">
        <f t="shared" si="10"/>
        <v>10</v>
      </c>
      <c r="O55">
        <f t="shared" si="11"/>
        <v>15000</v>
      </c>
      <c r="P55" s="3">
        <f t="shared" si="12"/>
        <v>19.044864859330325</v>
      </c>
      <c r="Q55">
        <f t="shared" si="13"/>
        <v>70465.999979522196</v>
      </c>
      <c r="R55">
        <f t="shared" si="17"/>
        <v>21586.493981088777</v>
      </c>
      <c r="S55">
        <f t="shared" si="14"/>
        <v>0</v>
      </c>
      <c r="T55">
        <f t="shared" si="15"/>
        <v>85168.049217854859</v>
      </c>
      <c r="U55">
        <f t="shared" si="16"/>
        <v>-8115.5552572438901</v>
      </c>
    </row>
    <row r="56" spans="1:21" x14ac:dyDescent="0.35">
      <c r="A56" s="1">
        <v>51</v>
      </c>
      <c r="B56" s="1">
        <v>29</v>
      </c>
      <c r="C56" s="2">
        <v>0.65024028262986633</v>
      </c>
      <c r="D56" s="2">
        <f t="shared" si="5"/>
        <v>10.143031803733876</v>
      </c>
      <c r="E56" s="3">
        <f t="shared" si="23"/>
        <v>37.901833055596448</v>
      </c>
      <c r="F56" s="3">
        <f t="shared" si="18"/>
        <v>4.0572127214935509</v>
      </c>
      <c r="G56" s="3">
        <f t="shared" si="7"/>
        <v>5.9427872785064491</v>
      </c>
      <c r="H56" s="3">
        <f t="shared" si="19"/>
        <v>7.58036661111929</v>
      </c>
      <c r="I56" s="3">
        <f t="shared" si="20"/>
        <v>15.464498248211036</v>
      </c>
      <c r="J56" s="3">
        <f t="shared" si="21"/>
        <v>-17.901833055596448</v>
      </c>
      <c r="K56" s="3">
        <f t="shared" si="8"/>
        <v>17.901833055596448</v>
      </c>
      <c r="L56" s="3">
        <f t="shared" si="9"/>
        <v>0</v>
      </c>
      <c r="M56" s="3">
        <f t="shared" si="22"/>
        <v>-3.0448648593303247</v>
      </c>
      <c r="N56" s="4">
        <f t="shared" si="10"/>
        <v>10</v>
      </c>
      <c r="O56">
        <f t="shared" si="11"/>
        <v>15000</v>
      </c>
      <c r="P56" s="3">
        <f t="shared" si="12"/>
        <v>23.044864859330325</v>
      </c>
      <c r="Q56">
        <f t="shared" si="13"/>
        <v>85265.999979522196</v>
      </c>
      <c r="R56">
        <f t="shared" si="17"/>
        <v>17828.361835519347</v>
      </c>
      <c r="S56">
        <f t="shared" si="14"/>
        <v>0</v>
      </c>
      <c r="T56">
        <f t="shared" si="15"/>
        <v>89509.165277982247</v>
      </c>
      <c r="U56">
        <f t="shared" si="16"/>
        <v>-1414.8034629407048</v>
      </c>
    </row>
    <row r="57" spans="1:21" x14ac:dyDescent="0.35">
      <c r="A57" s="1">
        <v>52</v>
      </c>
      <c r="B57" s="1">
        <v>25</v>
      </c>
      <c r="C57" s="2">
        <v>0.82966891071364079</v>
      </c>
      <c r="D57" s="2">
        <f t="shared" si="5"/>
        <v>4.2582772321589815</v>
      </c>
      <c r="E57" s="3">
        <f t="shared" si="23"/>
        <v>43.786587627171343</v>
      </c>
      <c r="F57" s="3">
        <f t="shared" si="18"/>
        <v>1.7033108928635925</v>
      </c>
      <c r="G57" s="3">
        <f t="shared" si="7"/>
        <v>8.2966891071364071</v>
      </c>
      <c r="H57" s="3">
        <f t="shared" si="19"/>
        <v>8.757317525434269</v>
      </c>
      <c r="I57" s="3">
        <f t="shared" si="20"/>
        <v>14.287547333896057</v>
      </c>
      <c r="J57" s="3">
        <f t="shared" si="21"/>
        <v>-23.786587627171343</v>
      </c>
      <c r="K57" s="3">
        <f t="shared" si="8"/>
        <v>23.786587627171343</v>
      </c>
      <c r="L57" s="3">
        <f t="shared" si="9"/>
        <v>0</v>
      </c>
      <c r="M57" s="3">
        <f t="shared" si="22"/>
        <v>-3.0448648593303247</v>
      </c>
      <c r="N57" s="4">
        <f t="shared" si="10"/>
        <v>10</v>
      </c>
      <c r="O57">
        <f t="shared" si="11"/>
        <v>15000</v>
      </c>
      <c r="P57" s="3">
        <f t="shared" si="12"/>
        <v>23.044864859330325</v>
      </c>
      <c r="Q57">
        <f t="shared" si="13"/>
        <v>85265.999979522196</v>
      </c>
      <c r="R57">
        <f t="shared" si="17"/>
        <v>24890.067321409224</v>
      </c>
      <c r="S57">
        <f t="shared" si="14"/>
        <v>0</v>
      </c>
      <c r="T57">
        <f t="shared" si="15"/>
        <v>118932.93813585672</v>
      </c>
      <c r="U57">
        <f t="shared" si="16"/>
        <v>-23776.870834925299</v>
      </c>
    </row>
    <row r="58" spans="1:21" x14ac:dyDescent="0.35">
      <c r="A58" s="1">
        <v>53</v>
      </c>
      <c r="B58" s="1">
        <v>25</v>
      </c>
      <c r="C58" s="2">
        <v>0.64578637040650078</v>
      </c>
      <c r="D58" s="2">
        <f t="shared" si="5"/>
        <v>8.8553407398374802</v>
      </c>
      <c r="E58" s="3">
        <f t="shared" si="23"/>
        <v>39.189524119492845</v>
      </c>
      <c r="F58" s="3">
        <f t="shared" si="18"/>
        <v>3.5421362959349922</v>
      </c>
      <c r="G58" s="3">
        <f t="shared" si="7"/>
        <v>6.4578637040650078</v>
      </c>
      <c r="H58" s="3">
        <f t="shared" si="19"/>
        <v>7.8379048238985689</v>
      </c>
      <c r="I58" s="3">
        <f t="shared" si="20"/>
        <v>15.206960035431756</v>
      </c>
      <c r="J58" s="3">
        <f t="shared" si="21"/>
        <v>-19.189524119492845</v>
      </c>
      <c r="K58" s="3">
        <f t="shared" si="8"/>
        <v>19.189524119492845</v>
      </c>
      <c r="L58" s="3">
        <f t="shared" si="9"/>
        <v>0</v>
      </c>
      <c r="M58" s="3">
        <f t="shared" si="22"/>
        <v>-3.0448648593303247</v>
      </c>
      <c r="N58" s="4">
        <f t="shared" si="10"/>
        <v>10</v>
      </c>
      <c r="O58">
        <f t="shared" si="11"/>
        <v>15000</v>
      </c>
      <c r="P58" s="3">
        <f t="shared" si="12"/>
        <v>23.044864859330325</v>
      </c>
      <c r="Q58">
        <f t="shared" si="13"/>
        <v>85265.999979522196</v>
      </c>
      <c r="R58">
        <f t="shared" si="17"/>
        <v>19373.591112195023</v>
      </c>
      <c r="S58">
        <f t="shared" si="14"/>
        <v>0</v>
      </c>
      <c r="T58">
        <f t="shared" si="15"/>
        <v>95947.620597464222</v>
      </c>
      <c r="U58">
        <f t="shared" si="16"/>
        <v>-6308.0295057470066</v>
      </c>
    </row>
    <row r="59" spans="1:21" x14ac:dyDescent="0.35">
      <c r="A59" s="1">
        <v>54</v>
      </c>
      <c r="B59" s="1">
        <v>22</v>
      </c>
      <c r="C59" s="2">
        <v>0.73220476867126161</v>
      </c>
      <c r="D59" s="2">
        <f t="shared" si="5"/>
        <v>5.8914950892322437</v>
      </c>
      <c r="E59" s="3">
        <f t="shared" si="23"/>
        <v>39.153369770098081</v>
      </c>
      <c r="F59" s="3">
        <f t="shared" si="18"/>
        <v>2.3565980356928975</v>
      </c>
      <c r="G59" s="3">
        <f t="shared" si="7"/>
        <v>7.6434019643071025</v>
      </c>
      <c r="H59" s="3">
        <f t="shared" si="19"/>
        <v>7.8306739540196162</v>
      </c>
      <c r="I59" s="3">
        <f t="shared" si="20"/>
        <v>12.214190905310709</v>
      </c>
      <c r="J59" s="3">
        <f t="shared" si="21"/>
        <v>-19.153369770098081</v>
      </c>
      <c r="K59" s="3">
        <f t="shared" si="8"/>
        <v>19.153369770098081</v>
      </c>
      <c r="L59" s="3">
        <f t="shared" si="9"/>
        <v>0</v>
      </c>
      <c r="M59" s="3">
        <f t="shared" si="22"/>
        <v>-4.4864859330324691E-2</v>
      </c>
      <c r="N59" s="4">
        <f t="shared" si="10"/>
        <v>10</v>
      </c>
      <c r="O59">
        <f t="shared" si="11"/>
        <v>15000</v>
      </c>
      <c r="P59" s="3">
        <f t="shared" si="12"/>
        <v>20.044864859330325</v>
      </c>
      <c r="Q59">
        <f t="shared" si="13"/>
        <v>74165.999979522196</v>
      </c>
      <c r="R59">
        <f t="shared" si="17"/>
        <v>22930.205892921309</v>
      </c>
      <c r="S59">
        <f t="shared" si="14"/>
        <v>0</v>
      </c>
      <c r="T59">
        <f t="shared" si="15"/>
        <v>95766.848850490409</v>
      </c>
      <c r="U59">
        <f t="shared" si="16"/>
        <v>-13670.642978046904</v>
      </c>
    </row>
    <row r="60" spans="1:21" x14ac:dyDescent="0.35">
      <c r="A60" s="1">
        <v>55</v>
      </c>
      <c r="B60" s="1">
        <v>27</v>
      </c>
      <c r="C60" s="2">
        <v>0.784151839966169</v>
      </c>
      <c r="D60" s="2">
        <f t="shared" si="5"/>
        <v>5.8279003209134359</v>
      </c>
      <c r="E60" s="3">
        <f t="shared" si="23"/>
        <v>41.216964538416889</v>
      </c>
      <c r="F60" s="3">
        <f t="shared" si="18"/>
        <v>2.3311601283653745</v>
      </c>
      <c r="G60" s="3">
        <f t="shared" si="7"/>
        <v>7.668839871634626</v>
      </c>
      <c r="H60" s="3">
        <f t="shared" si="19"/>
        <v>8.2433929076833774</v>
      </c>
      <c r="I60" s="3">
        <f t="shared" si="20"/>
        <v>13.801471951646946</v>
      </c>
      <c r="J60" s="3">
        <f t="shared" si="21"/>
        <v>-21.216964538416889</v>
      </c>
      <c r="K60" s="3">
        <f t="shared" si="8"/>
        <v>21.216964538416889</v>
      </c>
      <c r="L60" s="3">
        <f t="shared" si="9"/>
        <v>0</v>
      </c>
      <c r="M60" s="3">
        <f t="shared" si="22"/>
        <v>-2.0448648593303247</v>
      </c>
      <c r="N60" s="4">
        <f t="shared" si="10"/>
        <v>10</v>
      </c>
      <c r="O60">
        <f t="shared" si="11"/>
        <v>15000</v>
      </c>
      <c r="P60" s="3">
        <f t="shared" si="12"/>
        <v>22.044864859330325</v>
      </c>
      <c r="Q60">
        <f t="shared" si="13"/>
        <v>81565.999979522196</v>
      </c>
      <c r="R60">
        <f t="shared" si="17"/>
        <v>23006.519614903878</v>
      </c>
      <c r="S60">
        <f t="shared" si="14"/>
        <v>0</v>
      </c>
      <c r="T60">
        <f t="shared" si="15"/>
        <v>106084.82269208445</v>
      </c>
      <c r="U60">
        <f t="shared" si="16"/>
        <v>-16512.303097658369</v>
      </c>
    </row>
    <row r="61" spans="1:21" x14ac:dyDescent="0.35">
      <c r="A61" s="1">
        <v>56</v>
      </c>
      <c r="B61" s="1">
        <v>27</v>
      </c>
      <c r="C61" s="2">
        <v>0.65897621484403623</v>
      </c>
      <c r="D61" s="2">
        <f t="shared" si="5"/>
        <v>9.2076421992110227</v>
      </c>
      <c r="E61" s="3">
        <f t="shared" si="23"/>
        <v>39.837222660119302</v>
      </c>
      <c r="F61" s="3">
        <f t="shared" si="18"/>
        <v>3.683056879684409</v>
      </c>
      <c r="G61" s="3">
        <f t="shared" si="7"/>
        <v>6.3169431203155906</v>
      </c>
      <c r="H61" s="3">
        <f t="shared" si="19"/>
        <v>7.9674445320238609</v>
      </c>
      <c r="I61" s="3">
        <f t="shared" si="20"/>
        <v>16.077420327306463</v>
      </c>
      <c r="J61" s="3">
        <f t="shared" si="21"/>
        <v>-19.837222660119302</v>
      </c>
      <c r="K61" s="3">
        <f t="shared" si="8"/>
        <v>19.837222660119302</v>
      </c>
      <c r="L61" s="3">
        <f t="shared" si="9"/>
        <v>0</v>
      </c>
      <c r="M61" s="3">
        <f t="shared" si="22"/>
        <v>-4.0448648593303247</v>
      </c>
      <c r="N61" s="4">
        <f t="shared" si="10"/>
        <v>10</v>
      </c>
      <c r="O61">
        <f t="shared" si="11"/>
        <v>15000</v>
      </c>
      <c r="P61" s="3">
        <f t="shared" si="12"/>
        <v>24.044864859330325</v>
      </c>
      <c r="Q61">
        <f t="shared" si="13"/>
        <v>88965.999979522196</v>
      </c>
      <c r="R61">
        <f t="shared" si="17"/>
        <v>18950.829360946773</v>
      </c>
      <c r="S61">
        <f t="shared" si="14"/>
        <v>0</v>
      </c>
      <c r="T61">
        <f t="shared" si="15"/>
        <v>99186.113300596509</v>
      </c>
      <c r="U61">
        <f t="shared" si="16"/>
        <v>-6269.2839601275336</v>
      </c>
    </row>
    <row r="62" spans="1:21" x14ac:dyDescent="0.35">
      <c r="A62" s="1">
        <v>57</v>
      </c>
      <c r="B62" s="1">
        <v>24</v>
      </c>
      <c r="C62" s="2">
        <v>0.59739374390004596</v>
      </c>
      <c r="D62" s="2">
        <f t="shared" si="5"/>
        <v>9.6625501463988961</v>
      </c>
      <c r="E62" s="3">
        <f t="shared" si="23"/>
        <v>38.382314712931432</v>
      </c>
      <c r="F62" s="3">
        <f t="shared" si="18"/>
        <v>3.8650200585595584</v>
      </c>
      <c r="G62" s="3">
        <f t="shared" si="7"/>
        <v>6.1349799414404416</v>
      </c>
      <c r="H62" s="3">
        <f t="shared" si="19"/>
        <v>7.6764629425862871</v>
      </c>
      <c r="I62" s="3">
        <f t="shared" si="20"/>
        <v>15.368401916744041</v>
      </c>
      <c r="J62" s="3">
        <f t="shared" si="21"/>
        <v>-18.382314712931432</v>
      </c>
      <c r="K62" s="3">
        <f t="shared" si="8"/>
        <v>18.382314712931432</v>
      </c>
      <c r="L62" s="3">
        <f t="shared" si="9"/>
        <v>0</v>
      </c>
      <c r="M62" s="3">
        <f t="shared" si="22"/>
        <v>-3.0448648593303282</v>
      </c>
      <c r="N62" s="4">
        <f t="shared" si="10"/>
        <v>10</v>
      </c>
      <c r="O62">
        <f t="shared" si="11"/>
        <v>15000</v>
      </c>
      <c r="P62" s="3">
        <f t="shared" si="12"/>
        <v>23.044864859330328</v>
      </c>
      <c r="Q62">
        <f t="shared" si="13"/>
        <v>85265.99997952221</v>
      </c>
      <c r="R62">
        <f t="shared" si="17"/>
        <v>18404.939824321325</v>
      </c>
      <c r="S62">
        <f t="shared" si="14"/>
        <v>0</v>
      </c>
      <c r="T62">
        <f t="shared" si="15"/>
        <v>91911.573564657156</v>
      </c>
      <c r="U62">
        <f t="shared" si="16"/>
        <v>-3240.6337608136237</v>
      </c>
    </row>
    <row r="63" spans="1:21" x14ac:dyDescent="0.35">
      <c r="A63" s="1">
        <v>58</v>
      </c>
      <c r="B63" s="1">
        <v>24</v>
      </c>
      <c r="C63" s="2">
        <v>0.54748722183830401</v>
      </c>
      <c r="D63" s="2">
        <f t="shared" si="5"/>
        <v>10.860306675880704</v>
      </c>
      <c r="E63" s="3">
        <f t="shared" si="23"/>
        <v>36.184558183449624</v>
      </c>
      <c r="F63" s="3">
        <f t="shared" si="18"/>
        <v>4.3441226703522817</v>
      </c>
      <c r="G63" s="3">
        <f t="shared" si="7"/>
        <v>5.6558773296477183</v>
      </c>
      <c r="H63" s="3">
        <f t="shared" si="19"/>
        <v>7.2369116366899249</v>
      </c>
      <c r="I63" s="3">
        <f t="shared" si="20"/>
        <v>14.807953222640403</v>
      </c>
      <c r="J63" s="3">
        <f t="shared" si="21"/>
        <v>-16.184558183449624</v>
      </c>
      <c r="K63" s="3">
        <f t="shared" si="8"/>
        <v>16.184558183449624</v>
      </c>
      <c r="L63" s="3">
        <f t="shared" si="9"/>
        <v>0</v>
      </c>
      <c r="M63" s="3">
        <f t="shared" si="22"/>
        <v>-2.0448648593303282</v>
      </c>
      <c r="N63" s="4">
        <f t="shared" si="10"/>
        <v>10</v>
      </c>
      <c r="O63">
        <f t="shared" si="11"/>
        <v>15000</v>
      </c>
      <c r="P63" s="3">
        <f t="shared" si="12"/>
        <v>22.044864859330328</v>
      </c>
      <c r="Q63">
        <f t="shared" si="13"/>
        <v>81565.99997952221</v>
      </c>
      <c r="R63">
        <f t="shared" si="17"/>
        <v>16967.631988943154</v>
      </c>
      <c r="S63">
        <f t="shared" si="14"/>
        <v>0</v>
      </c>
      <c r="T63">
        <f t="shared" si="15"/>
        <v>80922.790917248116</v>
      </c>
      <c r="U63">
        <f t="shared" si="16"/>
        <v>2610.8410512172559</v>
      </c>
    </row>
    <row r="64" spans="1:21" x14ac:dyDescent="0.35">
      <c r="A64" s="1">
        <v>59</v>
      </c>
      <c r="B64" s="1">
        <v>24</v>
      </c>
      <c r="C64" s="2">
        <v>0.67227175258452077</v>
      </c>
      <c r="D64" s="2">
        <f t="shared" si="5"/>
        <v>7.8654779379715016</v>
      </c>
      <c r="E64" s="3">
        <f t="shared" si="23"/>
        <v>38.179386921358827</v>
      </c>
      <c r="F64" s="3">
        <f t="shared" si="18"/>
        <v>3.1461911751886005</v>
      </c>
      <c r="G64" s="3">
        <f t="shared" si="7"/>
        <v>6.8538088248113995</v>
      </c>
      <c r="H64" s="3">
        <f t="shared" si="19"/>
        <v>7.6358773842717653</v>
      </c>
      <c r="I64" s="3">
        <f t="shared" si="20"/>
        <v>13.408987475058563</v>
      </c>
      <c r="J64" s="3">
        <f t="shared" si="21"/>
        <v>-18.179386921358827</v>
      </c>
      <c r="K64" s="3">
        <f t="shared" si="8"/>
        <v>18.179386921358827</v>
      </c>
      <c r="L64" s="3">
        <f t="shared" si="9"/>
        <v>0</v>
      </c>
      <c r="M64" s="3">
        <f t="shared" si="22"/>
        <v>-1.0448648593303282</v>
      </c>
      <c r="N64" s="4">
        <f t="shared" si="10"/>
        <v>10</v>
      </c>
      <c r="O64">
        <f t="shared" si="11"/>
        <v>15000</v>
      </c>
      <c r="P64" s="3">
        <f t="shared" si="12"/>
        <v>21.044864859330328</v>
      </c>
      <c r="Q64">
        <f t="shared" si="13"/>
        <v>77865.99997952221</v>
      </c>
      <c r="R64">
        <f t="shared" si="17"/>
        <v>20561.426474434196</v>
      </c>
      <c r="S64">
        <f t="shared" si="14"/>
        <v>0</v>
      </c>
      <c r="T64">
        <f t="shared" si="15"/>
        <v>90896.934606794137</v>
      </c>
      <c r="U64">
        <f t="shared" si="16"/>
        <v>-7469.5081528377341</v>
      </c>
    </row>
    <row r="65" spans="1:21" x14ac:dyDescent="0.35">
      <c r="A65" s="1">
        <v>60</v>
      </c>
      <c r="B65" s="1">
        <v>27</v>
      </c>
      <c r="C65" s="2">
        <v>0.77727404433191372</v>
      </c>
      <c r="D65" s="2">
        <f t="shared" si="5"/>
        <v>6.0136008030383294</v>
      </c>
      <c r="E65" s="3">
        <f t="shared" si="23"/>
        <v>42.031264056292002</v>
      </c>
      <c r="F65" s="3">
        <f t="shared" si="18"/>
        <v>2.4054403212153317</v>
      </c>
      <c r="G65" s="3">
        <f t="shared" si="7"/>
        <v>7.5945596787846679</v>
      </c>
      <c r="H65" s="3">
        <f t="shared" si="19"/>
        <v>8.4062528112584012</v>
      </c>
      <c r="I65" s="3">
        <f t="shared" si="20"/>
        <v>14.638612048071934</v>
      </c>
      <c r="J65" s="3">
        <f t="shared" si="21"/>
        <v>-22.031264056292002</v>
      </c>
      <c r="K65" s="3">
        <f t="shared" si="8"/>
        <v>22.031264056292002</v>
      </c>
      <c r="L65" s="3">
        <f t="shared" si="9"/>
        <v>0</v>
      </c>
      <c r="M65" s="3">
        <f t="shared" si="22"/>
        <v>-3.0448648593303353</v>
      </c>
      <c r="N65" s="4">
        <f t="shared" si="10"/>
        <v>10</v>
      </c>
      <c r="O65">
        <f t="shared" si="11"/>
        <v>15000</v>
      </c>
      <c r="P65" s="3">
        <f t="shared" si="12"/>
        <v>23.044864859330335</v>
      </c>
      <c r="Q65">
        <f t="shared" si="13"/>
        <v>85265.999979522239</v>
      </c>
      <c r="R65">
        <f t="shared" si="17"/>
        <v>22783.679036354002</v>
      </c>
      <c r="S65">
        <f t="shared" si="14"/>
        <v>0</v>
      </c>
      <c r="T65">
        <f t="shared" si="15"/>
        <v>110156.32028146001</v>
      </c>
      <c r="U65">
        <f t="shared" si="16"/>
        <v>-17106.641265583763</v>
      </c>
    </row>
    <row r="67" spans="1:21" x14ac:dyDescent="0.35">
      <c r="T67" t="s">
        <v>26</v>
      </c>
      <c r="U67">
        <f>SUM(U6:U35)</f>
        <v>486466.20776406839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79831-D72E-4A44-B589-5A67DE610864}">
  <dimension ref="A5:M50"/>
  <sheetViews>
    <sheetView topLeftCell="A2" workbookViewId="0">
      <selection activeCell="A5" sqref="A5:XFD5"/>
    </sheetView>
  </sheetViews>
  <sheetFormatPr defaultRowHeight="14.5" x14ac:dyDescent="0.35"/>
  <cols>
    <col min="1" max="1" width="8.6328125" bestFit="1" customWidth="1"/>
    <col min="2" max="2" width="35.54296875" bestFit="1" customWidth="1"/>
    <col min="3" max="3" width="32.7265625" customWidth="1"/>
    <col min="4" max="4" width="31.453125" bestFit="1" customWidth="1"/>
    <col min="5" max="5" width="27.7265625" bestFit="1" customWidth="1"/>
    <col min="6" max="6" width="35.6328125" bestFit="1" customWidth="1"/>
    <col min="7" max="7" width="17.1796875" bestFit="1" customWidth="1"/>
    <col min="8" max="8" width="41.26953125" bestFit="1" customWidth="1"/>
    <col min="9" max="9" width="31.1796875" bestFit="1" customWidth="1"/>
    <col min="10" max="10" width="28.08984375" bestFit="1" customWidth="1"/>
    <col min="11" max="11" width="14.36328125" bestFit="1" customWidth="1"/>
    <col min="12" max="12" width="23.6328125" customWidth="1"/>
    <col min="13" max="13" width="14.54296875" bestFit="1" customWidth="1"/>
    <col min="14" max="14" width="11.6328125" bestFit="1" customWidth="1"/>
  </cols>
  <sheetData>
    <row r="5" spans="1:13" s="10" customFormat="1" x14ac:dyDescent="0.35">
      <c r="A5" s="9" t="s">
        <v>27</v>
      </c>
      <c r="B5" s="9" t="s">
        <v>28</v>
      </c>
      <c r="C5" s="9" t="s">
        <v>29</v>
      </c>
      <c r="D5" s="9" t="s">
        <v>30</v>
      </c>
      <c r="E5" s="9" t="s">
        <v>31</v>
      </c>
      <c r="F5" s="9" t="s">
        <v>32</v>
      </c>
      <c r="G5" s="9" t="s">
        <v>33</v>
      </c>
      <c r="H5" s="9" t="s">
        <v>34</v>
      </c>
      <c r="I5" s="9" t="s">
        <v>35</v>
      </c>
      <c r="J5" s="9" t="s">
        <v>36</v>
      </c>
      <c r="K5" s="9" t="s">
        <v>37</v>
      </c>
      <c r="L5" s="9" t="s">
        <v>38</v>
      </c>
      <c r="M5" s="9" t="s">
        <v>39</v>
      </c>
    </row>
    <row r="6" spans="1:13" x14ac:dyDescent="0.35">
      <c r="A6" s="1">
        <v>1</v>
      </c>
      <c r="B6" s="1">
        <f ca="1">_xlfn.NORM.INV(RAND(),$B$40,$C$40)*_xlfn.NORM.INV(RAND(),$B$44,$C$44)</f>
        <v>15.840258365585697</v>
      </c>
      <c r="C6" s="1">
        <f>C47</f>
        <v>26</v>
      </c>
      <c r="D6" s="1">
        <f ca="1">IF(B6&gt;C6,C6,B6)</f>
        <v>15.840258365585697</v>
      </c>
      <c r="E6" s="1">
        <f ca="1">IF(B6&gt;C6,B6-C6,0)</f>
        <v>0</v>
      </c>
      <c r="F6" s="1">
        <f ca="1">IF(C6&gt;B6,C6-B6,0)</f>
        <v>10.159741634414303</v>
      </c>
      <c r="G6" s="1">
        <f ca="1">IF(D6&lt;=($C$49*$C$48),D6,($C$49*$C$48))</f>
        <v>15.840258365585697</v>
      </c>
      <c r="H6" s="1">
        <f ca="1">IF(D6&lt;=($C$49*$C$50),0,(D6-($C$49*$C$50)))</f>
        <v>13.840258365585697</v>
      </c>
      <c r="I6" s="1">
        <f ca="1" xml:space="preserve"> MAX(H6,$C$50*D6)</f>
        <v>13.840258365585697</v>
      </c>
      <c r="J6" s="1">
        <f ca="1">(1200*D6)+(2500*I6)</f>
        <v>53608.955952667078</v>
      </c>
      <c r="K6" s="1">
        <f ca="1">E6*5000</f>
        <v>0</v>
      </c>
      <c r="L6" s="1">
        <f ca="1">F6*1000</f>
        <v>10159.741634414302</v>
      </c>
      <c r="M6" s="1">
        <f>$C$49*1500</f>
        <v>15000</v>
      </c>
    </row>
    <row r="7" spans="1:13" x14ac:dyDescent="0.35">
      <c r="A7" s="1">
        <v>2</v>
      </c>
      <c r="B7" s="1">
        <f ca="1">_xlfn.NORM.INV(RAND(),$B$40,$C$40)*_xlfn.NORM.INV(RAND(),$B$44,$C$44)</f>
        <v>14.611934555819662</v>
      </c>
      <c r="C7" s="1">
        <f ca="1" xml:space="preserve"> D6+F6-I6</f>
        <v>12.159741634414303</v>
      </c>
      <c r="D7" s="1">
        <f t="shared" ref="D7:D35" ca="1" si="0">IF(B7&gt;C7,C7,B7)</f>
        <v>12.159741634414303</v>
      </c>
      <c r="E7" s="1">
        <f t="shared" ref="E7:E35" ca="1" si="1">IF(B7&gt;C7,B7-C7,0)</f>
        <v>2.4521929214053593</v>
      </c>
      <c r="F7" s="1">
        <f t="shared" ref="F7:F35" ca="1" si="2">IF(C7&gt;B7,C7-B7,0)</f>
        <v>0</v>
      </c>
      <c r="G7" s="1">
        <f ca="1">IF(D7&lt;=($C$49*$C$48),D7,($C$49*$C$48))</f>
        <v>12.159741634414303</v>
      </c>
      <c r="H7" s="1">
        <f ca="1">IF(D7&lt;=($C$49*$C$50),0,(D7-($C$49*$C$50)))</f>
        <v>10.159741634414303</v>
      </c>
      <c r="I7" s="1">
        <f ca="1" xml:space="preserve"> MAX(H7,$C$50*D7)</f>
        <v>10.159741634414303</v>
      </c>
      <c r="J7" s="1">
        <f t="shared" ref="J7:J35" ca="1" si="3">(1200*D7)+(2500*I7)</f>
        <v>39991.044047332922</v>
      </c>
      <c r="K7" s="1">
        <f t="shared" ref="K7:K35" ca="1" si="4">E7*5000</f>
        <v>12260.964607026797</v>
      </c>
      <c r="L7" s="1">
        <f t="shared" ref="L7:L35" ca="1" si="5">F7*1000</f>
        <v>0</v>
      </c>
      <c r="M7" s="1">
        <f>$C$49*1500</f>
        <v>15000</v>
      </c>
    </row>
    <row r="8" spans="1:13" x14ac:dyDescent="0.35">
      <c r="A8" s="1">
        <v>3</v>
      </c>
      <c r="B8" s="1">
        <f ca="1">_xlfn.NORM.INV(RAND(),$B$40,$C$40)*_xlfn.NORM.INV(RAND(),$B$44,$C$44)</f>
        <v>14.731144429145376</v>
      </c>
      <c r="C8" s="1">
        <f ca="1">D7+F7-I7+I6</f>
        <v>15.840258365585697</v>
      </c>
      <c r="D8" s="1">
        <f t="shared" ca="1" si="0"/>
        <v>14.731144429145376</v>
      </c>
      <c r="E8" s="1">
        <f t="shared" ca="1" si="1"/>
        <v>0</v>
      </c>
      <c r="F8" s="1">
        <f t="shared" ca="1" si="2"/>
        <v>1.1091139364403215</v>
      </c>
      <c r="G8" s="1">
        <f ca="1">IF(D8&lt;=($C$49*$C$48),D8,($C$49*$C$48))</f>
        <v>14.731144429145376</v>
      </c>
      <c r="H8" s="1">
        <f ca="1">IF(D8&lt;=($C$49*$C$50),0,(D8-($C$49*$C$50)))</f>
        <v>12.731144429145376</v>
      </c>
      <c r="I8" s="1">
        <f ca="1" xml:space="preserve"> MAX(H8,$C$50*D8)</f>
        <v>12.731144429145376</v>
      </c>
      <c r="J8" s="1">
        <f t="shared" ca="1" si="3"/>
        <v>49505.234387837889</v>
      </c>
      <c r="K8" s="1">
        <f t="shared" ca="1" si="4"/>
        <v>0</v>
      </c>
      <c r="L8" s="1">
        <f t="shared" ca="1" si="5"/>
        <v>1109.1139364403216</v>
      </c>
      <c r="M8" s="1">
        <f>$C$49*1500</f>
        <v>15000</v>
      </c>
    </row>
    <row r="9" spans="1:13" x14ac:dyDescent="0.35">
      <c r="A9" s="1">
        <v>4</v>
      </c>
      <c r="B9" s="1">
        <f ca="1">_xlfn.NORM.INV(RAND(),$B$40,$C$40)*_xlfn.NORM.INV(RAND(),$B$44,$C$44)</f>
        <v>15.247344476163487</v>
      </c>
      <c r="C9" s="1">
        <f t="shared" ref="C9:C35" ca="1" si="6">D8+F8-I8+I7</f>
        <v>13.268855570854624</v>
      </c>
      <c r="D9" s="1">
        <f t="shared" ca="1" si="0"/>
        <v>13.268855570854624</v>
      </c>
      <c r="E9" s="1">
        <f t="shared" ca="1" si="1"/>
        <v>1.978488905308863</v>
      </c>
      <c r="F9" s="1">
        <f t="shared" ca="1" si="2"/>
        <v>0</v>
      </c>
      <c r="G9" s="1">
        <f ca="1">IF(D9&lt;=($C$49*$C$48),D9,($C$49*$C$48))</f>
        <v>13.268855570854624</v>
      </c>
      <c r="H9" s="1">
        <f ca="1">IF(D9&lt;=($C$49*$C$50),0,(D9-($C$49*$C$50)))</f>
        <v>11.268855570854624</v>
      </c>
      <c r="I9" s="1">
        <f ca="1" xml:space="preserve"> MAX(H9,$C$50*D9)</f>
        <v>11.268855570854624</v>
      </c>
      <c r="J9" s="1">
        <f t="shared" ca="1" si="3"/>
        <v>44094.765612162111</v>
      </c>
      <c r="K9" s="1">
        <f t="shared" ca="1" si="4"/>
        <v>9892.4445265443155</v>
      </c>
      <c r="L9" s="1">
        <f t="shared" ca="1" si="5"/>
        <v>0</v>
      </c>
      <c r="M9" s="1">
        <f>$C$49*1500</f>
        <v>15000</v>
      </c>
    </row>
    <row r="10" spans="1:13" x14ac:dyDescent="0.35">
      <c r="A10" s="1">
        <v>5</v>
      </c>
      <c r="B10" s="1">
        <f ca="1">_xlfn.NORM.INV(RAND(),$B$40,$C$40)*_xlfn.NORM.INV(RAND(),$B$44,$C$44)</f>
        <v>16.221566135633136</v>
      </c>
      <c r="C10" s="1">
        <f t="shared" ca="1" si="6"/>
        <v>14.731144429145376</v>
      </c>
      <c r="D10" s="1">
        <f t="shared" ca="1" si="0"/>
        <v>14.731144429145376</v>
      </c>
      <c r="E10" s="1">
        <f t="shared" ca="1" si="1"/>
        <v>1.4904217064877603</v>
      </c>
      <c r="F10" s="1">
        <f t="shared" ca="1" si="2"/>
        <v>0</v>
      </c>
      <c r="G10" s="1">
        <f ca="1">IF(D10&lt;=($C$49*$C$48),D10,($C$49*$C$48))</f>
        <v>14.731144429145376</v>
      </c>
      <c r="H10" s="1">
        <f ca="1">IF(D10&lt;=($C$49*$C$50),0,(D10-($C$49*$C$50)))</f>
        <v>12.731144429145376</v>
      </c>
      <c r="I10" s="1">
        <f ca="1" xml:space="preserve"> MAX(H10,$C$50*D10)</f>
        <v>12.731144429145376</v>
      </c>
      <c r="J10" s="1">
        <f t="shared" ca="1" si="3"/>
        <v>49505.234387837889</v>
      </c>
      <c r="K10" s="1">
        <f t="shared" ca="1" si="4"/>
        <v>7452.1085324388014</v>
      </c>
      <c r="L10" s="1">
        <f t="shared" ca="1" si="5"/>
        <v>0</v>
      </c>
      <c r="M10" s="1">
        <f>$C$49*1500</f>
        <v>15000</v>
      </c>
    </row>
    <row r="11" spans="1:13" x14ac:dyDescent="0.35">
      <c r="A11" s="1">
        <v>6</v>
      </c>
      <c r="B11" s="1">
        <f ca="1">_xlfn.NORM.INV(RAND(),$B$40,$C$40)*_xlfn.NORM.INV(RAND(),$B$44,$C$44)</f>
        <v>14.63422221099529</v>
      </c>
      <c r="C11" s="1">
        <f t="shared" ca="1" si="6"/>
        <v>13.268855570854624</v>
      </c>
      <c r="D11" s="1">
        <f t="shared" ca="1" si="0"/>
        <v>13.268855570854624</v>
      </c>
      <c r="E11" s="1">
        <f t="shared" ca="1" si="1"/>
        <v>1.3653666401406657</v>
      </c>
      <c r="F11" s="1">
        <f t="shared" ca="1" si="2"/>
        <v>0</v>
      </c>
      <c r="G11" s="1">
        <f ca="1">IF(D11&lt;=($C$49*$C$48),D11,($C$49*$C$48))</f>
        <v>13.268855570854624</v>
      </c>
      <c r="H11" s="1">
        <f ca="1">IF(D11&lt;=($C$49*$C$50),0,(D11-($C$49*$C$50)))</f>
        <v>11.268855570854624</v>
      </c>
      <c r="I11" s="1">
        <f ca="1" xml:space="preserve"> MAX(H11,$C$50*D11)</f>
        <v>11.268855570854624</v>
      </c>
      <c r="J11" s="1">
        <f t="shared" ca="1" si="3"/>
        <v>44094.765612162111</v>
      </c>
      <c r="K11" s="1">
        <f t="shared" ca="1" si="4"/>
        <v>6826.8332007033287</v>
      </c>
      <c r="L11" s="1">
        <f t="shared" ca="1" si="5"/>
        <v>0</v>
      </c>
      <c r="M11" s="1">
        <f>$C$49*1500</f>
        <v>15000</v>
      </c>
    </row>
    <row r="12" spans="1:13" x14ac:dyDescent="0.35">
      <c r="A12" s="1">
        <v>7</v>
      </c>
      <c r="B12" s="1">
        <f ca="1">_xlfn.NORM.INV(RAND(),$B$40,$C$40)*_xlfn.NORM.INV(RAND(),$B$44,$C$44)</f>
        <v>21.571579851063923</v>
      </c>
      <c r="C12" s="1">
        <f t="shared" ca="1" si="6"/>
        <v>14.731144429145376</v>
      </c>
      <c r="D12" s="1">
        <f t="shared" ca="1" si="0"/>
        <v>14.731144429145376</v>
      </c>
      <c r="E12" s="1">
        <f t="shared" ca="1" si="1"/>
        <v>6.8404354219185475</v>
      </c>
      <c r="F12" s="1">
        <f t="shared" ca="1" si="2"/>
        <v>0</v>
      </c>
      <c r="G12" s="1">
        <f ca="1">IF(D12&lt;=($C$49*$C$48),D12,($C$49*$C$48))</f>
        <v>14.731144429145376</v>
      </c>
      <c r="H12" s="1">
        <f ca="1">IF(D12&lt;=($C$49*$C$50),0,(D12-($C$49*$C$50)))</f>
        <v>12.731144429145376</v>
      </c>
      <c r="I12" s="1">
        <f ca="1" xml:space="preserve"> MAX(H12,$C$50*D12)</f>
        <v>12.731144429145376</v>
      </c>
      <c r="J12" s="1">
        <f t="shared" ca="1" si="3"/>
        <v>49505.234387837889</v>
      </c>
      <c r="K12" s="1">
        <f t="shared" ca="1" si="4"/>
        <v>34202.17710959274</v>
      </c>
      <c r="L12" s="1">
        <f t="shared" ca="1" si="5"/>
        <v>0</v>
      </c>
      <c r="M12" s="1">
        <f>$C$49*1500</f>
        <v>15000</v>
      </c>
    </row>
    <row r="13" spans="1:13" x14ac:dyDescent="0.35">
      <c r="A13" s="1">
        <v>8</v>
      </c>
      <c r="B13" s="1">
        <f ca="1">_xlfn.NORM.INV(RAND(),$B$40,$C$40)*_xlfn.NORM.INV(RAND(),$B$44,$C$44)</f>
        <v>17.168646882388575</v>
      </c>
      <c r="C13" s="1">
        <f t="shared" ca="1" si="6"/>
        <v>13.268855570854624</v>
      </c>
      <c r="D13" s="1">
        <f t="shared" ca="1" si="0"/>
        <v>13.268855570854624</v>
      </c>
      <c r="E13" s="1">
        <f t="shared" ca="1" si="1"/>
        <v>3.8997913115339511</v>
      </c>
      <c r="F13" s="1">
        <f t="shared" ca="1" si="2"/>
        <v>0</v>
      </c>
      <c r="G13" s="1">
        <f ca="1">IF(D13&lt;=($C$49*$C$48),D13,($C$49*$C$48))</f>
        <v>13.268855570854624</v>
      </c>
      <c r="H13" s="1">
        <f ca="1">IF(D13&lt;=($C$49*$C$50),0,(D13-($C$49*$C$50)))</f>
        <v>11.268855570854624</v>
      </c>
      <c r="I13" s="1">
        <f ca="1" xml:space="preserve"> MAX(H13,$C$50*D13)</f>
        <v>11.268855570854624</v>
      </c>
      <c r="J13" s="1">
        <f t="shared" ca="1" si="3"/>
        <v>44094.765612162111</v>
      </c>
      <c r="K13" s="1">
        <f t="shared" ca="1" si="4"/>
        <v>19498.956557669757</v>
      </c>
      <c r="L13" s="1">
        <f t="shared" ca="1" si="5"/>
        <v>0</v>
      </c>
      <c r="M13" s="1">
        <f>$C$49*1500</f>
        <v>15000</v>
      </c>
    </row>
    <row r="14" spans="1:13" x14ac:dyDescent="0.35">
      <c r="A14" s="1">
        <v>9</v>
      </c>
      <c r="B14" s="1">
        <f ca="1">_xlfn.NORM.INV(RAND(),$B$40,$C$40)*_xlfn.NORM.INV(RAND(),$B$44,$C$44)</f>
        <v>20.0261947370157</v>
      </c>
      <c r="C14" s="1">
        <f t="shared" ca="1" si="6"/>
        <v>14.731144429145376</v>
      </c>
      <c r="D14" s="1">
        <f t="shared" ca="1" si="0"/>
        <v>14.731144429145376</v>
      </c>
      <c r="E14" s="1">
        <f t="shared" ca="1" si="1"/>
        <v>5.2950503078703246</v>
      </c>
      <c r="F14" s="1">
        <f t="shared" ca="1" si="2"/>
        <v>0</v>
      </c>
      <c r="G14" s="1">
        <f ca="1">IF(D14&lt;=($C$49*$C$48),D14,($C$49*$C$48))</f>
        <v>14.731144429145376</v>
      </c>
      <c r="H14" s="1">
        <f ca="1">IF(D14&lt;=($C$49*$C$50),0,(D14-($C$49*$C$50)))</f>
        <v>12.731144429145376</v>
      </c>
      <c r="I14" s="1">
        <f ca="1" xml:space="preserve"> MAX(H14,$C$50*D14)</f>
        <v>12.731144429145376</v>
      </c>
      <c r="J14" s="1">
        <f t="shared" ca="1" si="3"/>
        <v>49505.234387837889</v>
      </c>
      <c r="K14" s="1">
        <f t="shared" ca="1" si="4"/>
        <v>26475.251539351622</v>
      </c>
      <c r="L14" s="1">
        <f t="shared" ca="1" si="5"/>
        <v>0</v>
      </c>
      <c r="M14" s="1">
        <f>$C$49*1500</f>
        <v>15000</v>
      </c>
    </row>
    <row r="15" spans="1:13" x14ac:dyDescent="0.35">
      <c r="A15" s="1">
        <v>10</v>
      </c>
      <c r="B15" s="1">
        <f ca="1">_xlfn.NORM.INV(RAND(),$B$40,$C$40)*_xlfn.NORM.INV(RAND(),$B$44,$C$44)</f>
        <v>16.233276012425929</v>
      </c>
      <c r="C15" s="1">
        <f t="shared" ca="1" si="6"/>
        <v>13.268855570854624</v>
      </c>
      <c r="D15" s="1">
        <f t="shared" ca="1" si="0"/>
        <v>13.268855570854624</v>
      </c>
      <c r="E15" s="1">
        <f t="shared" ca="1" si="1"/>
        <v>2.9644204415713045</v>
      </c>
      <c r="F15" s="1">
        <f t="shared" ca="1" si="2"/>
        <v>0</v>
      </c>
      <c r="G15" s="1">
        <f ca="1">IF(D15&lt;=($C$49*$C$48),D15,($C$49*$C$48))</f>
        <v>13.268855570854624</v>
      </c>
      <c r="H15" s="1">
        <f ca="1">IF(D15&lt;=($C$49*$C$50),0,(D15-($C$49*$C$50)))</f>
        <v>11.268855570854624</v>
      </c>
      <c r="I15" s="1">
        <f ca="1" xml:space="preserve"> MAX(H15,$C$50*D15)</f>
        <v>11.268855570854624</v>
      </c>
      <c r="J15" s="1">
        <f t="shared" ca="1" si="3"/>
        <v>44094.765612162111</v>
      </c>
      <c r="K15" s="1">
        <f t="shared" ca="1" si="4"/>
        <v>14822.102207856522</v>
      </c>
      <c r="L15" s="1">
        <f t="shared" ca="1" si="5"/>
        <v>0</v>
      </c>
      <c r="M15" s="1">
        <f>$C$49*1500</f>
        <v>15000</v>
      </c>
    </row>
    <row r="16" spans="1:13" x14ac:dyDescent="0.35">
      <c r="A16" s="1">
        <v>11</v>
      </c>
      <c r="B16" s="1">
        <f ca="1">_xlfn.NORM.INV(RAND(),$B$40,$C$40)*_xlfn.NORM.INV(RAND(),$B$44,$C$44)</f>
        <v>22.591775757021114</v>
      </c>
      <c r="C16" s="1">
        <f t="shared" ca="1" si="6"/>
        <v>14.731144429145376</v>
      </c>
      <c r="D16" s="1">
        <f t="shared" ca="1" si="0"/>
        <v>14.731144429145376</v>
      </c>
      <c r="E16" s="1">
        <f t="shared" ca="1" si="1"/>
        <v>7.8606313278757387</v>
      </c>
      <c r="F16" s="1">
        <f t="shared" ca="1" si="2"/>
        <v>0</v>
      </c>
      <c r="G16" s="1">
        <f ca="1">IF(D16&lt;=($C$49*$C$48),D16,($C$49*$C$48))</f>
        <v>14.731144429145376</v>
      </c>
      <c r="H16" s="1">
        <f ca="1">IF(D16&lt;=($C$49*$C$50),0,(D16-($C$49*$C$50)))</f>
        <v>12.731144429145376</v>
      </c>
      <c r="I16" s="1">
        <f ca="1" xml:space="preserve"> MAX(H16,$C$50*D16)</f>
        <v>12.731144429145376</v>
      </c>
      <c r="J16" s="1">
        <f t="shared" ca="1" si="3"/>
        <v>49505.234387837889</v>
      </c>
      <c r="K16" s="1">
        <f t="shared" ca="1" si="4"/>
        <v>39303.156639378692</v>
      </c>
      <c r="L16" s="1">
        <f t="shared" ca="1" si="5"/>
        <v>0</v>
      </c>
      <c r="M16" s="1">
        <f>$C$49*1500</f>
        <v>15000</v>
      </c>
    </row>
    <row r="17" spans="1:13" x14ac:dyDescent="0.35">
      <c r="A17" s="1">
        <v>12</v>
      </c>
      <c r="B17" s="1">
        <f ca="1">_xlfn.NORM.INV(RAND(),$B$40,$C$40)*_xlfn.NORM.INV(RAND(),$B$44,$C$44)</f>
        <v>14.112157104575472</v>
      </c>
      <c r="C17" s="1">
        <f t="shared" ca="1" si="6"/>
        <v>13.268855570854624</v>
      </c>
      <c r="D17" s="1">
        <f t="shared" ca="1" si="0"/>
        <v>13.268855570854624</v>
      </c>
      <c r="E17" s="1">
        <f t="shared" ca="1" si="1"/>
        <v>0.84330153372084737</v>
      </c>
      <c r="F17" s="1">
        <f t="shared" ca="1" si="2"/>
        <v>0</v>
      </c>
      <c r="G17" s="1">
        <f ca="1">IF(D17&lt;=($C$49*$C$48),D17,($C$49*$C$48))</f>
        <v>13.268855570854624</v>
      </c>
      <c r="H17" s="1">
        <f ca="1">IF(D17&lt;=($C$49*$C$50),0,(D17-($C$49*$C$50)))</f>
        <v>11.268855570854624</v>
      </c>
      <c r="I17" s="1">
        <f ca="1" xml:space="preserve"> MAX(H17,$C$50*D17)</f>
        <v>11.268855570854624</v>
      </c>
      <c r="J17" s="1">
        <f t="shared" ca="1" si="3"/>
        <v>44094.765612162111</v>
      </c>
      <c r="K17" s="1">
        <f t="shared" ca="1" si="4"/>
        <v>4216.5076686042366</v>
      </c>
      <c r="L17" s="1">
        <f t="shared" ca="1" si="5"/>
        <v>0</v>
      </c>
      <c r="M17" s="1">
        <f>$C$49*1500</f>
        <v>15000</v>
      </c>
    </row>
    <row r="18" spans="1:13" x14ac:dyDescent="0.35">
      <c r="A18" s="1">
        <v>13</v>
      </c>
      <c r="B18" s="1">
        <f ca="1">_xlfn.NORM.INV(RAND(),$B$40,$C$40)*_xlfn.NORM.INV(RAND(),$B$44,$C$44)</f>
        <v>11.067994080842778</v>
      </c>
      <c r="C18" s="1">
        <f t="shared" ca="1" si="6"/>
        <v>14.731144429145376</v>
      </c>
      <c r="D18" s="1">
        <f t="shared" ca="1" si="0"/>
        <v>11.067994080842778</v>
      </c>
      <c r="E18" s="1">
        <f t="shared" ca="1" si="1"/>
        <v>0</v>
      </c>
      <c r="F18" s="1">
        <f t="shared" ca="1" si="2"/>
        <v>3.6631503483025973</v>
      </c>
      <c r="G18" s="1">
        <f ca="1">IF(D18&lt;=($C$49*$C$48),D18,($C$49*$C$48))</f>
        <v>11.067994080842778</v>
      </c>
      <c r="H18" s="1">
        <f ca="1">IF(D18&lt;=($C$49*$C$50),0,(D18-($C$49*$C$50)))</f>
        <v>9.0679940808427784</v>
      </c>
      <c r="I18" s="1">
        <f ca="1" xml:space="preserve"> MAX(H18,$C$50*D18)</f>
        <v>9.0679940808427784</v>
      </c>
      <c r="J18" s="1">
        <f t="shared" ca="1" si="3"/>
        <v>35951.578099118284</v>
      </c>
      <c r="K18" s="1">
        <f t="shared" ca="1" si="4"/>
        <v>0</v>
      </c>
      <c r="L18" s="1">
        <f t="shared" ca="1" si="5"/>
        <v>3663.1503483025972</v>
      </c>
      <c r="M18" s="1">
        <f>$C$49*1500</f>
        <v>15000</v>
      </c>
    </row>
    <row r="19" spans="1:13" x14ac:dyDescent="0.35">
      <c r="A19" s="1">
        <v>14</v>
      </c>
      <c r="B19" s="1">
        <f ca="1">_xlfn.NORM.INV(RAND(),$B$40,$C$40)*_xlfn.NORM.INV(RAND(),$B$44,$C$44)</f>
        <v>13.710263315007836</v>
      </c>
      <c r="C19" s="1">
        <f t="shared" ca="1" si="6"/>
        <v>16.93200591915722</v>
      </c>
      <c r="D19" s="1">
        <f t="shared" ca="1" si="0"/>
        <v>13.710263315007836</v>
      </c>
      <c r="E19" s="1">
        <f t="shared" ca="1" si="1"/>
        <v>0</v>
      </c>
      <c r="F19" s="1">
        <f t="shared" ca="1" si="2"/>
        <v>3.2217426041493837</v>
      </c>
      <c r="G19" s="1">
        <f ca="1">IF(D19&lt;=($C$49*$C$48),D19,($C$49*$C$48))</f>
        <v>13.710263315007836</v>
      </c>
      <c r="H19" s="1">
        <f ca="1">IF(D19&lt;=($C$49*$C$50),0,(D19-($C$49*$C$50)))</f>
        <v>11.710263315007836</v>
      </c>
      <c r="I19" s="1">
        <f ca="1" xml:space="preserve"> MAX(H19,$C$50*D19)</f>
        <v>11.710263315007836</v>
      </c>
      <c r="J19" s="1">
        <f t="shared" ca="1" si="3"/>
        <v>45727.974265528988</v>
      </c>
      <c r="K19" s="1">
        <f t="shared" ca="1" si="4"/>
        <v>0</v>
      </c>
      <c r="L19" s="1">
        <f t="shared" ca="1" si="5"/>
        <v>3221.7426041493836</v>
      </c>
      <c r="M19" s="1">
        <f>$C$49*1500</f>
        <v>15000</v>
      </c>
    </row>
    <row r="20" spans="1:13" x14ac:dyDescent="0.35">
      <c r="A20" s="1">
        <v>15</v>
      </c>
      <c r="B20" s="1">
        <f ca="1">_xlfn.NORM.INV(RAND(),$B$40,$C$40)*_xlfn.NORM.INV(RAND(),$B$44,$C$44)</f>
        <v>15.57481135147491</v>
      </c>
      <c r="C20" s="1">
        <f t="shared" ca="1" si="6"/>
        <v>14.289736684992162</v>
      </c>
      <c r="D20" s="1">
        <f t="shared" ca="1" si="0"/>
        <v>14.289736684992162</v>
      </c>
      <c r="E20" s="1">
        <f t="shared" ca="1" si="1"/>
        <v>1.2850746664827479</v>
      </c>
      <c r="F20" s="1">
        <f t="shared" ca="1" si="2"/>
        <v>0</v>
      </c>
      <c r="G20" s="1">
        <f ca="1">IF(D20&lt;=($C$49*$C$48),D20,($C$49*$C$48))</f>
        <v>14.289736684992162</v>
      </c>
      <c r="H20" s="1">
        <f ca="1">IF(D20&lt;=($C$49*$C$50),0,(D20-($C$49*$C$50)))</f>
        <v>12.289736684992162</v>
      </c>
      <c r="I20" s="1">
        <f ca="1" xml:space="preserve"> MAX(H20,$C$50*D20)</f>
        <v>12.289736684992162</v>
      </c>
      <c r="J20" s="1">
        <f t="shared" ca="1" si="3"/>
        <v>47872.025734470997</v>
      </c>
      <c r="K20" s="1">
        <f t="shared" ca="1" si="4"/>
        <v>6425.3733324137393</v>
      </c>
      <c r="L20" s="1">
        <f t="shared" ca="1" si="5"/>
        <v>0</v>
      </c>
      <c r="M20" s="1">
        <f>$C$49*1500</f>
        <v>15000</v>
      </c>
    </row>
    <row r="21" spans="1:13" x14ac:dyDescent="0.35">
      <c r="A21" s="1">
        <v>16</v>
      </c>
      <c r="B21" s="1">
        <f ca="1">_xlfn.NORM.INV(RAND(),$B$40,$C$40)*_xlfn.NORM.INV(RAND(),$B$44,$C$44)</f>
        <v>15.383862577610723</v>
      </c>
      <c r="C21" s="1">
        <f t="shared" ca="1" si="6"/>
        <v>13.710263315007836</v>
      </c>
      <c r="D21" s="1">
        <f t="shared" ca="1" si="0"/>
        <v>13.710263315007836</v>
      </c>
      <c r="E21" s="1">
        <f t="shared" ca="1" si="1"/>
        <v>1.6735992626028864</v>
      </c>
      <c r="F21" s="1">
        <f t="shared" ca="1" si="2"/>
        <v>0</v>
      </c>
      <c r="G21" s="1">
        <f ca="1">IF(D21&lt;=($C$49*$C$48),D21,($C$49*$C$48))</f>
        <v>13.710263315007836</v>
      </c>
      <c r="H21" s="1">
        <f ca="1">IF(D21&lt;=($C$49*$C$50),0,(D21-($C$49*$C$50)))</f>
        <v>11.710263315007836</v>
      </c>
      <c r="I21" s="1">
        <f ca="1" xml:space="preserve"> MAX(H21,$C$50*D21)</f>
        <v>11.710263315007836</v>
      </c>
      <c r="J21" s="1">
        <f t="shared" ca="1" si="3"/>
        <v>45727.974265528988</v>
      </c>
      <c r="K21" s="1">
        <f t="shared" ca="1" si="4"/>
        <v>8367.9963130144315</v>
      </c>
      <c r="L21" s="1">
        <f t="shared" ca="1" si="5"/>
        <v>0</v>
      </c>
      <c r="M21" s="1">
        <f>$C$49*1500</f>
        <v>15000</v>
      </c>
    </row>
    <row r="22" spans="1:13" x14ac:dyDescent="0.35">
      <c r="A22" s="1">
        <v>17</v>
      </c>
      <c r="B22" s="1">
        <f ca="1">_xlfn.NORM.INV(RAND(),$B$40,$C$40)*_xlfn.NORM.INV(RAND(),$B$44,$C$44)</f>
        <v>13.890105790218827</v>
      </c>
      <c r="C22" s="1">
        <f t="shared" ca="1" si="6"/>
        <v>14.289736684992162</v>
      </c>
      <c r="D22" s="1">
        <f t="shared" ca="1" si="0"/>
        <v>13.890105790218827</v>
      </c>
      <c r="E22" s="1">
        <f t="shared" ca="1" si="1"/>
        <v>0</v>
      </c>
      <c r="F22" s="1">
        <f t="shared" ca="1" si="2"/>
        <v>0.39963089477333469</v>
      </c>
      <c r="G22" s="1">
        <f ca="1">IF(D22&lt;=($C$49*$C$48),D22,($C$49*$C$48))</f>
        <v>13.890105790218827</v>
      </c>
      <c r="H22" s="1">
        <f ca="1">IF(D22&lt;=($C$49*$C$50),0,(D22-($C$49*$C$50)))</f>
        <v>11.890105790218827</v>
      </c>
      <c r="I22" s="1">
        <f ca="1" xml:space="preserve"> MAX(H22,$C$50*D22)</f>
        <v>11.890105790218827</v>
      </c>
      <c r="J22" s="1">
        <f t="shared" ca="1" si="3"/>
        <v>46393.391423809662</v>
      </c>
      <c r="K22" s="1">
        <f t="shared" ca="1" si="4"/>
        <v>0</v>
      </c>
      <c r="L22" s="1">
        <f t="shared" ca="1" si="5"/>
        <v>399.63089477333472</v>
      </c>
      <c r="M22" s="1">
        <f>$C$49*1500</f>
        <v>15000</v>
      </c>
    </row>
    <row r="23" spans="1:13" x14ac:dyDescent="0.35">
      <c r="A23" s="1">
        <v>18</v>
      </c>
      <c r="B23" s="1">
        <f ca="1">_xlfn.NORM.INV(RAND(),$B$40,$C$40)*_xlfn.NORM.INV(RAND(),$B$44,$C$44)</f>
        <v>18.338628077892796</v>
      </c>
      <c r="C23" s="1">
        <f t="shared" ca="1" si="6"/>
        <v>14.109894209781171</v>
      </c>
      <c r="D23" s="1">
        <f t="shared" ca="1" si="0"/>
        <v>14.109894209781171</v>
      </c>
      <c r="E23" s="1">
        <f t="shared" ca="1" si="1"/>
        <v>4.2287338681116253</v>
      </c>
      <c r="F23" s="1">
        <f t="shared" ca="1" si="2"/>
        <v>0</v>
      </c>
      <c r="G23" s="1">
        <f ca="1">IF(D23&lt;=($C$49*$C$48),D23,($C$49*$C$48))</f>
        <v>14.109894209781171</v>
      </c>
      <c r="H23" s="1">
        <f ca="1">IF(D23&lt;=($C$49*$C$50),0,(D23-($C$49*$C$50)))</f>
        <v>12.109894209781171</v>
      </c>
      <c r="I23" s="1">
        <f ca="1" xml:space="preserve"> MAX(H23,$C$50*D23)</f>
        <v>12.109894209781171</v>
      </c>
      <c r="J23" s="1">
        <f t="shared" ca="1" si="3"/>
        <v>47206.608576190338</v>
      </c>
      <c r="K23" s="1">
        <f t="shared" ca="1" si="4"/>
        <v>21143.669340558128</v>
      </c>
      <c r="L23" s="1">
        <f t="shared" ca="1" si="5"/>
        <v>0</v>
      </c>
      <c r="M23" s="1">
        <f>$C$49*1500</f>
        <v>15000</v>
      </c>
    </row>
    <row r="24" spans="1:13" x14ac:dyDescent="0.35">
      <c r="A24" s="1">
        <v>19</v>
      </c>
      <c r="B24" s="1">
        <f ca="1">_xlfn.NORM.INV(RAND(),$B$40,$C$40)*_xlfn.NORM.INV(RAND(),$B$44,$C$44)</f>
        <v>17.101462420509467</v>
      </c>
      <c r="C24" s="1">
        <f t="shared" ca="1" si="6"/>
        <v>13.890105790218827</v>
      </c>
      <c r="D24" s="1">
        <f t="shared" ca="1" si="0"/>
        <v>13.890105790218827</v>
      </c>
      <c r="E24" s="1">
        <f t="shared" ca="1" si="1"/>
        <v>3.2113566302906396</v>
      </c>
      <c r="F24" s="1">
        <f t="shared" ca="1" si="2"/>
        <v>0</v>
      </c>
      <c r="G24" s="1">
        <f ca="1">IF(D24&lt;=($C$49*$C$48),D24,($C$49*$C$48))</f>
        <v>13.890105790218827</v>
      </c>
      <c r="H24" s="1">
        <f ca="1">IF(D24&lt;=($C$49*$C$50),0,(D24-($C$49*$C$50)))</f>
        <v>11.890105790218827</v>
      </c>
      <c r="I24" s="1">
        <f ca="1" xml:space="preserve"> MAX(H24,$C$50*D24)</f>
        <v>11.890105790218827</v>
      </c>
      <c r="J24" s="1">
        <f t="shared" ca="1" si="3"/>
        <v>46393.391423809662</v>
      </c>
      <c r="K24" s="1">
        <f t="shared" ca="1" si="4"/>
        <v>16056.783151453197</v>
      </c>
      <c r="L24" s="1">
        <f t="shared" ca="1" si="5"/>
        <v>0</v>
      </c>
      <c r="M24" s="1">
        <f>$C$49*1500</f>
        <v>15000</v>
      </c>
    </row>
    <row r="25" spans="1:13" x14ac:dyDescent="0.35">
      <c r="A25" s="1">
        <v>20</v>
      </c>
      <c r="B25" s="1">
        <f ca="1">_xlfn.NORM.INV(RAND(),$B$40,$C$40)*_xlfn.NORM.INV(RAND(),$B$44,$C$44)</f>
        <v>15.75994758241429</v>
      </c>
      <c r="C25" s="1">
        <f t="shared" ca="1" si="6"/>
        <v>14.109894209781171</v>
      </c>
      <c r="D25" s="1">
        <f t="shared" ca="1" si="0"/>
        <v>14.109894209781171</v>
      </c>
      <c r="E25" s="1">
        <f t="shared" ca="1" si="1"/>
        <v>1.6500533726331188</v>
      </c>
      <c r="F25" s="1">
        <f t="shared" ca="1" si="2"/>
        <v>0</v>
      </c>
      <c r="G25" s="1">
        <f ca="1">IF(D25&lt;=($C$49*$C$48),D25,($C$49*$C$48))</f>
        <v>14.109894209781171</v>
      </c>
      <c r="H25" s="1">
        <f ca="1">IF(D25&lt;=($C$49*$C$50),0,(D25-($C$49*$C$50)))</f>
        <v>12.109894209781171</v>
      </c>
      <c r="I25" s="1">
        <f ca="1" xml:space="preserve"> MAX(H25,$C$50*D25)</f>
        <v>12.109894209781171</v>
      </c>
      <c r="J25" s="1">
        <f t="shared" ca="1" si="3"/>
        <v>47206.608576190338</v>
      </c>
      <c r="K25" s="1">
        <f t="shared" ca="1" si="4"/>
        <v>8250.2668631655943</v>
      </c>
      <c r="L25" s="1">
        <f t="shared" ca="1" si="5"/>
        <v>0</v>
      </c>
      <c r="M25" s="1">
        <f>$C$49*1500</f>
        <v>15000</v>
      </c>
    </row>
    <row r="26" spans="1:13" x14ac:dyDescent="0.35">
      <c r="A26" s="1">
        <v>21</v>
      </c>
      <c r="B26" s="1">
        <f ca="1">_xlfn.NORM.INV(RAND(),$B$40,$C$40)*_xlfn.NORM.INV(RAND(),$B$44,$C$44)</f>
        <v>19.51872677583146</v>
      </c>
      <c r="C26" s="1">
        <f t="shared" ca="1" si="6"/>
        <v>13.890105790218827</v>
      </c>
      <c r="D26" s="1">
        <f t="shared" ca="1" si="0"/>
        <v>13.890105790218827</v>
      </c>
      <c r="E26" s="1">
        <f t="shared" ca="1" si="1"/>
        <v>5.628620985612633</v>
      </c>
      <c r="F26" s="1">
        <f t="shared" ca="1" si="2"/>
        <v>0</v>
      </c>
      <c r="G26" s="1">
        <f ca="1">IF(D26&lt;=($C$49*$C$48),D26,($C$49*$C$48))</f>
        <v>13.890105790218827</v>
      </c>
      <c r="H26" s="1">
        <f ca="1">IF(D26&lt;=($C$49*$C$50),0,(D26-($C$49*$C$50)))</f>
        <v>11.890105790218827</v>
      </c>
      <c r="I26" s="1">
        <f ca="1" xml:space="preserve"> MAX(H26,$C$50*D26)</f>
        <v>11.890105790218827</v>
      </c>
      <c r="J26" s="1">
        <f t="shared" ca="1" si="3"/>
        <v>46393.391423809662</v>
      </c>
      <c r="K26" s="1">
        <f t="shared" ca="1" si="4"/>
        <v>28143.104928063167</v>
      </c>
      <c r="L26" s="1">
        <f t="shared" ca="1" si="5"/>
        <v>0</v>
      </c>
      <c r="M26" s="1">
        <f>$C$49*1500</f>
        <v>15000</v>
      </c>
    </row>
    <row r="27" spans="1:13" x14ac:dyDescent="0.35">
      <c r="A27" s="1">
        <v>22</v>
      </c>
      <c r="B27" s="1">
        <f ca="1">_xlfn.NORM.INV(RAND(),$B$40,$C$40)*_xlfn.NORM.INV(RAND(),$B$44,$C$44)</f>
        <v>17.966852682361285</v>
      </c>
      <c r="C27" s="1">
        <f t="shared" ca="1" si="6"/>
        <v>14.109894209781171</v>
      </c>
      <c r="D27" s="1">
        <f t="shared" ca="1" si="0"/>
        <v>14.109894209781171</v>
      </c>
      <c r="E27" s="1">
        <f t="shared" ca="1" si="1"/>
        <v>3.8569584725801143</v>
      </c>
      <c r="F27" s="1">
        <f t="shared" ca="1" si="2"/>
        <v>0</v>
      </c>
      <c r="G27" s="1">
        <f ca="1">IF(D27&lt;=($C$49*$C$48),D27,($C$49*$C$48))</f>
        <v>14.109894209781171</v>
      </c>
      <c r="H27" s="1">
        <f ca="1">IF(D27&lt;=($C$49*$C$50),0,(D27-($C$49*$C$50)))</f>
        <v>12.109894209781171</v>
      </c>
      <c r="I27" s="1">
        <f ca="1" xml:space="preserve"> MAX(H27,$C$50*D27)</f>
        <v>12.109894209781171</v>
      </c>
      <c r="J27" s="1">
        <f t="shared" ca="1" si="3"/>
        <v>47206.608576190338</v>
      </c>
      <c r="K27" s="1">
        <f t="shared" ca="1" si="4"/>
        <v>19284.792362900571</v>
      </c>
      <c r="L27" s="1">
        <f t="shared" ca="1" si="5"/>
        <v>0</v>
      </c>
      <c r="M27" s="1">
        <f>$C$49*1500</f>
        <v>15000</v>
      </c>
    </row>
    <row r="28" spans="1:13" x14ac:dyDescent="0.35">
      <c r="A28" s="1">
        <v>23</v>
      </c>
      <c r="B28" s="1">
        <f ca="1">_xlfn.NORM.INV(RAND(),$B$40,$C$40)*_xlfn.NORM.INV(RAND(),$B$44,$C$44)</f>
        <v>12.252879878489697</v>
      </c>
      <c r="C28" s="1">
        <f t="shared" ca="1" si="6"/>
        <v>13.890105790218827</v>
      </c>
      <c r="D28" s="1">
        <f t="shared" ca="1" si="0"/>
        <v>12.252879878489697</v>
      </c>
      <c r="E28" s="1">
        <f t="shared" ca="1" si="1"/>
        <v>0</v>
      </c>
      <c r="F28" s="1">
        <f t="shared" ca="1" si="2"/>
        <v>1.6372259117291303</v>
      </c>
      <c r="G28" s="1">
        <f ca="1">IF(D28&lt;=($C$49*$C$48),D28,($C$49*$C$48))</f>
        <v>12.252879878489697</v>
      </c>
      <c r="H28" s="1">
        <f ca="1">IF(D28&lt;=($C$49*$C$50),0,(D28-($C$49*$C$50)))</f>
        <v>10.252879878489697</v>
      </c>
      <c r="I28" s="1">
        <f ca="1" xml:space="preserve"> MAX(H28,$C$50*D28)</f>
        <v>10.252879878489697</v>
      </c>
      <c r="J28" s="1">
        <f t="shared" ca="1" si="3"/>
        <v>40335.655550411873</v>
      </c>
      <c r="K28" s="1">
        <f t="shared" ca="1" si="4"/>
        <v>0</v>
      </c>
      <c r="L28" s="1">
        <f t="shared" ca="1" si="5"/>
        <v>1637.2259117291303</v>
      </c>
      <c r="M28" s="1">
        <f>$C$49*1500</f>
        <v>15000</v>
      </c>
    </row>
    <row r="29" spans="1:13" x14ac:dyDescent="0.35">
      <c r="A29" s="1">
        <v>24</v>
      </c>
      <c r="B29" s="1">
        <f ca="1">_xlfn.NORM.INV(RAND(),$B$40,$C$40)*_xlfn.NORM.INV(RAND(),$B$44,$C$44)</f>
        <v>16.548443623051266</v>
      </c>
      <c r="C29" s="1">
        <f t="shared" ca="1" si="6"/>
        <v>15.747120121510301</v>
      </c>
      <c r="D29" s="1">
        <f t="shared" ca="1" si="0"/>
        <v>15.747120121510301</v>
      </c>
      <c r="E29" s="1">
        <f t="shared" ca="1" si="1"/>
        <v>0.80132350154096521</v>
      </c>
      <c r="F29" s="1">
        <f t="shared" ca="1" si="2"/>
        <v>0</v>
      </c>
      <c r="G29" s="1">
        <f ca="1">IF(D29&lt;=($C$49*$C$48),D29,($C$49*$C$48))</f>
        <v>15.747120121510301</v>
      </c>
      <c r="H29" s="1">
        <f ca="1">IF(D29&lt;=($C$49*$C$50),0,(D29-($C$49*$C$50)))</f>
        <v>13.747120121510301</v>
      </c>
      <c r="I29" s="1">
        <f ca="1" xml:space="preserve"> MAX(H29,$C$50*D29)</f>
        <v>13.747120121510301</v>
      </c>
      <c r="J29" s="1">
        <f t="shared" ca="1" si="3"/>
        <v>53264.344449588112</v>
      </c>
      <c r="K29" s="1">
        <f t="shared" ca="1" si="4"/>
        <v>4006.617507704826</v>
      </c>
      <c r="L29" s="1">
        <f t="shared" ca="1" si="5"/>
        <v>0</v>
      </c>
      <c r="M29" s="1">
        <f>$C$49*1500</f>
        <v>15000</v>
      </c>
    </row>
    <row r="30" spans="1:13" x14ac:dyDescent="0.35">
      <c r="A30" s="1">
        <v>25</v>
      </c>
      <c r="B30" s="1">
        <f ca="1">_xlfn.NORM.INV(RAND(),$B$40,$C$40)*_xlfn.NORM.INV(RAND(),$B$44,$C$44)</f>
        <v>15.243430828673278</v>
      </c>
      <c r="C30" s="1">
        <f t="shared" ca="1" si="6"/>
        <v>12.252879878489697</v>
      </c>
      <c r="D30" s="1">
        <f t="shared" ca="1" si="0"/>
        <v>12.252879878489697</v>
      </c>
      <c r="E30" s="1">
        <f t="shared" ca="1" si="1"/>
        <v>2.9905509501835805</v>
      </c>
      <c r="F30" s="1">
        <f t="shared" ca="1" si="2"/>
        <v>0</v>
      </c>
      <c r="G30" s="1">
        <f ca="1">IF(D30&lt;=($C$49*$C$48),D30,($C$49*$C$48))</f>
        <v>12.252879878489697</v>
      </c>
      <c r="H30" s="1">
        <f ca="1">IF(D30&lt;=($C$49*$C$50),0,(D30-($C$49*$C$50)))</f>
        <v>10.252879878489697</v>
      </c>
      <c r="I30" s="1">
        <f ca="1" xml:space="preserve"> MAX(H30,$C$50*D30)</f>
        <v>10.252879878489697</v>
      </c>
      <c r="J30" s="1">
        <f t="shared" ca="1" si="3"/>
        <v>40335.655550411873</v>
      </c>
      <c r="K30" s="1">
        <f t="shared" ca="1" si="4"/>
        <v>14952.754750917902</v>
      </c>
      <c r="L30" s="1">
        <f t="shared" ca="1" si="5"/>
        <v>0</v>
      </c>
      <c r="M30" s="1">
        <f>$C$49*1500</f>
        <v>15000</v>
      </c>
    </row>
    <row r="31" spans="1:13" x14ac:dyDescent="0.35">
      <c r="A31" s="1">
        <v>26</v>
      </c>
      <c r="B31" s="1">
        <f ca="1">_xlfn.NORM.INV(RAND(),$B$40,$C$40)*_xlfn.NORM.INV(RAND(),$B$44,$C$44)</f>
        <v>14.19557581926265</v>
      </c>
      <c r="C31" s="1">
        <f t="shared" ca="1" si="6"/>
        <v>15.747120121510301</v>
      </c>
      <c r="D31" s="1">
        <f t="shared" ca="1" si="0"/>
        <v>14.19557581926265</v>
      </c>
      <c r="E31" s="1">
        <f t="shared" ca="1" si="1"/>
        <v>0</v>
      </c>
      <c r="F31" s="1">
        <f t="shared" ca="1" si="2"/>
        <v>1.5515443022476507</v>
      </c>
      <c r="G31" s="1">
        <f ca="1">IF(D31&lt;=($C$49*$C$48),D31,($C$49*$C$48))</f>
        <v>14.19557581926265</v>
      </c>
      <c r="H31" s="1">
        <f ca="1">IF(D31&lt;=($C$49*$C$50),0,(D31-($C$49*$C$50)))</f>
        <v>12.19557581926265</v>
      </c>
      <c r="I31" s="1">
        <f ca="1" xml:space="preserve"> MAX(H31,$C$50*D31)</f>
        <v>12.19557581926265</v>
      </c>
      <c r="J31" s="1">
        <f t="shared" ca="1" si="3"/>
        <v>47523.630531271803</v>
      </c>
      <c r="K31" s="1">
        <f t="shared" ca="1" si="4"/>
        <v>0</v>
      </c>
      <c r="L31" s="1">
        <f t="shared" ca="1" si="5"/>
        <v>1551.5443022476506</v>
      </c>
      <c r="M31" s="1">
        <f>$C$49*1500</f>
        <v>15000</v>
      </c>
    </row>
    <row r="32" spans="1:13" x14ac:dyDescent="0.35">
      <c r="A32" s="1">
        <v>27</v>
      </c>
      <c r="B32" s="1">
        <f ca="1">_xlfn.NORM.INV(RAND(),$B$40,$C$40)*_xlfn.NORM.INV(RAND(),$B$44,$C$44)</f>
        <v>13.270605258708644</v>
      </c>
      <c r="C32" s="1">
        <f t="shared" ca="1" si="6"/>
        <v>13.804424180737348</v>
      </c>
      <c r="D32" s="1">
        <f t="shared" ca="1" si="0"/>
        <v>13.270605258708644</v>
      </c>
      <c r="E32" s="1">
        <f t="shared" ca="1" si="1"/>
        <v>0</v>
      </c>
      <c r="F32" s="1">
        <f t="shared" ca="1" si="2"/>
        <v>0.53381892202870418</v>
      </c>
      <c r="G32" s="1">
        <f ca="1">IF(D32&lt;=($C$49*$C$48),D32,($C$49*$C$48))</f>
        <v>13.270605258708644</v>
      </c>
      <c r="H32" s="1">
        <f ca="1">IF(D32&lt;=($C$49*$C$50),0,(D32-($C$49*$C$50)))</f>
        <v>11.270605258708644</v>
      </c>
      <c r="I32" s="1">
        <f ca="1" xml:space="preserve"> MAX(H32,$C$50*D32)</f>
        <v>11.270605258708644</v>
      </c>
      <c r="J32" s="1">
        <f t="shared" ca="1" si="3"/>
        <v>44101.239457221978</v>
      </c>
      <c r="K32" s="1">
        <f t="shared" ca="1" si="4"/>
        <v>0</v>
      </c>
      <c r="L32" s="1">
        <f t="shared" ca="1" si="5"/>
        <v>533.81892202870415</v>
      </c>
      <c r="M32" s="1">
        <f>$C$49*1500</f>
        <v>15000</v>
      </c>
    </row>
    <row r="33" spans="1:13" x14ac:dyDescent="0.35">
      <c r="A33" s="1">
        <v>28</v>
      </c>
      <c r="B33" s="1">
        <f ca="1">_xlfn.NORM.INV(RAND(),$B$40,$C$40)*_xlfn.NORM.INV(RAND(),$B$44,$C$44)</f>
        <v>16.090950535029258</v>
      </c>
      <c r="C33" s="1">
        <f t="shared" ca="1" si="6"/>
        <v>14.729394741291355</v>
      </c>
      <c r="D33" s="1">
        <f t="shared" ca="1" si="0"/>
        <v>14.729394741291355</v>
      </c>
      <c r="E33" s="1">
        <f t="shared" ca="1" si="1"/>
        <v>1.361555793737903</v>
      </c>
      <c r="F33" s="1">
        <f t="shared" ca="1" si="2"/>
        <v>0</v>
      </c>
      <c r="G33" s="1">
        <f ca="1">IF(D33&lt;=($C$49*$C$48),D33,($C$49*$C$48))</f>
        <v>14.729394741291355</v>
      </c>
      <c r="H33" s="1">
        <f ca="1">IF(D33&lt;=($C$49*$C$50),0,(D33-($C$49*$C$50)))</f>
        <v>12.729394741291355</v>
      </c>
      <c r="I33" s="1">
        <f ca="1" xml:space="preserve"> MAX(H33,$C$50*D33)</f>
        <v>12.729394741291355</v>
      </c>
      <c r="J33" s="1">
        <f t="shared" ca="1" si="3"/>
        <v>49498.760542778014</v>
      </c>
      <c r="K33" s="1">
        <f t="shared" ca="1" si="4"/>
        <v>6807.7789686895148</v>
      </c>
      <c r="L33" s="1">
        <f t="shared" ca="1" si="5"/>
        <v>0</v>
      </c>
      <c r="M33" s="1">
        <f>$C$49*1500</f>
        <v>15000</v>
      </c>
    </row>
    <row r="34" spans="1:13" x14ac:dyDescent="0.35">
      <c r="A34" s="1">
        <v>29</v>
      </c>
      <c r="B34" s="1">
        <f ca="1">_xlfn.NORM.INV(RAND(),$B$40,$C$40)*_xlfn.NORM.INV(RAND(),$B$44,$C$44)</f>
        <v>14.316114613697323</v>
      </c>
      <c r="C34" s="1">
        <f t="shared" ca="1" si="6"/>
        <v>13.270605258708644</v>
      </c>
      <c r="D34" s="1">
        <f t="shared" ca="1" si="0"/>
        <v>13.270605258708644</v>
      </c>
      <c r="E34" s="1">
        <f t="shared" ca="1" si="1"/>
        <v>1.0455093549886794</v>
      </c>
      <c r="F34" s="1">
        <f t="shared" ca="1" si="2"/>
        <v>0</v>
      </c>
      <c r="G34" s="1">
        <f ca="1">IF(D34&lt;=($C$49*$C$48),D34,($C$49*$C$48))</f>
        <v>13.270605258708644</v>
      </c>
      <c r="H34" s="1">
        <f ca="1">IF(D34&lt;=($C$49*$C$50),0,(D34-($C$49*$C$50)))</f>
        <v>11.270605258708644</v>
      </c>
      <c r="I34" s="1">
        <f ca="1" xml:space="preserve"> MAX(H34,$C$50*D34)</f>
        <v>11.270605258708644</v>
      </c>
      <c r="J34" s="1">
        <f t="shared" ca="1" si="3"/>
        <v>44101.239457221978</v>
      </c>
      <c r="K34" s="1">
        <f t="shared" ca="1" si="4"/>
        <v>5227.5467749433965</v>
      </c>
      <c r="L34" s="1">
        <f t="shared" ca="1" si="5"/>
        <v>0</v>
      </c>
      <c r="M34" s="1">
        <f>$C$49*1500</f>
        <v>15000</v>
      </c>
    </row>
    <row r="35" spans="1:13" x14ac:dyDescent="0.35">
      <c r="A35" s="1">
        <v>30</v>
      </c>
      <c r="B35" s="1">
        <f ca="1">_xlfn.NORM.INV(RAND(),$B$40,$C$40)*_xlfn.NORM.INV(RAND(),$B$44,$C$44)</f>
        <v>17.426799569509637</v>
      </c>
      <c r="C35" s="1">
        <f t="shared" ca="1" si="6"/>
        <v>14.729394741291355</v>
      </c>
      <c r="D35" s="1">
        <f t="shared" ca="1" si="0"/>
        <v>14.729394741291355</v>
      </c>
      <c r="E35" s="1">
        <f t="shared" ca="1" si="1"/>
        <v>2.6974048282182821</v>
      </c>
      <c r="F35" s="1">
        <f t="shared" ca="1" si="2"/>
        <v>0</v>
      </c>
      <c r="G35" s="1">
        <f ca="1">IF(D35&lt;=($C$49*$C$48),D35,($C$49*$C$48))</f>
        <v>14.729394741291355</v>
      </c>
      <c r="H35" s="1">
        <f ca="1">IF(D35&lt;=($C$49*$C$50),0,(D35-($C$49*$C$50)))</f>
        <v>12.729394741291355</v>
      </c>
      <c r="I35" s="1">
        <f ca="1" xml:space="preserve"> MAX(H35,$C$50*D35)</f>
        <v>12.729394741291355</v>
      </c>
      <c r="J35" s="1">
        <f t="shared" ca="1" si="3"/>
        <v>49498.760542778014</v>
      </c>
      <c r="K35" s="1">
        <f t="shared" ca="1" si="4"/>
        <v>13487.02414109141</v>
      </c>
      <c r="L35" s="1">
        <f t="shared" ca="1" si="5"/>
        <v>0</v>
      </c>
      <c r="M35" s="1">
        <f>$C$49*1500</f>
        <v>15000</v>
      </c>
    </row>
    <row r="38" spans="1:13" x14ac:dyDescent="0.35">
      <c r="B38" s="5" t="s">
        <v>1</v>
      </c>
      <c r="C38" s="5" t="s">
        <v>49</v>
      </c>
    </row>
    <row r="39" spans="1:13" x14ac:dyDescent="0.35">
      <c r="B39" s="1" t="s">
        <v>22</v>
      </c>
      <c r="C39" s="1" t="s">
        <v>44</v>
      </c>
      <c r="E39" s="5"/>
      <c r="I39" t="s">
        <v>40</v>
      </c>
      <c r="J39" cm="1">
        <f t="array" aca="1" ref="J39" ca="1" xml:space="preserve"> SUM(J6:J35)+_xll.PsiOutput()</f>
        <v>1386338.8384463307</v>
      </c>
    </row>
    <row r="40" spans="1:13" x14ac:dyDescent="0.35">
      <c r="B40" s="1">
        <v>24.816666666666698</v>
      </c>
      <c r="C40" s="1">
        <v>2.4798633474895801</v>
      </c>
      <c r="I40" t="s">
        <v>41</v>
      </c>
      <c r="J40" cm="1">
        <f t="array" aca="1" ref="J40" ca="1">SUM(K6:K35)+SUM(L6:L35)+SUM(M6:M35)+_xll.PsiOutput()</f>
        <v>799380.17957816808</v>
      </c>
    </row>
    <row r="41" spans="1:13" x14ac:dyDescent="0.35">
      <c r="B41" s="1"/>
      <c r="C41" s="1"/>
    </row>
    <row r="42" spans="1:13" x14ac:dyDescent="0.35">
      <c r="B42" s="5" t="s">
        <v>2</v>
      </c>
      <c r="C42" s="5" t="s">
        <v>50</v>
      </c>
      <c r="I42" t="s">
        <v>42</v>
      </c>
      <c r="J42">
        <f ca="1">J39-J40+_xll.PsiOutput()</f>
        <v>586958.65886816266</v>
      </c>
    </row>
    <row r="43" spans="1:13" x14ac:dyDescent="0.35">
      <c r="B43" s="1" t="s">
        <v>22</v>
      </c>
      <c r="C43" s="1" t="s">
        <v>44</v>
      </c>
    </row>
    <row r="44" spans="1:13" x14ac:dyDescent="0.35">
      <c r="A44" s="5"/>
      <c r="B44" s="1">
        <v>0.65482755664944503</v>
      </c>
      <c r="C44" s="1">
        <v>7.2455989034233503E-2</v>
      </c>
      <c r="I44" t="s">
        <v>43</v>
      </c>
      <c r="J44" cm="1">
        <f t="array" aca="1" ref="J44" ca="1">AVERAGE(E6:E35)+_xll.PsiOutput()</f>
        <v>2.1806947401605514</v>
      </c>
    </row>
    <row r="47" spans="1:13" x14ac:dyDescent="0.35">
      <c r="B47" t="s">
        <v>45</v>
      </c>
      <c r="C47">
        <v>26</v>
      </c>
      <c r="D47" s="7" t="s">
        <v>48</v>
      </c>
      <c r="E47" s="7"/>
      <c r="F47" s="7"/>
    </row>
    <row r="48" spans="1:13" x14ac:dyDescent="0.35">
      <c r="B48" t="s">
        <v>46</v>
      </c>
      <c r="C48">
        <v>2.5</v>
      </c>
    </row>
    <row r="49" spans="2:3" x14ac:dyDescent="0.35">
      <c r="B49" t="s">
        <v>47</v>
      </c>
      <c r="C49">
        <v>10</v>
      </c>
    </row>
    <row r="50" spans="2:3" x14ac:dyDescent="0.35">
      <c r="B50" t="s">
        <v>51</v>
      </c>
      <c r="C50" s="6">
        <v>0.2</v>
      </c>
    </row>
  </sheetData>
  <mergeCells count="1">
    <mergeCell ref="D47:F47"/>
  </mergeCells>
  <pageMargins left="0.7" right="0.7" top="0.75" bottom="0.75" header="0.3" footer="0.3"/>
  <pageSetup orientation="portrait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Patients Arrived Per Day</vt:lpstr>
      <vt:lpstr>% patients requiring bed day</vt:lpstr>
      <vt:lpstr>Base case</vt:lpstr>
      <vt:lpstr>Optimal case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snehita moturu</dc:creator>
  <cp:keywords/>
  <dc:description/>
  <cp:lastModifiedBy>Kinnera Saivalli Veerapaneni</cp:lastModifiedBy>
  <dcterms:created xsi:type="dcterms:W3CDTF">2022-04-19T00:57:13Z</dcterms:created>
  <dcterms:modified xsi:type="dcterms:W3CDTF">2022-12-06T06:56:51Z</dcterms:modified>
  <cp:category/>
</cp:coreProperties>
</file>