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work\00_eigene_Dateien\Desktop\"/>
    </mc:Choice>
  </mc:AlternateContent>
  <bookViews>
    <workbookView xWindow="0" yWindow="0" windowWidth="19200" windowHeight="6470"/>
  </bookViews>
  <sheets>
    <sheet name="Tafel" sheetId="1" r:id="rId1"/>
    <sheet name="Barwerte" sheetId="2" r:id="rId2"/>
    <sheet name="Fortschreibung" sheetId="3" r:id="rId3"/>
    <sheet name="Bilanz" sheetId="4" r:id="rId4"/>
    <sheet name="BWR" sheetId="5" r:id="rId5"/>
  </sheets>
  <externalReferences>
    <externalReference r:id="rId6"/>
  </externalReferences>
  <definedNames>
    <definedName name="ae_x5_PK">Barwerte!$N$5:$N$126</definedName>
    <definedName name="ae_xn_DR">Barwerte!$K$5:$K$126</definedName>
    <definedName name="ae_xn_PK">Barwerte!$J$5:$J$126</definedName>
    <definedName name="ae_xt_DR">Barwerte!$M$5:$M$126</definedName>
    <definedName name="ae_xt_PK">Barwerte!$L$5:$L$126</definedName>
    <definedName name="alpha_g_DR">Fortschreibung!$J$4</definedName>
    <definedName name="alpha_g_PK">Fortschreibung!$J$3</definedName>
    <definedName name="alpha_z_DR">Fortschreibung!$I$4</definedName>
    <definedName name="alpha_z_PK">Fortschreibung!$I$3</definedName>
    <definedName name="Beitrag_DR">Fortschreibung!$F$4</definedName>
    <definedName name="Beitrag_PK">Fortschreibung!$F$3</definedName>
    <definedName name="beta_DR">Fortschreibung!$K$4</definedName>
    <definedName name="beta_PK">Fortschreibung!$K$3</definedName>
    <definedName name="Dx_DR">Barwerte!$G$5:$G$126</definedName>
    <definedName name="Dx_PK">Barwerte!$F$5:$F$126</definedName>
    <definedName name="gamma_1_DR">Fortschreibung!$L$4</definedName>
    <definedName name="gamma_1_PK">Fortschreibung!$L$3</definedName>
    <definedName name="gamma_2_DR">Fortschreibung!$M$4</definedName>
    <definedName name="gamma_2_PK">Fortschreibung!$M$3</definedName>
    <definedName name="gamma_3_DR">Fortschreibung!$N$4</definedName>
    <definedName name="gamma_3_PK">Fortschreibung!$N$3</definedName>
    <definedName name="HRechzins">Fortschreibung!$D$2</definedName>
    <definedName name="HZillsatz">Fortschreibung!$D$3</definedName>
    <definedName name="i_DR">Fortschreibung!$H$4</definedName>
    <definedName name="i_PK">Fortschreibung!$H$3</definedName>
    <definedName name="lx_DR">Barwerte!$E$5:$E$126</definedName>
    <definedName name="lx_PK">Barwerte!$D$5:$D$126</definedName>
    <definedName name="m">Fortschreibung!$A$10:$A$132</definedName>
    <definedName name="n">Fortschreibung!$B$5</definedName>
    <definedName name="n_ae_x_DR">Barwerte!$P$5:$P$126</definedName>
    <definedName name="n_ae_x_PK">Barwerte!$O$5:$O$126</definedName>
    <definedName name="Nx_DR">Barwerte!$I$5:$I$126</definedName>
    <definedName name="Nx_PK">Barwerte!$H$5:$H$126</definedName>
    <definedName name="omega">[1]Parameter!$C$6</definedName>
    <definedName name="qx_DR">Barwerte!$C$5:$C$126</definedName>
    <definedName name="qx_PK">Barwerte!$B$5:$B$126</definedName>
    <definedName name="Rente">Fortschreibung!$B$3</definedName>
    <definedName name="RKW">Fortschreibung!$D$4</definedName>
    <definedName name="t">Fortschreibung!$B$4</definedName>
    <definedName name="Tafel_DR">Fortschreibung!$G$4</definedName>
    <definedName name="Tafel_PK">Fortschreibung!$G$3</definedName>
    <definedName name="Tarifreserve">Fortschreibung!$F$9:$F$132</definedName>
    <definedName name="v">[1]Parameter!$C$10</definedName>
    <definedName name="v_DR">Barwerte!$B$2</definedName>
    <definedName name="v_PK">Barwerte!$B$1</definedName>
    <definedName name="x">Fortschreibung!$B$2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5" l="1"/>
  <c r="AE102" i="3" l="1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C102" i="3"/>
  <c r="AC101" i="3" s="1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Q100" i="3"/>
  <c r="Q99" i="3" s="1"/>
  <c r="Q98" i="3" s="1"/>
  <c r="Q97" i="3" s="1"/>
  <c r="Q96" i="3" s="1"/>
  <c r="Q95" i="3" s="1"/>
  <c r="Q94" i="3" s="1"/>
  <c r="Q93" i="3" s="1"/>
  <c r="Q92" i="3" s="1"/>
  <c r="Q91" i="3" s="1"/>
  <c r="Q90" i="3" s="1"/>
  <c r="Q89" i="3" s="1"/>
  <c r="Q88" i="3" s="1"/>
  <c r="Q87" i="3" s="1"/>
  <c r="Q86" i="3" s="1"/>
  <c r="Q85" i="3" s="1"/>
  <c r="Q84" i="3" s="1"/>
  <c r="Q83" i="3" s="1"/>
  <c r="Q82" i="3" s="1"/>
  <c r="Q81" i="3" s="1"/>
  <c r="Q80" i="3" s="1"/>
  <c r="Q79" i="3" s="1"/>
  <c r="Q78" i="3" s="1"/>
  <c r="Q77" i="3" s="1"/>
  <c r="Q76" i="3" s="1"/>
  <c r="Q75" i="3" s="1"/>
  <c r="Q74" i="3" s="1"/>
  <c r="Q73" i="3" s="1"/>
  <c r="Q72" i="3" s="1"/>
  <c r="Q71" i="3" s="1"/>
  <c r="Q70" i="3" s="1"/>
  <c r="Q69" i="3" s="1"/>
  <c r="Q68" i="3" s="1"/>
  <c r="Q67" i="3" s="1"/>
  <c r="Q66" i="3" s="1"/>
  <c r="Q65" i="3" s="1"/>
  <c r="Q64" i="3" s="1"/>
  <c r="Q63" i="3" s="1"/>
  <c r="Q62" i="3" s="1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01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P11" i="3"/>
  <c r="Z11" i="3"/>
  <c r="AB11" i="3"/>
  <c r="P12" i="3"/>
  <c r="Z12" i="3"/>
  <c r="AB12" i="3"/>
  <c r="P13" i="3"/>
  <c r="Z13" i="3"/>
  <c r="AB13" i="3"/>
  <c r="P14" i="3"/>
  <c r="Z14" i="3"/>
  <c r="AB14" i="3"/>
  <c r="P15" i="3"/>
  <c r="Z15" i="3"/>
  <c r="AB15" i="3"/>
  <c r="P16" i="3"/>
  <c r="Z16" i="3"/>
  <c r="AB16" i="3"/>
  <c r="P17" i="3"/>
  <c r="Z17" i="3"/>
  <c r="AB17" i="3"/>
  <c r="P18" i="3"/>
  <c r="Z18" i="3"/>
  <c r="AB18" i="3"/>
  <c r="P19" i="3"/>
  <c r="Z19" i="3"/>
  <c r="AB19" i="3"/>
  <c r="P20" i="3"/>
  <c r="Z20" i="3"/>
  <c r="AB20" i="3"/>
  <c r="P21" i="3"/>
  <c r="Z21" i="3"/>
  <c r="AB21" i="3"/>
  <c r="P22" i="3"/>
  <c r="Z22" i="3"/>
  <c r="AB22" i="3"/>
  <c r="P23" i="3"/>
  <c r="Z23" i="3"/>
  <c r="AB23" i="3"/>
  <c r="P24" i="3"/>
  <c r="Z24" i="3"/>
  <c r="AB24" i="3"/>
  <c r="P25" i="3"/>
  <c r="Z25" i="3"/>
  <c r="AB25" i="3"/>
  <c r="P26" i="3"/>
  <c r="Z26" i="3"/>
  <c r="AB26" i="3"/>
  <c r="P27" i="3"/>
  <c r="Z27" i="3"/>
  <c r="AB27" i="3"/>
  <c r="P28" i="3"/>
  <c r="Z28" i="3"/>
  <c r="AB28" i="3"/>
  <c r="P29" i="3"/>
  <c r="Z29" i="3"/>
  <c r="AB29" i="3"/>
  <c r="P30" i="3"/>
  <c r="Z30" i="3"/>
  <c r="AB30" i="3"/>
  <c r="P31" i="3"/>
  <c r="Z31" i="3"/>
  <c r="AB31" i="3"/>
  <c r="P32" i="3"/>
  <c r="Z32" i="3"/>
  <c r="AB32" i="3"/>
  <c r="P33" i="3"/>
  <c r="Z33" i="3"/>
  <c r="AB33" i="3"/>
  <c r="P34" i="3"/>
  <c r="Z34" i="3"/>
  <c r="AB34" i="3"/>
  <c r="P35" i="3"/>
  <c r="T35" i="3"/>
  <c r="V35" i="3"/>
  <c r="X35" i="3"/>
  <c r="AB35" i="3"/>
  <c r="AD35" i="3"/>
  <c r="P36" i="3"/>
  <c r="T36" i="3"/>
  <c r="V36" i="3"/>
  <c r="X36" i="3"/>
  <c r="AB36" i="3"/>
  <c r="AD36" i="3"/>
  <c r="P37" i="3"/>
  <c r="T37" i="3"/>
  <c r="V37" i="3"/>
  <c r="X37" i="3"/>
  <c r="AB37" i="3"/>
  <c r="AD37" i="3"/>
  <c r="P38" i="3"/>
  <c r="T38" i="3"/>
  <c r="V38" i="3"/>
  <c r="X38" i="3"/>
  <c r="AB38" i="3"/>
  <c r="AD38" i="3"/>
  <c r="P39" i="3"/>
  <c r="T39" i="3"/>
  <c r="V39" i="3"/>
  <c r="X39" i="3"/>
  <c r="AB39" i="3"/>
  <c r="AD39" i="3"/>
  <c r="P40" i="3"/>
  <c r="T40" i="3"/>
  <c r="V40" i="3"/>
  <c r="X40" i="3"/>
  <c r="Z40" i="3"/>
  <c r="AB40" i="3"/>
  <c r="AD40" i="3"/>
  <c r="P41" i="3"/>
  <c r="T41" i="3"/>
  <c r="V41" i="3"/>
  <c r="X41" i="3"/>
  <c r="Z41" i="3"/>
  <c r="AB41" i="3"/>
  <c r="AD41" i="3"/>
  <c r="P42" i="3"/>
  <c r="T42" i="3"/>
  <c r="V42" i="3"/>
  <c r="X42" i="3"/>
  <c r="Z42" i="3"/>
  <c r="AB42" i="3"/>
  <c r="AD42" i="3"/>
  <c r="P43" i="3"/>
  <c r="T43" i="3"/>
  <c r="V43" i="3"/>
  <c r="X43" i="3"/>
  <c r="Z43" i="3"/>
  <c r="AB43" i="3"/>
  <c r="AD43" i="3"/>
  <c r="P44" i="3"/>
  <c r="T44" i="3"/>
  <c r="V44" i="3"/>
  <c r="X44" i="3"/>
  <c r="Z44" i="3"/>
  <c r="AB44" i="3"/>
  <c r="AD44" i="3"/>
  <c r="P45" i="3"/>
  <c r="T45" i="3"/>
  <c r="V45" i="3"/>
  <c r="X45" i="3"/>
  <c r="Z45" i="3"/>
  <c r="AB45" i="3"/>
  <c r="AD45" i="3"/>
  <c r="P46" i="3"/>
  <c r="T46" i="3"/>
  <c r="V46" i="3"/>
  <c r="X46" i="3"/>
  <c r="Z46" i="3"/>
  <c r="AB46" i="3"/>
  <c r="AD46" i="3"/>
  <c r="P47" i="3"/>
  <c r="T47" i="3"/>
  <c r="V47" i="3"/>
  <c r="X47" i="3"/>
  <c r="Z47" i="3"/>
  <c r="AB47" i="3"/>
  <c r="AD47" i="3"/>
  <c r="P48" i="3"/>
  <c r="T48" i="3"/>
  <c r="V48" i="3"/>
  <c r="X48" i="3"/>
  <c r="Z48" i="3"/>
  <c r="AB48" i="3"/>
  <c r="AD48" i="3"/>
  <c r="P49" i="3"/>
  <c r="T49" i="3"/>
  <c r="V49" i="3"/>
  <c r="X49" i="3"/>
  <c r="Z49" i="3"/>
  <c r="AB49" i="3"/>
  <c r="AD49" i="3"/>
  <c r="P50" i="3"/>
  <c r="T50" i="3"/>
  <c r="V50" i="3"/>
  <c r="X50" i="3"/>
  <c r="Z50" i="3"/>
  <c r="AB50" i="3"/>
  <c r="AD50" i="3"/>
  <c r="P51" i="3"/>
  <c r="T51" i="3"/>
  <c r="V51" i="3"/>
  <c r="X51" i="3"/>
  <c r="Z51" i="3"/>
  <c r="AB51" i="3"/>
  <c r="AD51" i="3"/>
  <c r="P52" i="3"/>
  <c r="T52" i="3"/>
  <c r="V52" i="3"/>
  <c r="X52" i="3"/>
  <c r="Z52" i="3"/>
  <c r="AB52" i="3"/>
  <c r="AD52" i="3"/>
  <c r="P53" i="3"/>
  <c r="T53" i="3"/>
  <c r="V53" i="3"/>
  <c r="X53" i="3"/>
  <c r="Z53" i="3"/>
  <c r="AB53" i="3"/>
  <c r="AD53" i="3"/>
  <c r="P54" i="3"/>
  <c r="T54" i="3"/>
  <c r="V54" i="3"/>
  <c r="X54" i="3"/>
  <c r="Z54" i="3"/>
  <c r="AB54" i="3"/>
  <c r="AD54" i="3"/>
  <c r="P55" i="3"/>
  <c r="T55" i="3"/>
  <c r="V55" i="3"/>
  <c r="X55" i="3"/>
  <c r="Z55" i="3"/>
  <c r="AB55" i="3"/>
  <c r="AD55" i="3"/>
  <c r="P56" i="3"/>
  <c r="T56" i="3"/>
  <c r="V56" i="3"/>
  <c r="X56" i="3"/>
  <c r="Z56" i="3"/>
  <c r="AB56" i="3"/>
  <c r="AD56" i="3"/>
  <c r="P57" i="3"/>
  <c r="T57" i="3"/>
  <c r="V57" i="3"/>
  <c r="X57" i="3"/>
  <c r="Z57" i="3"/>
  <c r="AB57" i="3"/>
  <c r="AD57" i="3"/>
  <c r="P58" i="3"/>
  <c r="T58" i="3"/>
  <c r="V58" i="3"/>
  <c r="X58" i="3"/>
  <c r="Z58" i="3"/>
  <c r="AB58" i="3"/>
  <c r="AD58" i="3"/>
  <c r="P59" i="3"/>
  <c r="T59" i="3"/>
  <c r="V59" i="3"/>
  <c r="X59" i="3"/>
  <c r="Z59" i="3"/>
  <c r="AB59" i="3"/>
  <c r="AD59" i="3"/>
  <c r="P60" i="3"/>
  <c r="T60" i="3"/>
  <c r="V60" i="3"/>
  <c r="X60" i="3"/>
  <c r="Z60" i="3"/>
  <c r="AB60" i="3"/>
  <c r="AD60" i="3"/>
  <c r="P61" i="3"/>
  <c r="T61" i="3"/>
  <c r="V61" i="3"/>
  <c r="X61" i="3"/>
  <c r="Z61" i="3"/>
  <c r="AB61" i="3"/>
  <c r="AD61" i="3"/>
  <c r="P62" i="3"/>
  <c r="T62" i="3"/>
  <c r="V62" i="3"/>
  <c r="X62" i="3"/>
  <c r="Z62" i="3"/>
  <c r="AB62" i="3"/>
  <c r="AD62" i="3"/>
  <c r="P63" i="3"/>
  <c r="T63" i="3"/>
  <c r="V63" i="3"/>
  <c r="X63" i="3"/>
  <c r="Z63" i="3"/>
  <c r="AB63" i="3"/>
  <c r="AD63" i="3"/>
  <c r="P64" i="3"/>
  <c r="T64" i="3"/>
  <c r="V64" i="3"/>
  <c r="X64" i="3"/>
  <c r="Z64" i="3"/>
  <c r="AB64" i="3"/>
  <c r="AD64" i="3"/>
  <c r="P65" i="3"/>
  <c r="T65" i="3"/>
  <c r="V65" i="3"/>
  <c r="X65" i="3"/>
  <c r="Z65" i="3"/>
  <c r="AB65" i="3"/>
  <c r="AD65" i="3"/>
  <c r="P66" i="3"/>
  <c r="T66" i="3"/>
  <c r="V66" i="3"/>
  <c r="X66" i="3"/>
  <c r="Z66" i="3"/>
  <c r="AB66" i="3"/>
  <c r="AD66" i="3"/>
  <c r="P67" i="3"/>
  <c r="T67" i="3"/>
  <c r="V67" i="3"/>
  <c r="X67" i="3"/>
  <c r="Z67" i="3"/>
  <c r="AB67" i="3"/>
  <c r="AD67" i="3"/>
  <c r="P68" i="3"/>
  <c r="T68" i="3"/>
  <c r="V68" i="3"/>
  <c r="X68" i="3"/>
  <c r="Z68" i="3"/>
  <c r="AB68" i="3"/>
  <c r="AD68" i="3"/>
  <c r="P69" i="3"/>
  <c r="T69" i="3"/>
  <c r="V69" i="3"/>
  <c r="X69" i="3"/>
  <c r="Z69" i="3"/>
  <c r="AB69" i="3"/>
  <c r="AD69" i="3"/>
  <c r="P70" i="3"/>
  <c r="T70" i="3"/>
  <c r="V70" i="3"/>
  <c r="X70" i="3"/>
  <c r="Z70" i="3"/>
  <c r="AB70" i="3"/>
  <c r="AD70" i="3"/>
  <c r="P71" i="3"/>
  <c r="T71" i="3"/>
  <c r="V71" i="3"/>
  <c r="X71" i="3"/>
  <c r="Z71" i="3"/>
  <c r="AB71" i="3"/>
  <c r="AD71" i="3"/>
  <c r="P72" i="3"/>
  <c r="T72" i="3"/>
  <c r="V72" i="3"/>
  <c r="X72" i="3"/>
  <c r="Z72" i="3"/>
  <c r="AB72" i="3"/>
  <c r="AD72" i="3"/>
  <c r="P73" i="3"/>
  <c r="T73" i="3"/>
  <c r="V73" i="3"/>
  <c r="X73" i="3"/>
  <c r="Z73" i="3"/>
  <c r="AB73" i="3"/>
  <c r="AD73" i="3"/>
  <c r="P74" i="3"/>
  <c r="T74" i="3"/>
  <c r="V74" i="3"/>
  <c r="X74" i="3"/>
  <c r="Z74" i="3"/>
  <c r="AB74" i="3"/>
  <c r="AD74" i="3"/>
  <c r="P75" i="3"/>
  <c r="T75" i="3"/>
  <c r="V75" i="3"/>
  <c r="X75" i="3"/>
  <c r="Z75" i="3"/>
  <c r="AB75" i="3"/>
  <c r="AD75" i="3"/>
  <c r="P76" i="3"/>
  <c r="T76" i="3"/>
  <c r="V76" i="3"/>
  <c r="X76" i="3"/>
  <c r="Z76" i="3"/>
  <c r="AB76" i="3"/>
  <c r="AD76" i="3"/>
  <c r="P77" i="3"/>
  <c r="T77" i="3"/>
  <c r="V77" i="3"/>
  <c r="X77" i="3"/>
  <c r="Z77" i="3"/>
  <c r="AB77" i="3"/>
  <c r="AD77" i="3"/>
  <c r="P78" i="3"/>
  <c r="T78" i="3"/>
  <c r="V78" i="3"/>
  <c r="X78" i="3"/>
  <c r="Z78" i="3"/>
  <c r="AB78" i="3"/>
  <c r="AD78" i="3"/>
  <c r="P79" i="3"/>
  <c r="T79" i="3"/>
  <c r="V79" i="3"/>
  <c r="X79" i="3"/>
  <c r="Z79" i="3"/>
  <c r="AB79" i="3"/>
  <c r="AD79" i="3"/>
  <c r="P80" i="3"/>
  <c r="T80" i="3"/>
  <c r="V80" i="3"/>
  <c r="X80" i="3"/>
  <c r="Z80" i="3"/>
  <c r="AB80" i="3"/>
  <c r="AD80" i="3"/>
  <c r="P81" i="3"/>
  <c r="T81" i="3"/>
  <c r="V81" i="3"/>
  <c r="X81" i="3"/>
  <c r="Z81" i="3"/>
  <c r="AB81" i="3"/>
  <c r="AD81" i="3"/>
  <c r="P82" i="3"/>
  <c r="T82" i="3"/>
  <c r="V82" i="3"/>
  <c r="X82" i="3"/>
  <c r="Z82" i="3"/>
  <c r="AB82" i="3"/>
  <c r="AD82" i="3"/>
  <c r="P83" i="3"/>
  <c r="T83" i="3"/>
  <c r="V83" i="3"/>
  <c r="X83" i="3"/>
  <c r="Z83" i="3"/>
  <c r="AB83" i="3"/>
  <c r="AD83" i="3"/>
  <c r="P84" i="3"/>
  <c r="T84" i="3"/>
  <c r="V84" i="3"/>
  <c r="X84" i="3"/>
  <c r="Z84" i="3"/>
  <c r="AB84" i="3"/>
  <c r="AD84" i="3"/>
  <c r="P85" i="3"/>
  <c r="T85" i="3"/>
  <c r="V85" i="3"/>
  <c r="X85" i="3"/>
  <c r="Z85" i="3"/>
  <c r="AB85" i="3"/>
  <c r="AD85" i="3"/>
  <c r="P86" i="3"/>
  <c r="T86" i="3"/>
  <c r="V86" i="3"/>
  <c r="X86" i="3"/>
  <c r="Z86" i="3"/>
  <c r="AB86" i="3"/>
  <c r="AD86" i="3"/>
  <c r="P87" i="3"/>
  <c r="T87" i="3"/>
  <c r="V87" i="3"/>
  <c r="X87" i="3"/>
  <c r="Z87" i="3"/>
  <c r="AB87" i="3"/>
  <c r="AD87" i="3"/>
  <c r="P88" i="3"/>
  <c r="T88" i="3"/>
  <c r="V88" i="3"/>
  <c r="X88" i="3"/>
  <c r="Z88" i="3"/>
  <c r="AB88" i="3"/>
  <c r="AD88" i="3"/>
  <c r="P89" i="3"/>
  <c r="T89" i="3"/>
  <c r="V89" i="3"/>
  <c r="X89" i="3"/>
  <c r="Z89" i="3"/>
  <c r="AB89" i="3"/>
  <c r="AD89" i="3"/>
  <c r="P90" i="3"/>
  <c r="T90" i="3"/>
  <c r="V90" i="3"/>
  <c r="X90" i="3"/>
  <c r="Z90" i="3"/>
  <c r="AB90" i="3"/>
  <c r="AD90" i="3"/>
  <c r="P91" i="3"/>
  <c r="T91" i="3"/>
  <c r="V91" i="3"/>
  <c r="X91" i="3"/>
  <c r="Z91" i="3"/>
  <c r="AB91" i="3"/>
  <c r="AD91" i="3"/>
  <c r="P92" i="3"/>
  <c r="T92" i="3"/>
  <c r="V92" i="3"/>
  <c r="X92" i="3"/>
  <c r="Z92" i="3"/>
  <c r="AB92" i="3"/>
  <c r="AD92" i="3"/>
  <c r="P93" i="3"/>
  <c r="T93" i="3"/>
  <c r="V93" i="3"/>
  <c r="X93" i="3"/>
  <c r="Z93" i="3"/>
  <c r="AB93" i="3"/>
  <c r="AD93" i="3"/>
  <c r="P94" i="3"/>
  <c r="T94" i="3"/>
  <c r="V94" i="3"/>
  <c r="X94" i="3"/>
  <c r="Z94" i="3"/>
  <c r="AB94" i="3"/>
  <c r="AD94" i="3"/>
  <c r="P95" i="3"/>
  <c r="T95" i="3"/>
  <c r="V95" i="3"/>
  <c r="X95" i="3"/>
  <c r="Z95" i="3"/>
  <c r="AB95" i="3"/>
  <c r="AD95" i="3"/>
  <c r="P96" i="3"/>
  <c r="T96" i="3"/>
  <c r="V96" i="3"/>
  <c r="X96" i="3"/>
  <c r="Z96" i="3"/>
  <c r="AB96" i="3"/>
  <c r="AD96" i="3"/>
  <c r="P97" i="3"/>
  <c r="T97" i="3"/>
  <c r="V97" i="3"/>
  <c r="X97" i="3"/>
  <c r="Z97" i="3"/>
  <c r="AB97" i="3"/>
  <c r="AD97" i="3"/>
  <c r="P98" i="3"/>
  <c r="T98" i="3"/>
  <c r="V98" i="3"/>
  <c r="X98" i="3"/>
  <c r="Z98" i="3"/>
  <c r="AB98" i="3"/>
  <c r="AD98" i="3"/>
  <c r="P99" i="3"/>
  <c r="T99" i="3"/>
  <c r="V99" i="3"/>
  <c r="X99" i="3"/>
  <c r="Z99" i="3"/>
  <c r="AB99" i="3"/>
  <c r="AD99" i="3"/>
  <c r="P100" i="3"/>
  <c r="T100" i="3"/>
  <c r="V100" i="3"/>
  <c r="X100" i="3"/>
  <c r="Z100" i="3"/>
  <c r="AB100" i="3"/>
  <c r="AD100" i="3"/>
  <c r="P101" i="3"/>
  <c r="T101" i="3"/>
  <c r="V101" i="3"/>
  <c r="X101" i="3"/>
  <c r="Z101" i="3"/>
  <c r="AB101" i="3"/>
  <c r="AD101" i="3"/>
  <c r="P102" i="3"/>
  <c r="T102" i="3"/>
  <c r="V102" i="3"/>
  <c r="X102" i="3"/>
  <c r="Z102" i="3"/>
  <c r="AB102" i="3"/>
  <c r="AD102" i="3"/>
  <c r="P103" i="3"/>
  <c r="T103" i="3"/>
  <c r="V103" i="3"/>
  <c r="X103" i="3"/>
  <c r="Z103" i="3"/>
  <c r="AB103" i="3"/>
  <c r="AD103" i="3"/>
  <c r="P104" i="3"/>
  <c r="T104" i="3"/>
  <c r="V104" i="3"/>
  <c r="X104" i="3"/>
  <c r="Z104" i="3"/>
  <c r="AB104" i="3"/>
  <c r="AD104" i="3"/>
  <c r="P105" i="3"/>
  <c r="T105" i="3"/>
  <c r="V105" i="3"/>
  <c r="X105" i="3"/>
  <c r="Z105" i="3"/>
  <c r="AB105" i="3"/>
  <c r="AD105" i="3"/>
  <c r="P106" i="3"/>
  <c r="T106" i="3"/>
  <c r="V106" i="3"/>
  <c r="X106" i="3"/>
  <c r="Z106" i="3"/>
  <c r="AB106" i="3"/>
  <c r="AD106" i="3"/>
  <c r="P107" i="3"/>
  <c r="T107" i="3"/>
  <c r="V107" i="3"/>
  <c r="X107" i="3"/>
  <c r="Z107" i="3"/>
  <c r="AB107" i="3"/>
  <c r="AD107" i="3"/>
  <c r="P108" i="3"/>
  <c r="T108" i="3"/>
  <c r="V108" i="3"/>
  <c r="X108" i="3"/>
  <c r="Z108" i="3"/>
  <c r="AB108" i="3"/>
  <c r="AD108" i="3"/>
  <c r="P109" i="3"/>
  <c r="T109" i="3"/>
  <c r="V109" i="3"/>
  <c r="X109" i="3"/>
  <c r="Z109" i="3"/>
  <c r="AB109" i="3"/>
  <c r="AD109" i="3"/>
  <c r="P110" i="3"/>
  <c r="T110" i="3"/>
  <c r="V110" i="3"/>
  <c r="X110" i="3"/>
  <c r="Z110" i="3"/>
  <c r="AB110" i="3"/>
  <c r="AD110" i="3"/>
  <c r="P111" i="3"/>
  <c r="T111" i="3"/>
  <c r="V111" i="3"/>
  <c r="X111" i="3"/>
  <c r="Z111" i="3"/>
  <c r="AB111" i="3"/>
  <c r="AD111" i="3"/>
  <c r="P112" i="3"/>
  <c r="T112" i="3"/>
  <c r="V112" i="3"/>
  <c r="X112" i="3"/>
  <c r="Z112" i="3"/>
  <c r="AB112" i="3"/>
  <c r="AD112" i="3"/>
  <c r="P113" i="3"/>
  <c r="T113" i="3"/>
  <c r="V113" i="3"/>
  <c r="X113" i="3"/>
  <c r="Z113" i="3"/>
  <c r="AB113" i="3"/>
  <c r="AD113" i="3"/>
  <c r="P114" i="3"/>
  <c r="T114" i="3"/>
  <c r="V114" i="3"/>
  <c r="X114" i="3"/>
  <c r="Z114" i="3"/>
  <c r="AB114" i="3"/>
  <c r="AD114" i="3"/>
  <c r="P115" i="3"/>
  <c r="T115" i="3"/>
  <c r="V115" i="3"/>
  <c r="X115" i="3"/>
  <c r="Z115" i="3"/>
  <c r="AB115" i="3"/>
  <c r="AD115" i="3"/>
  <c r="P116" i="3"/>
  <c r="T116" i="3"/>
  <c r="V116" i="3"/>
  <c r="X116" i="3"/>
  <c r="Z116" i="3"/>
  <c r="AB116" i="3"/>
  <c r="AD116" i="3"/>
  <c r="P117" i="3"/>
  <c r="T117" i="3"/>
  <c r="V117" i="3"/>
  <c r="X117" i="3"/>
  <c r="Z117" i="3"/>
  <c r="AB117" i="3"/>
  <c r="AD117" i="3"/>
  <c r="P118" i="3"/>
  <c r="T118" i="3"/>
  <c r="V118" i="3"/>
  <c r="X118" i="3"/>
  <c r="Z118" i="3"/>
  <c r="AB118" i="3"/>
  <c r="AD118" i="3"/>
  <c r="P119" i="3"/>
  <c r="T119" i="3"/>
  <c r="V119" i="3"/>
  <c r="X119" i="3"/>
  <c r="Z119" i="3"/>
  <c r="AB119" i="3"/>
  <c r="AD119" i="3"/>
  <c r="P120" i="3"/>
  <c r="T120" i="3"/>
  <c r="V120" i="3"/>
  <c r="X120" i="3"/>
  <c r="Z120" i="3"/>
  <c r="AB120" i="3"/>
  <c r="AD120" i="3"/>
  <c r="P121" i="3"/>
  <c r="T121" i="3"/>
  <c r="V121" i="3"/>
  <c r="X121" i="3"/>
  <c r="Z121" i="3"/>
  <c r="AB121" i="3"/>
  <c r="AD121" i="3"/>
  <c r="P122" i="3"/>
  <c r="T122" i="3"/>
  <c r="V122" i="3"/>
  <c r="X122" i="3"/>
  <c r="Z122" i="3"/>
  <c r="AB122" i="3"/>
  <c r="AD122" i="3"/>
  <c r="P123" i="3"/>
  <c r="T123" i="3"/>
  <c r="V123" i="3"/>
  <c r="X123" i="3"/>
  <c r="Z123" i="3"/>
  <c r="AB123" i="3"/>
  <c r="AD123" i="3"/>
  <c r="P124" i="3"/>
  <c r="T124" i="3"/>
  <c r="V124" i="3"/>
  <c r="X124" i="3"/>
  <c r="Z124" i="3"/>
  <c r="AB124" i="3"/>
  <c r="AD124" i="3"/>
  <c r="P125" i="3"/>
  <c r="T125" i="3"/>
  <c r="V125" i="3"/>
  <c r="X125" i="3"/>
  <c r="Z125" i="3"/>
  <c r="AB125" i="3"/>
  <c r="AD125" i="3"/>
  <c r="P126" i="3"/>
  <c r="T126" i="3"/>
  <c r="V126" i="3"/>
  <c r="X126" i="3"/>
  <c r="Z126" i="3"/>
  <c r="AB126" i="3"/>
  <c r="AD126" i="3"/>
  <c r="P127" i="3"/>
  <c r="T127" i="3"/>
  <c r="V127" i="3"/>
  <c r="X127" i="3"/>
  <c r="Z127" i="3"/>
  <c r="AB127" i="3"/>
  <c r="AD127" i="3"/>
  <c r="P128" i="3"/>
  <c r="T128" i="3"/>
  <c r="V128" i="3"/>
  <c r="X128" i="3"/>
  <c r="Z128" i="3"/>
  <c r="AB128" i="3"/>
  <c r="AD128" i="3"/>
  <c r="P129" i="3"/>
  <c r="T129" i="3"/>
  <c r="V129" i="3"/>
  <c r="X129" i="3"/>
  <c r="Z129" i="3"/>
  <c r="AB129" i="3"/>
  <c r="AD129" i="3"/>
  <c r="P130" i="3"/>
  <c r="T130" i="3"/>
  <c r="V130" i="3"/>
  <c r="X130" i="3"/>
  <c r="Z130" i="3"/>
  <c r="AB130" i="3"/>
  <c r="AD130" i="3"/>
  <c r="P131" i="3"/>
  <c r="T131" i="3"/>
  <c r="V131" i="3"/>
  <c r="X131" i="3"/>
  <c r="Z131" i="3"/>
  <c r="AB131" i="3"/>
  <c r="AD131" i="3"/>
  <c r="P132" i="3"/>
  <c r="T132" i="3"/>
  <c r="V132" i="3"/>
  <c r="X132" i="3"/>
  <c r="Z132" i="3"/>
  <c r="AB132" i="3"/>
  <c r="AD132" i="3"/>
  <c r="AB10" i="3"/>
  <c r="Z10" i="3"/>
  <c r="AF129" i="3" l="1"/>
  <c r="AF125" i="3"/>
  <c r="AF121" i="3"/>
  <c r="AF117" i="3"/>
  <c r="AF113" i="3"/>
  <c r="AF109" i="3"/>
  <c r="AF105" i="3"/>
  <c r="AC100" i="3"/>
  <c r="AC99" i="3" s="1"/>
  <c r="AC98" i="3" s="1"/>
  <c r="AC97" i="3" s="1"/>
  <c r="AC96" i="3" s="1"/>
  <c r="AC95" i="3" s="1"/>
  <c r="AC94" i="3" s="1"/>
  <c r="AC93" i="3" s="1"/>
  <c r="AC92" i="3" s="1"/>
  <c r="AC91" i="3" s="1"/>
  <c r="AC90" i="3" s="1"/>
  <c r="AC89" i="3" s="1"/>
  <c r="AC88" i="3" s="1"/>
  <c r="AC87" i="3" s="1"/>
  <c r="AC86" i="3" s="1"/>
  <c r="AC85" i="3" s="1"/>
  <c r="AC84" i="3" s="1"/>
  <c r="AC83" i="3" s="1"/>
  <c r="AC82" i="3" s="1"/>
  <c r="AC81" i="3" s="1"/>
  <c r="AC80" i="3" s="1"/>
  <c r="AC79" i="3" s="1"/>
  <c r="AC78" i="3" s="1"/>
  <c r="AC77" i="3" s="1"/>
  <c r="AC76" i="3" s="1"/>
  <c r="AC75" i="3" s="1"/>
  <c r="AC74" i="3" s="1"/>
  <c r="AC73" i="3" s="1"/>
  <c r="AC72" i="3" s="1"/>
  <c r="AC71" i="3" s="1"/>
  <c r="AC70" i="3" s="1"/>
  <c r="AC69" i="3" s="1"/>
  <c r="AC68" i="3" s="1"/>
  <c r="AC67" i="3" s="1"/>
  <c r="AC66" i="3" s="1"/>
  <c r="AC65" i="3" s="1"/>
  <c r="AC64" i="3" s="1"/>
  <c r="AC63" i="3" s="1"/>
  <c r="AC62" i="3" s="1"/>
  <c r="AC61" i="3" s="1"/>
  <c r="AC60" i="3" s="1"/>
  <c r="AC59" i="3" s="1"/>
  <c r="AC58" i="3" s="1"/>
  <c r="AC57" i="3" s="1"/>
  <c r="AC56" i="3" s="1"/>
  <c r="AC55" i="3" s="1"/>
  <c r="AC54" i="3" s="1"/>
  <c r="AC53" i="3" s="1"/>
  <c r="AC52" i="3" s="1"/>
  <c r="AC51" i="3" s="1"/>
  <c r="AC50" i="3" s="1"/>
  <c r="AC49" i="3" s="1"/>
  <c r="AC48" i="3" s="1"/>
  <c r="AC47" i="3" s="1"/>
  <c r="AC46" i="3" s="1"/>
  <c r="AC45" i="3" s="1"/>
  <c r="AC44" i="3" s="1"/>
  <c r="AC43" i="3" s="1"/>
  <c r="AC42" i="3" s="1"/>
  <c r="AC41" i="3" s="1"/>
  <c r="AC40" i="3" s="1"/>
  <c r="AC39" i="3" s="1"/>
  <c r="AC38" i="3" s="1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AF132" i="3"/>
  <c r="AF128" i="3"/>
  <c r="AF124" i="3"/>
  <c r="AF120" i="3"/>
  <c r="AF116" i="3"/>
  <c r="AF112" i="3"/>
  <c r="AF108" i="3"/>
  <c r="AF104" i="3"/>
  <c r="AF131" i="3"/>
  <c r="AF127" i="3"/>
  <c r="AF123" i="3"/>
  <c r="AF119" i="3"/>
  <c r="AF115" i="3"/>
  <c r="AF111" i="3"/>
  <c r="AF107" i="3"/>
  <c r="AF103" i="3"/>
  <c r="AF130" i="3"/>
  <c r="AF126" i="3"/>
  <c r="AF122" i="3"/>
  <c r="AF118" i="3"/>
  <c r="AF114" i="3"/>
  <c r="AF110" i="3"/>
  <c r="AF106" i="3"/>
  <c r="W101" i="3"/>
  <c r="W100" i="3" s="1"/>
  <c r="W99" i="3" s="1"/>
  <c r="W98" i="3" s="1"/>
  <c r="W97" i="3" s="1"/>
  <c r="W96" i="3" s="1"/>
  <c r="W95" i="3" s="1"/>
  <c r="W94" i="3" s="1"/>
  <c r="W93" i="3" s="1"/>
  <c r="W92" i="3" s="1"/>
  <c r="W91" i="3" s="1"/>
  <c r="W90" i="3" s="1"/>
  <c r="W89" i="3" s="1"/>
  <c r="W88" i="3" s="1"/>
  <c r="W87" i="3" s="1"/>
  <c r="W86" i="3" s="1"/>
  <c r="W85" i="3" s="1"/>
  <c r="W84" i="3" s="1"/>
  <c r="W83" i="3" s="1"/>
  <c r="W82" i="3" s="1"/>
  <c r="W81" i="3" s="1"/>
  <c r="W80" i="3" s="1"/>
  <c r="W79" i="3" s="1"/>
  <c r="W78" i="3" s="1"/>
  <c r="W77" i="3" s="1"/>
  <c r="W76" i="3" s="1"/>
  <c r="W75" i="3" s="1"/>
  <c r="W74" i="3" s="1"/>
  <c r="W73" i="3" s="1"/>
  <c r="W72" i="3" s="1"/>
  <c r="W71" i="3" s="1"/>
  <c r="W70" i="3" s="1"/>
  <c r="W69" i="3" s="1"/>
  <c r="W68" i="3" s="1"/>
  <c r="W67" i="3" s="1"/>
  <c r="W66" i="3" s="1"/>
  <c r="W65" i="3" s="1"/>
  <c r="W64" i="3" s="1"/>
  <c r="W63" i="3" s="1"/>
  <c r="W62" i="3" s="1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AE101" i="3"/>
  <c r="AE100" i="3"/>
  <c r="AE99" i="3" s="1"/>
  <c r="AE98" i="3" s="1"/>
  <c r="AE97" i="3" s="1"/>
  <c r="AE96" i="3" s="1"/>
  <c r="AE95" i="3" s="1"/>
  <c r="AE94" i="3" s="1"/>
  <c r="AE93" i="3" s="1"/>
  <c r="AE92" i="3" s="1"/>
  <c r="AE91" i="3" s="1"/>
  <c r="AE90" i="3" s="1"/>
  <c r="AE89" i="3" s="1"/>
  <c r="AE88" i="3" s="1"/>
  <c r="AE87" i="3" s="1"/>
  <c r="AE86" i="3" s="1"/>
  <c r="AE85" i="3" s="1"/>
  <c r="AE84" i="3" s="1"/>
  <c r="AE83" i="3" s="1"/>
  <c r="AE82" i="3" s="1"/>
  <c r="AE81" i="3" s="1"/>
  <c r="AE80" i="3" s="1"/>
  <c r="AE79" i="3" s="1"/>
  <c r="AE78" i="3" s="1"/>
  <c r="AE77" i="3" s="1"/>
  <c r="AE76" i="3" s="1"/>
  <c r="AE75" i="3" s="1"/>
  <c r="AE74" i="3" s="1"/>
  <c r="AE73" i="3" s="1"/>
  <c r="AE72" i="3" s="1"/>
  <c r="AE71" i="3" s="1"/>
  <c r="AE70" i="3" s="1"/>
  <c r="AE69" i="3" s="1"/>
  <c r="AE68" i="3" s="1"/>
  <c r="AE67" i="3" s="1"/>
  <c r="AE66" i="3" s="1"/>
  <c r="AE65" i="3" s="1"/>
  <c r="AE64" i="3" s="1"/>
  <c r="AE63" i="3" s="1"/>
  <c r="AE62" i="3" s="1"/>
  <c r="AE61" i="3" s="1"/>
  <c r="AE60" i="3" s="1"/>
  <c r="AE59" i="3" s="1"/>
  <c r="AE58" i="3" s="1"/>
  <c r="AE57" i="3" s="1"/>
  <c r="AE56" i="3" s="1"/>
  <c r="AE55" i="3" s="1"/>
  <c r="AE54" i="3" s="1"/>
  <c r="AE53" i="3" s="1"/>
  <c r="AE52" i="3" s="1"/>
  <c r="AE51" i="3" s="1"/>
  <c r="AE50" i="3" s="1"/>
  <c r="AE49" i="3" s="1"/>
  <c r="AE48" i="3" s="1"/>
  <c r="AE47" i="3" s="1"/>
  <c r="AE46" i="3" s="1"/>
  <c r="AE45" i="3" s="1"/>
  <c r="AE44" i="3" s="1"/>
  <c r="AE43" i="3" s="1"/>
  <c r="AE42" i="3" s="1"/>
  <c r="AE41" i="3" s="1"/>
  <c r="AE40" i="3" s="1"/>
  <c r="AE39" i="3" s="1"/>
  <c r="AE38" i="3" s="1"/>
  <c r="AE37" i="3" s="1"/>
  <c r="AE36" i="3" s="1"/>
  <c r="AE35" i="3" s="1"/>
  <c r="AF102" i="3"/>
  <c r="U101" i="3"/>
  <c r="S101" i="3"/>
  <c r="S100" i="3" s="1"/>
  <c r="S99" i="3" s="1"/>
  <c r="S98" i="3" s="1"/>
  <c r="S97" i="3" s="1"/>
  <c r="S96" i="3" s="1"/>
  <c r="S95" i="3" s="1"/>
  <c r="S94" i="3" s="1"/>
  <c r="S93" i="3" s="1"/>
  <c r="S92" i="3" s="1"/>
  <c r="S91" i="3" s="1"/>
  <c r="S90" i="3" s="1"/>
  <c r="S89" i="3" s="1"/>
  <c r="S88" i="3" s="1"/>
  <c r="S87" i="3" s="1"/>
  <c r="S86" i="3" s="1"/>
  <c r="S85" i="3" s="1"/>
  <c r="S84" i="3" s="1"/>
  <c r="S83" i="3" s="1"/>
  <c r="S82" i="3" s="1"/>
  <c r="S81" i="3" s="1"/>
  <c r="S80" i="3" s="1"/>
  <c r="S79" i="3" s="1"/>
  <c r="S78" i="3" s="1"/>
  <c r="S77" i="3" s="1"/>
  <c r="S76" i="3" s="1"/>
  <c r="S75" i="3" s="1"/>
  <c r="S74" i="3" s="1"/>
  <c r="S73" i="3" s="1"/>
  <c r="S72" i="3" s="1"/>
  <c r="S71" i="3" s="1"/>
  <c r="S70" i="3" s="1"/>
  <c r="S69" i="3" s="1"/>
  <c r="S68" i="3" s="1"/>
  <c r="S67" i="3" s="1"/>
  <c r="S66" i="3" s="1"/>
  <c r="S65" i="3" s="1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AA101" i="3"/>
  <c r="AA100" i="3" s="1"/>
  <c r="AA99" i="3" s="1"/>
  <c r="AA98" i="3" s="1"/>
  <c r="AA97" i="3" s="1"/>
  <c r="AA96" i="3" s="1"/>
  <c r="AA95" i="3" s="1"/>
  <c r="AA94" i="3" s="1"/>
  <c r="AA93" i="3" s="1"/>
  <c r="AA92" i="3" s="1"/>
  <c r="AA91" i="3" s="1"/>
  <c r="AA90" i="3" s="1"/>
  <c r="AA89" i="3" s="1"/>
  <c r="AA88" i="3" s="1"/>
  <c r="AA87" i="3" s="1"/>
  <c r="AA86" i="3" s="1"/>
  <c r="AA85" i="3" s="1"/>
  <c r="AA84" i="3" s="1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AA70" i="3" s="1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AA55" i="3" s="1"/>
  <c r="AA54" i="3" s="1"/>
  <c r="AA53" i="3" s="1"/>
  <c r="AA52" i="3" s="1"/>
  <c r="AA51" i="3" s="1"/>
  <c r="AA50" i="3" s="1"/>
  <c r="AA49" i="3" s="1"/>
  <c r="AA48" i="3" s="1"/>
  <c r="AA47" i="3" s="1"/>
  <c r="AA46" i="3" s="1"/>
  <c r="AA45" i="3" s="1"/>
  <c r="AA44" i="3" s="1"/>
  <c r="AA43" i="3" s="1"/>
  <c r="AA42" i="3" s="1"/>
  <c r="AA41" i="3" s="1"/>
  <c r="AA40" i="3" s="1"/>
  <c r="Y101" i="3"/>
  <c r="Y100" i="3" s="1"/>
  <c r="Y99" i="3" s="1"/>
  <c r="Y98" i="3" s="1"/>
  <c r="Y97" i="3" s="1"/>
  <c r="Y96" i="3" s="1"/>
  <c r="Y95" i="3" s="1"/>
  <c r="Y94" i="3" s="1"/>
  <c r="Y93" i="3" s="1"/>
  <c r="Y92" i="3" s="1"/>
  <c r="Y91" i="3" s="1"/>
  <c r="Y90" i="3" s="1"/>
  <c r="Y89" i="3" s="1"/>
  <c r="Y88" i="3" s="1"/>
  <c r="Y87" i="3" s="1"/>
  <c r="Y86" i="3" s="1"/>
  <c r="Y85" i="3" s="1"/>
  <c r="Y84" i="3" s="1"/>
  <c r="Y83" i="3" s="1"/>
  <c r="Y82" i="3" s="1"/>
  <c r="Y81" i="3" s="1"/>
  <c r="Y80" i="3" s="1"/>
  <c r="Y79" i="3" s="1"/>
  <c r="Y78" i="3" s="1"/>
  <c r="Y77" i="3" s="1"/>
  <c r="Y76" i="3" s="1"/>
  <c r="Y75" i="3" s="1"/>
  <c r="Y74" i="3" s="1"/>
  <c r="Y73" i="3" s="1"/>
  <c r="Y72" i="3" s="1"/>
  <c r="Y71" i="3" s="1"/>
  <c r="Y70" i="3" s="1"/>
  <c r="Y69" i="3" s="1"/>
  <c r="Y68" i="3" s="1"/>
  <c r="Y67" i="3" s="1"/>
  <c r="Y66" i="3" s="1"/>
  <c r="Y65" i="3" s="1"/>
  <c r="Y64" i="3" s="1"/>
  <c r="Y63" i="3" s="1"/>
  <c r="Y62" i="3" s="1"/>
  <c r="Y61" i="3" s="1"/>
  <c r="Y60" i="3" s="1"/>
  <c r="Y59" i="3" s="1"/>
  <c r="Y58" i="3" s="1"/>
  <c r="Y57" i="3" s="1"/>
  <c r="Y56" i="3" s="1"/>
  <c r="Y55" i="3" s="1"/>
  <c r="Y54" i="3" s="1"/>
  <c r="Y53" i="3" s="1"/>
  <c r="Y52" i="3" s="1"/>
  <c r="Y51" i="3" s="1"/>
  <c r="Y50" i="3" s="1"/>
  <c r="Y49" i="3" s="1"/>
  <c r="Y48" i="3" s="1"/>
  <c r="Y47" i="3" s="1"/>
  <c r="Y46" i="3" s="1"/>
  <c r="Y45" i="3" s="1"/>
  <c r="Y44" i="3" s="1"/>
  <c r="Y43" i="3" s="1"/>
  <c r="Y42" i="3" s="1"/>
  <c r="Y41" i="3" s="1"/>
  <c r="Y40" i="3" s="1"/>
  <c r="Y39" i="3" s="1"/>
  <c r="Y38" i="3" s="1"/>
  <c r="Y37" i="3" s="1"/>
  <c r="Y36" i="3" s="1"/>
  <c r="Y35" i="3" s="1"/>
  <c r="I4" i="3"/>
  <c r="N17" i="5"/>
  <c r="R17" i="5"/>
  <c r="M7" i="5"/>
  <c r="R7" i="5" s="1"/>
  <c r="P20" i="5"/>
  <c r="P21" i="5"/>
  <c r="P22" i="5"/>
  <c r="P19" i="5"/>
  <c r="P10" i="5"/>
  <c r="P11" i="5"/>
  <c r="P12" i="5"/>
  <c r="P13" i="5"/>
  <c r="Q13" i="5" s="1"/>
  <c r="P14" i="5"/>
  <c r="P15" i="5"/>
  <c r="P16" i="5"/>
  <c r="P17" i="5"/>
  <c r="Q17" i="5" s="1"/>
  <c r="P18" i="5"/>
  <c r="P9" i="5"/>
  <c r="M18" i="5"/>
  <c r="M19" i="5"/>
  <c r="R19" i="5" s="1"/>
  <c r="M20" i="5"/>
  <c r="R20" i="5" s="1"/>
  <c r="M21" i="5"/>
  <c r="R21" i="5" s="1"/>
  <c r="N21" i="5" s="1"/>
  <c r="M22" i="5"/>
  <c r="M17" i="5"/>
  <c r="M8" i="5"/>
  <c r="R8" i="5" s="1"/>
  <c r="N8" i="5" s="1"/>
  <c r="M9" i="5"/>
  <c r="R9" i="5" s="1"/>
  <c r="N9" i="5" s="1"/>
  <c r="M11" i="5"/>
  <c r="R11" i="5" s="1"/>
  <c r="N11" i="5" s="1"/>
  <c r="M12" i="5"/>
  <c r="R12" i="5" s="1"/>
  <c r="N12" i="5" s="1"/>
  <c r="M13" i="5"/>
  <c r="R13" i="5" s="1"/>
  <c r="N13" i="5" s="1"/>
  <c r="M14" i="5"/>
  <c r="M15" i="5"/>
  <c r="R15" i="5" s="1"/>
  <c r="N15" i="5" s="1"/>
  <c r="M16" i="5"/>
  <c r="R16" i="5" s="1"/>
  <c r="N16" i="5" s="1"/>
  <c r="U100" i="3" l="1"/>
  <c r="AF101" i="3"/>
  <c r="N14" i="5"/>
  <c r="N22" i="5"/>
  <c r="Q16" i="5"/>
  <c r="Q12" i="5"/>
  <c r="Q22" i="5"/>
  <c r="N20" i="5"/>
  <c r="Q20" i="5"/>
  <c r="N19" i="5"/>
  <c r="Q19" i="5"/>
  <c r="Q9" i="5"/>
  <c r="Q15" i="5"/>
  <c r="Q11" i="5"/>
  <c r="Q21" i="5"/>
  <c r="R22" i="5"/>
  <c r="R18" i="5"/>
  <c r="N18" i="5" s="1"/>
  <c r="R14" i="5"/>
  <c r="Q14" i="5" s="1"/>
  <c r="R10" i="5"/>
  <c r="Q10" i="5" s="1"/>
  <c r="N10" i="5" l="1"/>
  <c r="U99" i="3"/>
  <c r="AF100" i="3"/>
  <c r="Q18" i="5"/>
  <c r="G1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3" i="1"/>
  <c r="L132" i="3"/>
  <c r="M132" i="3"/>
  <c r="N132" i="3"/>
  <c r="K132" i="3"/>
  <c r="U98" i="3" l="1"/>
  <c r="AF99" i="3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U97" i="3" l="1"/>
  <c r="AF98" i="3"/>
  <c r="J132" i="3"/>
  <c r="F132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0" i="3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B68" i="2"/>
  <c r="B69" i="2"/>
  <c r="B72" i="2"/>
  <c r="B73" i="2"/>
  <c r="B76" i="2"/>
  <c r="B77" i="2"/>
  <c r="B80" i="2"/>
  <c r="B81" i="2"/>
  <c r="B84" i="2"/>
  <c r="B85" i="2"/>
  <c r="B88" i="2"/>
  <c r="B89" i="2"/>
  <c r="B92" i="2"/>
  <c r="B93" i="2"/>
  <c r="B96" i="2"/>
  <c r="B97" i="2"/>
  <c r="B100" i="2"/>
  <c r="B101" i="2"/>
  <c r="B104" i="2"/>
  <c r="B105" i="2"/>
  <c r="B108" i="2"/>
  <c r="B109" i="2"/>
  <c r="B112" i="2"/>
  <c r="B113" i="2"/>
  <c r="B116" i="2"/>
  <c r="B117" i="2"/>
  <c r="B120" i="2"/>
  <c r="B121" i="2"/>
  <c r="B124" i="2"/>
  <c r="B125" i="2"/>
  <c r="B66" i="2"/>
  <c r="B67" i="2"/>
  <c r="B70" i="2"/>
  <c r="B71" i="2"/>
  <c r="B74" i="2"/>
  <c r="B75" i="2"/>
  <c r="B78" i="2"/>
  <c r="B79" i="2"/>
  <c r="B82" i="2"/>
  <c r="B83" i="2"/>
  <c r="B86" i="2"/>
  <c r="B87" i="2"/>
  <c r="B90" i="2"/>
  <c r="B91" i="2"/>
  <c r="B94" i="2"/>
  <c r="B95" i="2"/>
  <c r="B98" i="2"/>
  <c r="B99" i="2"/>
  <c r="B102" i="2"/>
  <c r="B103" i="2"/>
  <c r="B106" i="2"/>
  <c r="B107" i="2"/>
  <c r="B110" i="2"/>
  <c r="B111" i="2"/>
  <c r="B114" i="2"/>
  <c r="B115" i="2"/>
  <c r="B118" i="2"/>
  <c r="B119" i="2"/>
  <c r="B122" i="2"/>
  <c r="B123" i="2"/>
  <c r="B126" i="2"/>
  <c r="C66" i="2"/>
  <c r="C67" i="2"/>
  <c r="C69" i="2"/>
  <c r="C70" i="2"/>
  <c r="C71" i="2"/>
  <c r="C73" i="2"/>
  <c r="C74" i="2"/>
  <c r="C75" i="2"/>
  <c r="C77" i="2"/>
  <c r="C78" i="2"/>
  <c r="C79" i="2"/>
  <c r="C81" i="2"/>
  <c r="C82" i="2"/>
  <c r="C83" i="2"/>
  <c r="C85" i="2"/>
  <c r="C86" i="2"/>
  <c r="C87" i="2"/>
  <c r="C89" i="2"/>
  <c r="C90" i="2"/>
  <c r="C91" i="2"/>
  <c r="C93" i="2"/>
  <c r="C94" i="2"/>
  <c r="C95" i="2"/>
  <c r="C97" i="2"/>
  <c r="C98" i="2"/>
  <c r="C99" i="2"/>
  <c r="C101" i="2"/>
  <c r="C102" i="2"/>
  <c r="C103" i="2"/>
  <c r="C105" i="2"/>
  <c r="C106" i="2"/>
  <c r="C107" i="2"/>
  <c r="C109" i="2"/>
  <c r="C110" i="2"/>
  <c r="C111" i="2"/>
  <c r="C113" i="2"/>
  <c r="C114" i="2"/>
  <c r="C115" i="2"/>
  <c r="C117" i="2"/>
  <c r="C118" i="2"/>
  <c r="C119" i="2"/>
  <c r="C121" i="2"/>
  <c r="C122" i="2"/>
  <c r="C123" i="2"/>
  <c r="C125" i="2"/>
  <c r="C126" i="2"/>
  <c r="U96" i="3" l="1"/>
  <c r="AF97" i="3"/>
  <c r="P10" i="3"/>
  <c r="C10" i="3"/>
  <c r="L127" i="3"/>
  <c r="K127" i="3"/>
  <c r="M127" i="3"/>
  <c r="N127" i="3"/>
  <c r="L119" i="3"/>
  <c r="K119" i="3"/>
  <c r="M119" i="3"/>
  <c r="N119" i="3"/>
  <c r="L111" i="3"/>
  <c r="K111" i="3"/>
  <c r="M111" i="3"/>
  <c r="N111" i="3"/>
  <c r="L103" i="3"/>
  <c r="K103" i="3"/>
  <c r="M103" i="3"/>
  <c r="N103" i="3"/>
  <c r="M130" i="3"/>
  <c r="N130" i="3"/>
  <c r="K130" i="3"/>
  <c r="L130" i="3"/>
  <c r="M126" i="3"/>
  <c r="N126" i="3"/>
  <c r="L126" i="3"/>
  <c r="K126" i="3"/>
  <c r="M122" i="3"/>
  <c r="N122" i="3"/>
  <c r="K122" i="3"/>
  <c r="L122" i="3"/>
  <c r="M118" i="3"/>
  <c r="N118" i="3"/>
  <c r="L118" i="3"/>
  <c r="K118" i="3"/>
  <c r="M114" i="3"/>
  <c r="N114" i="3"/>
  <c r="K114" i="3"/>
  <c r="L114" i="3"/>
  <c r="M110" i="3"/>
  <c r="N110" i="3"/>
  <c r="L110" i="3"/>
  <c r="K110" i="3"/>
  <c r="M106" i="3"/>
  <c r="N106" i="3"/>
  <c r="L106" i="3"/>
  <c r="K106" i="3"/>
  <c r="M102" i="3"/>
  <c r="N102" i="3"/>
  <c r="L102" i="3"/>
  <c r="K102" i="3"/>
  <c r="L131" i="3"/>
  <c r="K131" i="3"/>
  <c r="M131" i="3"/>
  <c r="N131" i="3"/>
  <c r="L123" i="3"/>
  <c r="K123" i="3"/>
  <c r="M123" i="3"/>
  <c r="N123" i="3"/>
  <c r="L115" i="3"/>
  <c r="K115" i="3"/>
  <c r="M115" i="3"/>
  <c r="N115" i="3"/>
  <c r="L107" i="3"/>
  <c r="K107" i="3"/>
  <c r="M107" i="3"/>
  <c r="N107" i="3"/>
  <c r="L129" i="3"/>
  <c r="M129" i="3"/>
  <c r="K129" i="3"/>
  <c r="N129" i="3"/>
  <c r="L125" i="3"/>
  <c r="M125" i="3"/>
  <c r="K125" i="3"/>
  <c r="N125" i="3"/>
  <c r="L121" i="3"/>
  <c r="M121" i="3"/>
  <c r="K121" i="3"/>
  <c r="N121" i="3"/>
  <c r="L117" i="3"/>
  <c r="M117" i="3"/>
  <c r="K117" i="3"/>
  <c r="N117" i="3"/>
  <c r="L113" i="3"/>
  <c r="M113" i="3"/>
  <c r="K113" i="3"/>
  <c r="N113" i="3"/>
  <c r="L109" i="3"/>
  <c r="M109" i="3"/>
  <c r="K109" i="3"/>
  <c r="N109" i="3"/>
  <c r="L105" i="3"/>
  <c r="M105" i="3"/>
  <c r="K105" i="3"/>
  <c r="N105" i="3"/>
  <c r="L101" i="3"/>
  <c r="M101" i="3"/>
  <c r="K101" i="3"/>
  <c r="N101" i="3"/>
  <c r="M128" i="3"/>
  <c r="L128" i="3"/>
  <c r="N128" i="3"/>
  <c r="K128" i="3"/>
  <c r="M124" i="3"/>
  <c r="L124" i="3"/>
  <c r="N124" i="3"/>
  <c r="K124" i="3"/>
  <c r="M120" i="3"/>
  <c r="L120" i="3"/>
  <c r="N120" i="3"/>
  <c r="K120" i="3"/>
  <c r="M116" i="3"/>
  <c r="L116" i="3"/>
  <c r="N116" i="3"/>
  <c r="K116" i="3"/>
  <c r="M112" i="3"/>
  <c r="L112" i="3"/>
  <c r="N112" i="3"/>
  <c r="K112" i="3"/>
  <c r="M108" i="3"/>
  <c r="L108" i="3"/>
  <c r="N108" i="3"/>
  <c r="K108" i="3"/>
  <c r="M104" i="3"/>
  <c r="L104" i="3"/>
  <c r="N104" i="3"/>
  <c r="K104" i="3"/>
  <c r="H48" i="3"/>
  <c r="I130" i="3"/>
  <c r="I126" i="3"/>
  <c r="I122" i="3"/>
  <c r="H110" i="3"/>
  <c r="H106" i="3"/>
  <c r="H98" i="3"/>
  <c r="H94" i="3"/>
  <c r="H90" i="3"/>
  <c r="I86" i="3"/>
  <c r="H82" i="3"/>
  <c r="G78" i="3"/>
  <c r="G74" i="3"/>
  <c r="G70" i="3"/>
  <c r="G66" i="3"/>
  <c r="G62" i="3"/>
  <c r="G58" i="3"/>
  <c r="G54" i="3"/>
  <c r="G50" i="3"/>
  <c r="G46" i="3"/>
  <c r="G42" i="3"/>
  <c r="I38" i="3"/>
  <c r="G34" i="3"/>
  <c r="G30" i="3"/>
  <c r="G26" i="3"/>
  <c r="G22" i="3"/>
  <c r="G18" i="3"/>
  <c r="G14" i="3"/>
  <c r="G61" i="3"/>
  <c r="H57" i="3"/>
  <c r="I53" i="3"/>
  <c r="G33" i="3"/>
  <c r="G29" i="3"/>
  <c r="G25" i="3"/>
  <c r="G21" i="3"/>
  <c r="G17" i="3"/>
  <c r="G13" i="3"/>
  <c r="G100" i="3"/>
  <c r="H64" i="3"/>
  <c r="G52" i="3"/>
  <c r="G36" i="3"/>
  <c r="G32" i="3"/>
  <c r="G28" i="3"/>
  <c r="G24" i="3"/>
  <c r="G20" i="3"/>
  <c r="G16" i="3"/>
  <c r="G12" i="3"/>
  <c r="F130" i="3"/>
  <c r="F126" i="3"/>
  <c r="J122" i="3"/>
  <c r="G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G39" i="3"/>
  <c r="G35" i="3"/>
  <c r="G31" i="3"/>
  <c r="G27" i="3"/>
  <c r="G23" i="3"/>
  <c r="G19" i="3"/>
  <c r="G15" i="3"/>
  <c r="G11" i="3"/>
  <c r="G126" i="3"/>
  <c r="H78" i="3"/>
  <c r="J118" i="3"/>
  <c r="I132" i="3"/>
  <c r="I118" i="3"/>
  <c r="I71" i="3"/>
  <c r="G38" i="3"/>
  <c r="G107" i="3"/>
  <c r="H122" i="3"/>
  <c r="G103" i="3"/>
  <c r="I42" i="3"/>
  <c r="G130" i="3"/>
  <c r="H114" i="3"/>
  <c r="I90" i="3"/>
  <c r="H66" i="3"/>
  <c r="H131" i="3"/>
  <c r="H127" i="3"/>
  <c r="I124" i="3"/>
  <c r="H121" i="3"/>
  <c r="I117" i="3"/>
  <c r="H112" i="3"/>
  <c r="I106" i="3"/>
  <c r="I102" i="3"/>
  <c r="I94" i="3"/>
  <c r="I83" i="3"/>
  <c r="G75" i="3"/>
  <c r="G71" i="3"/>
  <c r="G59" i="3"/>
  <c r="I55" i="3"/>
  <c r="I46" i="3"/>
  <c r="H42" i="3"/>
  <c r="J106" i="3"/>
  <c r="G131" i="3"/>
  <c r="G127" i="3"/>
  <c r="G123" i="3"/>
  <c r="I119" i="3"/>
  <c r="G116" i="3"/>
  <c r="I110" i="3"/>
  <c r="I87" i="3"/>
  <c r="I74" i="3"/>
  <c r="I70" i="3"/>
  <c r="I62" i="3"/>
  <c r="I58" i="3"/>
  <c r="G55" i="3"/>
  <c r="I51" i="3"/>
  <c r="H46" i="3"/>
  <c r="I39" i="3"/>
  <c r="J102" i="3"/>
  <c r="I115" i="3"/>
  <c r="I103" i="3"/>
  <c r="I99" i="3"/>
  <c r="G91" i="3"/>
  <c r="G87" i="3"/>
  <c r="I78" i="3"/>
  <c r="H74" i="3"/>
  <c r="I67" i="3"/>
  <c r="H62" i="3"/>
  <c r="H58" i="3"/>
  <c r="I54" i="3"/>
  <c r="H50" i="3"/>
  <c r="G43" i="3"/>
  <c r="F128" i="3"/>
  <c r="G129" i="3"/>
  <c r="H129" i="3"/>
  <c r="I129" i="3"/>
  <c r="F124" i="3"/>
  <c r="J124" i="3"/>
  <c r="G125" i="3"/>
  <c r="H125" i="3"/>
  <c r="I125" i="3"/>
  <c r="F120" i="3"/>
  <c r="I121" i="3"/>
  <c r="J120" i="3"/>
  <c r="G121" i="3"/>
  <c r="F116" i="3"/>
  <c r="G117" i="3"/>
  <c r="J116" i="3"/>
  <c r="H117" i="3"/>
  <c r="G113" i="3"/>
  <c r="H113" i="3"/>
  <c r="I113" i="3"/>
  <c r="J108" i="3"/>
  <c r="H109" i="3"/>
  <c r="I109" i="3"/>
  <c r="I105" i="3"/>
  <c r="J104" i="3"/>
  <c r="G105" i="3"/>
  <c r="G101" i="3"/>
  <c r="H101" i="3"/>
  <c r="G97" i="3"/>
  <c r="H97" i="3"/>
  <c r="I97" i="3"/>
  <c r="H93" i="3"/>
  <c r="I93" i="3"/>
  <c r="I89" i="3"/>
  <c r="G89" i="3"/>
  <c r="G85" i="3"/>
  <c r="H85" i="3"/>
  <c r="G81" i="3"/>
  <c r="H81" i="3"/>
  <c r="I81" i="3"/>
  <c r="H77" i="3"/>
  <c r="I77" i="3"/>
  <c r="I73" i="3"/>
  <c r="G73" i="3"/>
  <c r="G69" i="3"/>
  <c r="H69" i="3"/>
  <c r="G65" i="3"/>
  <c r="H65" i="3"/>
  <c r="I65" i="3"/>
  <c r="H61" i="3"/>
  <c r="I61" i="3"/>
  <c r="I57" i="3"/>
  <c r="G57" i="3"/>
  <c r="G53" i="3"/>
  <c r="H53" i="3"/>
  <c r="G49" i="3"/>
  <c r="H49" i="3"/>
  <c r="I49" i="3"/>
  <c r="H45" i="3"/>
  <c r="I45" i="3"/>
  <c r="I41" i="3"/>
  <c r="G41" i="3"/>
  <c r="G37" i="3"/>
  <c r="I37" i="3"/>
  <c r="G77" i="3"/>
  <c r="H73" i="3"/>
  <c r="I69" i="3"/>
  <c r="J128" i="3"/>
  <c r="J112" i="3"/>
  <c r="F131" i="3"/>
  <c r="J131" i="3"/>
  <c r="G132" i="3"/>
  <c r="F127" i="3"/>
  <c r="G128" i="3"/>
  <c r="J127" i="3"/>
  <c r="H128" i="3"/>
  <c r="F123" i="3"/>
  <c r="G124" i="3"/>
  <c r="H124" i="3"/>
  <c r="F119" i="3"/>
  <c r="I120" i="3"/>
  <c r="J119" i="3"/>
  <c r="G120" i="3"/>
  <c r="H120" i="3"/>
  <c r="I116" i="3"/>
  <c r="H116" i="3"/>
  <c r="J115" i="3"/>
  <c r="I112" i="3"/>
  <c r="J111" i="3"/>
  <c r="G112" i="3"/>
  <c r="I108" i="3"/>
  <c r="G108" i="3"/>
  <c r="H108" i="3"/>
  <c r="I104" i="3"/>
  <c r="J103" i="3"/>
  <c r="G104" i="3"/>
  <c r="H104" i="3"/>
  <c r="I100" i="3"/>
  <c r="H100" i="3"/>
  <c r="I96" i="3"/>
  <c r="G96" i="3"/>
  <c r="I92" i="3"/>
  <c r="G92" i="3"/>
  <c r="H92" i="3"/>
  <c r="I88" i="3"/>
  <c r="G88" i="3"/>
  <c r="H88" i="3"/>
  <c r="I84" i="3"/>
  <c r="H84" i="3"/>
  <c r="I80" i="3"/>
  <c r="G80" i="3"/>
  <c r="I76" i="3"/>
  <c r="G76" i="3"/>
  <c r="H76" i="3"/>
  <c r="I72" i="3"/>
  <c r="G72" i="3"/>
  <c r="H72" i="3"/>
  <c r="I68" i="3"/>
  <c r="H68" i="3"/>
  <c r="I64" i="3"/>
  <c r="G64" i="3"/>
  <c r="I60" i="3"/>
  <c r="G60" i="3"/>
  <c r="H60" i="3"/>
  <c r="I56" i="3"/>
  <c r="G56" i="3"/>
  <c r="H56" i="3"/>
  <c r="I52" i="3"/>
  <c r="H52" i="3"/>
  <c r="I48" i="3"/>
  <c r="G48" i="3"/>
  <c r="I44" i="3"/>
  <c r="G44" i="3"/>
  <c r="H44" i="3"/>
  <c r="I40" i="3"/>
  <c r="G40" i="3"/>
  <c r="H40" i="3"/>
  <c r="H132" i="3"/>
  <c r="G93" i="3"/>
  <c r="H89" i="3"/>
  <c r="I85" i="3"/>
  <c r="H80" i="3"/>
  <c r="G68" i="3"/>
  <c r="J123" i="3"/>
  <c r="J107" i="3"/>
  <c r="I128" i="3"/>
  <c r="G109" i="3"/>
  <c r="H105" i="3"/>
  <c r="I101" i="3"/>
  <c r="H96" i="3"/>
  <c r="G84" i="3"/>
  <c r="G45" i="3"/>
  <c r="H41" i="3"/>
  <c r="I36" i="3"/>
  <c r="F122" i="3"/>
  <c r="H123" i="3"/>
  <c r="F118" i="3"/>
  <c r="H119" i="3"/>
  <c r="G115" i="3"/>
  <c r="I111" i="3"/>
  <c r="G99" i="3"/>
  <c r="I95" i="3"/>
  <c r="G83" i="3"/>
  <c r="I79" i="3"/>
  <c r="G67" i="3"/>
  <c r="I63" i="3"/>
  <c r="G51" i="3"/>
  <c r="I47" i="3"/>
  <c r="I35" i="3"/>
  <c r="J126" i="3"/>
  <c r="J110" i="3"/>
  <c r="F129" i="3"/>
  <c r="J129" i="3"/>
  <c r="F125" i="3"/>
  <c r="J125" i="3"/>
  <c r="F121" i="3"/>
  <c r="J121" i="3"/>
  <c r="G122" i="3"/>
  <c r="F117" i="3"/>
  <c r="J117" i="3"/>
  <c r="G118" i="3"/>
  <c r="J113" i="3"/>
  <c r="G114" i="3"/>
  <c r="J109" i="3"/>
  <c r="G110" i="3"/>
  <c r="J105" i="3"/>
  <c r="G106" i="3"/>
  <c r="J101" i="3"/>
  <c r="G102" i="3"/>
  <c r="G98" i="3"/>
  <c r="G94" i="3"/>
  <c r="G90" i="3"/>
  <c r="G86" i="3"/>
  <c r="G82" i="3"/>
  <c r="I131" i="3"/>
  <c r="H130" i="3"/>
  <c r="I127" i="3"/>
  <c r="H126" i="3"/>
  <c r="I123" i="3"/>
  <c r="H118" i="3"/>
  <c r="I114" i="3"/>
  <c r="G111" i="3"/>
  <c r="I107" i="3"/>
  <c r="H102" i="3"/>
  <c r="I98" i="3"/>
  <c r="G95" i="3"/>
  <c r="I91" i="3"/>
  <c r="H86" i="3"/>
  <c r="I82" i="3"/>
  <c r="G79" i="3"/>
  <c r="I75" i="3"/>
  <c r="H70" i="3"/>
  <c r="I66" i="3"/>
  <c r="G63" i="3"/>
  <c r="I59" i="3"/>
  <c r="H54" i="3"/>
  <c r="I50" i="3"/>
  <c r="G47" i="3"/>
  <c r="I43" i="3"/>
  <c r="J130" i="3"/>
  <c r="J114" i="3"/>
  <c r="G10" i="3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U95" i="3" l="1"/>
  <c r="AF96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C67" i="3"/>
  <c r="C83" i="3"/>
  <c r="C99" i="3"/>
  <c r="C115" i="3"/>
  <c r="C131" i="3"/>
  <c r="B10" i="3"/>
  <c r="B12" i="3"/>
  <c r="B13" i="3"/>
  <c r="B14" i="3"/>
  <c r="B16" i="3"/>
  <c r="B17" i="3"/>
  <c r="B18" i="3"/>
  <c r="B20" i="3"/>
  <c r="B21" i="3"/>
  <c r="B22" i="3"/>
  <c r="B24" i="3"/>
  <c r="B25" i="3"/>
  <c r="B26" i="3"/>
  <c r="B28" i="3"/>
  <c r="B29" i="3"/>
  <c r="B30" i="3"/>
  <c r="B32" i="3"/>
  <c r="B33" i="3"/>
  <c r="B34" i="3"/>
  <c r="B36" i="3"/>
  <c r="B37" i="3"/>
  <c r="B38" i="3"/>
  <c r="B40" i="3"/>
  <c r="B41" i="3"/>
  <c r="B42" i="3"/>
  <c r="B44" i="3"/>
  <c r="B45" i="3"/>
  <c r="B46" i="3"/>
  <c r="B48" i="3"/>
  <c r="B49" i="3"/>
  <c r="B50" i="3"/>
  <c r="B52" i="3"/>
  <c r="B53" i="3"/>
  <c r="B54" i="3"/>
  <c r="B56" i="3"/>
  <c r="B57" i="3"/>
  <c r="B58" i="3"/>
  <c r="B60" i="3"/>
  <c r="B61" i="3"/>
  <c r="B62" i="3"/>
  <c r="B64" i="3"/>
  <c r="B65" i="3"/>
  <c r="B66" i="3"/>
  <c r="B68" i="3"/>
  <c r="B69" i="3"/>
  <c r="B70" i="3"/>
  <c r="B72" i="3"/>
  <c r="B73" i="3"/>
  <c r="B74" i="3"/>
  <c r="B76" i="3"/>
  <c r="B77" i="3"/>
  <c r="B78" i="3"/>
  <c r="C79" i="3"/>
  <c r="B80" i="3"/>
  <c r="B81" i="3"/>
  <c r="B82" i="3"/>
  <c r="B84" i="3"/>
  <c r="B85" i="3"/>
  <c r="B86" i="3"/>
  <c r="B88" i="3"/>
  <c r="B89" i="3"/>
  <c r="B90" i="3"/>
  <c r="B92" i="3"/>
  <c r="B93" i="3"/>
  <c r="B94" i="3"/>
  <c r="C95" i="3"/>
  <c r="B96" i="3"/>
  <c r="B97" i="3"/>
  <c r="B98" i="3"/>
  <c r="B100" i="3"/>
  <c r="B101" i="3"/>
  <c r="B102" i="3"/>
  <c r="B104" i="3"/>
  <c r="B105" i="3"/>
  <c r="B106" i="3"/>
  <c r="B108" i="3"/>
  <c r="B109" i="3"/>
  <c r="B110" i="3"/>
  <c r="C111" i="3"/>
  <c r="B112" i="3"/>
  <c r="B113" i="3"/>
  <c r="B114" i="3"/>
  <c r="B116" i="3"/>
  <c r="B117" i="3"/>
  <c r="B118" i="3"/>
  <c r="B120" i="3"/>
  <c r="B121" i="3"/>
  <c r="B122" i="3"/>
  <c r="C123" i="3"/>
  <c r="B124" i="3"/>
  <c r="B125" i="3"/>
  <c r="B126" i="3"/>
  <c r="B128" i="3"/>
  <c r="B129" i="3"/>
  <c r="B130" i="3"/>
  <c r="B132" i="3"/>
  <c r="C4" i="1"/>
  <c r="C5" i="1"/>
  <c r="C6" i="2" s="1"/>
  <c r="C6" i="1"/>
  <c r="C7" i="1"/>
  <c r="C7" i="2" s="1"/>
  <c r="C8" i="1"/>
  <c r="C9" i="1"/>
  <c r="C8" i="2" s="1"/>
  <c r="C10" i="1"/>
  <c r="C11" i="1"/>
  <c r="C9" i="2" s="1"/>
  <c r="C12" i="1"/>
  <c r="C13" i="1"/>
  <c r="C10" i="2" s="1"/>
  <c r="C14" i="1"/>
  <c r="C15" i="1"/>
  <c r="C11" i="2" s="1"/>
  <c r="C16" i="1"/>
  <c r="C17" i="1"/>
  <c r="C12" i="2" s="1"/>
  <c r="C18" i="1"/>
  <c r="C19" i="1"/>
  <c r="C13" i="2" s="1"/>
  <c r="C20" i="1"/>
  <c r="C21" i="1"/>
  <c r="C14" i="2" s="1"/>
  <c r="C22" i="1"/>
  <c r="C23" i="1"/>
  <c r="C15" i="2" s="1"/>
  <c r="C24" i="1"/>
  <c r="C25" i="1"/>
  <c r="C16" i="2" s="1"/>
  <c r="C26" i="1"/>
  <c r="C27" i="1"/>
  <c r="C17" i="2" s="1"/>
  <c r="C28" i="1"/>
  <c r="C29" i="1"/>
  <c r="C18" i="2" s="1"/>
  <c r="C30" i="1"/>
  <c r="C31" i="1"/>
  <c r="C19" i="2" s="1"/>
  <c r="C32" i="1"/>
  <c r="C33" i="1"/>
  <c r="C20" i="2" s="1"/>
  <c r="C34" i="1"/>
  <c r="C35" i="1"/>
  <c r="C21" i="2" s="1"/>
  <c r="C36" i="1"/>
  <c r="C37" i="1"/>
  <c r="C22" i="2" s="1"/>
  <c r="C38" i="1"/>
  <c r="C39" i="1"/>
  <c r="C23" i="2" s="1"/>
  <c r="C40" i="1"/>
  <c r="C41" i="1"/>
  <c r="C24" i="2" s="1"/>
  <c r="C42" i="1"/>
  <c r="C43" i="1"/>
  <c r="C25" i="2" s="1"/>
  <c r="C44" i="1"/>
  <c r="C45" i="1"/>
  <c r="C26" i="2" s="1"/>
  <c r="C46" i="1"/>
  <c r="C47" i="1"/>
  <c r="C27" i="2" s="1"/>
  <c r="C48" i="1"/>
  <c r="C49" i="1"/>
  <c r="C28" i="2" s="1"/>
  <c r="C50" i="1"/>
  <c r="C51" i="1"/>
  <c r="C29" i="2" s="1"/>
  <c r="C52" i="1"/>
  <c r="C53" i="1"/>
  <c r="C30" i="2" s="1"/>
  <c r="C54" i="1"/>
  <c r="C55" i="1"/>
  <c r="C31" i="2" s="1"/>
  <c r="C56" i="1"/>
  <c r="C57" i="1"/>
  <c r="C32" i="2" s="1"/>
  <c r="C58" i="1"/>
  <c r="C59" i="1"/>
  <c r="C33" i="2" s="1"/>
  <c r="C60" i="1"/>
  <c r="C61" i="1"/>
  <c r="C34" i="2" s="1"/>
  <c r="C62" i="1"/>
  <c r="C63" i="1"/>
  <c r="C35" i="2" s="1"/>
  <c r="C64" i="1"/>
  <c r="C65" i="1"/>
  <c r="C36" i="2" s="1"/>
  <c r="C66" i="1"/>
  <c r="C67" i="1"/>
  <c r="C37" i="2" s="1"/>
  <c r="C68" i="1"/>
  <c r="C69" i="1"/>
  <c r="C38" i="2" s="1"/>
  <c r="C70" i="1"/>
  <c r="C71" i="1"/>
  <c r="C39" i="2" s="1"/>
  <c r="C72" i="1"/>
  <c r="C73" i="1"/>
  <c r="C40" i="2" s="1"/>
  <c r="C74" i="1"/>
  <c r="C75" i="1"/>
  <c r="C41" i="2" s="1"/>
  <c r="C76" i="1"/>
  <c r="C77" i="1"/>
  <c r="C42" i="2" s="1"/>
  <c r="C78" i="1"/>
  <c r="C79" i="1"/>
  <c r="C43" i="2" s="1"/>
  <c r="C80" i="1"/>
  <c r="C81" i="1"/>
  <c r="C44" i="2" s="1"/>
  <c r="C82" i="1"/>
  <c r="C83" i="1"/>
  <c r="C45" i="2" s="1"/>
  <c r="C84" i="1"/>
  <c r="C85" i="1"/>
  <c r="C46" i="2" s="1"/>
  <c r="C86" i="1"/>
  <c r="C87" i="1"/>
  <c r="C47" i="2" s="1"/>
  <c r="C88" i="1"/>
  <c r="C89" i="1"/>
  <c r="C48" i="2" s="1"/>
  <c r="C90" i="1"/>
  <c r="C91" i="1"/>
  <c r="C49" i="2" s="1"/>
  <c r="C92" i="1"/>
  <c r="C93" i="1"/>
  <c r="C50" i="2" s="1"/>
  <c r="C94" i="1"/>
  <c r="C95" i="1"/>
  <c r="C51" i="2" s="1"/>
  <c r="C96" i="1"/>
  <c r="C97" i="1"/>
  <c r="C52" i="2" s="1"/>
  <c r="C98" i="1"/>
  <c r="C99" i="1"/>
  <c r="C53" i="2" s="1"/>
  <c r="C100" i="1"/>
  <c r="C101" i="1"/>
  <c r="C54" i="2" s="1"/>
  <c r="C102" i="1"/>
  <c r="C103" i="1"/>
  <c r="C55" i="2" s="1"/>
  <c r="C104" i="1"/>
  <c r="C105" i="1"/>
  <c r="C56" i="2" s="1"/>
  <c r="C106" i="1"/>
  <c r="C107" i="1"/>
  <c r="C57" i="2" s="1"/>
  <c r="C108" i="1"/>
  <c r="C109" i="1"/>
  <c r="C58" i="2" s="1"/>
  <c r="C110" i="1"/>
  <c r="C111" i="1"/>
  <c r="C59" i="2" s="1"/>
  <c r="C112" i="1"/>
  <c r="C113" i="1"/>
  <c r="C60" i="2" s="1"/>
  <c r="C114" i="1"/>
  <c r="C115" i="1"/>
  <c r="C61" i="2" s="1"/>
  <c r="C116" i="1"/>
  <c r="C117" i="1"/>
  <c r="C62" i="2" s="1"/>
  <c r="C118" i="1"/>
  <c r="C119" i="1"/>
  <c r="C63" i="2" s="1"/>
  <c r="C120" i="1"/>
  <c r="C121" i="1"/>
  <c r="C64" i="2" s="1"/>
  <c r="C122" i="1"/>
  <c r="C123" i="1"/>
  <c r="C65" i="2" s="1"/>
  <c r="C124" i="1"/>
  <c r="C3" i="1"/>
  <c r="C5" i="2" s="1"/>
  <c r="E6" i="2" s="1"/>
  <c r="E7" i="2" s="1"/>
  <c r="B4" i="1"/>
  <c r="B5" i="1"/>
  <c r="B6" i="2" s="1"/>
  <c r="B6" i="1"/>
  <c r="B7" i="1"/>
  <c r="B7" i="2" s="1"/>
  <c r="B8" i="1"/>
  <c r="B9" i="1"/>
  <c r="B8" i="2" s="1"/>
  <c r="B10" i="1"/>
  <c r="B11" i="1"/>
  <c r="B9" i="2" s="1"/>
  <c r="B12" i="1"/>
  <c r="B13" i="1"/>
  <c r="B10" i="2" s="1"/>
  <c r="B14" i="1"/>
  <c r="B15" i="1"/>
  <c r="B11" i="2" s="1"/>
  <c r="B16" i="1"/>
  <c r="B17" i="1"/>
  <c r="B12" i="2" s="1"/>
  <c r="B18" i="1"/>
  <c r="B19" i="1"/>
  <c r="B13" i="2" s="1"/>
  <c r="B20" i="1"/>
  <c r="B21" i="1"/>
  <c r="B14" i="2" s="1"/>
  <c r="B22" i="1"/>
  <c r="B23" i="1"/>
  <c r="B15" i="2" s="1"/>
  <c r="B24" i="1"/>
  <c r="B25" i="1"/>
  <c r="B16" i="2" s="1"/>
  <c r="B26" i="1"/>
  <c r="B27" i="1"/>
  <c r="B17" i="2" s="1"/>
  <c r="B28" i="1"/>
  <c r="B29" i="1"/>
  <c r="B18" i="2" s="1"/>
  <c r="B30" i="1"/>
  <c r="B31" i="1"/>
  <c r="B19" i="2" s="1"/>
  <c r="B32" i="1"/>
  <c r="B33" i="1"/>
  <c r="B20" i="2" s="1"/>
  <c r="B34" i="1"/>
  <c r="B35" i="1"/>
  <c r="B21" i="2" s="1"/>
  <c r="B36" i="1"/>
  <c r="B37" i="1"/>
  <c r="B22" i="2" s="1"/>
  <c r="B38" i="1"/>
  <c r="B39" i="1"/>
  <c r="B23" i="2" s="1"/>
  <c r="B40" i="1"/>
  <c r="B41" i="1"/>
  <c r="B24" i="2" s="1"/>
  <c r="B42" i="1"/>
  <c r="B43" i="1"/>
  <c r="B25" i="2" s="1"/>
  <c r="B44" i="1"/>
  <c r="B45" i="1"/>
  <c r="B26" i="2" s="1"/>
  <c r="B46" i="1"/>
  <c r="B47" i="1"/>
  <c r="B27" i="2" s="1"/>
  <c r="B48" i="1"/>
  <c r="B49" i="1"/>
  <c r="B28" i="2" s="1"/>
  <c r="B50" i="1"/>
  <c r="B51" i="1"/>
  <c r="B29" i="2" s="1"/>
  <c r="B52" i="1"/>
  <c r="B53" i="1"/>
  <c r="B30" i="2" s="1"/>
  <c r="B54" i="1"/>
  <c r="B55" i="1"/>
  <c r="B31" i="2" s="1"/>
  <c r="B56" i="1"/>
  <c r="B57" i="1"/>
  <c r="B32" i="2" s="1"/>
  <c r="B58" i="1"/>
  <c r="B59" i="1"/>
  <c r="B33" i="2" s="1"/>
  <c r="B60" i="1"/>
  <c r="B61" i="1"/>
  <c r="B34" i="2" s="1"/>
  <c r="B62" i="1"/>
  <c r="B63" i="1"/>
  <c r="B35" i="2" s="1"/>
  <c r="B64" i="1"/>
  <c r="B65" i="1"/>
  <c r="B36" i="2" s="1"/>
  <c r="B66" i="1"/>
  <c r="B67" i="1"/>
  <c r="B37" i="2" s="1"/>
  <c r="B68" i="1"/>
  <c r="B69" i="1"/>
  <c r="B38" i="2" s="1"/>
  <c r="B70" i="1"/>
  <c r="B71" i="1"/>
  <c r="B39" i="2" s="1"/>
  <c r="B72" i="1"/>
  <c r="B73" i="1"/>
  <c r="B40" i="2" s="1"/>
  <c r="B74" i="1"/>
  <c r="B75" i="1"/>
  <c r="B41" i="2" s="1"/>
  <c r="B76" i="1"/>
  <c r="B77" i="1"/>
  <c r="B42" i="2" s="1"/>
  <c r="B78" i="1"/>
  <c r="B79" i="1"/>
  <c r="B43" i="2" s="1"/>
  <c r="B80" i="1"/>
  <c r="B81" i="1"/>
  <c r="B44" i="2" s="1"/>
  <c r="B82" i="1"/>
  <c r="B83" i="1"/>
  <c r="B84" i="1"/>
  <c r="B85" i="1"/>
  <c r="B46" i="2" s="1"/>
  <c r="B86" i="1"/>
  <c r="B87" i="1"/>
  <c r="B47" i="2" s="1"/>
  <c r="B88" i="1"/>
  <c r="B89" i="1"/>
  <c r="B48" i="2" s="1"/>
  <c r="B90" i="1"/>
  <c r="B91" i="1"/>
  <c r="B49" i="2" s="1"/>
  <c r="B92" i="1"/>
  <c r="B93" i="1"/>
  <c r="B50" i="2" s="1"/>
  <c r="B94" i="1"/>
  <c r="B95" i="1"/>
  <c r="B51" i="2" s="1"/>
  <c r="B96" i="1"/>
  <c r="B97" i="1"/>
  <c r="B52" i="2" s="1"/>
  <c r="B98" i="1"/>
  <c r="B99" i="1"/>
  <c r="B53" i="2" s="1"/>
  <c r="B100" i="1"/>
  <c r="B101" i="1"/>
  <c r="B54" i="2" s="1"/>
  <c r="B102" i="1"/>
  <c r="B103" i="1"/>
  <c r="B55" i="2" s="1"/>
  <c r="B104" i="1"/>
  <c r="B105" i="1"/>
  <c r="B56" i="2" s="1"/>
  <c r="B106" i="1"/>
  <c r="B107" i="1"/>
  <c r="B57" i="2" s="1"/>
  <c r="B108" i="1"/>
  <c r="B109" i="1"/>
  <c r="B58" i="2" s="1"/>
  <c r="B110" i="1"/>
  <c r="B111" i="1"/>
  <c r="B59" i="2" s="1"/>
  <c r="B112" i="1"/>
  <c r="B113" i="1"/>
  <c r="B60" i="2" s="1"/>
  <c r="B114" i="1"/>
  <c r="B115" i="1"/>
  <c r="B61" i="2" s="1"/>
  <c r="B116" i="1"/>
  <c r="B117" i="1"/>
  <c r="B62" i="2" s="1"/>
  <c r="B118" i="1"/>
  <c r="B119" i="1"/>
  <c r="B120" i="1"/>
  <c r="B121" i="1"/>
  <c r="B64" i="2" s="1"/>
  <c r="B122" i="1"/>
  <c r="B123" i="1"/>
  <c r="B65" i="2" s="1"/>
  <c r="B124" i="1"/>
  <c r="B3" i="1"/>
  <c r="B1" i="2"/>
  <c r="B2" i="2"/>
  <c r="U94" i="3" l="1"/>
  <c r="AF95" i="3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G126" i="2" s="1"/>
  <c r="F5" i="2"/>
  <c r="G7" i="2"/>
  <c r="G5" i="2"/>
  <c r="B63" i="2"/>
  <c r="B45" i="2"/>
  <c r="B5" i="2"/>
  <c r="B127" i="3"/>
  <c r="E127" i="3"/>
  <c r="D127" i="3"/>
  <c r="B115" i="3"/>
  <c r="E115" i="3"/>
  <c r="D115" i="3"/>
  <c r="B103" i="3"/>
  <c r="E103" i="3"/>
  <c r="D103" i="3"/>
  <c r="B87" i="3"/>
  <c r="E87" i="3"/>
  <c r="D87" i="3"/>
  <c r="B75" i="3"/>
  <c r="E75" i="3"/>
  <c r="D75" i="3"/>
  <c r="B67" i="3"/>
  <c r="E67" i="3"/>
  <c r="D67" i="3"/>
  <c r="B59" i="3"/>
  <c r="E59" i="3"/>
  <c r="C59" i="3"/>
  <c r="D59" i="3"/>
  <c r="B47" i="3"/>
  <c r="E47" i="3"/>
  <c r="D47" i="3"/>
  <c r="C47" i="3"/>
  <c r="B39" i="3"/>
  <c r="E39" i="3"/>
  <c r="C39" i="3"/>
  <c r="B35" i="3"/>
  <c r="E35" i="3"/>
  <c r="C35" i="3"/>
  <c r="B31" i="3"/>
  <c r="C31" i="3"/>
  <c r="B19" i="3"/>
  <c r="C19" i="3"/>
  <c r="B15" i="3"/>
  <c r="C15" i="3"/>
  <c r="B11" i="3"/>
  <c r="C11" i="3"/>
  <c r="C127" i="3"/>
  <c r="B131" i="3"/>
  <c r="E131" i="3"/>
  <c r="D131" i="3"/>
  <c r="B119" i="3"/>
  <c r="E119" i="3"/>
  <c r="D119" i="3"/>
  <c r="B107" i="3"/>
  <c r="E107" i="3"/>
  <c r="D107" i="3"/>
  <c r="B99" i="3"/>
  <c r="E99" i="3"/>
  <c r="D99" i="3"/>
  <c r="B91" i="3"/>
  <c r="E91" i="3"/>
  <c r="D91" i="3"/>
  <c r="B79" i="3"/>
  <c r="E79" i="3"/>
  <c r="D79" i="3"/>
  <c r="B71" i="3"/>
  <c r="E71" i="3"/>
  <c r="D71" i="3"/>
  <c r="B63" i="3"/>
  <c r="E63" i="3"/>
  <c r="D63" i="3"/>
  <c r="C63" i="3"/>
  <c r="B51" i="3"/>
  <c r="E51" i="3"/>
  <c r="C51" i="3"/>
  <c r="D51" i="3"/>
  <c r="B43" i="3"/>
  <c r="E43" i="3"/>
  <c r="C43" i="3"/>
  <c r="D43" i="3"/>
  <c r="B27" i="3"/>
  <c r="C27" i="3"/>
  <c r="C107" i="3"/>
  <c r="C91" i="3"/>
  <c r="C75" i="3"/>
  <c r="B123" i="3"/>
  <c r="E123" i="3"/>
  <c r="D123" i="3"/>
  <c r="B111" i="3"/>
  <c r="E111" i="3"/>
  <c r="D111" i="3"/>
  <c r="B95" i="3"/>
  <c r="E95" i="3"/>
  <c r="D95" i="3"/>
  <c r="B83" i="3"/>
  <c r="E83" i="3"/>
  <c r="D83" i="3"/>
  <c r="B55" i="3"/>
  <c r="E55" i="3"/>
  <c r="D55" i="3"/>
  <c r="C55" i="3"/>
  <c r="B23" i="3"/>
  <c r="C23" i="3"/>
  <c r="C119" i="3"/>
  <c r="C103" i="3"/>
  <c r="C87" i="3"/>
  <c r="C71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C132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G6" i="2"/>
  <c r="U93" i="3" l="1"/>
  <c r="AF94" i="3"/>
  <c r="G8" i="2"/>
  <c r="G14" i="2"/>
  <c r="G16" i="2"/>
  <c r="G24" i="2"/>
  <c r="G32" i="2"/>
  <c r="G52" i="2"/>
  <c r="G72" i="2"/>
  <c r="G104" i="2"/>
  <c r="G64" i="2"/>
  <c r="G125" i="2"/>
  <c r="I125" i="2" s="1"/>
  <c r="G15" i="2"/>
  <c r="G80" i="2"/>
  <c r="G74" i="2"/>
  <c r="G120" i="2"/>
  <c r="G76" i="2"/>
  <c r="G78" i="2"/>
  <c r="G10" i="2"/>
  <c r="G18" i="2"/>
  <c r="G26" i="2"/>
  <c r="G34" i="2"/>
  <c r="G44" i="2"/>
  <c r="G54" i="2"/>
  <c r="G62" i="2"/>
  <c r="G90" i="2"/>
  <c r="G106" i="2"/>
  <c r="G21" i="2"/>
  <c r="G13" i="2"/>
  <c r="G111" i="2"/>
  <c r="G11" i="2"/>
  <c r="G86" i="2"/>
  <c r="G94" i="2"/>
  <c r="G40" i="2"/>
  <c r="G60" i="2"/>
  <c r="G116" i="2"/>
  <c r="G82" i="2"/>
  <c r="G92" i="2"/>
  <c r="G108" i="2"/>
  <c r="G124" i="2"/>
  <c r="I124" i="2" s="1"/>
  <c r="G12" i="2"/>
  <c r="G20" i="2"/>
  <c r="G28" i="2"/>
  <c r="G36" i="2"/>
  <c r="G48" i="2"/>
  <c r="G56" i="2"/>
  <c r="G66" i="2"/>
  <c r="G96" i="2"/>
  <c r="G110" i="2"/>
  <c r="G113" i="2"/>
  <c r="G41" i="2"/>
  <c r="G79" i="2"/>
  <c r="G70" i="2"/>
  <c r="G114" i="2"/>
  <c r="G88" i="2"/>
  <c r="G68" i="2"/>
  <c r="G84" i="2"/>
  <c r="G98" i="2"/>
  <c r="G42" i="2"/>
  <c r="G100" i="2"/>
  <c r="G118" i="2"/>
  <c r="G22" i="2"/>
  <c r="G30" i="2"/>
  <c r="G38" i="2"/>
  <c r="G50" i="2"/>
  <c r="G58" i="2"/>
  <c r="G122" i="2"/>
  <c r="G102" i="2"/>
  <c r="G112" i="2"/>
  <c r="G17" i="2"/>
  <c r="G9" i="2"/>
  <c r="G47" i="2"/>
  <c r="G85" i="2"/>
  <c r="G65" i="2"/>
  <c r="G109" i="2"/>
  <c r="G121" i="2"/>
  <c r="G107" i="2"/>
  <c r="G75" i="2"/>
  <c r="G43" i="2"/>
  <c r="G69" i="2"/>
  <c r="G49" i="2"/>
  <c r="G61" i="2"/>
  <c r="G105" i="2"/>
  <c r="G95" i="2"/>
  <c r="G63" i="2"/>
  <c r="G31" i="2"/>
  <c r="G46" i="2"/>
  <c r="G45" i="2"/>
  <c r="G57" i="2"/>
  <c r="G123" i="2"/>
  <c r="G91" i="2"/>
  <c r="G59" i="2"/>
  <c r="G27" i="2"/>
  <c r="G117" i="2"/>
  <c r="G53" i="2"/>
  <c r="G97" i="2"/>
  <c r="G33" i="2"/>
  <c r="G93" i="2"/>
  <c r="G29" i="2"/>
  <c r="G89" i="2"/>
  <c r="G25" i="2"/>
  <c r="G119" i="2"/>
  <c r="G103" i="2"/>
  <c r="G87" i="2"/>
  <c r="G71" i="2"/>
  <c r="G55" i="2"/>
  <c r="G39" i="2"/>
  <c r="G23" i="2"/>
  <c r="G101" i="2"/>
  <c r="G37" i="2"/>
  <c r="G81" i="2"/>
  <c r="G77" i="2"/>
  <c r="G73" i="2"/>
  <c r="G115" i="2"/>
  <c r="G99" i="2"/>
  <c r="G83" i="2"/>
  <c r="G67" i="2"/>
  <c r="G51" i="2"/>
  <c r="G35" i="2"/>
  <c r="G19" i="2"/>
  <c r="D6" i="2"/>
  <c r="D7" i="2" s="1"/>
  <c r="I126" i="2"/>
  <c r="P126" i="2" s="1"/>
  <c r="U92" i="3" l="1"/>
  <c r="AF93" i="3"/>
  <c r="I123" i="2"/>
  <c r="P123" i="2" s="1"/>
  <c r="I119" i="2"/>
  <c r="P119" i="2" s="1"/>
  <c r="P124" i="2"/>
  <c r="P125" i="2"/>
  <c r="F6" i="2"/>
  <c r="D8" i="2"/>
  <c r="F7" i="2"/>
  <c r="I117" i="2"/>
  <c r="P117" i="2" s="1"/>
  <c r="I106" i="2"/>
  <c r="P106" i="2" s="1"/>
  <c r="I121" i="2"/>
  <c r="P121" i="2" s="1"/>
  <c r="I120" i="2"/>
  <c r="P120" i="2" s="1"/>
  <c r="I122" i="2"/>
  <c r="P122" i="2" s="1"/>
  <c r="I116" i="2"/>
  <c r="P116" i="2" s="1"/>
  <c r="I118" i="2"/>
  <c r="P118" i="2" s="1"/>
  <c r="I115" i="2"/>
  <c r="P115" i="2" s="1"/>
  <c r="I98" i="2"/>
  <c r="P98" i="2" s="1"/>
  <c r="I111" i="2"/>
  <c r="P111" i="2" s="1"/>
  <c r="I100" i="2"/>
  <c r="P100" i="2" s="1"/>
  <c r="I101" i="2"/>
  <c r="P101" i="2" s="1"/>
  <c r="I112" i="2"/>
  <c r="P112" i="2" s="1"/>
  <c r="I95" i="2"/>
  <c r="P95" i="2" s="1"/>
  <c r="I97" i="2"/>
  <c r="P97" i="2" s="1"/>
  <c r="I86" i="2"/>
  <c r="P86" i="2" s="1"/>
  <c r="I104" i="2"/>
  <c r="P104" i="2" s="1"/>
  <c r="I99" i="2"/>
  <c r="P99" i="2" s="1"/>
  <c r="I113" i="2"/>
  <c r="P113" i="2" s="1"/>
  <c r="I45" i="2"/>
  <c r="I94" i="2"/>
  <c r="P94" i="2" s="1"/>
  <c r="I78" i="2"/>
  <c r="I105" i="2"/>
  <c r="P105" i="2" s="1"/>
  <c r="I103" i="2"/>
  <c r="P103" i="2" s="1"/>
  <c r="I108" i="2"/>
  <c r="P108" i="2" s="1"/>
  <c r="I83" i="2"/>
  <c r="I109" i="2"/>
  <c r="P109" i="2" s="1"/>
  <c r="I102" i="2"/>
  <c r="P102" i="2" s="1"/>
  <c r="I110" i="2"/>
  <c r="P110" i="2" s="1"/>
  <c r="I107" i="2"/>
  <c r="P107" i="2" s="1"/>
  <c r="I114" i="2"/>
  <c r="P114" i="2" s="1"/>
  <c r="I33" i="2"/>
  <c r="I85" i="2"/>
  <c r="P85" i="2" s="1"/>
  <c r="I75" i="2"/>
  <c r="I70" i="2"/>
  <c r="I91" i="2"/>
  <c r="P91" i="2" s="1"/>
  <c r="I89" i="2"/>
  <c r="P89" i="2" s="1"/>
  <c r="I87" i="2"/>
  <c r="P87" i="2" s="1"/>
  <c r="I92" i="2"/>
  <c r="P92" i="2" s="1"/>
  <c r="I88" i="2"/>
  <c r="P88" i="2" s="1"/>
  <c r="I90" i="2"/>
  <c r="P90" i="2" s="1"/>
  <c r="I93" i="2"/>
  <c r="P93" i="2" s="1"/>
  <c r="I49" i="2"/>
  <c r="I31" i="2"/>
  <c r="I80" i="2"/>
  <c r="I71" i="2"/>
  <c r="I65" i="2"/>
  <c r="I5" i="2"/>
  <c r="I96" i="2"/>
  <c r="P96" i="2" s="1"/>
  <c r="I82" i="2"/>
  <c r="I81" i="2"/>
  <c r="I84" i="2"/>
  <c r="I38" i="2"/>
  <c r="I39" i="2"/>
  <c r="I40" i="2"/>
  <c r="I62" i="2"/>
  <c r="I60" i="2"/>
  <c r="I51" i="2"/>
  <c r="I6" i="2"/>
  <c r="I15" i="2"/>
  <c r="I16" i="2"/>
  <c r="I35" i="2"/>
  <c r="I36" i="2"/>
  <c r="I8" i="2"/>
  <c r="I79" i="2"/>
  <c r="I61" i="2"/>
  <c r="I77" i="2"/>
  <c r="I18" i="2"/>
  <c r="I17" i="2"/>
  <c r="I37" i="2"/>
  <c r="I64" i="2"/>
  <c r="I66" i="2"/>
  <c r="I67" i="2"/>
  <c r="I26" i="2"/>
  <c r="I14" i="2"/>
  <c r="I13" i="2"/>
  <c r="I34" i="2"/>
  <c r="I22" i="2"/>
  <c r="I21" i="2"/>
  <c r="I46" i="2"/>
  <c r="I76" i="2"/>
  <c r="I74" i="2"/>
  <c r="I73" i="2"/>
  <c r="I68" i="2"/>
  <c r="I53" i="2"/>
  <c r="I54" i="2"/>
  <c r="I50" i="2"/>
  <c r="I28" i="2"/>
  <c r="I20" i="2"/>
  <c r="I19" i="2"/>
  <c r="I12" i="2"/>
  <c r="I11" i="2"/>
  <c r="I27" i="2"/>
  <c r="I59" i="2"/>
  <c r="I55" i="2"/>
  <c r="I56" i="2"/>
  <c r="I29" i="2"/>
  <c r="I30" i="2"/>
  <c r="I10" i="2"/>
  <c r="I9" i="2"/>
  <c r="I23" i="2"/>
  <c r="I24" i="2"/>
  <c r="I7" i="2"/>
  <c r="I52" i="2"/>
  <c r="I48" i="2"/>
  <c r="I47" i="2"/>
  <c r="I41" i="2"/>
  <c r="I44" i="2"/>
  <c r="I43" i="2"/>
  <c r="I42" i="2"/>
  <c r="I57" i="2"/>
  <c r="I58" i="2"/>
  <c r="I32" i="2"/>
  <c r="I25" i="2"/>
  <c r="I63" i="2"/>
  <c r="I72" i="2"/>
  <c r="I69" i="2"/>
  <c r="U91" i="3" l="1"/>
  <c r="AF92" i="3"/>
  <c r="D9" i="2"/>
  <c r="F8" i="2"/>
  <c r="L62" i="2"/>
  <c r="L66" i="2"/>
  <c r="J66" i="2"/>
  <c r="L68" i="2"/>
  <c r="J68" i="2"/>
  <c r="L75" i="2"/>
  <c r="J75" i="2"/>
  <c r="L61" i="2"/>
  <c r="L79" i="2"/>
  <c r="J79" i="2"/>
  <c r="J80" i="2"/>
  <c r="J69" i="2"/>
  <c r="L69" i="2"/>
  <c r="L74" i="2"/>
  <c r="J74" i="2"/>
  <c r="J83" i="2"/>
  <c r="L67" i="2"/>
  <c r="J67" i="2"/>
  <c r="J81" i="2"/>
  <c r="L63" i="2"/>
  <c r="L70" i="2"/>
  <c r="J70" i="2"/>
  <c r="L64" i="2"/>
  <c r="J65" i="2"/>
  <c r="L65" i="2"/>
  <c r="L76" i="2"/>
  <c r="J76" i="2"/>
  <c r="J82" i="2"/>
  <c r="L72" i="2"/>
  <c r="J72" i="2"/>
  <c r="J73" i="2"/>
  <c r="L73" i="2"/>
  <c r="J71" i="2"/>
  <c r="L71" i="2"/>
  <c r="J77" i="2"/>
  <c r="L77" i="2"/>
  <c r="L60" i="2"/>
  <c r="L78" i="2"/>
  <c r="J78" i="2"/>
  <c r="J84" i="2"/>
  <c r="P63" i="2"/>
  <c r="K63" i="2"/>
  <c r="M63" i="2"/>
  <c r="P56" i="2"/>
  <c r="K56" i="2"/>
  <c r="M56" i="2"/>
  <c r="M53" i="2"/>
  <c r="M51" i="2"/>
  <c r="P84" i="2"/>
  <c r="K84" i="2"/>
  <c r="P75" i="2"/>
  <c r="M75" i="2"/>
  <c r="K75" i="2"/>
  <c r="P60" i="2"/>
  <c r="K60" i="2"/>
  <c r="M60" i="2"/>
  <c r="P81" i="2"/>
  <c r="K81" i="2"/>
  <c r="P65" i="2"/>
  <c r="M65" i="2"/>
  <c r="K65" i="2"/>
  <c r="P80" i="2"/>
  <c r="K80" i="2"/>
  <c r="P83" i="2"/>
  <c r="K83" i="2"/>
  <c r="P77" i="2"/>
  <c r="M77" i="2"/>
  <c r="K77" i="2"/>
  <c r="P69" i="2"/>
  <c r="M69" i="2"/>
  <c r="K69" i="2"/>
  <c r="P58" i="2"/>
  <c r="K58" i="2"/>
  <c r="M58" i="2"/>
  <c r="P59" i="2"/>
  <c r="M59" i="2"/>
  <c r="K59" i="2"/>
  <c r="M50" i="2"/>
  <c r="P74" i="2"/>
  <c r="K74" i="2"/>
  <c r="M74" i="2"/>
  <c r="P67" i="2"/>
  <c r="M67" i="2"/>
  <c r="K67" i="2"/>
  <c r="P61" i="2"/>
  <c r="M61" i="2"/>
  <c r="K61" i="2"/>
  <c r="P82" i="2"/>
  <c r="K82" i="2"/>
  <c r="P78" i="2"/>
  <c r="K78" i="2"/>
  <c r="M78" i="2"/>
  <c r="P18" i="2"/>
  <c r="K55" i="2"/>
  <c r="M55" i="2"/>
  <c r="P73" i="2"/>
  <c r="M73" i="2"/>
  <c r="K73" i="2"/>
  <c r="P72" i="2"/>
  <c r="K72" i="2"/>
  <c r="M72" i="2"/>
  <c r="P57" i="2"/>
  <c r="M57" i="2"/>
  <c r="K57" i="2"/>
  <c r="M52" i="2"/>
  <c r="M54" i="2"/>
  <c r="P68" i="2"/>
  <c r="K68" i="2"/>
  <c r="M68" i="2"/>
  <c r="P76" i="2"/>
  <c r="K76" i="2"/>
  <c r="M76" i="2"/>
  <c r="P66" i="2"/>
  <c r="K66" i="2"/>
  <c r="M66" i="2"/>
  <c r="P64" i="2"/>
  <c r="K64" i="2"/>
  <c r="M64" i="2"/>
  <c r="P79" i="2"/>
  <c r="K79" i="2"/>
  <c r="M79" i="2"/>
  <c r="P62" i="2"/>
  <c r="K62" i="2"/>
  <c r="M62" i="2"/>
  <c r="P71" i="2"/>
  <c r="K71" i="2"/>
  <c r="M71" i="2"/>
  <c r="P70" i="2"/>
  <c r="K70" i="2"/>
  <c r="M70" i="2"/>
  <c r="K50" i="2"/>
  <c r="K24" i="2"/>
  <c r="M24" i="2"/>
  <c r="M30" i="2"/>
  <c r="K30" i="2"/>
  <c r="M19" i="2"/>
  <c r="K19" i="2"/>
  <c r="K26" i="2"/>
  <c r="M26" i="2"/>
  <c r="K16" i="2"/>
  <c r="M16" i="2"/>
  <c r="M31" i="2"/>
  <c r="K31" i="2"/>
  <c r="K33" i="2"/>
  <c r="M33" i="2"/>
  <c r="P28" i="2"/>
  <c r="P46" i="2"/>
  <c r="K41" i="2"/>
  <c r="M41" i="2"/>
  <c r="K52" i="2"/>
  <c r="M23" i="2"/>
  <c r="K23" i="2"/>
  <c r="K29" i="2"/>
  <c r="M29" i="2"/>
  <c r="M27" i="2"/>
  <c r="K27" i="2"/>
  <c r="K20" i="2"/>
  <c r="M20" i="2"/>
  <c r="K54" i="2"/>
  <c r="K34" i="2"/>
  <c r="M34" i="2"/>
  <c r="K37" i="2"/>
  <c r="M37" i="2"/>
  <c r="K17" i="2"/>
  <c r="M17" i="2"/>
  <c r="M35" i="2"/>
  <c r="J4" i="3" s="1"/>
  <c r="K35" i="2"/>
  <c r="M15" i="2"/>
  <c r="K15" i="2"/>
  <c r="M6" i="2"/>
  <c r="K6" i="2"/>
  <c r="M38" i="2"/>
  <c r="K38" i="2"/>
  <c r="K45" i="2"/>
  <c r="M45" i="2"/>
  <c r="P50" i="2"/>
  <c r="P36" i="2"/>
  <c r="P26" i="2"/>
  <c r="P32" i="2"/>
  <c r="K44" i="2"/>
  <c r="M44" i="2"/>
  <c r="M22" i="2"/>
  <c r="K22" i="2"/>
  <c r="K36" i="2"/>
  <c r="M36" i="2"/>
  <c r="P38" i="2"/>
  <c r="P34" i="2"/>
  <c r="K32" i="2"/>
  <c r="M32" i="2"/>
  <c r="K42" i="2"/>
  <c r="M42" i="2"/>
  <c r="M47" i="2"/>
  <c r="K47" i="2"/>
  <c r="K9" i="2"/>
  <c r="M9" i="2"/>
  <c r="M11" i="2"/>
  <c r="K11" i="2"/>
  <c r="K28" i="2"/>
  <c r="M28" i="2"/>
  <c r="K53" i="2"/>
  <c r="M46" i="2"/>
  <c r="K46" i="2"/>
  <c r="K13" i="2"/>
  <c r="M13" i="2"/>
  <c r="K18" i="2"/>
  <c r="M18" i="2"/>
  <c r="K51" i="2"/>
  <c r="K40" i="2"/>
  <c r="M40" i="2"/>
  <c r="M5" i="2"/>
  <c r="K5" i="2"/>
  <c r="P8" i="2"/>
  <c r="P54" i="2"/>
  <c r="P16" i="2"/>
  <c r="P30" i="2"/>
  <c r="K25" i="2"/>
  <c r="M25" i="2"/>
  <c r="M43" i="2"/>
  <c r="K43" i="2"/>
  <c r="K48" i="2"/>
  <c r="M48" i="2"/>
  <c r="M7" i="2"/>
  <c r="K7" i="2"/>
  <c r="K10" i="2"/>
  <c r="M10" i="2"/>
  <c r="P33" i="2"/>
  <c r="P11" i="2"/>
  <c r="P27" i="2"/>
  <c r="P44" i="2"/>
  <c r="P55" i="2"/>
  <c r="P47" i="2"/>
  <c r="P17" i="2"/>
  <c r="P37" i="2"/>
  <c r="P12" i="2"/>
  <c r="P13" i="2"/>
  <c r="P41" i="2"/>
  <c r="P42" i="2"/>
  <c r="P53" i="2"/>
  <c r="P52" i="2"/>
  <c r="P51" i="2"/>
  <c r="P43" i="2"/>
  <c r="P45" i="2"/>
  <c r="P25" i="2"/>
  <c r="P21" i="2"/>
  <c r="P49" i="2"/>
  <c r="P15" i="2"/>
  <c r="P39" i="2"/>
  <c r="P31" i="2"/>
  <c r="P23" i="2"/>
  <c r="P9" i="2"/>
  <c r="P7" i="2"/>
  <c r="P5" i="2"/>
  <c r="P29" i="2"/>
  <c r="P14" i="2"/>
  <c r="P6" i="2"/>
  <c r="P19" i="2"/>
  <c r="P24" i="2"/>
  <c r="P35" i="2"/>
  <c r="K12" i="2"/>
  <c r="M12" i="2"/>
  <c r="K21" i="2"/>
  <c r="M21" i="2"/>
  <c r="M14" i="2"/>
  <c r="K14" i="2"/>
  <c r="K8" i="2"/>
  <c r="M8" i="2"/>
  <c r="M39" i="2"/>
  <c r="K39" i="2"/>
  <c r="K49" i="2"/>
  <c r="M49" i="2"/>
  <c r="P20" i="2"/>
  <c r="P48" i="2"/>
  <c r="P22" i="2"/>
  <c r="P40" i="2"/>
  <c r="P10" i="2"/>
  <c r="U90" i="3" l="1"/>
  <c r="AF91" i="3"/>
  <c r="F4" i="3"/>
  <c r="I10" i="3" s="1"/>
  <c r="D10" i="2"/>
  <c r="F9" i="2"/>
  <c r="U89" i="3" l="1"/>
  <c r="AF90" i="3"/>
  <c r="D11" i="2"/>
  <c r="F10" i="2"/>
  <c r="F114" i="3"/>
  <c r="F113" i="3"/>
  <c r="F115" i="3"/>
  <c r="F111" i="3"/>
  <c r="F112" i="3"/>
  <c r="F109" i="3"/>
  <c r="F110" i="3"/>
  <c r="F104" i="3"/>
  <c r="F108" i="3"/>
  <c r="F102" i="3"/>
  <c r="F106" i="3"/>
  <c r="F103" i="3"/>
  <c r="F101" i="3"/>
  <c r="F107" i="3"/>
  <c r="F105" i="3"/>
  <c r="U88" i="3" l="1"/>
  <c r="AF89" i="3"/>
  <c r="D12" i="2"/>
  <c r="F11" i="2"/>
  <c r="U87" i="3" l="1"/>
  <c r="AF88" i="3"/>
  <c r="D13" i="2"/>
  <c r="F12" i="2"/>
  <c r="U86" i="3" l="1"/>
  <c r="AF87" i="3"/>
  <c r="D14" i="2"/>
  <c r="F13" i="2"/>
  <c r="U85" i="3" l="1"/>
  <c r="AF86" i="3"/>
  <c r="D15" i="2"/>
  <c r="F14" i="2"/>
  <c r="U84" i="3" l="1"/>
  <c r="AF85" i="3"/>
  <c r="D16" i="2"/>
  <c r="F15" i="2"/>
  <c r="U83" i="3" l="1"/>
  <c r="AF84" i="3"/>
  <c r="D17" i="2"/>
  <c r="F16" i="2"/>
  <c r="U82" i="3" l="1"/>
  <c r="AF83" i="3"/>
  <c r="D18" i="2"/>
  <c r="F17" i="2"/>
  <c r="U81" i="3" l="1"/>
  <c r="AF82" i="3"/>
  <c r="D19" i="2"/>
  <c r="F18" i="2"/>
  <c r="U80" i="3" l="1"/>
  <c r="AF81" i="3"/>
  <c r="D20" i="2"/>
  <c r="F19" i="2"/>
  <c r="U79" i="3" l="1"/>
  <c r="AF80" i="3"/>
  <c r="D21" i="2"/>
  <c r="F20" i="2"/>
  <c r="U78" i="3" l="1"/>
  <c r="AF79" i="3"/>
  <c r="D22" i="2"/>
  <c r="F21" i="2"/>
  <c r="U77" i="3" l="1"/>
  <c r="AF78" i="3"/>
  <c r="D23" i="2"/>
  <c r="F22" i="2"/>
  <c r="U76" i="3" l="1"/>
  <c r="AF77" i="3"/>
  <c r="D24" i="2"/>
  <c r="F23" i="2"/>
  <c r="U75" i="3" l="1"/>
  <c r="AF76" i="3"/>
  <c r="D25" i="2"/>
  <c r="F24" i="2"/>
  <c r="U74" i="3" l="1"/>
  <c r="AF75" i="3"/>
  <c r="D26" i="2"/>
  <c r="F25" i="2"/>
  <c r="U73" i="3" l="1"/>
  <c r="AF74" i="3"/>
  <c r="D27" i="2"/>
  <c r="F26" i="2"/>
  <c r="U72" i="3" l="1"/>
  <c r="AF73" i="3"/>
  <c r="D28" i="2"/>
  <c r="F27" i="2"/>
  <c r="U71" i="3" l="1"/>
  <c r="AF72" i="3"/>
  <c r="D29" i="2"/>
  <c r="F28" i="2"/>
  <c r="U70" i="3" l="1"/>
  <c r="AF71" i="3"/>
  <c r="D30" i="2"/>
  <c r="F29" i="2"/>
  <c r="U69" i="3" l="1"/>
  <c r="AF70" i="3"/>
  <c r="D31" i="2"/>
  <c r="F30" i="2"/>
  <c r="U68" i="3" l="1"/>
  <c r="AF69" i="3"/>
  <c r="D32" i="2"/>
  <c r="F31" i="2"/>
  <c r="U67" i="3" l="1"/>
  <c r="AF68" i="3"/>
  <c r="D33" i="2"/>
  <c r="F32" i="2"/>
  <c r="U66" i="3" l="1"/>
  <c r="AF67" i="3"/>
  <c r="D34" i="2"/>
  <c r="F33" i="2"/>
  <c r="U65" i="3" l="1"/>
  <c r="AF66" i="3"/>
  <c r="D35" i="2"/>
  <c r="F34" i="2"/>
  <c r="U64" i="3" l="1"/>
  <c r="AF65" i="3"/>
  <c r="D36" i="2"/>
  <c r="F35" i="2"/>
  <c r="U63" i="3" l="1"/>
  <c r="AF64" i="3"/>
  <c r="D37" i="2"/>
  <c r="F36" i="2"/>
  <c r="U62" i="3" l="1"/>
  <c r="AF63" i="3"/>
  <c r="D38" i="2"/>
  <c r="F37" i="2"/>
  <c r="U61" i="3" l="1"/>
  <c r="AF62" i="3"/>
  <c r="D39" i="2"/>
  <c r="F38" i="2"/>
  <c r="U60" i="3" l="1"/>
  <c r="AF61" i="3"/>
  <c r="D40" i="2"/>
  <c r="F39" i="2"/>
  <c r="U59" i="3" l="1"/>
  <c r="AF60" i="3"/>
  <c r="D41" i="2"/>
  <c r="F40" i="2"/>
  <c r="U58" i="3" l="1"/>
  <c r="AF59" i="3"/>
  <c r="D42" i="2"/>
  <c r="F41" i="2"/>
  <c r="U57" i="3" l="1"/>
  <c r="AF58" i="3"/>
  <c r="D43" i="2"/>
  <c r="F42" i="2"/>
  <c r="U56" i="3" l="1"/>
  <c r="AF57" i="3"/>
  <c r="D44" i="2"/>
  <c r="F43" i="2"/>
  <c r="U55" i="3" l="1"/>
  <c r="AF56" i="3"/>
  <c r="D45" i="2"/>
  <c r="F44" i="2"/>
  <c r="U54" i="3" l="1"/>
  <c r="AF55" i="3"/>
  <c r="D46" i="2"/>
  <c r="F45" i="2"/>
  <c r="U53" i="3" l="1"/>
  <c r="AF54" i="3"/>
  <c r="D47" i="2"/>
  <c r="F46" i="2"/>
  <c r="U52" i="3" l="1"/>
  <c r="AF53" i="3"/>
  <c r="D48" i="2"/>
  <c r="F47" i="2"/>
  <c r="U51" i="3" l="1"/>
  <c r="AF52" i="3"/>
  <c r="D49" i="2"/>
  <c r="F48" i="2"/>
  <c r="U50" i="3" l="1"/>
  <c r="AF51" i="3"/>
  <c r="D50" i="2"/>
  <c r="F49" i="2"/>
  <c r="U49" i="3" l="1"/>
  <c r="AF50" i="3"/>
  <c r="D51" i="2"/>
  <c r="F50" i="2"/>
  <c r="U48" i="3" l="1"/>
  <c r="AF49" i="3"/>
  <c r="D52" i="2"/>
  <c r="F51" i="2"/>
  <c r="U47" i="3" l="1"/>
  <c r="AF48" i="3"/>
  <c r="D53" i="2"/>
  <c r="F52" i="2"/>
  <c r="U46" i="3" l="1"/>
  <c r="AF47" i="3"/>
  <c r="D54" i="2"/>
  <c r="F53" i="2"/>
  <c r="U45" i="3" l="1"/>
  <c r="AF46" i="3"/>
  <c r="D55" i="2"/>
  <c r="F54" i="2"/>
  <c r="U44" i="3" l="1"/>
  <c r="AF45" i="3"/>
  <c r="D56" i="2"/>
  <c r="F55" i="2"/>
  <c r="U43" i="3" l="1"/>
  <c r="AF44" i="3"/>
  <c r="D57" i="2"/>
  <c r="F56" i="2"/>
  <c r="U42" i="3" l="1"/>
  <c r="AF43" i="3"/>
  <c r="D58" i="2"/>
  <c r="F57" i="2"/>
  <c r="U41" i="3" l="1"/>
  <c r="AF42" i="3"/>
  <c r="D59" i="2"/>
  <c r="F58" i="2"/>
  <c r="U40" i="3" l="1"/>
  <c r="AF41" i="3"/>
  <c r="D60" i="2"/>
  <c r="F59" i="2"/>
  <c r="U39" i="3" l="1"/>
  <c r="AF40" i="3"/>
  <c r="D61" i="2"/>
  <c r="F60" i="2"/>
  <c r="U38" i="3" l="1"/>
  <c r="D62" i="2"/>
  <c r="F61" i="2"/>
  <c r="U37" i="3" l="1"/>
  <c r="D63" i="2"/>
  <c r="F62" i="2"/>
  <c r="U36" i="3" l="1"/>
  <c r="D64" i="2"/>
  <c r="F63" i="2"/>
  <c r="U35" i="3" l="1"/>
  <c r="D65" i="2"/>
  <c r="F64" i="2"/>
  <c r="D66" i="2" l="1"/>
  <c r="F65" i="2"/>
  <c r="D67" i="2" l="1"/>
  <c r="F66" i="2"/>
  <c r="D68" i="2" l="1"/>
  <c r="F67" i="2"/>
  <c r="D69" i="2" l="1"/>
  <c r="F68" i="2"/>
  <c r="D70" i="2" l="1"/>
  <c r="F69" i="2"/>
  <c r="D71" i="2" l="1"/>
  <c r="F70" i="2"/>
  <c r="D72" i="2" l="1"/>
  <c r="F71" i="2"/>
  <c r="D73" i="2" l="1"/>
  <c r="F72" i="2"/>
  <c r="D74" i="2" l="1"/>
  <c r="F73" i="2"/>
  <c r="D75" i="2" l="1"/>
  <c r="F74" i="2"/>
  <c r="D76" i="2" l="1"/>
  <c r="F75" i="2"/>
  <c r="D77" i="2" l="1"/>
  <c r="F76" i="2"/>
  <c r="D78" i="2" l="1"/>
  <c r="F77" i="2"/>
  <c r="D79" i="2" l="1"/>
  <c r="F78" i="2"/>
  <c r="D80" i="2" l="1"/>
  <c r="F79" i="2"/>
  <c r="D81" i="2" l="1"/>
  <c r="F80" i="2"/>
  <c r="D82" i="2" l="1"/>
  <c r="F81" i="2"/>
  <c r="D83" i="2" l="1"/>
  <c r="F82" i="2"/>
  <c r="D84" i="2" l="1"/>
  <c r="F83" i="2"/>
  <c r="D85" i="2" l="1"/>
  <c r="F84" i="2"/>
  <c r="D86" i="2" l="1"/>
  <c r="F85" i="2"/>
  <c r="D87" i="2" l="1"/>
  <c r="F86" i="2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D101" i="2" l="1"/>
  <c r="F100" i="2"/>
  <c r="D102" i="2" l="1"/>
  <c r="F101" i="2"/>
  <c r="D103" i="2" l="1"/>
  <c r="F102" i="2"/>
  <c r="D104" i="2" l="1"/>
  <c r="F103" i="2"/>
  <c r="D105" i="2" l="1"/>
  <c r="F104" i="2"/>
  <c r="D106" i="2" l="1"/>
  <c r="F105" i="2"/>
  <c r="D107" i="2" l="1"/>
  <c r="F106" i="2"/>
  <c r="D108" i="2" l="1"/>
  <c r="F107" i="2"/>
  <c r="D109" i="2" l="1"/>
  <c r="F108" i="2"/>
  <c r="D110" i="2" l="1"/>
  <c r="F109" i="2"/>
  <c r="D111" i="2" l="1"/>
  <c r="F110" i="2"/>
  <c r="D112" i="2" l="1"/>
  <c r="F111" i="2"/>
  <c r="D113" i="2" l="1"/>
  <c r="F112" i="2"/>
  <c r="D114" i="2" l="1"/>
  <c r="F113" i="2"/>
  <c r="D115" i="2" l="1"/>
  <c r="F114" i="2"/>
  <c r="D116" i="2" l="1"/>
  <c r="F115" i="2"/>
  <c r="D117" i="2" l="1"/>
  <c r="F116" i="2"/>
  <c r="D118" i="2" l="1"/>
  <c r="F117" i="2"/>
  <c r="D119" i="2" l="1"/>
  <c r="F118" i="2"/>
  <c r="D120" i="2" l="1"/>
  <c r="F119" i="2"/>
  <c r="D121" i="2" l="1"/>
  <c r="F120" i="2"/>
  <c r="D122" i="2" l="1"/>
  <c r="F121" i="2"/>
  <c r="D123" i="2" l="1"/>
  <c r="F122" i="2"/>
  <c r="D124" i="2" l="1"/>
  <c r="F123" i="2"/>
  <c r="D125" i="2" l="1"/>
  <c r="F124" i="2"/>
  <c r="D126" i="2" l="1"/>
  <c r="F126" i="2" s="1"/>
  <c r="F125" i="2"/>
  <c r="H124" i="2" l="1"/>
  <c r="O124" i="2" s="1"/>
  <c r="H121" i="2"/>
  <c r="O121" i="2" s="1"/>
  <c r="H117" i="2"/>
  <c r="O117" i="2" s="1"/>
  <c r="H125" i="2"/>
  <c r="O125" i="2" s="1"/>
  <c r="H123" i="2"/>
  <c r="O123" i="2" s="1"/>
  <c r="H122" i="2"/>
  <c r="O122" i="2" s="1"/>
  <c r="H120" i="2"/>
  <c r="O120" i="2" s="1"/>
  <c r="H126" i="2"/>
  <c r="O126" i="2" s="1"/>
  <c r="H6" i="2"/>
  <c r="H69" i="2"/>
  <c r="O69" i="2" s="1"/>
  <c r="H17" i="2"/>
  <c r="H64" i="2"/>
  <c r="H9" i="2"/>
  <c r="H16" i="2"/>
  <c r="H54" i="2"/>
  <c r="H70" i="2"/>
  <c r="O70" i="2" s="1"/>
  <c r="H35" i="2"/>
  <c r="H19" i="2"/>
  <c r="H25" i="2"/>
  <c r="H49" i="2"/>
  <c r="H32" i="2"/>
  <c r="H51" i="2"/>
  <c r="H58" i="2"/>
  <c r="H7" i="2"/>
  <c r="H40" i="2"/>
  <c r="H10" i="2"/>
  <c r="H59" i="2"/>
  <c r="H21" i="2"/>
  <c r="H37" i="2"/>
  <c r="N37" i="2" s="1"/>
  <c r="H33" i="2"/>
  <c r="H13" i="2"/>
  <c r="H57" i="2"/>
  <c r="H42" i="2"/>
  <c r="H28" i="2"/>
  <c r="H46" i="2"/>
  <c r="H56" i="2"/>
  <c r="H45" i="2"/>
  <c r="H67" i="2"/>
  <c r="O67" i="2" s="1"/>
  <c r="H48" i="2"/>
  <c r="H12" i="2"/>
  <c r="H24" i="2"/>
  <c r="N24" i="2" s="1"/>
  <c r="H53" i="2"/>
  <c r="H55" i="2"/>
  <c r="H41" i="2"/>
  <c r="H5" i="2"/>
  <c r="N5" i="2" s="1"/>
  <c r="H8" i="2"/>
  <c r="H29" i="2"/>
  <c r="H14" i="2"/>
  <c r="H20" i="2"/>
  <c r="N20" i="2" s="1"/>
  <c r="H65" i="2"/>
  <c r="H36" i="2"/>
  <c r="H18" i="2"/>
  <c r="H31" i="2"/>
  <c r="N31" i="2" s="1"/>
  <c r="H15" i="2"/>
  <c r="H66" i="2"/>
  <c r="O66" i="2" s="1"/>
  <c r="H50" i="2"/>
  <c r="H30" i="2"/>
  <c r="N30" i="2" s="1"/>
  <c r="H71" i="2"/>
  <c r="O71" i="2" s="1"/>
  <c r="H39" i="2"/>
  <c r="H34" i="2"/>
  <c r="H52" i="2"/>
  <c r="H26" i="2"/>
  <c r="H11" i="2"/>
  <c r="H43" i="2"/>
  <c r="H22" i="2"/>
  <c r="N22" i="2" s="1"/>
  <c r="H47" i="2"/>
  <c r="H62" i="2"/>
  <c r="H23" i="2"/>
  <c r="H68" i="2"/>
  <c r="O68" i="2" s="1"/>
  <c r="H44" i="2"/>
  <c r="H61" i="2"/>
  <c r="H38" i="2"/>
  <c r="H63" i="2"/>
  <c r="H60" i="2"/>
  <c r="J60" i="2" s="1"/>
  <c r="H27" i="2"/>
  <c r="H73" i="2"/>
  <c r="O73" i="2" s="1"/>
  <c r="H74" i="2"/>
  <c r="O74" i="2" s="1"/>
  <c r="H72" i="2"/>
  <c r="O72" i="2" s="1"/>
  <c r="H77" i="2"/>
  <c r="O77" i="2" s="1"/>
  <c r="H75" i="2"/>
  <c r="O75" i="2" s="1"/>
  <c r="H76" i="2"/>
  <c r="O76" i="2" s="1"/>
  <c r="H78" i="2"/>
  <c r="O78" i="2" s="1"/>
  <c r="H79" i="2"/>
  <c r="O79" i="2" s="1"/>
  <c r="H80" i="2"/>
  <c r="O80" i="2" s="1"/>
  <c r="H81" i="2"/>
  <c r="O81" i="2" s="1"/>
  <c r="H83" i="2"/>
  <c r="O83" i="2" s="1"/>
  <c r="H82" i="2"/>
  <c r="O82" i="2" s="1"/>
  <c r="H84" i="2"/>
  <c r="O84" i="2" s="1"/>
  <c r="H85" i="2"/>
  <c r="O85" i="2" s="1"/>
  <c r="H87" i="2"/>
  <c r="O87" i="2" s="1"/>
  <c r="H86" i="2"/>
  <c r="O86" i="2" s="1"/>
  <c r="H88" i="2"/>
  <c r="O88" i="2" s="1"/>
  <c r="H91" i="2"/>
  <c r="O91" i="2" s="1"/>
  <c r="H90" i="2"/>
  <c r="O90" i="2" s="1"/>
  <c r="H89" i="2"/>
  <c r="O89" i="2" s="1"/>
  <c r="H93" i="2"/>
  <c r="O93" i="2" s="1"/>
  <c r="H92" i="2"/>
  <c r="O92" i="2" s="1"/>
  <c r="H94" i="2"/>
  <c r="O94" i="2" s="1"/>
  <c r="H96" i="2"/>
  <c r="O96" i="2" s="1"/>
  <c r="H95" i="2"/>
  <c r="O95" i="2" s="1"/>
  <c r="H97" i="2"/>
  <c r="O97" i="2" s="1"/>
  <c r="H98" i="2"/>
  <c r="O98" i="2" s="1"/>
  <c r="H99" i="2"/>
  <c r="O99" i="2" s="1"/>
  <c r="H100" i="2"/>
  <c r="O100" i="2" s="1"/>
  <c r="H101" i="2"/>
  <c r="O101" i="2" s="1"/>
  <c r="H102" i="2"/>
  <c r="O102" i="2" s="1"/>
  <c r="H105" i="2"/>
  <c r="O105" i="2" s="1"/>
  <c r="H103" i="2"/>
  <c r="O103" i="2" s="1"/>
  <c r="H104" i="2"/>
  <c r="O104" i="2" s="1"/>
  <c r="H106" i="2"/>
  <c r="O106" i="2" s="1"/>
  <c r="H108" i="2"/>
  <c r="O108" i="2" s="1"/>
  <c r="H107" i="2"/>
  <c r="O107" i="2" s="1"/>
  <c r="H109" i="2"/>
  <c r="O109" i="2" s="1"/>
  <c r="H110" i="2"/>
  <c r="O110" i="2" s="1"/>
  <c r="H111" i="2"/>
  <c r="O111" i="2" s="1"/>
  <c r="H113" i="2"/>
  <c r="O113" i="2" s="1"/>
  <c r="H112" i="2"/>
  <c r="O112" i="2" s="1"/>
  <c r="H115" i="2"/>
  <c r="O115" i="2" s="1"/>
  <c r="H116" i="2"/>
  <c r="O116" i="2" s="1"/>
  <c r="H114" i="2"/>
  <c r="O114" i="2" s="1"/>
  <c r="H118" i="2"/>
  <c r="O118" i="2" s="1"/>
  <c r="H119" i="2"/>
  <c r="O119" i="2" s="1"/>
  <c r="N9" i="2" l="1"/>
  <c r="N23" i="2"/>
  <c r="N18" i="2"/>
  <c r="N12" i="2"/>
  <c r="N27" i="2"/>
  <c r="N11" i="2"/>
  <c r="N39" i="2"/>
  <c r="N36" i="2"/>
  <c r="N29" i="2"/>
  <c r="N13" i="2"/>
  <c r="N25" i="2"/>
  <c r="N17" i="2"/>
  <c r="N32" i="2"/>
  <c r="N35" i="2"/>
  <c r="N6" i="2"/>
  <c r="N38" i="2"/>
  <c r="N34" i="2"/>
  <c r="N14" i="2"/>
  <c r="N21" i="2"/>
  <c r="N7" i="2"/>
  <c r="N26" i="2"/>
  <c r="N15" i="2"/>
  <c r="N8" i="2"/>
  <c r="N28" i="2"/>
  <c r="N33" i="2"/>
  <c r="N10" i="2"/>
  <c r="N19" i="2"/>
  <c r="N16" i="2"/>
  <c r="J64" i="2"/>
  <c r="J61" i="2"/>
  <c r="J62" i="2"/>
  <c r="J43" i="2"/>
  <c r="L43" i="2"/>
  <c r="L50" i="2"/>
  <c r="J50" i="2"/>
  <c r="J14" i="2"/>
  <c r="L14" i="2"/>
  <c r="L41" i="2"/>
  <c r="J41" i="2"/>
  <c r="L56" i="2"/>
  <c r="J56" i="2"/>
  <c r="L7" i="2"/>
  <c r="J7" i="2"/>
  <c r="J27" i="2"/>
  <c r="L27" i="2"/>
  <c r="J11" i="2"/>
  <c r="L11" i="2"/>
  <c r="J39" i="2"/>
  <c r="L39" i="2"/>
  <c r="J36" i="2"/>
  <c r="L36" i="2"/>
  <c r="L29" i="2"/>
  <c r="J29" i="2"/>
  <c r="J55" i="2"/>
  <c r="L55" i="2"/>
  <c r="J48" i="2"/>
  <c r="L48" i="2"/>
  <c r="L46" i="2"/>
  <c r="J46" i="2"/>
  <c r="J13" i="2"/>
  <c r="L13" i="2"/>
  <c r="L59" i="2"/>
  <c r="J59" i="2"/>
  <c r="L58" i="2"/>
  <c r="J58" i="2"/>
  <c r="J25" i="2"/>
  <c r="L25" i="2"/>
  <c r="L54" i="2"/>
  <c r="J54" i="2"/>
  <c r="J17" i="2"/>
  <c r="L17" i="2"/>
  <c r="J23" i="2"/>
  <c r="L23" i="2"/>
  <c r="J34" i="2"/>
  <c r="L34" i="2"/>
  <c r="J18" i="2"/>
  <c r="L18" i="2"/>
  <c r="L12" i="2"/>
  <c r="J12" i="2"/>
  <c r="J57" i="2"/>
  <c r="L57" i="2"/>
  <c r="L21" i="2"/>
  <c r="J21" i="2"/>
  <c r="L49" i="2"/>
  <c r="J49" i="2"/>
  <c r="J44" i="2"/>
  <c r="L44" i="2"/>
  <c r="L47" i="2"/>
  <c r="J47" i="2"/>
  <c r="J26" i="2"/>
  <c r="L26" i="2"/>
  <c r="L15" i="2"/>
  <c r="J15" i="2"/>
  <c r="O64" i="2"/>
  <c r="O12" i="2"/>
  <c r="O6" i="2"/>
  <c r="O8" i="2"/>
  <c r="O5" i="2"/>
  <c r="O24" i="2"/>
  <c r="O53" i="2"/>
  <c r="O56" i="2"/>
  <c r="O35" i="2"/>
  <c r="O28" i="2"/>
  <c r="O18" i="2"/>
  <c r="O33" i="2"/>
  <c r="O45" i="2"/>
  <c r="O59" i="2"/>
  <c r="O23" i="2"/>
  <c r="O27" i="2"/>
  <c r="O46" i="2"/>
  <c r="O54" i="2"/>
  <c r="O43" i="2"/>
  <c r="O26" i="2"/>
  <c r="O32" i="2"/>
  <c r="O17" i="2"/>
  <c r="O29" i="2"/>
  <c r="O14" i="2"/>
  <c r="O38" i="2"/>
  <c r="O50" i="2"/>
  <c r="O20" i="2"/>
  <c r="O60" i="2"/>
  <c r="O37" i="2"/>
  <c r="O57" i="2"/>
  <c r="O15" i="2"/>
  <c r="O11" i="2"/>
  <c r="O42" i="2"/>
  <c r="O65" i="2"/>
  <c r="O41" i="2"/>
  <c r="O62" i="2"/>
  <c r="O48" i="2"/>
  <c r="O19" i="2"/>
  <c r="O55" i="2"/>
  <c r="O13" i="2"/>
  <c r="O16" i="2"/>
  <c r="O22" i="2"/>
  <c r="O49" i="2"/>
  <c r="O36" i="2"/>
  <c r="O39" i="2"/>
  <c r="O10" i="2"/>
  <c r="O9" i="2"/>
  <c r="O40" i="2"/>
  <c r="O7" i="2"/>
  <c r="O44" i="2"/>
  <c r="O61" i="2"/>
  <c r="O47" i="2"/>
  <c r="O51" i="2"/>
  <c r="O34" i="2"/>
  <c r="O52" i="2"/>
  <c r="O21" i="2"/>
  <c r="O31" i="2"/>
  <c r="O25" i="2"/>
  <c r="O58" i="2"/>
  <c r="O63" i="2"/>
  <c r="O30" i="2"/>
  <c r="J8" i="2"/>
  <c r="L8" i="2"/>
  <c r="J53" i="2"/>
  <c r="L53" i="2"/>
  <c r="J28" i="2"/>
  <c r="L28" i="2"/>
  <c r="L33" i="2"/>
  <c r="J33" i="2"/>
  <c r="L10" i="2"/>
  <c r="J10" i="2"/>
  <c r="L51" i="2"/>
  <c r="J51" i="2"/>
  <c r="J19" i="2"/>
  <c r="L19" i="2"/>
  <c r="J16" i="2"/>
  <c r="L16" i="2"/>
  <c r="L38" i="2"/>
  <c r="J38" i="2"/>
  <c r="J63" i="2"/>
  <c r="L22" i="2"/>
  <c r="J22" i="2"/>
  <c r="J52" i="2"/>
  <c r="L52" i="2"/>
  <c r="L30" i="2"/>
  <c r="J30" i="2"/>
  <c r="J31" i="2"/>
  <c r="L31" i="2"/>
  <c r="J20" i="2"/>
  <c r="L20" i="2"/>
  <c r="J5" i="2"/>
  <c r="L5" i="2"/>
  <c r="J24" i="2"/>
  <c r="L24" i="2"/>
  <c r="L45" i="2"/>
  <c r="J45" i="2"/>
  <c r="J42" i="2"/>
  <c r="L42" i="2"/>
  <c r="L37" i="2"/>
  <c r="J37" i="2"/>
  <c r="J40" i="2"/>
  <c r="L40" i="2"/>
  <c r="L32" i="2"/>
  <c r="J32" i="2"/>
  <c r="L35" i="2"/>
  <c r="J35" i="2"/>
  <c r="L9" i="2"/>
  <c r="J9" i="2"/>
  <c r="J6" i="2"/>
  <c r="L6" i="2"/>
  <c r="F3" i="3" l="1"/>
  <c r="T12" i="3" l="1"/>
  <c r="V13" i="3"/>
  <c r="AD13" i="3"/>
  <c r="X14" i="3"/>
  <c r="T16" i="3"/>
  <c r="V17" i="3"/>
  <c r="AD17" i="3"/>
  <c r="X18" i="3"/>
  <c r="T20" i="3"/>
  <c r="V21" i="3"/>
  <c r="AD21" i="3"/>
  <c r="X22" i="3"/>
  <c r="T24" i="3"/>
  <c r="V25" i="3"/>
  <c r="AD25" i="3"/>
  <c r="X26" i="3"/>
  <c r="T28" i="3"/>
  <c r="V29" i="3"/>
  <c r="AD29" i="3"/>
  <c r="X30" i="3"/>
  <c r="T32" i="3"/>
  <c r="V33" i="3"/>
  <c r="AD33" i="3"/>
  <c r="X34" i="3"/>
  <c r="Y34" i="3" s="1"/>
  <c r="Y33" i="3" s="1"/>
  <c r="Y32" i="3" s="1"/>
  <c r="Y31" i="3" s="1"/>
  <c r="Y30" i="3" s="1"/>
  <c r="Y29" i="3" s="1"/>
  <c r="Y28" i="3" s="1"/>
  <c r="Y27" i="3" s="1"/>
  <c r="Y26" i="3" s="1"/>
  <c r="Y25" i="3" s="1"/>
  <c r="Y24" i="3" s="1"/>
  <c r="Y23" i="3" s="1"/>
  <c r="Y22" i="3" s="1"/>
  <c r="Y21" i="3" s="1"/>
  <c r="Y20" i="3" s="1"/>
  <c r="Y19" i="3" s="1"/>
  <c r="Y18" i="3" s="1"/>
  <c r="Y17" i="3" s="1"/>
  <c r="Y16" i="3" s="1"/>
  <c r="Y15" i="3" s="1"/>
  <c r="Y14" i="3" s="1"/>
  <c r="Y13" i="3" s="1"/>
  <c r="Y12" i="3" s="1"/>
  <c r="Y11" i="3" s="1"/>
  <c r="Y10" i="3" s="1"/>
  <c r="Z35" i="3"/>
  <c r="Z39" i="3"/>
  <c r="AA39" i="3" s="1"/>
  <c r="T10" i="3"/>
  <c r="T11" i="3"/>
  <c r="V12" i="3"/>
  <c r="AD12" i="3"/>
  <c r="X13" i="3"/>
  <c r="T15" i="3"/>
  <c r="V16" i="3"/>
  <c r="AD16" i="3"/>
  <c r="X17" i="3"/>
  <c r="T19" i="3"/>
  <c r="V20" i="3"/>
  <c r="AD20" i="3"/>
  <c r="X21" i="3"/>
  <c r="T23" i="3"/>
  <c r="V24" i="3"/>
  <c r="AD24" i="3"/>
  <c r="X25" i="3"/>
  <c r="T27" i="3"/>
  <c r="V28" i="3"/>
  <c r="AD28" i="3"/>
  <c r="X29" i="3"/>
  <c r="T31" i="3"/>
  <c r="V32" i="3"/>
  <c r="AD32" i="3"/>
  <c r="X33" i="3"/>
  <c r="Z38" i="3"/>
  <c r="D10" i="3"/>
  <c r="AD10" i="3"/>
  <c r="D9" i="3"/>
  <c r="R10" i="3"/>
  <c r="S10" i="3" s="1"/>
  <c r="T13" i="3"/>
  <c r="AD14" i="3"/>
  <c r="T17" i="3"/>
  <c r="V18" i="3"/>
  <c r="X19" i="3"/>
  <c r="AD22" i="3"/>
  <c r="AD26" i="3"/>
  <c r="X27" i="3"/>
  <c r="T29" i="3"/>
  <c r="V30" i="3"/>
  <c r="X31" i="3"/>
  <c r="T33" i="3"/>
  <c r="V34" i="3"/>
  <c r="W34" i="3" s="1"/>
  <c r="W33" i="3" s="1"/>
  <c r="W32" i="3" s="1"/>
  <c r="Z36" i="3"/>
  <c r="E10" i="3"/>
  <c r="V10" i="3"/>
  <c r="V11" i="3"/>
  <c r="AD11" i="3"/>
  <c r="X12" i="3"/>
  <c r="T14" i="3"/>
  <c r="V15" i="3"/>
  <c r="AD15" i="3"/>
  <c r="X16" i="3"/>
  <c r="T18" i="3"/>
  <c r="V19" i="3"/>
  <c r="AD19" i="3"/>
  <c r="X20" i="3"/>
  <c r="T22" i="3"/>
  <c r="V23" i="3"/>
  <c r="AD23" i="3"/>
  <c r="X24" i="3"/>
  <c r="T26" i="3"/>
  <c r="V27" i="3"/>
  <c r="AD27" i="3"/>
  <c r="X28" i="3"/>
  <c r="T30" i="3"/>
  <c r="V31" i="3"/>
  <c r="AD31" i="3"/>
  <c r="X32" i="3"/>
  <c r="T34" i="3"/>
  <c r="U34" i="3" s="1"/>
  <c r="Z37" i="3"/>
  <c r="X10" i="3"/>
  <c r="X11" i="3"/>
  <c r="V14" i="3"/>
  <c r="X15" i="3"/>
  <c r="AD18" i="3"/>
  <c r="T21" i="3"/>
  <c r="V22" i="3"/>
  <c r="X23" i="3"/>
  <c r="T25" i="3"/>
  <c r="V26" i="3"/>
  <c r="AD30" i="3"/>
  <c r="AD34" i="3"/>
  <c r="AE34" i="3" s="1"/>
  <c r="F9" i="3"/>
  <c r="K11" i="3"/>
  <c r="K9" i="3"/>
  <c r="K12" i="3"/>
  <c r="K10" i="3"/>
  <c r="J100" i="3"/>
  <c r="J85" i="3"/>
  <c r="J89" i="3"/>
  <c r="J96" i="3"/>
  <c r="J91" i="3"/>
  <c r="J10" i="3"/>
  <c r="J26" i="3"/>
  <c r="J42" i="3"/>
  <c r="J58" i="3"/>
  <c r="J74" i="3"/>
  <c r="H15" i="3"/>
  <c r="H23" i="3"/>
  <c r="H31" i="3"/>
  <c r="I31" i="3"/>
  <c r="J61" i="3"/>
  <c r="H12" i="3"/>
  <c r="I25" i="3"/>
  <c r="H36" i="3"/>
  <c r="J23" i="3"/>
  <c r="J39" i="3"/>
  <c r="J55" i="3"/>
  <c r="J71" i="3"/>
  <c r="H14" i="3"/>
  <c r="H22" i="3"/>
  <c r="H30" i="3"/>
  <c r="J37" i="3"/>
  <c r="J24" i="3"/>
  <c r="J40" i="3"/>
  <c r="J56" i="3"/>
  <c r="J72" i="3"/>
  <c r="I14" i="3"/>
  <c r="I22" i="3"/>
  <c r="I30" i="3"/>
  <c r="J13" i="3"/>
  <c r="J41" i="3"/>
  <c r="I13" i="3"/>
  <c r="J99" i="3"/>
  <c r="J81" i="3"/>
  <c r="J82" i="3"/>
  <c r="J87" i="3"/>
  <c r="J94" i="3"/>
  <c r="J14" i="3"/>
  <c r="J30" i="3"/>
  <c r="J46" i="3"/>
  <c r="J62" i="3"/>
  <c r="J78" i="3"/>
  <c r="I16" i="3"/>
  <c r="I24" i="3"/>
  <c r="I32" i="3"/>
  <c r="J21" i="3"/>
  <c r="J65" i="3"/>
  <c r="I17" i="3"/>
  <c r="H28" i="3"/>
  <c r="J11" i="3"/>
  <c r="J27" i="3"/>
  <c r="J43" i="3"/>
  <c r="J59" i="3"/>
  <c r="J75" i="3"/>
  <c r="I15" i="3"/>
  <c r="I23" i="3"/>
  <c r="H34" i="3"/>
  <c r="J12" i="3"/>
  <c r="J28" i="3"/>
  <c r="J44" i="3"/>
  <c r="J60" i="3"/>
  <c r="J76" i="3"/>
  <c r="H17" i="3"/>
  <c r="H25" i="3"/>
  <c r="H33" i="3"/>
  <c r="J17" i="3"/>
  <c r="J49" i="3"/>
  <c r="H16" i="3"/>
  <c r="H9" i="3"/>
  <c r="J9" i="3"/>
  <c r="J97" i="3"/>
  <c r="J88" i="3"/>
  <c r="J84" i="3"/>
  <c r="J92" i="3"/>
  <c r="J95" i="3"/>
  <c r="J18" i="3"/>
  <c r="J34" i="3"/>
  <c r="J50" i="3"/>
  <c r="J66" i="3"/>
  <c r="H11" i="3"/>
  <c r="J98" i="3"/>
  <c r="J93" i="3"/>
  <c r="J83" i="3"/>
  <c r="J86" i="3"/>
  <c r="J90" i="3"/>
  <c r="H10" i="3"/>
  <c r="J22" i="3"/>
  <c r="J38" i="3"/>
  <c r="J54" i="3"/>
  <c r="J70" i="3"/>
  <c r="I12" i="3"/>
  <c r="I20" i="3"/>
  <c r="I28" i="3"/>
  <c r="H39" i="3"/>
  <c r="J53" i="3"/>
  <c r="J77" i="3"/>
  <c r="I21" i="3"/>
  <c r="I33" i="3"/>
  <c r="J19" i="3"/>
  <c r="J35" i="3"/>
  <c r="J51" i="3"/>
  <c r="J67" i="3"/>
  <c r="I11" i="3"/>
  <c r="I19" i="3"/>
  <c r="I27" i="3"/>
  <c r="J25" i="3"/>
  <c r="J20" i="3"/>
  <c r="J36" i="3"/>
  <c r="J52" i="3"/>
  <c r="J68" i="3"/>
  <c r="H13" i="3"/>
  <c r="H21" i="3"/>
  <c r="H29" i="3"/>
  <c r="H37" i="3"/>
  <c r="J33" i="3"/>
  <c r="J69" i="3"/>
  <c r="H32" i="3"/>
  <c r="H35" i="3"/>
  <c r="I29" i="3"/>
  <c r="J63" i="3"/>
  <c r="H38" i="3"/>
  <c r="J64" i="3"/>
  <c r="I34" i="3"/>
  <c r="J45" i="3"/>
  <c r="J15" i="3"/>
  <c r="J79" i="3"/>
  <c r="J16" i="3"/>
  <c r="J80" i="3"/>
  <c r="J29" i="3"/>
  <c r="H19" i="3"/>
  <c r="J73" i="3"/>
  <c r="J31" i="3"/>
  <c r="H18" i="3"/>
  <c r="J32" i="3"/>
  <c r="I18" i="3"/>
  <c r="J57" i="3"/>
  <c r="H27" i="3"/>
  <c r="H20" i="3"/>
  <c r="J47" i="3"/>
  <c r="H26" i="3"/>
  <c r="J48" i="3"/>
  <c r="I26" i="3"/>
  <c r="H24" i="3"/>
  <c r="K96" i="3"/>
  <c r="K44" i="3"/>
  <c r="K17" i="3"/>
  <c r="K81" i="3"/>
  <c r="K54" i="3"/>
  <c r="K27" i="3"/>
  <c r="K91" i="3"/>
  <c r="K16" i="3"/>
  <c r="K50" i="3"/>
  <c r="K24" i="3"/>
  <c r="K69" i="3"/>
  <c r="K42" i="3"/>
  <c r="K15" i="3"/>
  <c r="K79" i="3"/>
  <c r="K32" i="3"/>
  <c r="K18" i="3"/>
  <c r="K88" i="3"/>
  <c r="K57" i="3"/>
  <c r="K30" i="3"/>
  <c r="K94" i="3"/>
  <c r="K67" i="3"/>
  <c r="K84" i="3"/>
  <c r="K23" i="3"/>
  <c r="K75" i="3"/>
  <c r="K87" i="3"/>
  <c r="K90" i="3"/>
  <c r="K77" i="3"/>
  <c r="K14" i="3"/>
  <c r="K40" i="3"/>
  <c r="K28" i="3"/>
  <c r="K92" i="3"/>
  <c r="K33" i="3"/>
  <c r="K97" i="3"/>
  <c r="K70" i="3"/>
  <c r="K43" i="3"/>
  <c r="K72" i="3"/>
  <c r="K13" i="3"/>
  <c r="K82" i="3"/>
  <c r="K21" i="3"/>
  <c r="K85" i="3"/>
  <c r="K58" i="3"/>
  <c r="K31" i="3"/>
  <c r="K95" i="3"/>
  <c r="K80" i="3"/>
  <c r="K66" i="3"/>
  <c r="K68" i="3"/>
  <c r="K73" i="3"/>
  <c r="K46" i="3"/>
  <c r="K19" i="3"/>
  <c r="K83" i="3"/>
  <c r="K20" i="3"/>
  <c r="K71" i="3"/>
  <c r="K76" i="3"/>
  <c r="K38" i="3"/>
  <c r="K48" i="3"/>
  <c r="K53" i="3"/>
  <c r="K63" i="3"/>
  <c r="K55" i="3"/>
  <c r="K78" i="3"/>
  <c r="K34" i="3"/>
  <c r="K60" i="3"/>
  <c r="K49" i="3"/>
  <c r="K22" i="3"/>
  <c r="K86" i="3"/>
  <c r="K59" i="3"/>
  <c r="K52" i="3"/>
  <c r="K61" i="3"/>
  <c r="K39" i="3"/>
  <c r="K37" i="3"/>
  <c r="K74" i="3"/>
  <c r="K47" i="3"/>
  <c r="K56" i="3"/>
  <c r="K29" i="3"/>
  <c r="K98" i="3"/>
  <c r="K25" i="3"/>
  <c r="K89" i="3"/>
  <c r="K62" i="3"/>
  <c r="K35" i="3"/>
  <c r="K99" i="3"/>
  <c r="K45" i="3"/>
  <c r="K64" i="3"/>
  <c r="K100" i="3"/>
  <c r="K65" i="3"/>
  <c r="K93" i="3"/>
  <c r="K26" i="3"/>
  <c r="K36" i="3"/>
  <c r="K41" i="3"/>
  <c r="K51" i="3"/>
  <c r="F25" i="3"/>
  <c r="L25" i="3" s="1"/>
  <c r="F17" i="3"/>
  <c r="L17" i="3" s="1"/>
  <c r="F34" i="3"/>
  <c r="L34" i="3" s="1"/>
  <c r="F15" i="3"/>
  <c r="L15" i="3" s="1"/>
  <c r="F37" i="3"/>
  <c r="L37" i="3" s="1"/>
  <c r="F29" i="3"/>
  <c r="L29" i="3" s="1"/>
  <c r="F32" i="3"/>
  <c r="L32" i="3" s="1"/>
  <c r="M32" i="3" s="1"/>
  <c r="F10" i="3"/>
  <c r="L10" i="3" s="1"/>
  <c r="F28" i="3"/>
  <c r="L28" i="3" s="1"/>
  <c r="F12" i="3"/>
  <c r="L12" i="3" s="1"/>
  <c r="F35" i="3"/>
  <c r="L35" i="3" s="1"/>
  <c r="F21" i="3"/>
  <c r="L21" i="3" s="1"/>
  <c r="F26" i="3"/>
  <c r="L26" i="3" s="1"/>
  <c r="F36" i="3"/>
  <c r="L36" i="3" s="1"/>
  <c r="F27" i="3"/>
  <c r="L27" i="3" s="1"/>
  <c r="F23" i="3"/>
  <c r="L23" i="3" s="1"/>
  <c r="F30" i="3"/>
  <c r="L30" i="3" s="1"/>
  <c r="F14" i="3"/>
  <c r="L14" i="3" s="1"/>
  <c r="F24" i="3"/>
  <c r="L24" i="3" s="1"/>
  <c r="F16" i="3"/>
  <c r="L16" i="3" s="1"/>
  <c r="E11" i="3"/>
  <c r="D26" i="3"/>
  <c r="D17" i="3"/>
  <c r="E20" i="3"/>
  <c r="E28" i="3"/>
  <c r="D30" i="3"/>
  <c r="D15" i="3"/>
  <c r="D12" i="3"/>
  <c r="D22" i="3"/>
  <c r="E13" i="3"/>
  <c r="D35" i="3"/>
  <c r="D13" i="3"/>
  <c r="E21" i="3"/>
  <c r="D23" i="3"/>
  <c r="E17" i="3"/>
  <c r="E16" i="3"/>
  <c r="D34" i="3"/>
  <c r="E34" i="3"/>
  <c r="D39" i="3"/>
  <c r="D11" i="3"/>
  <c r="E29" i="3"/>
  <c r="D33" i="3"/>
  <c r="E24" i="3"/>
  <c r="D19" i="3"/>
  <c r="E27" i="3"/>
  <c r="D31" i="3"/>
  <c r="D28" i="3"/>
  <c r="E15" i="3"/>
  <c r="D32" i="3"/>
  <c r="E31" i="3"/>
  <c r="D29" i="3"/>
  <c r="D20" i="3"/>
  <c r="E32" i="3"/>
  <c r="E30" i="3"/>
  <c r="D21" i="3"/>
  <c r="D36" i="3"/>
  <c r="D27" i="3"/>
  <c r="D24" i="3"/>
  <c r="D14" i="3"/>
  <c r="D37" i="3"/>
  <c r="D16" i="3"/>
  <c r="E33" i="3"/>
  <c r="E22" i="3"/>
  <c r="E26" i="3"/>
  <c r="D25" i="3"/>
  <c r="E23" i="3"/>
  <c r="D38" i="3"/>
  <c r="E19" i="3"/>
  <c r="E25" i="3"/>
  <c r="E14" i="3"/>
  <c r="E18" i="3"/>
  <c r="E12" i="3"/>
  <c r="D18" i="3"/>
  <c r="F95" i="3"/>
  <c r="L95" i="3" s="1"/>
  <c r="F98" i="3"/>
  <c r="L98" i="3" s="1"/>
  <c r="F81" i="3"/>
  <c r="L81" i="3" s="1"/>
  <c r="F100" i="3"/>
  <c r="L100" i="3" s="1"/>
  <c r="F53" i="3"/>
  <c r="L53" i="3" s="1"/>
  <c r="F40" i="3"/>
  <c r="L40" i="3" s="1"/>
  <c r="F91" i="3"/>
  <c r="L91" i="3" s="1"/>
  <c r="F49" i="3"/>
  <c r="L49" i="3" s="1"/>
  <c r="F79" i="3"/>
  <c r="L79" i="3" s="1"/>
  <c r="F80" i="3"/>
  <c r="L80" i="3" s="1"/>
  <c r="F64" i="3"/>
  <c r="L64" i="3" s="1"/>
  <c r="F46" i="3"/>
  <c r="L46" i="3" s="1"/>
  <c r="F43" i="3"/>
  <c r="L43" i="3" s="1"/>
  <c r="F67" i="3"/>
  <c r="L67" i="3" s="1"/>
  <c r="F44" i="3"/>
  <c r="L44" i="3" s="1"/>
  <c r="F56" i="3"/>
  <c r="L56" i="3" s="1"/>
  <c r="F83" i="3"/>
  <c r="L83" i="3" s="1"/>
  <c r="F66" i="3"/>
  <c r="L66" i="3" s="1"/>
  <c r="F50" i="3"/>
  <c r="L50" i="3" s="1"/>
  <c r="F69" i="3"/>
  <c r="L69" i="3" s="1"/>
  <c r="F85" i="3"/>
  <c r="L85" i="3" s="1"/>
  <c r="F51" i="3"/>
  <c r="L51" i="3" s="1"/>
  <c r="F87" i="3"/>
  <c r="L87" i="3" s="1"/>
  <c r="F63" i="3"/>
  <c r="L63" i="3" s="1"/>
  <c r="F76" i="3"/>
  <c r="L76" i="3" s="1"/>
  <c r="F61" i="3"/>
  <c r="L61" i="3" s="1"/>
  <c r="F96" i="3"/>
  <c r="L96" i="3" s="1"/>
  <c r="F54" i="3"/>
  <c r="L54" i="3" s="1"/>
  <c r="F99" i="3"/>
  <c r="L99" i="3" s="1"/>
  <c r="F89" i="3"/>
  <c r="L89" i="3" s="1"/>
  <c r="F78" i="3"/>
  <c r="L78" i="3" s="1"/>
  <c r="F65" i="3"/>
  <c r="L65" i="3" s="1"/>
  <c r="F48" i="3"/>
  <c r="L48" i="3" s="1"/>
  <c r="F47" i="3"/>
  <c r="L47" i="3" s="1"/>
  <c r="F62" i="3"/>
  <c r="L62" i="3" s="1"/>
  <c r="F68" i="3"/>
  <c r="L68" i="3" s="1"/>
  <c r="F86" i="3"/>
  <c r="L86" i="3" s="1"/>
  <c r="F55" i="3"/>
  <c r="L55" i="3" s="1"/>
  <c r="F58" i="3"/>
  <c r="L58" i="3" s="1"/>
  <c r="F73" i="3"/>
  <c r="L73" i="3" s="1"/>
  <c r="F74" i="3"/>
  <c r="L74" i="3" s="1"/>
  <c r="F93" i="3"/>
  <c r="L93" i="3" s="1"/>
  <c r="F72" i="3"/>
  <c r="L72" i="3" s="1"/>
  <c r="F57" i="3"/>
  <c r="L57" i="3" s="1"/>
  <c r="F88" i="3"/>
  <c r="L88" i="3" s="1"/>
  <c r="F82" i="3"/>
  <c r="L82" i="3" s="1"/>
  <c r="F92" i="3"/>
  <c r="L92" i="3" s="1"/>
  <c r="F75" i="3"/>
  <c r="L75" i="3" s="1"/>
  <c r="F59" i="3"/>
  <c r="L59" i="3" s="1"/>
  <c r="M59" i="3" s="1"/>
  <c r="F97" i="3"/>
  <c r="L97" i="3" s="1"/>
  <c r="F60" i="3"/>
  <c r="L60" i="3" s="1"/>
  <c r="F94" i="3"/>
  <c r="L94" i="3" s="1"/>
  <c r="F90" i="3"/>
  <c r="L90" i="3" s="1"/>
  <c r="F84" i="3"/>
  <c r="L84" i="3" s="1"/>
  <c r="F52" i="3"/>
  <c r="L52" i="3" s="1"/>
  <c r="F45" i="3"/>
  <c r="L45" i="3" s="1"/>
  <c r="F41" i="3"/>
  <c r="L41" i="3" s="1"/>
  <c r="F77" i="3"/>
  <c r="L77" i="3" s="1"/>
  <c r="F70" i="3"/>
  <c r="L70" i="3" s="1"/>
  <c r="F71" i="3"/>
  <c r="L71" i="3" s="1"/>
  <c r="F42" i="3"/>
  <c r="L42" i="3" s="1"/>
  <c r="F11" i="3"/>
  <c r="L11" i="3" s="1"/>
  <c r="F33" i="3"/>
  <c r="L33" i="3" s="1"/>
  <c r="F39" i="3"/>
  <c r="L39" i="3" s="1"/>
  <c r="F19" i="3"/>
  <c r="L19" i="3" s="1"/>
  <c r="F22" i="3"/>
  <c r="L22" i="3" s="1"/>
  <c r="F31" i="3"/>
  <c r="L31" i="3" s="1"/>
  <c r="F38" i="3"/>
  <c r="L38" i="3" s="1"/>
  <c r="F20" i="3"/>
  <c r="L20" i="3" s="1"/>
  <c r="F13" i="3"/>
  <c r="L13" i="3" s="1"/>
  <c r="F18" i="3"/>
  <c r="L18" i="3" s="1"/>
  <c r="AA38" i="3" l="1"/>
  <c r="AF39" i="3"/>
  <c r="U33" i="3"/>
  <c r="AE33" i="3"/>
  <c r="AE32" i="3" s="1"/>
  <c r="AE31" i="3" s="1"/>
  <c r="AE30" i="3" s="1"/>
  <c r="AE29" i="3" s="1"/>
  <c r="AE28" i="3" s="1"/>
  <c r="AE27" i="3" s="1"/>
  <c r="AE26" i="3" s="1"/>
  <c r="AE25" i="3" s="1"/>
  <c r="AE24" i="3" s="1"/>
  <c r="AE23" i="3" s="1"/>
  <c r="AE22" i="3" s="1"/>
  <c r="AE21" i="3" s="1"/>
  <c r="AE20" i="3" s="1"/>
  <c r="AE19" i="3" s="1"/>
  <c r="AE18" i="3" s="1"/>
  <c r="AE17" i="3" s="1"/>
  <c r="AE16" i="3" s="1"/>
  <c r="AE15" i="3" s="1"/>
  <c r="AE14" i="3" s="1"/>
  <c r="AE13" i="3" s="1"/>
  <c r="AE12" i="3" s="1"/>
  <c r="AE11" i="3" s="1"/>
  <c r="AE10" i="3" s="1"/>
  <c r="W31" i="3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M90" i="3"/>
  <c r="M83" i="3"/>
  <c r="M79" i="3"/>
  <c r="L9" i="3"/>
  <c r="N9" i="3" s="1"/>
  <c r="M33" i="3"/>
  <c r="M81" i="3"/>
  <c r="M18" i="3"/>
  <c r="M72" i="3"/>
  <c r="M77" i="3"/>
  <c r="M12" i="3"/>
  <c r="M39" i="3"/>
  <c r="M65" i="3"/>
  <c r="M54" i="3"/>
  <c r="M63" i="3"/>
  <c r="M25" i="3"/>
  <c r="M52" i="3"/>
  <c r="M60" i="3"/>
  <c r="M92" i="3"/>
  <c r="M58" i="3"/>
  <c r="M62" i="3"/>
  <c r="M78" i="3"/>
  <c r="M96" i="3"/>
  <c r="M87" i="3"/>
  <c r="M50" i="3"/>
  <c r="M64" i="3"/>
  <c r="M91" i="3"/>
  <c r="M21" i="3"/>
  <c r="M10" i="3"/>
  <c r="M15" i="3"/>
  <c r="N26" i="3"/>
  <c r="N35" i="3"/>
  <c r="N98" i="3"/>
  <c r="N74" i="3"/>
  <c r="N34" i="3"/>
  <c r="N53" i="3"/>
  <c r="M93" i="3"/>
  <c r="M13" i="3"/>
  <c r="M97" i="3"/>
  <c r="M67" i="3"/>
  <c r="M88" i="3"/>
  <c r="M31" i="3"/>
  <c r="M70" i="3"/>
  <c r="M44" i="3"/>
  <c r="M24" i="3"/>
  <c r="M27" i="3"/>
  <c r="M84" i="3"/>
  <c r="M51" i="3"/>
  <c r="M41" i="3"/>
  <c r="M48" i="3"/>
  <c r="M95" i="3"/>
  <c r="M30" i="3"/>
  <c r="M20" i="3"/>
  <c r="M43" i="3"/>
  <c r="M17" i="3"/>
  <c r="M73" i="3"/>
  <c r="M69" i="3"/>
  <c r="M49" i="3"/>
  <c r="M23" i="3"/>
  <c r="M19" i="3"/>
  <c r="M76" i="3"/>
  <c r="N61" i="3"/>
  <c r="N22" i="3"/>
  <c r="N80" i="3"/>
  <c r="N85" i="3"/>
  <c r="N14" i="3"/>
  <c r="M29" i="3"/>
  <c r="N36" i="3"/>
  <c r="N99" i="3"/>
  <c r="N47" i="3"/>
  <c r="N66" i="3"/>
  <c r="N40" i="3"/>
  <c r="N46" i="3"/>
  <c r="N33" i="3"/>
  <c r="N75" i="3"/>
  <c r="N94" i="3"/>
  <c r="N42" i="3"/>
  <c r="N16" i="3"/>
  <c r="N81" i="3"/>
  <c r="N100" i="3"/>
  <c r="N71" i="3"/>
  <c r="N72" i="3"/>
  <c r="N18" i="3"/>
  <c r="M40" i="3"/>
  <c r="N51" i="3"/>
  <c r="N93" i="3"/>
  <c r="N64" i="3"/>
  <c r="N62" i="3"/>
  <c r="N29" i="3"/>
  <c r="N10" i="3"/>
  <c r="N52" i="3"/>
  <c r="N49" i="3"/>
  <c r="N78" i="3"/>
  <c r="N48" i="3"/>
  <c r="N20" i="3"/>
  <c r="N73" i="3"/>
  <c r="N95" i="3"/>
  <c r="N21" i="3"/>
  <c r="N43" i="3"/>
  <c r="N92" i="3"/>
  <c r="N77" i="3"/>
  <c r="N23" i="3"/>
  <c r="N30" i="3"/>
  <c r="N32" i="3"/>
  <c r="N69" i="3"/>
  <c r="N91" i="3"/>
  <c r="N17" i="3"/>
  <c r="N41" i="3"/>
  <c r="N11" i="3"/>
  <c r="N45" i="3"/>
  <c r="N89" i="3"/>
  <c r="N56" i="3"/>
  <c r="N37" i="3"/>
  <c r="N59" i="3"/>
  <c r="N12" i="3"/>
  <c r="N55" i="3"/>
  <c r="N38" i="3"/>
  <c r="N83" i="3"/>
  <c r="N68" i="3"/>
  <c r="N31" i="3"/>
  <c r="N82" i="3"/>
  <c r="N70" i="3"/>
  <c r="N28" i="3"/>
  <c r="N90" i="3"/>
  <c r="N84" i="3"/>
  <c r="N57" i="3"/>
  <c r="N79" i="3"/>
  <c r="N24" i="3"/>
  <c r="N27" i="3"/>
  <c r="N44" i="3"/>
  <c r="N65" i="3"/>
  <c r="N25" i="3"/>
  <c r="N39" i="3"/>
  <c r="N86" i="3"/>
  <c r="N60" i="3"/>
  <c r="N63" i="3"/>
  <c r="N76" i="3"/>
  <c r="N19" i="3"/>
  <c r="N58" i="3"/>
  <c r="N13" i="3"/>
  <c r="N97" i="3"/>
  <c r="N87" i="3"/>
  <c r="N67" i="3"/>
  <c r="N88" i="3"/>
  <c r="N15" i="3"/>
  <c r="N50" i="3"/>
  <c r="N54" i="3"/>
  <c r="N96" i="3"/>
  <c r="M11" i="3"/>
  <c r="M82" i="3"/>
  <c r="M55" i="3"/>
  <c r="M89" i="3"/>
  <c r="M38" i="3"/>
  <c r="M45" i="3"/>
  <c r="M57" i="3"/>
  <c r="M68" i="3"/>
  <c r="M56" i="3"/>
  <c r="M28" i="3"/>
  <c r="M37" i="3"/>
  <c r="M86" i="3"/>
  <c r="M42" i="3"/>
  <c r="M47" i="3"/>
  <c r="M66" i="3"/>
  <c r="M36" i="3"/>
  <c r="M99" i="3"/>
  <c r="M22" i="3"/>
  <c r="M61" i="3"/>
  <c r="M80" i="3"/>
  <c r="M98" i="3"/>
  <c r="M14" i="3"/>
  <c r="M35" i="3"/>
  <c r="M34" i="3"/>
  <c r="M74" i="3"/>
  <c r="M85" i="3"/>
  <c r="M53" i="3"/>
  <c r="M26" i="3"/>
  <c r="M71" i="3"/>
  <c r="M94" i="3"/>
  <c r="M75" i="3"/>
  <c r="M46" i="3"/>
  <c r="M100" i="3"/>
  <c r="M16" i="3"/>
  <c r="U32" i="3" l="1"/>
  <c r="AA37" i="3"/>
  <c r="AF38" i="3"/>
  <c r="M9" i="3"/>
  <c r="AA36" i="3" l="1"/>
  <c r="AF37" i="3"/>
  <c r="U31" i="3"/>
  <c r="U30" i="3" l="1"/>
  <c r="AA35" i="3"/>
  <c r="AF36" i="3"/>
  <c r="AA34" i="3" l="1"/>
  <c r="AF35" i="3"/>
  <c r="U29" i="3"/>
  <c r="U28" i="3" l="1"/>
  <c r="AA33" i="3"/>
  <c r="AF34" i="3"/>
  <c r="AA32" i="3" l="1"/>
  <c r="AF33" i="3"/>
  <c r="U27" i="3"/>
  <c r="U26" i="3" l="1"/>
  <c r="AA31" i="3"/>
  <c r="AF32" i="3"/>
  <c r="AA30" i="3" l="1"/>
  <c r="AF31" i="3"/>
  <c r="U25" i="3"/>
  <c r="U24" i="3" l="1"/>
  <c r="AA29" i="3"/>
  <c r="AF30" i="3"/>
  <c r="AA28" i="3" l="1"/>
  <c r="AF29" i="3"/>
  <c r="U23" i="3"/>
  <c r="U22" i="3" l="1"/>
  <c r="AA27" i="3"/>
  <c r="AF28" i="3"/>
  <c r="AA26" i="3" l="1"/>
  <c r="AF27" i="3"/>
  <c r="U21" i="3"/>
  <c r="U20" i="3" l="1"/>
  <c r="AA25" i="3"/>
  <c r="AF26" i="3"/>
  <c r="AA24" i="3" l="1"/>
  <c r="AF25" i="3"/>
  <c r="U19" i="3"/>
  <c r="U18" i="3" l="1"/>
  <c r="AA23" i="3"/>
  <c r="AF24" i="3"/>
  <c r="AA22" i="3" l="1"/>
  <c r="AF23" i="3"/>
  <c r="U17" i="3"/>
  <c r="U16" i="3" l="1"/>
  <c r="AA21" i="3"/>
  <c r="AF22" i="3"/>
  <c r="AA20" i="3" l="1"/>
  <c r="AF21" i="3"/>
  <c r="U15" i="3"/>
  <c r="U14" i="3" l="1"/>
  <c r="AA19" i="3"/>
  <c r="AF20" i="3"/>
  <c r="AA18" i="3" l="1"/>
  <c r="AF19" i="3"/>
  <c r="U13" i="3"/>
  <c r="U12" i="3" l="1"/>
  <c r="AA17" i="3"/>
  <c r="AF18" i="3"/>
  <c r="AA16" i="3" l="1"/>
  <c r="AF17" i="3"/>
  <c r="U11" i="3"/>
  <c r="U10" i="3" l="1"/>
  <c r="AA15" i="3"/>
  <c r="AF16" i="3"/>
  <c r="AA14" i="3" l="1"/>
  <c r="AF15" i="3"/>
  <c r="AA13" i="3" l="1"/>
  <c r="AF14" i="3"/>
  <c r="AA12" i="3" l="1"/>
  <c r="AF13" i="3"/>
  <c r="AA11" i="3" l="1"/>
  <c r="AF12" i="3"/>
  <c r="AA10" i="3" l="1"/>
  <c r="AF10" i="3" s="1"/>
  <c r="AF11" i="3"/>
</calcChain>
</file>

<file path=xl/sharedStrings.xml><?xml version="1.0" encoding="utf-8"?>
<sst xmlns="http://schemas.openxmlformats.org/spreadsheetml/2006/main" count="133" uniqueCount="107">
  <si>
    <t>x</t>
  </si>
  <si>
    <t>qx_PK</t>
  </si>
  <si>
    <t>Standard</t>
  </si>
  <si>
    <t>t</t>
  </si>
  <si>
    <t>n</t>
  </si>
  <si>
    <t>Rente</t>
  </si>
  <si>
    <t>PK</t>
  </si>
  <si>
    <t>DR</t>
  </si>
  <si>
    <t>alpha_z</t>
  </si>
  <si>
    <t>alpha_g</t>
  </si>
  <si>
    <t>beta</t>
  </si>
  <si>
    <t>i</t>
  </si>
  <si>
    <t>gamma_1</t>
  </si>
  <si>
    <t>gamma_2</t>
  </si>
  <si>
    <t>gamma_3</t>
  </si>
  <si>
    <t>m</t>
  </si>
  <si>
    <t>Tafel</t>
  </si>
  <si>
    <t>v_PK</t>
  </si>
  <si>
    <t>v_DR</t>
  </si>
  <si>
    <t>qx_DR</t>
  </si>
  <si>
    <t>Keine</t>
  </si>
  <si>
    <t>lx_PK</t>
  </si>
  <si>
    <t>lx_DR</t>
  </si>
  <si>
    <t>Dx_PK</t>
  </si>
  <si>
    <t>Dx_DR</t>
  </si>
  <si>
    <t>Nx_PK</t>
  </si>
  <si>
    <t>Nx_DR</t>
  </si>
  <si>
    <t>ae_xn_PK</t>
  </si>
  <si>
    <t>ae_xn_DR</t>
  </si>
  <si>
    <t>ae_xt_PK</t>
  </si>
  <si>
    <t>n_ae_x_PK</t>
  </si>
  <si>
    <t>n_ae_x_DR</t>
  </si>
  <si>
    <t>ae_xt_DR</t>
  </si>
  <si>
    <t>Leistung</t>
  </si>
  <si>
    <t>Kosten</t>
  </si>
  <si>
    <t>Beitrag</t>
  </si>
  <si>
    <t>Tarifreserve</t>
  </si>
  <si>
    <t>Normreserve</t>
  </si>
  <si>
    <t>Deckungs-rückstellung</t>
  </si>
  <si>
    <t>Bilanz</t>
  </si>
  <si>
    <t>Aktivierte Ansprüche</t>
  </si>
  <si>
    <t>Garantie</t>
  </si>
  <si>
    <t>ae_x5_PK</t>
  </si>
  <si>
    <t>Basisreserve</t>
  </si>
  <si>
    <t>HRechzins</t>
  </si>
  <si>
    <t>HZillsatz</t>
  </si>
  <si>
    <t>RKW</t>
  </si>
  <si>
    <t>Min-RKW</t>
  </si>
  <si>
    <t>-10%</t>
  </si>
  <si>
    <t>AKTIVA</t>
  </si>
  <si>
    <t>Mittelverwendung</t>
  </si>
  <si>
    <t>PASSIVA</t>
  </si>
  <si>
    <t>Mittelherkunft</t>
  </si>
  <si>
    <t>EK (Eigenkapital)</t>
  </si>
  <si>
    <t>Versicherungstechnische Rückstellungen:</t>
  </si>
  <si>
    <t>FK (Fremdkapital)</t>
  </si>
  <si>
    <t>FLV Deckungsrückstellung -</t>
  </si>
  <si>
    <t>Rückstellung für Beitragsrückerstattung (RfB) -</t>
  </si>
  <si>
    <t>klassische Deckungsrückstellung -</t>
  </si>
  <si>
    <t>AV (Anlagevermögen)</t>
  </si>
  <si>
    <t>UV (Umlaufvermögen)</t>
  </si>
  <si>
    <t>Verbindlichkeiten:</t>
  </si>
  <si>
    <t>- Forderungen aus selbstabgeschlosseneme V.-Geschäft</t>
  </si>
  <si>
    <t>aus selbstabgeschlossenem V.-Geschäft -</t>
  </si>
  <si>
    <t>etc. -</t>
  </si>
  <si>
    <t>Eingabe</t>
  </si>
  <si>
    <t>Ausgabe</t>
  </si>
  <si>
    <t>Parameter</t>
  </si>
  <si>
    <t>Gesetzgebung</t>
  </si>
  <si>
    <t>Stichpunkte</t>
  </si>
  <si>
    <t>- Sicherungsvermögen, Anlagestock</t>
  </si>
  <si>
    <t>- Grundsätze HGB-Bilanzierung</t>
  </si>
  <si>
    <t>- Einzelbewertung</t>
  </si>
  <si>
    <t>- Periodenabgrenzung</t>
  </si>
  <si>
    <t>- Vorsicht (Realisations-, Imparitätsprinzip)</t>
  </si>
  <si>
    <t>Beitragsüberträge -</t>
  </si>
  <si>
    <t>- KA für Rechnung und Risiko von Inhabern von LV-Policen</t>
  </si>
  <si>
    <t>Rückstellung für noch nicht abgewickelte Versicherungsfälle -</t>
  </si>
  <si>
    <t>- RfB, SÜA-Fonds (gebunden, frei)</t>
  </si>
  <si>
    <t>Vertrag 1</t>
  </si>
  <si>
    <t>Vertrag 2</t>
  </si>
  <si>
    <t>DK</t>
  </si>
  <si>
    <t>BZG BWR</t>
  </si>
  <si>
    <t>…</t>
  </si>
  <si>
    <t>Beispiel für Verteilungsschlüssel (2 Verträge im Bestand)</t>
  </si>
  <si>
    <t>Anteil BWR</t>
  </si>
  <si>
    <t>Bestand</t>
  </si>
  <si>
    <t>BZG</t>
  </si>
  <si>
    <t>- Zillmerung (Vollzillmerung, verteilte Abschlusskosten)</t>
  </si>
  <si>
    <t>- Bilanzierung (DR, AA)</t>
  </si>
  <si>
    <t>- Min-RKW</t>
  </si>
  <si>
    <t>- Nachreservierung (Biometrie, Kosten, Zins), Unisex-Reserve, etc…</t>
  </si>
  <si>
    <t>- Mindestbewertungsreserven</t>
  </si>
  <si>
    <t>RGL der PK</t>
  </si>
  <si>
    <t>RGL der DR</t>
  </si>
  <si>
    <t>Reguliert</t>
  </si>
  <si>
    <t>INKA</t>
  </si>
  <si>
    <t>VWK bpfl</t>
  </si>
  <si>
    <t>VWK bfr</t>
  </si>
  <si>
    <t>VWK lpfl</t>
  </si>
  <si>
    <t>Brutto-beitrag</t>
  </si>
  <si>
    <t>AK gez</t>
  </si>
  <si>
    <t>AK lfd</t>
  </si>
  <si>
    <t>BW</t>
  </si>
  <si>
    <t>Cash Flows mit zugehörigem Barwert</t>
  </si>
  <si>
    <t>Beachte: Keine Berücksichtigung im LBW</t>
  </si>
  <si>
    <t>Aufbau gemäß RechVersV (Rechnungslegungsverordnung)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</si>
</sst>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indent="1"/>
    </xf>
    <xf numFmtId="9" fontId="0" fillId="0" borderId="0" xfId="0" quotePrefix="1" applyNumberFormat="1" applyAlignment="1">
      <alignment horizontal="center" vertical="top"/>
    </xf>
    <xf numFmtId="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9" fontId="0" fillId="5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0" fontId="0" fillId="5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3" borderId="9" xfId="0" applyNumberFormat="1" applyFill="1" applyBorder="1" applyAlignment="1">
      <alignment horizontal="center" vertical="center"/>
    </xf>
    <xf numFmtId="9" fontId="0" fillId="5" borderId="9" xfId="0" quotePrefix="1" applyNumberFormat="1" applyFill="1" applyBorder="1" applyAlignment="1">
      <alignment horizontal="center" vertical="center"/>
    </xf>
    <xf numFmtId="10" fontId="0" fillId="5" borderId="9" xfId="0" applyNumberFormat="1" applyFill="1" applyBorder="1" applyAlignment="1">
      <alignment horizontal="center" vertical="center"/>
    </xf>
    <xf numFmtId="10" fontId="0" fillId="5" borderId="10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Border="1" applyAlignment="1">
      <alignment vertical="center" textRotation="90"/>
    </xf>
    <xf numFmtId="0" fontId="0" fillId="3" borderId="22" xfId="0" applyFill="1" applyBorder="1" applyAlignment="1">
      <alignment horizontal="center"/>
    </xf>
    <xf numFmtId="0" fontId="0" fillId="3" borderId="22" xfId="0" applyFill="1" applyBorder="1"/>
    <xf numFmtId="0" fontId="0" fillId="7" borderId="22" xfId="0" applyFill="1" applyBorder="1" applyAlignment="1">
      <alignment horizontal="center"/>
    </xf>
    <xf numFmtId="0" fontId="0" fillId="7" borderId="22" xfId="0" applyFill="1" applyBorder="1"/>
    <xf numFmtId="0" fontId="0" fillId="7" borderId="23" xfId="0" applyFill="1" applyBorder="1"/>
    <xf numFmtId="0" fontId="1" fillId="2" borderId="21" xfId="0" applyFont="1" applyFill="1" applyBorder="1"/>
    <xf numFmtId="0" fontId="0" fillId="2" borderId="23" xfId="0" applyFill="1" applyBorder="1"/>
    <xf numFmtId="0" fontId="1" fillId="2" borderId="24" xfId="0" applyFont="1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right"/>
    </xf>
    <xf numFmtId="0" fontId="0" fillId="3" borderId="28" xfId="0" applyFill="1" applyBorder="1"/>
    <xf numFmtId="0" fontId="0" fillId="6" borderId="25" xfId="0" applyFill="1" applyBorder="1" applyAlignment="1">
      <alignment horizontal="right"/>
    </xf>
    <xf numFmtId="0" fontId="0" fillId="7" borderId="22" xfId="0" quotePrefix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0" fillId="3" borderId="22" xfId="0" quotePrefix="1" applyFill="1" applyBorder="1"/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quotePrefix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 wrapText="1"/>
    </xf>
    <xf numFmtId="0" fontId="0" fillId="0" borderId="45" xfId="0" quotePrefix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0" borderId="48" xfId="0" quotePrefix="1" applyBorder="1" applyAlignment="1">
      <alignment horizontal="left" vertical="center"/>
    </xf>
    <xf numFmtId="0" fontId="0" fillId="2" borderId="52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10" fontId="0" fillId="0" borderId="54" xfId="0" applyNumberFormat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0" fontId="0" fillId="0" borderId="55" xfId="0" applyNumberFormat="1" applyBorder="1" applyAlignment="1">
      <alignment horizontal="center" vertical="center"/>
    </xf>
    <xf numFmtId="2" fontId="0" fillId="6" borderId="45" xfId="0" quotePrefix="1" applyNumberFormat="1" applyFill="1" applyBorder="1" applyAlignment="1">
      <alignment horizontal="center" vertical="center"/>
    </xf>
    <xf numFmtId="2" fontId="0" fillId="6" borderId="50" xfId="0" quotePrefix="1" applyNumberFormat="1" applyFill="1" applyBorder="1" applyAlignment="1">
      <alignment horizontal="center" vertical="center"/>
    </xf>
    <xf numFmtId="2" fontId="0" fillId="8" borderId="48" xfId="0" quotePrefix="1" applyNumberFormat="1" applyFill="1" applyBorder="1" applyAlignment="1">
      <alignment horizontal="center" vertical="center"/>
    </xf>
    <xf numFmtId="2" fontId="0" fillId="8" borderId="45" xfId="0" quotePrefix="1" applyNumberFormat="1" applyFill="1" applyBorder="1" applyAlignment="1">
      <alignment horizontal="center" vertical="center"/>
    </xf>
    <xf numFmtId="2" fontId="0" fillId="8" borderId="49" xfId="0" quotePrefix="1" applyNumberFormat="1" applyFill="1" applyBorder="1" applyAlignment="1">
      <alignment horizontal="center" vertical="center"/>
    </xf>
    <xf numFmtId="2" fontId="0" fillId="8" borderId="50" xfId="0" quotePrefix="1" applyNumberFormat="1" applyFill="1" applyBorder="1" applyAlignment="1">
      <alignment horizontal="center" vertical="center"/>
    </xf>
    <xf numFmtId="2" fontId="0" fillId="5" borderId="45" xfId="0" quotePrefix="1" applyNumberFormat="1" applyFill="1" applyBorder="1" applyAlignment="1">
      <alignment horizontal="center" vertical="center"/>
    </xf>
    <xf numFmtId="2" fontId="0" fillId="5" borderId="50" xfId="0" quotePrefix="1" applyNumberFormat="1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2" fontId="0" fillId="4" borderId="52" xfId="0" quotePrefix="1" applyNumberFormat="1" applyFill="1" applyBorder="1" applyAlignment="1">
      <alignment horizontal="center" vertical="center"/>
    </xf>
    <xf numFmtId="2" fontId="0" fillId="4" borderId="50" xfId="0" applyNumberFormat="1" applyFill="1" applyBorder="1" applyAlignment="1">
      <alignment horizontal="center" vertical="center"/>
    </xf>
    <xf numFmtId="2" fontId="0" fillId="4" borderId="53" xfId="0" quotePrefix="1" applyNumberFormat="1" applyFill="1" applyBorder="1" applyAlignment="1">
      <alignment horizontal="center" vertical="center"/>
    </xf>
    <xf numFmtId="2" fontId="0" fillId="9" borderId="55" xfId="0" quotePrefix="1" applyNumberFormat="1" applyFill="1" applyBorder="1" applyAlignment="1">
      <alignment horizontal="center" vertical="center"/>
    </xf>
    <xf numFmtId="2" fontId="0" fillId="9" borderId="56" xfId="0" quotePrefix="1" applyNumberFormat="1" applyFill="1" applyBorder="1" applyAlignment="1">
      <alignment horizontal="center" vertical="center"/>
    </xf>
    <xf numFmtId="0" fontId="0" fillId="0" borderId="46" xfId="0" quotePrefix="1" applyBorder="1" applyAlignment="1">
      <alignment horizontal="center" vertical="center"/>
    </xf>
    <xf numFmtId="0" fontId="0" fillId="0" borderId="47" xfId="0" quotePrefix="1" applyBorder="1" applyAlignment="1">
      <alignment horizontal="center" vertical="center"/>
    </xf>
    <xf numFmtId="0" fontId="0" fillId="0" borderId="51" xfId="0" quotePrefix="1" applyBorder="1" applyAlignment="1">
      <alignment horizontal="center" vertical="center"/>
    </xf>
    <xf numFmtId="0" fontId="1" fillId="0" borderId="44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13</xdr:row>
      <xdr:rowOff>114300</xdr:rowOff>
    </xdr:from>
    <xdr:to>
      <xdr:col>1</xdr:col>
      <xdr:colOff>127000</xdr:colOff>
      <xdr:row>19</xdr:row>
      <xdr:rowOff>152400</xdr:rowOff>
    </xdr:to>
    <xdr:cxnSp macro="">
      <xdr:nvCxnSpPr>
        <xdr:cNvPr id="3" name="Gerade Verbindung mit Pfeil 2"/>
        <xdr:cNvCxnSpPr>
          <a:stCxn id="6" idx="2"/>
        </xdr:cNvCxnSpPr>
      </xdr:nvCxnSpPr>
      <xdr:spPr>
        <a:xfrm flipH="1">
          <a:off x="882650" y="2146300"/>
          <a:ext cx="6350" cy="958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</xdr:colOff>
      <xdr:row>3</xdr:row>
      <xdr:rowOff>152400</xdr:rowOff>
    </xdr:from>
    <xdr:to>
      <xdr:col>1</xdr:col>
      <xdr:colOff>127000</xdr:colOff>
      <xdr:row>8</xdr:row>
      <xdr:rowOff>38100</xdr:rowOff>
    </xdr:to>
    <xdr:cxnSp macro="">
      <xdr:nvCxnSpPr>
        <xdr:cNvPr id="5" name="Gerader Verbinder 4"/>
        <xdr:cNvCxnSpPr>
          <a:endCxn id="6" idx="0"/>
        </xdr:cNvCxnSpPr>
      </xdr:nvCxnSpPr>
      <xdr:spPr>
        <a:xfrm>
          <a:off x="889000" y="711200"/>
          <a:ext cx="0" cy="806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723900</xdr:colOff>
      <xdr:row>8</xdr:row>
      <xdr:rowOff>38100</xdr:rowOff>
    </xdr:from>
    <xdr:to>
      <xdr:col>1</xdr:col>
      <xdr:colOff>292100</xdr:colOff>
      <xdr:row>13</xdr:row>
      <xdr:rowOff>114300</xdr:rowOff>
    </xdr:to>
    <xdr:sp macro="" textlink="">
      <xdr:nvSpPr>
        <xdr:cNvPr id="6" name="Textfeld 5"/>
        <xdr:cNvSpPr txBox="1"/>
      </xdr:nvSpPr>
      <xdr:spPr>
        <a:xfrm>
          <a:off x="723900" y="1517650"/>
          <a:ext cx="330200" cy="628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de-DE" sz="1000" b="1"/>
            <a:t>Liquidität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9</xdr:col>
      <xdr:colOff>95834</xdr:colOff>
      <xdr:row>27</xdr:row>
      <xdr:rowOff>133792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6744284" cy="5105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00_eigene_Dateien/Documents/99_Privat/tools/Tarifrechner/KRV_Rech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"/>
      <sheetName val="Ausgabe"/>
      <sheetName val="Parameter"/>
      <sheetName val="qx"/>
      <sheetName val="Kommutationswerte"/>
      <sheetName val="Markovwerte"/>
      <sheetName val="Fortschreibung"/>
      <sheetName val="Rentenbezug"/>
    </sheetNames>
    <sheetDataSet>
      <sheetData sheetId="0"/>
      <sheetData sheetId="1"/>
      <sheetData sheetId="2">
        <row r="6">
          <cell r="C6">
            <v>121</v>
          </cell>
        </row>
        <row r="10">
          <cell r="C10">
            <v>0.97323600973236002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I124"/>
  <sheetViews>
    <sheetView tabSelected="1" workbookViewId="0"/>
  </sheetViews>
  <sheetFormatPr baseColWidth="10" defaultRowHeight="14.5" x14ac:dyDescent="0.35"/>
  <cols>
    <col min="1" max="6" width="10.90625" style="1"/>
    <col min="7" max="7" width="10.90625" style="1" customWidth="1"/>
    <col min="8" max="16384" width="10.90625" style="1"/>
  </cols>
  <sheetData>
    <row r="2" spans="1:9" x14ac:dyDescent="0.35">
      <c r="A2" s="1" t="s">
        <v>0</v>
      </c>
      <c r="B2" s="1" t="s">
        <v>1</v>
      </c>
      <c r="C2" s="1" t="s">
        <v>19</v>
      </c>
      <c r="E2" s="1" t="s">
        <v>2</v>
      </c>
      <c r="G2" s="4" t="s">
        <v>48</v>
      </c>
      <c r="I2" s="1" t="s">
        <v>20</v>
      </c>
    </row>
    <row r="3" spans="1:9" x14ac:dyDescent="0.35">
      <c r="A3" s="1">
        <v>0</v>
      </c>
      <c r="B3" s="1">
        <f t="shared" ref="B3:B34" si="0">INDEX( $E$3:$W$124, $A3 + 1, MATCH( Tafel_PK, $E$2:$W$2, 0))</f>
        <v>8.2999999999999998E-5</v>
      </c>
      <c r="C3" s="1">
        <f t="shared" ref="C3:C34" si="1">INDEX( $E$3:$W$124, $A3 + 1, MATCH( Tafel_DR, $E$2:$W$2, 0))</f>
        <v>8.2999999999999998E-5</v>
      </c>
      <c r="E3" s="2">
        <v>8.2999999999999998E-5</v>
      </c>
      <c r="G3" s="3">
        <f>$E3 / 1.1</f>
        <v>7.5454545454545449E-5</v>
      </c>
      <c r="I3" s="2">
        <v>0</v>
      </c>
    </row>
    <row r="4" spans="1:9" x14ac:dyDescent="0.35">
      <c r="A4" s="1">
        <v>1</v>
      </c>
      <c r="B4" s="1">
        <f t="shared" si="0"/>
        <v>8.2999999999999998E-5</v>
      </c>
      <c r="C4" s="1">
        <f t="shared" si="1"/>
        <v>8.2999999999999998E-5</v>
      </c>
      <c r="E4" s="2">
        <v>8.2999999999999998E-5</v>
      </c>
      <c r="G4" s="3">
        <f t="shared" ref="G4:G67" si="2">$E4 / 1.1</f>
        <v>7.5454545454545449E-5</v>
      </c>
      <c r="I4" s="2">
        <v>0</v>
      </c>
    </row>
    <row r="5" spans="1:9" x14ac:dyDescent="0.35">
      <c r="A5" s="1">
        <v>2</v>
      </c>
      <c r="B5" s="1">
        <f t="shared" si="0"/>
        <v>8.2999999999999998E-5</v>
      </c>
      <c r="C5" s="1">
        <f t="shared" si="1"/>
        <v>8.2999999999999998E-5</v>
      </c>
      <c r="E5" s="2">
        <v>8.2999999999999998E-5</v>
      </c>
      <c r="G5" s="3">
        <f t="shared" si="2"/>
        <v>7.5454545454545449E-5</v>
      </c>
      <c r="I5" s="2">
        <v>0</v>
      </c>
    </row>
    <row r="6" spans="1:9" x14ac:dyDescent="0.35">
      <c r="A6" s="1">
        <v>3</v>
      </c>
      <c r="B6" s="1">
        <f t="shared" si="0"/>
        <v>8.2999999999999998E-5</v>
      </c>
      <c r="C6" s="1">
        <f t="shared" si="1"/>
        <v>8.2999999999999998E-5</v>
      </c>
      <c r="E6" s="2">
        <v>8.2999999999999998E-5</v>
      </c>
      <c r="G6" s="3">
        <f t="shared" si="2"/>
        <v>7.5454545454545449E-5</v>
      </c>
      <c r="I6" s="2">
        <v>0</v>
      </c>
    </row>
    <row r="7" spans="1:9" x14ac:dyDescent="0.35">
      <c r="A7" s="1">
        <v>4</v>
      </c>
      <c r="B7" s="1">
        <f t="shared" si="0"/>
        <v>8.2999999999999998E-5</v>
      </c>
      <c r="C7" s="1">
        <f t="shared" si="1"/>
        <v>8.2999999999999998E-5</v>
      </c>
      <c r="E7" s="2">
        <v>8.2999999999999998E-5</v>
      </c>
      <c r="G7" s="3">
        <f t="shared" si="2"/>
        <v>7.5454545454545449E-5</v>
      </c>
      <c r="I7" s="2">
        <v>0</v>
      </c>
    </row>
    <row r="8" spans="1:9" x14ac:dyDescent="0.35">
      <c r="A8" s="1">
        <v>5</v>
      </c>
      <c r="B8" s="1">
        <f t="shared" si="0"/>
        <v>8.2999999999999998E-5</v>
      </c>
      <c r="C8" s="1">
        <f t="shared" si="1"/>
        <v>8.2999999999999998E-5</v>
      </c>
      <c r="E8" s="2">
        <v>8.2999999999999998E-5</v>
      </c>
      <c r="G8" s="3">
        <f t="shared" si="2"/>
        <v>7.5454545454545449E-5</v>
      </c>
      <c r="I8" s="2">
        <v>0</v>
      </c>
    </row>
    <row r="9" spans="1:9" x14ac:dyDescent="0.35">
      <c r="A9" s="1">
        <v>6</v>
      </c>
      <c r="B9" s="1">
        <f t="shared" si="0"/>
        <v>8.2999999999999998E-5</v>
      </c>
      <c r="C9" s="1">
        <f t="shared" si="1"/>
        <v>8.2999999999999998E-5</v>
      </c>
      <c r="E9" s="2">
        <v>8.2999999999999998E-5</v>
      </c>
      <c r="G9" s="3">
        <f t="shared" si="2"/>
        <v>7.5454545454545449E-5</v>
      </c>
      <c r="I9" s="2">
        <v>0</v>
      </c>
    </row>
    <row r="10" spans="1:9" x14ac:dyDescent="0.35">
      <c r="A10" s="1">
        <v>7</v>
      </c>
      <c r="B10" s="1">
        <f t="shared" si="0"/>
        <v>8.2999999999999998E-5</v>
      </c>
      <c r="C10" s="1">
        <f t="shared" si="1"/>
        <v>8.2999999999999998E-5</v>
      </c>
      <c r="E10" s="2">
        <v>8.2999999999999998E-5</v>
      </c>
      <c r="G10" s="3">
        <f t="shared" si="2"/>
        <v>7.5454545454545449E-5</v>
      </c>
      <c r="I10" s="2">
        <v>0</v>
      </c>
    </row>
    <row r="11" spans="1:9" x14ac:dyDescent="0.35">
      <c r="A11" s="1">
        <v>8</v>
      </c>
      <c r="B11" s="1">
        <f t="shared" si="0"/>
        <v>8.2999999999999998E-5</v>
      </c>
      <c r="C11" s="1">
        <f t="shared" si="1"/>
        <v>8.2999999999999998E-5</v>
      </c>
      <c r="E11" s="2">
        <v>8.2999999999999998E-5</v>
      </c>
      <c r="G11" s="3">
        <f t="shared" si="2"/>
        <v>7.5454545454545449E-5</v>
      </c>
      <c r="I11" s="2">
        <v>0</v>
      </c>
    </row>
    <row r="12" spans="1:9" x14ac:dyDescent="0.35">
      <c r="A12" s="1">
        <v>9</v>
      </c>
      <c r="B12" s="1">
        <f t="shared" si="0"/>
        <v>8.2999999999999998E-5</v>
      </c>
      <c r="C12" s="1">
        <f t="shared" si="1"/>
        <v>8.2999999999999998E-5</v>
      </c>
      <c r="E12" s="2">
        <v>8.2999999999999998E-5</v>
      </c>
      <c r="G12" s="3">
        <f t="shared" si="2"/>
        <v>7.5454545454545449E-5</v>
      </c>
      <c r="I12" s="2">
        <v>0</v>
      </c>
    </row>
    <row r="13" spans="1:9" x14ac:dyDescent="0.35">
      <c r="A13" s="1">
        <v>10</v>
      </c>
      <c r="B13" s="1">
        <f t="shared" si="0"/>
        <v>8.2999999999999998E-5</v>
      </c>
      <c r="C13" s="1">
        <f t="shared" si="1"/>
        <v>8.2999999999999998E-5</v>
      </c>
      <c r="E13" s="2">
        <v>8.2999999999999998E-5</v>
      </c>
      <c r="G13" s="3">
        <f t="shared" si="2"/>
        <v>7.5454545454545449E-5</v>
      </c>
      <c r="I13" s="2">
        <v>0</v>
      </c>
    </row>
    <row r="14" spans="1:9" x14ac:dyDescent="0.35">
      <c r="A14" s="1">
        <v>11</v>
      </c>
      <c r="B14" s="1">
        <f t="shared" si="0"/>
        <v>9.7999999999999997E-5</v>
      </c>
      <c r="C14" s="1">
        <f t="shared" si="1"/>
        <v>9.7999999999999997E-5</v>
      </c>
      <c r="E14" s="2">
        <v>9.7999999999999997E-5</v>
      </c>
      <c r="G14" s="3">
        <f t="shared" si="2"/>
        <v>8.9090909090909081E-5</v>
      </c>
      <c r="I14" s="2">
        <v>0</v>
      </c>
    </row>
    <row r="15" spans="1:9" x14ac:dyDescent="0.35">
      <c r="A15" s="1">
        <v>12</v>
      </c>
      <c r="B15" s="1">
        <f t="shared" si="0"/>
        <v>1.0399999999999999E-4</v>
      </c>
      <c r="C15" s="1">
        <f t="shared" si="1"/>
        <v>1.0399999999999999E-4</v>
      </c>
      <c r="E15" s="2">
        <v>1.0399999999999999E-4</v>
      </c>
      <c r="G15" s="3">
        <f t="shared" si="2"/>
        <v>9.4545454545454536E-5</v>
      </c>
      <c r="I15" s="2">
        <v>0</v>
      </c>
    </row>
    <row r="16" spans="1:9" x14ac:dyDescent="0.35">
      <c r="A16" s="1">
        <v>13</v>
      </c>
      <c r="B16" s="1">
        <f t="shared" si="0"/>
        <v>1.1400000000000001E-4</v>
      </c>
      <c r="C16" s="1">
        <f t="shared" si="1"/>
        <v>1.1400000000000001E-4</v>
      </c>
      <c r="E16" s="2">
        <v>1.1400000000000001E-4</v>
      </c>
      <c r="G16" s="3">
        <f t="shared" si="2"/>
        <v>1.0363636363636364E-4</v>
      </c>
      <c r="I16" s="2">
        <v>0</v>
      </c>
    </row>
    <row r="17" spans="1:9" x14ac:dyDescent="0.35">
      <c r="A17" s="1">
        <v>14</v>
      </c>
      <c r="B17" s="1">
        <f t="shared" si="0"/>
        <v>1.3999999999999999E-4</v>
      </c>
      <c r="C17" s="1">
        <f t="shared" si="1"/>
        <v>1.3999999999999999E-4</v>
      </c>
      <c r="E17" s="2">
        <v>1.3999999999999999E-4</v>
      </c>
      <c r="G17" s="3">
        <f t="shared" si="2"/>
        <v>1.2727272727272725E-4</v>
      </c>
      <c r="I17" s="2">
        <v>0</v>
      </c>
    </row>
    <row r="18" spans="1:9" x14ac:dyDescent="0.35">
      <c r="A18" s="1">
        <v>15</v>
      </c>
      <c r="B18" s="1">
        <f t="shared" si="0"/>
        <v>1.92E-4</v>
      </c>
      <c r="C18" s="1">
        <f t="shared" si="1"/>
        <v>1.92E-4</v>
      </c>
      <c r="E18" s="2">
        <v>1.92E-4</v>
      </c>
      <c r="G18" s="3">
        <f t="shared" si="2"/>
        <v>1.7454545454545454E-4</v>
      </c>
      <c r="I18" s="2">
        <v>0</v>
      </c>
    </row>
    <row r="19" spans="1:9" x14ac:dyDescent="0.35">
      <c r="A19" s="1">
        <v>16</v>
      </c>
      <c r="B19" s="1">
        <f t="shared" si="0"/>
        <v>2.7599999999999999E-4</v>
      </c>
      <c r="C19" s="1">
        <f t="shared" si="1"/>
        <v>2.7599999999999999E-4</v>
      </c>
      <c r="E19" s="2">
        <v>2.7599999999999999E-4</v>
      </c>
      <c r="G19" s="3">
        <f t="shared" si="2"/>
        <v>2.5090909090909086E-4</v>
      </c>
      <c r="I19" s="2">
        <v>0</v>
      </c>
    </row>
    <row r="20" spans="1:9" x14ac:dyDescent="0.35">
      <c r="A20" s="1">
        <v>17</v>
      </c>
      <c r="B20" s="1">
        <f t="shared" si="0"/>
        <v>3.6400000000000001E-4</v>
      </c>
      <c r="C20" s="1">
        <f t="shared" si="1"/>
        <v>3.6400000000000001E-4</v>
      </c>
      <c r="E20" s="2">
        <v>3.6400000000000001E-4</v>
      </c>
      <c r="G20" s="3">
        <f t="shared" si="2"/>
        <v>3.3090909090909091E-4</v>
      </c>
      <c r="I20" s="2">
        <v>0</v>
      </c>
    </row>
    <row r="21" spans="1:9" x14ac:dyDescent="0.35">
      <c r="A21" s="1">
        <v>18</v>
      </c>
      <c r="B21" s="1">
        <f t="shared" si="0"/>
        <v>5.9599999999999996E-4</v>
      </c>
      <c r="C21" s="1">
        <f t="shared" si="1"/>
        <v>5.9599999999999996E-4</v>
      </c>
      <c r="E21" s="2">
        <v>5.9599999999999996E-4</v>
      </c>
      <c r="G21" s="3">
        <f t="shared" si="2"/>
        <v>5.4181818181818172E-4</v>
      </c>
      <c r="I21" s="2">
        <v>0</v>
      </c>
    </row>
    <row r="22" spans="1:9" x14ac:dyDescent="0.35">
      <c r="A22" s="1">
        <v>19</v>
      </c>
      <c r="B22" s="1">
        <f t="shared" si="0"/>
        <v>5.9800000000000001E-4</v>
      </c>
      <c r="C22" s="1">
        <f t="shared" si="1"/>
        <v>5.9800000000000001E-4</v>
      </c>
      <c r="E22" s="2">
        <v>5.9800000000000001E-4</v>
      </c>
      <c r="G22" s="3">
        <f t="shared" si="2"/>
        <v>5.4363636363636365E-4</v>
      </c>
      <c r="I22" s="2">
        <v>0</v>
      </c>
    </row>
    <row r="23" spans="1:9" x14ac:dyDescent="0.35">
      <c r="A23" s="1">
        <v>20</v>
      </c>
      <c r="B23" s="1">
        <f t="shared" si="0"/>
        <v>5.9800000000000001E-4</v>
      </c>
      <c r="C23" s="1">
        <f t="shared" si="1"/>
        <v>5.9800000000000001E-4</v>
      </c>
      <c r="E23" s="2">
        <v>5.9800000000000001E-4</v>
      </c>
      <c r="G23" s="3">
        <f t="shared" si="2"/>
        <v>5.4363636363636365E-4</v>
      </c>
      <c r="I23" s="2">
        <v>0</v>
      </c>
    </row>
    <row r="24" spans="1:9" x14ac:dyDescent="0.35">
      <c r="A24" s="1">
        <v>21</v>
      </c>
      <c r="B24" s="1">
        <f t="shared" si="0"/>
        <v>5.9800000000000001E-4</v>
      </c>
      <c r="C24" s="1">
        <f t="shared" si="1"/>
        <v>5.9800000000000001E-4</v>
      </c>
      <c r="E24" s="2">
        <v>5.9800000000000001E-4</v>
      </c>
      <c r="G24" s="3">
        <f t="shared" si="2"/>
        <v>5.4363636363636365E-4</v>
      </c>
      <c r="I24" s="2">
        <v>0</v>
      </c>
    </row>
    <row r="25" spans="1:9" x14ac:dyDescent="0.35">
      <c r="A25" s="1">
        <v>22</v>
      </c>
      <c r="B25" s="1">
        <f t="shared" si="0"/>
        <v>5.9800000000000001E-4</v>
      </c>
      <c r="C25" s="1">
        <f t="shared" si="1"/>
        <v>5.9800000000000001E-4</v>
      </c>
      <c r="E25" s="2">
        <v>5.9800000000000001E-4</v>
      </c>
      <c r="G25" s="3">
        <f t="shared" si="2"/>
        <v>5.4363636363636365E-4</v>
      </c>
      <c r="I25" s="2">
        <v>0</v>
      </c>
    </row>
    <row r="26" spans="1:9" x14ac:dyDescent="0.35">
      <c r="A26" s="1">
        <v>23</v>
      </c>
      <c r="B26" s="1">
        <f t="shared" si="0"/>
        <v>5.9800000000000001E-4</v>
      </c>
      <c r="C26" s="1">
        <f t="shared" si="1"/>
        <v>5.9800000000000001E-4</v>
      </c>
      <c r="E26" s="2">
        <v>5.9800000000000001E-4</v>
      </c>
      <c r="G26" s="3">
        <f t="shared" si="2"/>
        <v>5.4363636363636365E-4</v>
      </c>
      <c r="I26" s="2">
        <v>0</v>
      </c>
    </row>
    <row r="27" spans="1:9" x14ac:dyDescent="0.35">
      <c r="A27" s="1">
        <v>24</v>
      </c>
      <c r="B27" s="1">
        <f t="shared" si="0"/>
        <v>5.9800000000000001E-4</v>
      </c>
      <c r="C27" s="1">
        <f t="shared" si="1"/>
        <v>5.9800000000000001E-4</v>
      </c>
      <c r="E27" s="2">
        <v>5.9800000000000001E-4</v>
      </c>
      <c r="G27" s="3">
        <f t="shared" si="2"/>
        <v>5.4363636363636365E-4</v>
      </c>
      <c r="I27" s="2">
        <v>0</v>
      </c>
    </row>
    <row r="28" spans="1:9" x14ac:dyDescent="0.35">
      <c r="A28" s="1">
        <v>25</v>
      </c>
      <c r="B28" s="1">
        <f t="shared" si="0"/>
        <v>5.9800000000000001E-4</v>
      </c>
      <c r="C28" s="1">
        <f t="shared" si="1"/>
        <v>5.9800000000000001E-4</v>
      </c>
      <c r="E28" s="2">
        <v>5.9800000000000001E-4</v>
      </c>
      <c r="G28" s="3">
        <f t="shared" si="2"/>
        <v>5.4363636363636365E-4</v>
      </c>
      <c r="I28" s="2">
        <v>0</v>
      </c>
    </row>
    <row r="29" spans="1:9" x14ac:dyDescent="0.35">
      <c r="A29" s="1">
        <v>26</v>
      </c>
      <c r="B29" s="1">
        <f t="shared" si="0"/>
        <v>5.9800000000000001E-4</v>
      </c>
      <c r="C29" s="1">
        <f t="shared" si="1"/>
        <v>5.9800000000000001E-4</v>
      </c>
      <c r="E29" s="2">
        <v>5.9800000000000001E-4</v>
      </c>
      <c r="G29" s="3">
        <f t="shared" si="2"/>
        <v>5.4363636363636365E-4</v>
      </c>
      <c r="I29" s="2">
        <v>0</v>
      </c>
    </row>
    <row r="30" spans="1:9" x14ac:dyDescent="0.35">
      <c r="A30" s="1">
        <v>27</v>
      </c>
      <c r="B30" s="1">
        <f t="shared" si="0"/>
        <v>5.9800000000000001E-4</v>
      </c>
      <c r="C30" s="1">
        <f t="shared" si="1"/>
        <v>5.9800000000000001E-4</v>
      </c>
      <c r="E30" s="2">
        <v>5.9800000000000001E-4</v>
      </c>
      <c r="G30" s="3">
        <f t="shared" si="2"/>
        <v>5.4363636363636365E-4</v>
      </c>
      <c r="I30" s="2">
        <v>0</v>
      </c>
    </row>
    <row r="31" spans="1:9" x14ac:dyDescent="0.35">
      <c r="A31" s="1">
        <v>28</v>
      </c>
      <c r="B31" s="1">
        <f t="shared" si="0"/>
        <v>5.9800000000000001E-4</v>
      </c>
      <c r="C31" s="1">
        <f t="shared" si="1"/>
        <v>5.9800000000000001E-4</v>
      </c>
      <c r="E31" s="2">
        <v>5.9800000000000001E-4</v>
      </c>
      <c r="G31" s="3">
        <f t="shared" si="2"/>
        <v>5.4363636363636365E-4</v>
      </c>
      <c r="I31" s="2">
        <v>0</v>
      </c>
    </row>
    <row r="32" spans="1:9" x14ac:dyDescent="0.35">
      <c r="A32" s="1">
        <v>29</v>
      </c>
      <c r="B32" s="1">
        <f t="shared" si="0"/>
        <v>5.9800000000000001E-4</v>
      </c>
      <c r="C32" s="1">
        <f t="shared" si="1"/>
        <v>5.9800000000000001E-4</v>
      </c>
      <c r="E32" s="2">
        <v>5.9800000000000001E-4</v>
      </c>
      <c r="G32" s="3">
        <f t="shared" si="2"/>
        <v>5.4363636363636365E-4</v>
      </c>
      <c r="I32" s="2">
        <v>0</v>
      </c>
    </row>
    <row r="33" spans="1:9" x14ac:dyDescent="0.35">
      <c r="A33" s="1">
        <v>30</v>
      </c>
      <c r="B33" s="1">
        <f t="shared" si="0"/>
        <v>5.9800000000000001E-4</v>
      </c>
      <c r="C33" s="1">
        <f t="shared" si="1"/>
        <v>5.9800000000000001E-4</v>
      </c>
      <c r="E33" s="2">
        <v>5.9800000000000001E-4</v>
      </c>
      <c r="G33" s="3">
        <f t="shared" si="2"/>
        <v>5.4363636363636365E-4</v>
      </c>
      <c r="I33" s="2">
        <v>0</v>
      </c>
    </row>
    <row r="34" spans="1:9" x14ac:dyDescent="0.35">
      <c r="A34" s="1">
        <v>31</v>
      </c>
      <c r="B34" s="1">
        <f t="shared" si="0"/>
        <v>6.0499999999999996E-4</v>
      </c>
      <c r="C34" s="1">
        <f t="shared" si="1"/>
        <v>6.0499999999999996E-4</v>
      </c>
      <c r="E34" s="2">
        <v>6.0499999999999996E-4</v>
      </c>
      <c r="G34" s="3">
        <f t="shared" si="2"/>
        <v>5.4999999999999992E-4</v>
      </c>
      <c r="I34" s="2">
        <v>0</v>
      </c>
    </row>
    <row r="35" spans="1:9" x14ac:dyDescent="0.35">
      <c r="A35" s="1">
        <v>32</v>
      </c>
      <c r="B35" s="1">
        <f t="shared" ref="B35:B66" si="3">INDEX( $E$3:$W$124, $A35 + 1, MATCH( Tafel_PK, $E$2:$W$2, 0))</f>
        <v>6.2600000000000004E-4</v>
      </c>
      <c r="C35" s="1">
        <f t="shared" ref="C35:C66" si="4">INDEX( $E$3:$W$124, $A35 + 1, MATCH( Tafel_DR, $E$2:$W$2, 0))</f>
        <v>6.2600000000000004E-4</v>
      </c>
      <c r="E35" s="2">
        <v>6.2600000000000004E-4</v>
      </c>
      <c r="G35" s="3">
        <f t="shared" si="2"/>
        <v>5.6909090909090907E-4</v>
      </c>
      <c r="I35" s="2">
        <v>0</v>
      </c>
    </row>
    <row r="36" spans="1:9" x14ac:dyDescent="0.35">
      <c r="A36" s="1">
        <v>33</v>
      </c>
      <c r="B36" s="1">
        <f t="shared" si="3"/>
        <v>6.6299999999999996E-4</v>
      </c>
      <c r="C36" s="1">
        <f t="shared" si="4"/>
        <v>6.6299999999999996E-4</v>
      </c>
      <c r="E36" s="2">
        <v>6.6299999999999996E-4</v>
      </c>
      <c r="G36" s="3">
        <f t="shared" si="2"/>
        <v>6.0272727272727268E-4</v>
      </c>
      <c r="I36" s="2">
        <v>0</v>
      </c>
    </row>
    <row r="37" spans="1:9" x14ac:dyDescent="0.35">
      <c r="A37" s="1">
        <v>34</v>
      </c>
      <c r="B37" s="1">
        <f t="shared" si="3"/>
        <v>7.1299999999999998E-4</v>
      </c>
      <c r="C37" s="1">
        <f t="shared" si="4"/>
        <v>7.1299999999999998E-4</v>
      </c>
      <c r="E37" s="2">
        <v>7.1299999999999998E-4</v>
      </c>
      <c r="G37" s="3">
        <f t="shared" si="2"/>
        <v>6.4818181818181815E-4</v>
      </c>
      <c r="I37" s="2">
        <v>0</v>
      </c>
    </row>
    <row r="38" spans="1:9" x14ac:dyDescent="0.35">
      <c r="A38" s="1">
        <v>35</v>
      </c>
      <c r="B38" s="1">
        <f t="shared" si="3"/>
        <v>7.54E-4</v>
      </c>
      <c r="C38" s="1">
        <f t="shared" si="4"/>
        <v>7.54E-4</v>
      </c>
      <c r="E38" s="2">
        <v>7.54E-4</v>
      </c>
      <c r="G38" s="3">
        <f t="shared" si="2"/>
        <v>6.8545454545454541E-4</v>
      </c>
      <c r="I38" s="2">
        <v>0</v>
      </c>
    </row>
    <row r="39" spans="1:9" x14ac:dyDescent="0.35">
      <c r="A39" s="1">
        <v>36</v>
      </c>
      <c r="B39" s="1">
        <f t="shared" si="3"/>
        <v>8.0500000000000005E-4</v>
      </c>
      <c r="C39" s="1">
        <f t="shared" si="4"/>
        <v>8.0500000000000005E-4</v>
      </c>
      <c r="E39" s="2">
        <v>8.0500000000000005E-4</v>
      </c>
      <c r="G39" s="3">
        <f t="shared" si="2"/>
        <v>7.3181818181818179E-4</v>
      </c>
      <c r="I39" s="2">
        <v>0</v>
      </c>
    </row>
    <row r="40" spans="1:9" x14ac:dyDescent="0.35">
      <c r="A40" s="1">
        <v>37</v>
      </c>
      <c r="B40" s="1">
        <f t="shared" si="3"/>
        <v>8.7100000000000003E-4</v>
      </c>
      <c r="C40" s="1">
        <f t="shared" si="4"/>
        <v>8.7100000000000003E-4</v>
      </c>
      <c r="E40" s="2">
        <v>8.7100000000000003E-4</v>
      </c>
      <c r="G40" s="3">
        <f t="shared" si="2"/>
        <v>7.9181818181818184E-4</v>
      </c>
      <c r="I40" s="2">
        <v>0</v>
      </c>
    </row>
    <row r="41" spans="1:9" x14ac:dyDescent="0.35">
      <c r="A41" s="1">
        <v>38</v>
      </c>
      <c r="B41" s="1">
        <f t="shared" si="3"/>
        <v>9.3999999999999997E-4</v>
      </c>
      <c r="C41" s="1">
        <f t="shared" si="4"/>
        <v>9.3999999999999997E-4</v>
      </c>
      <c r="E41" s="2">
        <v>9.3999999999999997E-4</v>
      </c>
      <c r="G41" s="3">
        <f t="shared" si="2"/>
        <v>8.545454545454544E-4</v>
      </c>
      <c r="I41" s="2">
        <v>0</v>
      </c>
    </row>
    <row r="42" spans="1:9" x14ac:dyDescent="0.35">
      <c r="A42" s="1">
        <v>39</v>
      </c>
      <c r="B42" s="1">
        <f t="shared" si="3"/>
        <v>1.008E-3</v>
      </c>
      <c r="C42" s="1">
        <f t="shared" si="4"/>
        <v>1.008E-3</v>
      </c>
      <c r="E42" s="2">
        <v>1.008E-3</v>
      </c>
      <c r="G42" s="3">
        <f t="shared" si="2"/>
        <v>9.1636363636363627E-4</v>
      </c>
      <c r="I42" s="2">
        <v>0</v>
      </c>
    </row>
    <row r="43" spans="1:9" x14ac:dyDescent="0.35">
      <c r="A43" s="1">
        <v>40</v>
      </c>
      <c r="B43" s="1">
        <f t="shared" si="3"/>
        <v>1.073E-3</v>
      </c>
      <c r="C43" s="1">
        <f t="shared" si="4"/>
        <v>1.073E-3</v>
      </c>
      <c r="E43" s="2">
        <v>1.073E-3</v>
      </c>
      <c r="G43" s="3">
        <f t="shared" si="2"/>
        <v>9.754545454545453E-4</v>
      </c>
      <c r="I43" s="2">
        <v>0</v>
      </c>
    </row>
    <row r="44" spans="1:9" x14ac:dyDescent="0.35">
      <c r="A44" s="1">
        <v>41</v>
      </c>
      <c r="B44" s="1">
        <f t="shared" si="3"/>
        <v>1.137E-3</v>
      </c>
      <c r="C44" s="1">
        <f t="shared" si="4"/>
        <v>1.137E-3</v>
      </c>
      <c r="E44" s="2">
        <v>1.137E-3</v>
      </c>
      <c r="G44" s="3">
        <f t="shared" si="2"/>
        <v>1.0336363636363635E-3</v>
      </c>
      <c r="I44" s="2">
        <v>0</v>
      </c>
    </row>
    <row r="45" spans="1:9" x14ac:dyDescent="0.35">
      <c r="A45" s="1">
        <v>42</v>
      </c>
      <c r="B45" s="1">
        <f t="shared" si="3"/>
        <v>1.1969999999999999E-3</v>
      </c>
      <c r="C45" s="1">
        <f t="shared" si="4"/>
        <v>1.1969999999999999E-3</v>
      </c>
      <c r="E45" s="2">
        <v>1.1969999999999999E-3</v>
      </c>
      <c r="G45" s="3">
        <f t="shared" si="2"/>
        <v>1.088181818181818E-3</v>
      </c>
      <c r="I45" s="2">
        <v>0</v>
      </c>
    </row>
    <row r="46" spans="1:9" x14ac:dyDescent="0.35">
      <c r="A46" s="1">
        <v>43</v>
      </c>
      <c r="B46" s="1">
        <f t="shared" si="3"/>
        <v>1.2589999999999999E-3</v>
      </c>
      <c r="C46" s="1">
        <f t="shared" si="4"/>
        <v>1.2589999999999999E-3</v>
      </c>
      <c r="E46" s="2">
        <v>1.2589999999999999E-3</v>
      </c>
      <c r="G46" s="3">
        <f t="shared" si="2"/>
        <v>1.1445454545454543E-3</v>
      </c>
      <c r="I46" s="2">
        <v>0</v>
      </c>
    </row>
    <row r="47" spans="1:9" x14ac:dyDescent="0.35">
      <c r="A47" s="1">
        <v>44</v>
      </c>
      <c r="B47" s="1">
        <f t="shared" si="3"/>
        <v>1.325E-3</v>
      </c>
      <c r="C47" s="1">
        <f t="shared" si="4"/>
        <v>1.325E-3</v>
      </c>
      <c r="E47" s="2">
        <v>1.325E-3</v>
      </c>
      <c r="G47" s="3">
        <f t="shared" si="2"/>
        <v>1.2045454545454545E-3</v>
      </c>
      <c r="I47" s="2">
        <v>0</v>
      </c>
    </row>
    <row r="48" spans="1:9" x14ac:dyDescent="0.35">
      <c r="A48" s="1">
        <v>45</v>
      </c>
      <c r="B48" s="1">
        <f t="shared" si="3"/>
        <v>1.395E-3</v>
      </c>
      <c r="C48" s="1">
        <f t="shared" si="4"/>
        <v>1.395E-3</v>
      </c>
      <c r="E48" s="2">
        <v>1.395E-3</v>
      </c>
      <c r="G48" s="3">
        <f t="shared" si="2"/>
        <v>1.268181818181818E-3</v>
      </c>
      <c r="I48" s="2">
        <v>0</v>
      </c>
    </row>
    <row r="49" spans="1:9" x14ac:dyDescent="0.35">
      <c r="A49" s="1">
        <v>46</v>
      </c>
      <c r="B49" s="1">
        <f t="shared" si="3"/>
        <v>1.4729999999999999E-3</v>
      </c>
      <c r="C49" s="1">
        <f t="shared" si="4"/>
        <v>1.4729999999999999E-3</v>
      </c>
      <c r="E49" s="2">
        <v>1.4729999999999999E-3</v>
      </c>
      <c r="G49" s="3">
        <f t="shared" si="2"/>
        <v>1.3390909090909089E-3</v>
      </c>
      <c r="I49" s="2">
        <v>0</v>
      </c>
    </row>
    <row r="50" spans="1:9" x14ac:dyDescent="0.35">
      <c r="A50" s="1">
        <v>47</v>
      </c>
      <c r="B50" s="1">
        <f t="shared" si="3"/>
        <v>1.557E-3</v>
      </c>
      <c r="C50" s="1">
        <f t="shared" si="4"/>
        <v>1.557E-3</v>
      </c>
      <c r="E50" s="2">
        <v>1.557E-3</v>
      </c>
      <c r="G50" s="3">
        <f t="shared" si="2"/>
        <v>1.4154545454545453E-3</v>
      </c>
      <c r="I50" s="2">
        <v>0</v>
      </c>
    </row>
    <row r="51" spans="1:9" x14ac:dyDescent="0.35">
      <c r="A51" s="1">
        <v>48</v>
      </c>
      <c r="B51" s="1">
        <f t="shared" si="3"/>
        <v>1.6440000000000001E-3</v>
      </c>
      <c r="C51" s="1">
        <f t="shared" si="4"/>
        <v>1.6440000000000001E-3</v>
      </c>
      <c r="E51" s="2">
        <v>1.6440000000000001E-3</v>
      </c>
      <c r="G51" s="3">
        <f t="shared" si="2"/>
        <v>1.4945454545454546E-3</v>
      </c>
      <c r="I51" s="2">
        <v>0</v>
      </c>
    </row>
    <row r="52" spans="1:9" x14ac:dyDescent="0.35">
      <c r="A52" s="1">
        <v>49</v>
      </c>
      <c r="B52" s="1">
        <f t="shared" si="3"/>
        <v>1.735E-3</v>
      </c>
      <c r="C52" s="1">
        <f t="shared" si="4"/>
        <v>1.735E-3</v>
      </c>
      <c r="E52" s="2">
        <v>1.735E-3</v>
      </c>
      <c r="G52" s="3">
        <f t="shared" si="2"/>
        <v>1.5772727272727271E-3</v>
      </c>
      <c r="I52" s="2">
        <v>0</v>
      </c>
    </row>
    <row r="53" spans="1:9" x14ac:dyDescent="0.35">
      <c r="A53" s="1">
        <v>50</v>
      </c>
      <c r="B53" s="1">
        <f t="shared" si="3"/>
        <v>1.8259999999999999E-3</v>
      </c>
      <c r="C53" s="1">
        <f t="shared" si="4"/>
        <v>1.8259999999999999E-3</v>
      </c>
      <c r="E53" s="2">
        <v>1.8259999999999999E-3</v>
      </c>
      <c r="G53" s="3">
        <f t="shared" si="2"/>
        <v>1.6599999999999998E-3</v>
      </c>
      <c r="I53" s="2">
        <v>0</v>
      </c>
    </row>
    <row r="54" spans="1:9" x14ac:dyDescent="0.35">
      <c r="A54" s="1">
        <v>51</v>
      </c>
      <c r="B54" s="1">
        <f t="shared" si="3"/>
        <v>1.9239999999999999E-3</v>
      </c>
      <c r="C54" s="1">
        <f t="shared" si="4"/>
        <v>1.9239999999999999E-3</v>
      </c>
      <c r="E54" s="2">
        <v>1.9239999999999999E-3</v>
      </c>
      <c r="G54" s="3">
        <f t="shared" si="2"/>
        <v>1.7490909090909089E-3</v>
      </c>
      <c r="I54" s="2">
        <v>0</v>
      </c>
    </row>
    <row r="55" spans="1:9" x14ac:dyDescent="0.35">
      <c r="A55" s="1">
        <v>52</v>
      </c>
      <c r="B55" s="1">
        <f t="shared" si="3"/>
        <v>2.0230000000000001E-3</v>
      </c>
      <c r="C55" s="1">
        <f t="shared" si="4"/>
        <v>2.0230000000000001E-3</v>
      </c>
      <c r="E55" s="2">
        <v>2.0230000000000001E-3</v>
      </c>
      <c r="G55" s="3">
        <f t="shared" si="2"/>
        <v>1.8390909090909089E-3</v>
      </c>
      <c r="I55" s="2">
        <v>0</v>
      </c>
    </row>
    <row r="56" spans="1:9" x14ac:dyDescent="0.35">
      <c r="A56" s="1">
        <v>53</v>
      </c>
      <c r="B56" s="1">
        <f t="shared" si="3"/>
        <v>2.1210000000000001E-3</v>
      </c>
      <c r="C56" s="1">
        <f t="shared" si="4"/>
        <v>2.1210000000000001E-3</v>
      </c>
      <c r="E56" s="2">
        <v>2.1210000000000001E-3</v>
      </c>
      <c r="G56" s="3">
        <f t="shared" si="2"/>
        <v>1.928181818181818E-3</v>
      </c>
      <c r="I56" s="2">
        <v>0</v>
      </c>
    </row>
    <row r="57" spans="1:9" x14ac:dyDescent="0.35">
      <c r="A57" s="1">
        <v>54</v>
      </c>
      <c r="B57" s="1">
        <f t="shared" si="3"/>
        <v>2.212E-3</v>
      </c>
      <c r="C57" s="1">
        <f t="shared" si="4"/>
        <v>2.212E-3</v>
      </c>
      <c r="E57" s="2">
        <v>2.212E-3</v>
      </c>
      <c r="G57" s="3">
        <f t="shared" si="2"/>
        <v>2.0109090909090905E-3</v>
      </c>
      <c r="I57" s="2">
        <v>0</v>
      </c>
    </row>
    <row r="58" spans="1:9" x14ac:dyDescent="0.35">
      <c r="A58" s="1">
        <v>55</v>
      </c>
      <c r="B58" s="1">
        <f t="shared" si="3"/>
        <v>2.294E-3</v>
      </c>
      <c r="C58" s="1">
        <f t="shared" si="4"/>
        <v>2.294E-3</v>
      </c>
      <c r="E58" s="2">
        <v>2.294E-3</v>
      </c>
      <c r="G58" s="3">
        <f t="shared" si="2"/>
        <v>2.0854545454545453E-3</v>
      </c>
      <c r="I58" s="2">
        <v>0</v>
      </c>
    </row>
    <row r="59" spans="1:9" x14ac:dyDescent="0.35">
      <c r="A59" s="1">
        <v>56</v>
      </c>
      <c r="B59" s="1">
        <f t="shared" si="3"/>
        <v>2.3700000000000001E-3</v>
      </c>
      <c r="C59" s="1">
        <f t="shared" si="4"/>
        <v>2.3700000000000001E-3</v>
      </c>
      <c r="E59" s="2">
        <v>2.3700000000000001E-3</v>
      </c>
      <c r="G59" s="3">
        <f t="shared" si="2"/>
        <v>2.1545454545454546E-3</v>
      </c>
      <c r="I59" s="2">
        <v>0</v>
      </c>
    </row>
    <row r="60" spans="1:9" x14ac:dyDescent="0.35">
      <c r="A60" s="1">
        <v>57</v>
      </c>
      <c r="B60" s="1">
        <f t="shared" si="3"/>
        <v>2.4510000000000001E-3</v>
      </c>
      <c r="C60" s="1">
        <f t="shared" si="4"/>
        <v>2.4510000000000001E-3</v>
      </c>
      <c r="E60" s="2">
        <v>2.4510000000000001E-3</v>
      </c>
      <c r="G60" s="3">
        <f t="shared" si="2"/>
        <v>2.228181818181818E-3</v>
      </c>
      <c r="I60" s="2">
        <v>0</v>
      </c>
    </row>
    <row r="61" spans="1:9" x14ac:dyDescent="0.35">
      <c r="A61" s="1">
        <v>58</v>
      </c>
      <c r="B61" s="1">
        <f t="shared" si="3"/>
        <v>2.5400000000000002E-3</v>
      </c>
      <c r="C61" s="1">
        <f t="shared" si="4"/>
        <v>2.5400000000000002E-3</v>
      </c>
      <c r="E61" s="2">
        <v>2.5400000000000002E-3</v>
      </c>
      <c r="G61" s="3">
        <f t="shared" si="2"/>
        <v>2.3090909090909091E-3</v>
      </c>
      <c r="I61" s="2">
        <v>0</v>
      </c>
    </row>
    <row r="62" spans="1:9" x14ac:dyDescent="0.35">
      <c r="A62" s="1">
        <v>59</v>
      </c>
      <c r="B62" s="1">
        <f t="shared" si="3"/>
        <v>2.6489999999999999E-3</v>
      </c>
      <c r="C62" s="1">
        <f t="shared" si="4"/>
        <v>2.6489999999999999E-3</v>
      </c>
      <c r="E62" s="2">
        <v>2.6489999999999999E-3</v>
      </c>
      <c r="G62" s="3">
        <f t="shared" si="2"/>
        <v>2.408181818181818E-3</v>
      </c>
      <c r="I62" s="2">
        <v>0</v>
      </c>
    </row>
    <row r="63" spans="1:9" x14ac:dyDescent="0.35">
      <c r="A63" s="1">
        <v>60</v>
      </c>
      <c r="B63" s="1">
        <f t="shared" si="3"/>
        <v>2.7810000000000001E-3</v>
      </c>
      <c r="C63" s="1">
        <f t="shared" si="4"/>
        <v>2.7810000000000001E-3</v>
      </c>
      <c r="E63" s="2">
        <v>2.7810000000000001E-3</v>
      </c>
      <c r="G63" s="3">
        <f t="shared" si="2"/>
        <v>2.5281818181818179E-3</v>
      </c>
      <c r="I63" s="2">
        <v>0</v>
      </c>
    </row>
    <row r="64" spans="1:9" x14ac:dyDescent="0.35">
      <c r="A64" s="1">
        <v>61</v>
      </c>
      <c r="B64" s="1">
        <f t="shared" si="3"/>
        <v>2.957E-3</v>
      </c>
      <c r="C64" s="1">
        <f t="shared" si="4"/>
        <v>2.957E-3</v>
      </c>
      <c r="E64" s="2">
        <v>2.957E-3</v>
      </c>
      <c r="G64" s="3">
        <f t="shared" si="2"/>
        <v>2.6881818181818179E-3</v>
      </c>
      <c r="I64" s="2">
        <v>0</v>
      </c>
    </row>
    <row r="65" spans="1:9" x14ac:dyDescent="0.35">
      <c r="A65" s="1">
        <v>62</v>
      </c>
      <c r="B65" s="1">
        <f t="shared" si="3"/>
        <v>3.176E-3</v>
      </c>
      <c r="C65" s="1">
        <f t="shared" si="4"/>
        <v>3.176E-3</v>
      </c>
      <c r="E65" s="2">
        <v>3.176E-3</v>
      </c>
      <c r="G65" s="3">
        <f t="shared" si="2"/>
        <v>2.887272727272727E-3</v>
      </c>
      <c r="I65" s="2">
        <v>0</v>
      </c>
    </row>
    <row r="66" spans="1:9" x14ac:dyDescent="0.35">
      <c r="A66" s="1">
        <v>63</v>
      </c>
      <c r="B66" s="1">
        <f t="shared" si="3"/>
        <v>3.4320000000000002E-3</v>
      </c>
      <c r="C66" s="1">
        <f t="shared" si="4"/>
        <v>3.4320000000000002E-3</v>
      </c>
      <c r="E66" s="2">
        <v>3.4320000000000002E-3</v>
      </c>
      <c r="G66" s="3">
        <f t="shared" si="2"/>
        <v>3.1199999999999999E-3</v>
      </c>
      <c r="I66" s="2">
        <v>0</v>
      </c>
    </row>
    <row r="67" spans="1:9" x14ac:dyDescent="0.35">
      <c r="A67" s="1">
        <v>64</v>
      </c>
      <c r="B67" s="1">
        <f t="shared" ref="B67:B98" si="5">INDEX( $E$3:$W$124, $A67 + 1, MATCH( Tafel_PK, $E$2:$W$2, 0))</f>
        <v>3.7069999999999998E-3</v>
      </c>
      <c r="C67" s="1">
        <f t="shared" ref="C67:C98" si="6">INDEX( $E$3:$W$124, $A67 + 1, MATCH( Tafel_DR, $E$2:$W$2, 0))</f>
        <v>3.7069999999999998E-3</v>
      </c>
      <c r="E67" s="2">
        <v>3.7069999999999998E-3</v>
      </c>
      <c r="G67" s="3">
        <f t="shared" si="2"/>
        <v>3.3699999999999997E-3</v>
      </c>
      <c r="I67" s="2">
        <v>0</v>
      </c>
    </row>
    <row r="68" spans="1:9" x14ac:dyDescent="0.35">
      <c r="A68" s="1">
        <v>65</v>
      </c>
      <c r="B68" s="1">
        <f t="shared" si="5"/>
        <v>3.98E-3</v>
      </c>
      <c r="C68" s="1">
        <f t="shared" si="6"/>
        <v>3.98E-3</v>
      </c>
      <c r="E68" s="2">
        <v>3.98E-3</v>
      </c>
      <c r="G68" s="3">
        <f t="shared" ref="G68:G123" si="7">$E68 / 1.1</f>
        <v>3.6181818181818181E-3</v>
      </c>
      <c r="I68" s="2">
        <v>0</v>
      </c>
    </row>
    <row r="69" spans="1:9" x14ac:dyDescent="0.35">
      <c r="A69" s="1">
        <v>66</v>
      </c>
      <c r="B69" s="1">
        <f t="shared" si="5"/>
        <v>4.2700000000000004E-3</v>
      </c>
      <c r="C69" s="1">
        <f t="shared" si="6"/>
        <v>4.2700000000000004E-3</v>
      </c>
      <c r="E69" s="2">
        <v>4.2700000000000004E-3</v>
      </c>
      <c r="G69" s="3">
        <f t="shared" si="7"/>
        <v>3.881818181818182E-3</v>
      </c>
      <c r="I69" s="2">
        <v>0</v>
      </c>
    </row>
    <row r="70" spans="1:9" x14ac:dyDescent="0.35">
      <c r="A70" s="1">
        <v>67</v>
      </c>
      <c r="B70" s="1">
        <f t="shared" si="5"/>
        <v>4.6309999999999997E-3</v>
      </c>
      <c r="C70" s="1">
        <f t="shared" si="6"/>
        <v>4.6309999999999997E-3</v>
      </c>
      <c r="E70" s="2">
        <v>4.6309999999999997E-3</v>
      </c>
      <c r="G70" s="3">
        <f t="shared" si="7"/>
        <v>4.2099999999999993E-3</v>
      </c>
      <c r="I70" s="2">
        <v>0</v>
      </c>
    </row>
    <row r="71" spans="1:9" x14ac:dyDescent="0.35">
      <c r="A71" s="1">
        <v>68</v>
      </c>
      <c r="B71" s="1">
        <f t="shared" si="5"/>
        <v>4.9950000000000003E-3</v>
      </c>
      <c r="C71" s="1">
        <f t="shared" si="6"/>
        <v>4.9950000000000003E-3</v>
      </c>
      <c r="E71" s="2">
        <v>4.9950000000000003E-3</v>
      </c>
      <c r="G71" s="3">
        <f t="shared" si="7"/>
        <v>4.5409090909090911E-3</v>
      </c>
      <c r="I71" s="2">
        <v>0</v>
      </c>
    </row>
    <row r="72" spans="1:9" x14ac:dyDescent="0.35">
      <c r="A72" s="1">
        <v>69</v>
      </c>
      <c r="B72" s="1">
        <f t="shared" si="5"/>
        <v>5.3629999999999997E-3</v>
      </c>
      <c r="C72" s="1">
        <f t="shared" si="6"/>
        <v>5.3629999999999997E-3</v>
      </c>
      <c r="E72" s="2">
        <v>5.3629999999999997E-3</v>
      </c>
      <c r="G72" s="3">
        <f t="shared" si="7"/>
        <v>4.8754545454545448E-3</v>
      </c>
      <c r="I72" s="2">
        <v>0</v>
      </c>
    </row>
    <row r="73" spans="1:9" x14ac:dyDescent="0.35">
      <c r="A73" s="1">
        <v>70</v>
      </c>
      <c r="B73" s="1">
        <f t="shared" si="5"/>
        <v>5.744E-3</v>
      </c>
      <c r="C73" s="1">
        <f t="shared" si="6"/>
        <v>5.744E-3</v>
      </c>
      <c r="E73" s="2">
        <v>5.744E-3</v>
      </c>
      <c r="G73" s="3">
        <f t="shared" si="7"/>
        <v>5.2218181818181816E-3</v>
      </c>
      <c r="I73" s="2">
        <v>0</v>
      </c>
    </row>
    <row r="74" spans="1:9" x14ac:dyDescent="0.35">
      <c r="A74" s="1">
        <v>71</v>
      </c>
      <c r="B74" s="1">
        <f t="shared" si="5"/>
        <v>6.1500000000000001E-3</v>
      </c>
      <c r="C74" s="1">
        <f t="shared" si="6"/>
        <v>6.1500000000000001E-3</v>
      </c>
      <c r="E74" s="2">
        <v>6.1500000000000001E-3</v>
      </c>
      <c r="G74" s="3">
        <f t="shared" si="7"/>
        <v>5.5909090909090908E-3</v>
      </c>
      <c r="I74" s="2">
        <v>0</v>
      </c>
    </row>
    <row r="75" spans="1:9" x14ac:dyDescent="0.35">
      <c r="A75" s="1">
        <v>72</v>
      </c>
      <c r="B75" s="1">
        <f t="shared" si="5"/>
        <v>6.6049999999999998E-3</v>
      </c>
      <c r="C75" s="1">
        <f t="shared" si="6"/>
        <v>6.6049999999999998E-3</v>
      </c>
      <c r="E75" s="2">
        <v>6.6049999999999998E-3</v>
      </c>
      <c r="G75" s="3">
        <f t="shared" si="7"/>
        <v>6.0045454545454542E-3</v>
      </c>
      <c r="I75" s="2">
        <v>0</v>
      </c>
    </row>
    <row r="76" spans="1:9" x14ac:dyDescent="0.35">
      <c r="A76" s="1">
        <v>73</v>
      </c>
      <c r="B76" s="1">
        <f t="shared" si="5"/>
        <v>7.1219999999999999E-3</v>
      </c>
      <c r="C76" s="1">
        <f t="shared" si="6"/>
        <v>7.1219999999999999E-3</v>
      </c>
      <c r="E76" s="2">
        <v>7.1219999999999999E-3</v>
      </c>
      <c r="G76" s="3">
        <f t="shared" si="7"/>
        <v>6.4745454545454542E-3</v>
      </c>
      <c r="I76" s="2">
        <v>0</v>
      </c>
    </row>
    <row r="77" spans="1:9" x14ac:dyDescent="0.35">
      <c r="A77" s="1">
        <v>74</v>
      </c>
      <c r="B77" s="1">
        <f t="shared" si="5"/>
        <v>7.7219999999999997E-3</v>
      </c>
      <c r="C77" s="1">
        <f t="shared" si="6"/>
        <v>7.7219999999999997E-3</v>
      </c>
      <c r="E77" s="2">
        <v>7.7219999999999997E-3</v>
      </c>
      <c r="G77" s="3">
        <f t="shared" si="7"/>
        <v>7.0199999999999993E-3</v>
      </c>
      <c r="I77" s="2">
        <v>0</v>
      </c>
    </row>
    <row r="78" spans="1:9" x14ac:dyDescent="0.35">
      <c r="A78" s="1">
        <v>75</v>
      </c>
      <c r="B78" s="1">
        <f t="shared" si="5"/>
        <v>8.4600000000000005E-3</v>
      </c>
      <c r="C78" s="1">
        <f t="shared" si="6"/>
        <v>8.4600000000000005E-3</v>
      </c>
      <c r="E78" s="2">
        <v>8.4600000000000005E-3</v>
      </c>
      <c r="G78" s="3">
        <f t="shared" si="7"/>
        <v>7.6909090909090911E-3</v>
      </c>
      <c r="I78" s="2">
        <v>0</v>
      </c>
    </row>
    <row r="79" spans="1:9" x14ac:dyDescent="0.35">
      <c r="A79" s="1">
        <v>76</v>
      </c>
      <c r="B79" s="1">
        <f t="shared" si="5"/>
        <v>9.3369999999999998E-3</v>
      </c>
      <c r="C79" s="1">
        <f t="shared" si="6"/>
        <v>9.3369999999999998E-3</v>
      </c>
      <c r="E79" s="2">
        <v>9.3369999999999998E-3</v>
      </c>
      <c r="G79" s="3">
        <f t="shared" si="7"/>
        <v>8.4881818181818166E-3</v>
      </c>
      <c r="I79" s="2">
        <v>0</v>
      </c>
    </row>
    <row r="80" spans="1:9" x14ac:dyDescent="0.35">
      <c r="A80" s="1">
        <v>77</v>
      </c>
      <c r="B80" s="1">
        <f t="shared" si="5"/>
        <v>1.0403000000000001E-2</v>
      </c>
      <c r="C80" s="1">
        <f t="shared" si="6"/>
        <v>1.0403000000000001E-2</v>
      </c>
      <c r="E80" s="2">
        <v>1.0403000000000001E-2</v>
      </c>
      <c r="G80" s="3">
        <f t="shared" si="7"/>
        <v>9.4572727272727274E-3</v>
      </c>
      <c r="I80" s="2">
        <v>0</v>
      </c>
    </row>
    <row r="81" spans="1:9" x14ac:dyDescent="0.35">
      <c r="A81" s="1">
        <v>78</v>
      </c>
      <c r="B81" s="1">
        <f t="shared" si="5"/>
        <v>1.1693E-2</v>
      </c>
      <c r="C81" s="1">
        <f t="shared" si="6"/>
        <v>1.1693E-2</v>
      </c>
      <c r="E81" s="2">
        <v>1.1693E-2</v>
      </c>
      <c r="G81" s="3">
        <f t="shared" si="7"/>
        <v>1.0629999999999999E-2</v>
      </c>
      <c r="I81" s="2">
        <v>0</v>
      </c>
    </row>
    <row r="82" spans="1:9" x14ac:dyDescent="0.35">
      <c r="A82" s="1">
        <v>79</v>
      </c>
      <c r="B82" s="1">
        <f t="shared" si="5"/>
        <v>1.3259E-2</v>
      </c>
      <c r="C82" s="1">
        <f t="shared" si="6"/>
        <v>1.3259E-2</v>
      </c>
      <c r="E82" s="2">
        <v>1.3259E-2</v>
      </c>
      <c r="G82" s="3">
        <f t="shared" si="7"/>
        <v>1.2053636363636362E-2</v>
      </c>
      <c r="I82" s="2">
        <v>0</v>
      </c>
    </row>
    <row r="83" spans="1:9" x14ac:dyDescent="0.35">
      <c r="A83" s="1">
        <v>80</v>
      </c>
      <c r="B83" s="1">
        <f t="shared" si="5"/>
        <v>1.5167E-2</v>
      </c>
      <c r="C83" s="1">
        <f t="shared" si="6"/>
        <v>1.5167E-2</v>
      </c>
      <c r="E83" s="2">
        <v>1.5167E-2</v>
      </c>
      <c r="G83" s="3">
        <f t="shared" si="7"/>
        <v>1.3788181818181817E-2</v>
      </c>
      <c r="I83" s="2">
        <v>0</v>
      </c>
    </row>
    <row r="84" spans="1:9" x14ac:dyDescent="0.35">
      <c r="A84" s="1">
        <v>81</v>
      </c>
      <c r="B84" s="1">
        <f t="shared" si="5"/>
        <v>1.745E-2</v>
      </c>
      <c r="C84" s="1">
        <f t="shared" si="6"/>
        <v>1.745E-2</v>
      </c>
      <c r="E84" s="2">
        <v>1.745E-2</v>
      </c>
      <c r="G84" s="3">
        <f t="shared" si="7"/>
        <v>1.5863636363636361E-2</v>
      </c>
      <c r="I84" s="2">
        <v>0</v>
      </c>
    </row>
    <row r="85" spans="1:9" x14ac:dyDescent="0.35">
      <c r="A85" s="1">
        <v>82</v>
      </c>
      <c r="B85" s="1">
        <f t="shared" si="5"/>
        <v>2.0161999999999999E-2</v>
      </c>
      <c r="C85" s="1">
        <f t="shared" si="6"/>
        <v>2.0161999999999999E-2</v>
      </c>
      <c r="E85" s="2">
        <v>2.0161999999999999E-2</v>
      </c>
      <c r="G85" s="3">
        <f t="shared" si="7"/>
        <v>1.8329090909090906E-2</v>
      </c>
      <c r="I85" s="2">
        <v>0</v>
      </c>
    </row>
    <row r="86" spans="1:9" x14ac:dyDescent="0.35">
      <c r="A86" s="1">
        <v>83</v>
      </c>
      <c r="B86" s="1">
        <f t="shared" si="5"/>
        <v>2.3324000000000001E-2</v>
      </c>
      <c r="C86" s="1">
        <f t="shared" si="6"/>
        <v>2.3324000000000001E-2</v>
      </c>
      <c r="E86" s="2">
        <v>2.3324000000000001E-2</v>
      </c>
      <c r="G86" s="3">
        <f t="shared" si="7"/>
        <v>2.1203636363636362E-2</v>
      </c>
      <c r="I86" s="2">
        <v>0</v>
      </c>
    </row>
    <row r="87" spans="1:9" x14ac:dyDescent="0.35">
      <c r="A87" s="1">
        <v>84</v>
      </c>
      <c r="B87" s="1">
        <f t="shared" si="5"/>
        <v>2.6970000000000001E-2</v>
      </c>
      <c r="C87" s="1">
        <f t="shared" si="6"/>
        <v>2.6970000000000001E-2</v>
      </c>
      <c r="E87" s="2">
        <v>2.6970000000000001E-2</v>
      </c>
      <c r="G87" s="3">
        <f t="shared" si="7"/>
        <v>2.4518181818181817E-2</v>
      </c>
      <c r="I87" s="2">
        <v>0</v>
      </c>
    </row>
    <row r="88" spans="1:9" x14ac:dyDescent="0.35">
      <c r="A88" s="1">
        <v>85</v>
      </c>
      <c r="B88" s="1">
        <f t="shared" si="5"/>
        <v>3.1142E-2</v>
      </c>
      <c r="C88" s="1">
        <f t="shared" si="6"/>
        <v>3.1142E-2</v>
      </c>
      <c r="E88" s="2">
        <v>3.1142E-2</v>
      </c>
      <c r="G88" s="3">
        <f t="shared" si="7"/>
        <v>2.8310909090909088E-2</v>
      </c>
      <c r="I88" s="2">
        <v>0</v>
      </c>
    </row>
    <row r="89" spans="1:9" x14ac:dyDescent="0.35">
      <c r="A89" s="1">
        <v>86</v>
      </c>
      <c r="B89" s="1">
        <f t="shared" si="5"/>
        <v>3.5853999999999997E-2</v>
      </c>
      <c r="C89" s="1">
        <f t="shared" si="6"/>
        <v>3.5853999999999997E-2</v>
      </c>
      <c r="E89" s="2">
        <v>3.5853999999999997E-2</v>
      </c>
      <c r="G89" s="3">
        <f t="shared" si="7"/>
        <v>3.2594545454545452E-2</v>
      </c>
      <c r="I89" s="2">
        <v>0</v>
      </c>
    </row>
    <row r="90" spans="1:9" x14ac:dyDescent="0.35">
      <c r="A90" s="1">
        <v>87</v>
      </c>
      <c r="B90" s="1">
        <f t="shared" si="5"/>
        <v>4.1159000000000001E-2</v>
      </c>
      <c r="C90" s="1">
        <f t="shared" si="6"/>
        <v>4.1159000000000001E-2</v>
      </c>
      <c r="E90" s="2">
        <v>4.1159000000000001E-2</v>
      </c>
      <c r="G90" s="3">
        <f t="shared" si="7"/>
        <v>3.7417272727272723E-2</v>
      </c>
      <c r="I90" s="2">
        <v>0</v>
      </c>
    </row>
    <row r="91" spans="1:9" x14ac:dyDescent="0.35">
      <c r="A91" s="1">
        <v>88</v>
      </c>
      <c r="B91" s="1">
        <f t="shared" si="5"/>
        <v>4.709E-2</v>
      </c>
      <c r="C91" s="1">
        <f t="shared" si="6"/>
        <v>4.709E-2</v>
      </c>
      <c r="E91" s="2">
        <v>4.709E-2</v>
      </c>
      <c r="G91" s="3">
        <f t="shared" si="7"/>
        <v>4.2809090909090908E-2</v>
      </c>
      <c r="I91" s="2">
        <v>0</v>
      </c>
    </row>
    <row r="92" spans="1:9" x14ac:dyDescent="0.35">
      <c r="A92" s="1">
        <v>89</v>
      </c>
      <c r="B92" s="1">
        <f t="shared" si="5"/>
        <v>5.3665999999999998E-2</v>
      </c>
      <c r="C92" s="1">
        <f t="shared" si="6"/>
        <v>5.3665999999999998E-2</v>
      </c>
      <c r="E92" s="2">
        <v>5.3665999999999998E-2</v>
      </c>
      <c r="G92" s="3">
        <f t="shared" si="7"/>
        <v>4.8787272727272721E-2</v>
      </c>
      <c r="I92" s="2">
        <v>0</v>
      </c>
    </row>
    <row r="93" spans="1:9" x14ac:dyDescent="0.35">
      <c r="A93" s="1">
        <v>90</v>
      </c>
      <c r="B93" s="1">
        <f t="shared" si="5"/>
        <v>6.0680999999999999E-2</v>
      </c>
      <c r="C93" s="1">
        <f t="shared" si="6"/>
        <v>6.0680999999999999E-2</v>
      </c>
      <c r="E93" s="2">
        <v>6.0680999999999999E-2</v>
      </c>
      <c r="G93" s="3">
        <f t="shared" si="7"/>
        <v>5.5164545454545452E-2</v>
      </c>
      <c r="I93" s="2">
        <v>0</v>
      </c>
    </row>
    <row r="94" spans="1:9" x14ac:dyDescent="0.35">
      <c r="A94" s="1">
        <v>91</v>
      </c>
      <c r="B94" s="1">
        <f t="shared" si="5"/>
        <v>6.7907999999999996E-2</v>
      </c>
      <c r="C94" s="1">
        <f t="shared" si="6"/>
        <v>6.7907999999999996E-2</v>
      </c>
      <c r="E94" s="2">
        <v>6.7907999999999996E-2</v>
      </c>
      <c r="G94" s="3">
        <f t="shared" si="7"/>
        <v>6.1734545454545445E-2</v>
      </c>
      <c r="I94" s="2">
        <v>0</v>
      </c>
    </row>
    <row r="95" spans="1:9" x14ac:dyDescent="0.35">
      <c r="A95" s="1">
        <v>92</v>
      </c>
      <c r="B95" s="1">
        <f t="shared" si="5"/>
        <v>7.5208999999999998E-2</v>
      </c>
      <c r="C95" s="1">
        <f t="shared" si="6"/>
        <v>7.5208999999999998E-2</v>
      </c>
      <c r="E95" s="2">
        <v>7.5208999999999998E-2</v>
      </c>
      <c r="G95" s="3">
        <f t="shared" si="7"/>
        <v>6.8371818181818172E-2</v>
      </c>
      <c r="I95" s="2">
        <v>0</v>
      </c>
    </row>
    <row r="96" spans="1:9" x14ac:dyDescent="0.35">
      <c r="A96" s="1">
        <v>93</v>
      </c>
      <c r="B96" s="1">
        <f t="shared" si="5"/>
        <v>8.2461999999999994E-2</v>
      </c>
      <c r="C96" s="1">
        <f t="shared" si="6"/>
        <v>8.2461999999999994E-2</v>
      </c>
      <c r="E96" s="2">
        <v>8.2461999999999994E-2</v>
      </c>
      <c r="G96" s="3">
        <f t="shared" si="7"/>
        <v>7.496545454545453E-2</v>
      </c>
      <c r="I96" s="2">
        <v>0</v>
      </c>
    </row>
    <row r="97" spans="1:9" x14ac:dyDescent="0.35">
      <c r="A97" s="1">
        <v>94</v>
      </c>
      <c r="B97" s="1">
        <f t="shared" si="5"/>
        <v>8.9514999999999997E-2</v>
      </c>
      <c r="C97" s="1">
        <f t="shared" si="6"/>
        <v>8.9514999999999997E-2</v>
      </c>
      <c r="E97" s="2">
        <v>8.9514999999999997E-2</v>
      </c>
      <c r="G97" s="3">
        <f t="shared" si="7"/>
        <v>8.1377272727272715E-2</v>
      </c>
      <c r="I97" s="2">
        <v>0</v>
      </c>
    </row>
    <row r="98" spans="1:9" x14ac:dyDescent="0.35">
      <c r="A98" s="1">
        <v>95</v>
      </c>
      <c r="B98" s="1">
        <f t="shared" si="5"/>
        <v>9.6209000000000003E-2</v>
      </c>
      <c r="C98" s="1">
        <f t="shared" si="6"/>
        <v>9.6209000000000003E-2</v>
      </c>
      <c r="E98" s="2">
        <v>9.6209000000000003E-2</v>
      </c>
      <c r="G98" s="3">
        <f t="shared" si="7"/>
        <v>8.7462727272727261E-2</v>
      </c>
      <c r="I98" s="2">
        <v>0</v>
      </c>
    </row>
    <row r="99" spans="1:9" x14ac:dyDescent="0.35">
      <c r="A99" s="1">
        <v>96</v>
      </c>
      <c r="B99" s="1">
        <f t="shared" ref="B99:B124" si="8">INDEX( $E$3:$W$124, $A99 + 1, MATCH( Tafel_PK, $E$2:$W$2, 0))</f>
        <v>0.102378</v>
      </c>
      <c r="C99" s="1">
        <f t="shared" ref="C99:C124" si="9">INDEX( $E$3:$W$124, $A99 + 1, MATCH( Tafel_DR, $E$2:$W$2, 0))</f>
        <v>0.102378</v>
      </c>
      <c r="E99" s="2">
        <v>0.102378</v>
      </c>
      <c r="G99" s="3">
        <f t="shared" si="7"/>
        <v>9.3070909090909079E-2</v>
      </c>
      <c r="I99" s="2">
        <v>0</v>
      </c>
    </row>
    <row r="100" spans="1:9" x14ac:dyDescent="0.35">
      <c r="A100" s="1">
        <v>97</v>
      </c>
      <c r="B100" s="1">
        <f t="shared" si="8"/>
        <v>0.107876</v>
      </c>
      <c r="C100" s="1">
        <f t="shared" si="9"/>
        <v>0.107876</v>
      </c>
      <c r="E100" s="2">
        <v>0.107876</v>
      </c>
      <c r="G100" s="3">
        <f t="shared" si="7"/>
        <v>9.8069090909090897E-2</v>
      </c>
      <c r="I100" s="2">
        <v>0</v>
      </c>
    </row>
    <row r="101" spans="1:9" x14ac:dyDescent="0.35">
      <c r="A101" s="1">
        <v>98</v>
      </c>
      <c r="B101" s="1">
        <f t="shared" si="8"/>
        <v>0.11304500000000001</v>
      </c>
      <c r="C101" s="1">
        <f t="shared" si="9"/>
        <v>0.11304500000000001</v>
      </c>
      <c r="E101" s="2">
        <v>0.11304500000000001</v>
      </c>
      <c r="G101" s="3">
        <f t="shared" si="7"/>
        <v>0.10276818181818181</v>
      </c>
      <c r="I101" s="2">
        <v>0</v>
      </c>
    </row>
    <row r="102" spans="1:9" x14ac:dyDescent="0.35">
      <c r="A102" s="1">
        <v>99</v>
      </c>
      <c r="B102" s="1">
        <f t="shared" si="8"/>
        <v>0.118108</v>
      </c>
      <c r="C102" s="1">
        <f t="shared" si="9"/>
        <v>0.118108</v>
      </c>
      <c r="E102" s="2">
        <v>0.118108</v>
      </c>
      <c r="G102" s="3">
        <f t="shared" si="7"/>
        <v>0.10737090909090909</v>
      </c>
      <c r="I102" s="2">
        <v>0</v>
      </c>
    </row>
    <row r="103" spans="1:9" x14ac:dyDescent="0.35">
      <c r="A103" s="1">
        <v>100</v>
      </c>
      <c r="B103" s="1">
        <f t="shared" si="8"/>
        <v>0.12155299999999999</v>
      </c>
      <c r="C103" s="1">
        <f t="shared" si="9"/>
        <v>0.12155299999999999</v>
      </c>
      <c r="E103" s="2">
        <v>0.12155299999999999</v>
      </c>
      <c r="G103" s="3">
        <f t="shared" si="7"/>
        <v>0.11050272727272725</v>
      </c>
      <c r="I103" s="2">
        <v>0</v>
      </c>
    </row>
    <row r="104" spans="1:9" x14ac:dyDescent="0.35">
      <c r="A104" s="1">
        <v>101</v>
      </c>
      <c r="B104" s="1">
        <f t="shared" si="8"/>
        <v>0.126442</v>
      </c>
      <c r="C104" s="1">
        <f t="shared" si="9"/>
        <v>0.126442</v>
      </c>
      <c r="E104" s="2">
        <v>0.126442</v>
      </c>
      <c r="G104" s="3">
        <f t="shared" si="7"/>
        <v>0.11494727272727272</v>
      </c>
      <c r="I104" s="2">
        <v>0</v>
      </c>
    </row>
    <row r="105" spans="1:9" x14ac:dyDescent="0.35">
      <c r="A105" s="1">
        <v>102</v>
      </c>
      <c r="B105" s="1">
        <f t="shared" si="8"/>
        <v>0.131302</v>
      </c>
      <c r="C105" s="1">
        <f t="shared" si="9"/>
        <v>0.131302</v>
      </c>
      <c r="E105" s="2">
        <v>0.131302</v>
      </c>
      <c r="G105" s="3">
        <f t="shared" si="7"/>
        <v>0.11936545454545454</v>
      </c>
      <c r="I105" s="2">
        <v>0</v>
      </c>
    </row>
    <row r="106" spans="1:9" x14ac:dyDescent="0.35">
      <c r="A106" s="1">
        <v>103</v>
      </c>
      <c r="B106" s="1">
        <f t="shared" si="8"/>
        <v>0.13613</v>
      </c>
      <c r="C106" s="1">
        <f t="shared" si="9"/>
        <v>0.13613</v>
      </c>
      <c r="E106" s="2">
        <v>0.13613</v>
      </c>
      <c r="G106" s="3">
        <f t="shared" si="7"/>
        <v>0.12375454545454545</v>
      </c>
      <c r="I106" s="2">
        <v>0</v>
      </c>
    </row>
    <row r="107" spans="1:9" x14ac:dyDescent="0.35">
      <c r="A107" s="1">
        <v>104</v>
      </c>
      <c r="B107" s="1">
        <f t="shared" si="8"/>
        <v>0.140927</v>
      </c>
      <c r="C107" s="1">
        <f t="shared" si="9"/>
        <v>0.140927</v>
      </c>
      <c r="E107" s="2">
        <v>0.140927</v>
      </c>
      <c r="G107" s="3">
        <f t="shared" si="7"/>
        <v>0.12811545454545453</v>
      </c>
      <c r="I107" s="2">
        <v>0</v>
      </c>
    </row>
    <row r="108" spans="1:9" x14ac:dyDescent="0.35">
      <c r="A108" s="1">
        <v>105</v>
      </c>
      <c r="B108" s="1">
        <f t="shared" si="8"/>
        <v>0.14568999999999999</v>
      </c>
      <c r="C108" s="1">
        <f t="shared" si="9"/>
        <v>0.14568999999999999</v>
      </c>
      <c r="E108" s="2">
        <v>0.14568999999999999</v>
      </c>
      <c r="G108" s="3">
        <f t="shared" si="7"/>
        <v>0.13244545454545453</v>
      </c>
      <c r="I108" s="2">
        <v>0</v>
      </c>
    </row>
    <row r="109" spans="1:9" x14ac:dyDescent="0.35">
      <c r="A109" s="1">
        <v>106</v>
      </c>
      <c r="B109" s="1">
        <f t="shared" si="8"/>
        <v>0.15041599999999999</v>
      </c>
      <c r="C109" s="1">
        <f t="shared" si="9"/>
        <v>0.15041599999999999</v>
      </c>
      <c r="E109" s="2">
        <v>0.15041599999999999</v>
      </c>
      <c r="G109" s="3">
        <f t="shared" si="7"/>
        <v>0.13674181818181816</v>
      </c>
      <c r="I109" s="2">
        <v>0</v>
      </c>
    </row>
    <row r="110" spans="1:9" x14ac:dyDescent="0.35">
      <c r="A110" s="1">
        <v>107</v>
      </c>
      <c r="B110" s="1">
        <f t="shared" si="8"/>
        <v>0.15510499999999999</v>
      </c>
      <c r="C110" s="1">
        <f t="shared" si="9"/>
        <v>0.15510499999999999</v>
      </c>
      <c r="E110" s="2">
        <v>0.15510499999999999</v>
      </c>
      <c r="G110" s="3">
        <f t="shared" si="7"/>
        <v>0.14100454545454544</v>
      </c>
      <c r="I110" s="2">
        <v>0</v>
      </c>
    </row>
    <row r="111" spans="1:9" x14ac:dyDescent="0.35">
      <c r="A111" s="1">
        <v>108</v>
      </c>
      <c r="B111" s="1">
        <f t="shared" si="8"/>
        <v>0.15975200000000001</v>
      </c>
      <c r="C111" s="1">
        <f t="shared" si="9"/>
        <v>0.15975200000000001</v>
      </c>
      <c r="E111" s="2">
        <v>0.15975200000000001</v>
      </c>
      <c r="G111" s="3">
        <f t="shared" si="7"/>
        <v>0.14522909090909089</v>
      </c>
      <c r="I111" s="2">
        <v>0</v>
      </c>
    </row>
    <row r="112" spans="1:9" x14ac:dyDescent="0.35">
      <c r="A112" s="1">
        <v>109</v>
      </c>
      <c r="B112" s="1">
        <f t="shared" si="8"/>
        <v>0.164354</v>
      </c>
      <c r="C112" s="1">
        <f t="shared" si="9"/>
        <v>0.164354</v>
      </c>
      <c r="E112" s="2">
        <v>0.164354</v>
      </c>
      <c r="G112" s="3">
        <f t="shared" si="7"/>
        <v>0.14941272727272725</v>
      </c>
      <c r="I112" s="2">
        <v>0</v>
      </c>
    </row>
    <row r="113" spans="1:9" x14ac:dyDescent="0.35">
      <c r="A113" s="1">
        <v>110</v>
      </c>
      <c r="B113" s="1">
        <f t="shared" si="8"/>
        <v>0.168907</v>
      </c>
      <c r="C113" s="1">
        <f t="shared" si="9"/>
        <v>0.168907</v>
      </c>
      <c r="E113" s="2">
        <v>0.168907</v>
      </c>
      <c r="G113" s="3">
        <f t="shared" si="7"/>
        <v>0.15355181818181818</v>
      </c>
      <c r="I113" s="2">
        <v>0</v>
      </c>
    </row>
    <row r="114" spans="1:9" x14ac:dyDescent="0.35">
      <c r="A114" s="1">
        <v>111</v>
      </c>
      <c r="B114" s="1">
        <f t="shared" si="8"/>
        <v>0.17340700000000001</v>
      </c>
      <c r="C114" s="1">
        <f t="shared" si="9"/>
        <v>0.17340700000000001</v>
      </c>
      <c r="E114" s="2">
        <v>0.17340700000000001</v>
      </c>
      <c r="G114" s="3">
        <f t="shared" si="7"/>
        <v>0.15764272727272727</v>
      </c>
      <c r="I114" s="2">
        <v>0</v>
      </c>
    </row>
    <row r="115" spans="1:9" x14ac:dyDescent="0.35">
      <c r="A115" s="1">
        <v>112</v>
      </c>
      <c r="B115" s="1">
        <f t="shared" si="8"/>
        <v>0.17784800000000001</v>
      </c>
      <c r="C115" s="1">
        <f t="shared" si="9"/>
        <v>0.17784800000000001</v>
      </c>
      <c r="E115" s="2">
        <v>0.17784800000000001</v>
      </c>
      <c r="G115" s="3">
        <f t="shared" si="7"/>
        <v>0.16167999999999999</v>
      </c>
      <c r="I115" s="2">
        <v>0</v>
      </c>
    </row>
    <row r="116" spans="1:9" x14ac:dyDescent="0.35">
      <c r="A116" s="1">
        <v>113</v>
      </c>
      <c r="B116" s="1">
        <f t="shared" si="8"/>
        <v>0.182224</v>
      </c>
      <c r="C116" s="1">
        <f t="shared" si="9"/>
        <v>0.182224</v>
      </c>
      <c r="E116" s="2">
        <v>0.182224</v>
      </c>
      <c r="G116" s="3">
        <f t="shared" si="7"/>
        <v>0.16565818181818182</v>
      </c>
      <c r="I116" s="2">
        <v>0</v>
      </c>
    </row>
    <row r="117" spans="1:9" x14ac:dyDescent="0.35">
      <c r="A117" s="1">
        <v>114</v>
      </c>
      <c r="B117" s="1">
        <f t="shared" si="8"/>
        <v>0.186528</v>
      </c>
      <c r="C117" s="1">
        <f t="shared" si="9"/>
        <v>0.186528</v>
      </c>
      <c r="E117" s="2">
        <v>0.186528</v>
      </c>
      <c r="G117" s="3">
        <f t="shared" si="7"/>
        <v>0.16957090909090908</v>
      </c>
      <c r="I117" s="2">
        <v>0</v>
      </c>
    </row>
    <row r="118" spans="1:9" x14ac:dyDescent="0.35">
      <c r="A118" s="1">
        <v>115</v>
      </c>
      <c r="B118" s="1">
        <f t="shared" si="8"/>
        <v>0.190752</v>
      </c>
      <c r="C118" s="1">
        <f t="shared" si="9"/>
        <v>0.190752</v>
      </c>
      <c r="E118" s="2">
        <v>0.190752</v>
      </c>
      <c r="G118" s="3">
        <f t="shared" si="7"/>
        <v>0.17341090909090909</v>
      </c>
      <c r="I118" s="2">
        <v>0</v>
      </c>
    </row>
    <row r="119" spans="1:9" x14ac:dyDescent="0.35">
      <c r="A119" s="1">
        <v>116</v>
      </c>
      <c r="B119" s="1">
        <f t="shared" si="8"/>
        <v>0.194887</v>
      </c>
      <c r="C119" s="1">
        <f t="shared" si="9"/>
        <v>0.194887</v>
      </c>
      <c r="E119" s="2">
        <v>0.194887</v>
      </c>
      <c r="G119" s="3">
        <f t="shared" si="7"/>
        <v>0.17716999999999999</v>
      </c>
      <c r="I119" s="2">
        <v>0</v>
      </c>
    </row>
    <row r="120" spans="1:9" x14ac:dyDescent="0.35">
      <c r="A120" s="1">
        <v>117</v>
      </c>
      <c r="B120" s="1">
        <f t="shared" si="8"/>
        <v>0.19892299999999999</v>
      </c>
      <c r="C120" s="1">
        <f t="shared" si="9"/>
        <v>0.19892299999999999</v>
      </c>
      <c r="E120" s="2">
        <v>0.19892299999999999</v>
      </c>
      <c r="G120" s="3">
        <f t="shared" si="7"/>
        <v>0.18083909090909089</v>
      </c>
      <c r="I120" s="2">
        <v>0</v>
      </c>
    </row>
    <row r="121" spans="1:9" x14ac:dyDescent="0.35">
      <c r="A121" s="1">
        <v>118</v>
      </c>
      <c r="B121" s="1">
        <f t="shared" si="8"/>
        <v>0.202848</v>
      </c>
      <c r="C121" s="1">
        <f t="shared" si="9"/>
        <v>0.202848</v>
      </c>
      <c r="E121" s="2">
        <v>0.202848</v>
      </c>
      <c r="G121" s="3">
        <f t="shared" si="7"/>
        <v>0.18440727272727273</v>
      </c>
      <c r="I121" s="2">
        <v>0</v>
      </c>
    </row>
    <row r="122" spans="1:9" x14ac:dyDescent="0.35">
      <c r="A122" s="1">
        <v>119</v>
      </c>
      <c r="B122" s="1">
        <f t="shared" si="8"/>
        <v>0.206649</v>
      </c>
      <c r="C122" s="1">
        <f t="shared" si="9"/>
        <v>0.206649</v>
      </c>
      <c r="E122" s="2">
        <v>0.206649</v>
      </c>
      <c r="G122" s="3">
        <f t="shared" si="7"/>
        <v>0.18786272727272726</v>
      </c>
      <c r="I122" s="2">
        <v>0</v>
      </c>
    </row>
    <row r="123" spans="1:9" x14ac:dyDescent="0.35">
      <c r="A123" s="1">
        <v>120</v>
      </c>
      <c r="B123" s="1">
        <f t="shared" si="8"/>
        <v>0.210311</v>
      </c>
      <c r="C123" s="1">
        <f t="shared" si="9"/>
        <v>0.210311</v>
      </c>
      <c r="E123" s="2">
        <v>0.210311</v>
      </c>
      <c r="G123" s="3">
        <f t="shared" si="7"/>
        <v>0.19119181818181816</v>
      </c>
      <c r="I123" s="2">
        <v>0</v>
      </c>
    </row>
    <row r="124" spans="1:9" x14ac:dyDescent="0.35">
      <c r="A124" s="1">
        <v>121</v>
      </c>
      <c r="B124" s="2">
        <f t="shared" si="8"/>
        <v>1</v>
      </c>
      <c r="C124" s="2">
        <f t="shared" si="9"/>
        <v>1</v>
      </c>
      <c r="E124" s="2">
        <v>1</v>
      </c>
      <c r="G124" s="3">
        <f>$E124</f>
        <v>1</v>
      </c>
      <c r="I124" s="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P12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RowHeight="14.5" x14ac:dyDescent="0.35"/>
  <cols>
    <col min="1" max="7" width="10.90625" style="1"/>
    <col min="8" max="9" width="11.36328125" style="1" bestFit="1" customWidth="1"/>
    <col min="10" max="16384" width="10.90625" style="1"/>
  </cols>
  <sheetData>
    <row r="1" spans="1:16" x14ac:dyDescent="0.35">
      <c r="A1" s="1" t="s">
        <v>17</v>
      </c>
      <c r="B1" s="2">
        <f>1 / ( 1 + i_PK)</f>
        <v>0.96153846153846145</v>
      </c>
      <c r="C1" s="2"/>
    </row>
    <row r="2" spans="1:16" x14ac:dyDescent="0.35">
      <c r="A2" s="1" t="s">
        <v>18</v>
      </c>
      <c r="B2" s="2">
        <f>1 / ( 1 + i_DR)</f>
        <v>0.96153846153846145</v>
      </c>
      <c r="C2" s="2"/>
    </row>
    <row r="4" spans="1:16" x14ac:dyDescent="0.35">
      <c r="A4" s="1" t="s">
        <v>0</v>
      </c>
      <c r="B4" s="1" t="s">
        <v>1</v>
      </c>
      <c r="C4" s="1" t="s">
        <v>19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32</v>
      </c>
      <c r="N4" s="1" t="s">
        <v>42</v>
      </c>
      <c r="O4" s="1" t="s">
        <v>30</v>
      </c>
      <c r="P4" s="1" t="s">
        <v>31</v>
      </c>
    </row>
    <row r="5" spans="1:16" x14ac:dyDescent="0.35">
      <c r="A5" s="1">
        <v>0</v>
      </c>
      <c r="B5" s="2">
        <f>INDEX( Tafel!B3:B124, Barwerte!$A5 + 1, 1)</f>
        <v>8.2999999999999998E-5</v>
      </c>
      <c r="C5" s="2">
        <f>INDEX( Tafel!C3:C124, Barwerte!$A5 + 1, 1)</f>
        <v>8.2999999999999998E-5</v>
      </c>
      <c r="D5" s="5">
        <v>100000</v>
      </c>
      <c r="E5" s="5">
        <v>100000</v>
      </c>
      <c r="F5" s="5">
        <f t="shared" ref="F5:F36" si="0">$D5 * v_PK ^ $A5</f>
        <v>100000</v>
      </c>
      <c r="G5" s="5">
        <f t="shared" ref="G5:G36" si="1">$E5 * v_DR ^ $A5</f>
        <v>100000</v>
      </c>
      <c r="H5" s="5">
        <f>SUM($F5:$F$126)</f>
        <v>2227778.5620370694</v>
      </c>
      <c r="I5" s="5">
        <f>SUM($G5:$G$126)</f>
        <v>2227778.5620370694</v>
      </c>
      <c r="J5" s="6">
        <f t="shared" ref="J5:J36" si="2">IF( $A5 &lt; x + n,
       (Nx_PK - INDEX( Nx_PK, MAX( $A5 + 1, x + n + 1))) / Dx_PK,
       0)</f>
        <v>22.128021558729511</v>
      </c>
      <c r="K5" s="6">
        <f t="shared" ref="K5:K36" si="3">IF( $A5 &lt; x + n,
       (Nx_DR - INDEX( Nx_DR, MAX( $A5 + 1, x + n + 1))) / Dx_DR,
       0)</f>
        <v>22.128021558729511</v>
      </c>
      <c r="L5" s="6">
        <f t="shared" ref="L5:L36" si="4">IF( $A5 &lt; x + t,
       (Nx_PK - INDEX( Nx_PK, MAX( $A5 + 1, x + t + 1))) / Dx_PK,
       0)</f>
        <v>22.038812632545948</v>
      </c>
      <c r="M5" s="6">
        <f t="shared" ref="M5:M36" si="5">IF( $A5 &lt; x + t,
       (Nx_DR - INDEX( Nx_DR, MAX( $A5 + 1, x + t + 1))) / Dx_DR,
       0)</f>
        <v>22.038812632545948</v>
      </c>
      <c r="N5" s="6">
        <f t="shared" ref="N5:N36" si="6">IF( $A5 &lt; x + 5,
       (Nx_PK - INDEX( Nx_PK, MAX( $A5 + 1, x + 5 + 1))) / Dx_PK,
       0)</f>
        <v>19.284441485119491</v>
      </c>
      <c r="O5" s="6">
        <f t="shared" ref="O5:O36" si="7">IF( $B5 &lt; 121 + 1,
       INDEX( Dx_PK, x + n + 1) / INDEX( Dx_PK, MIN( $A5 + 1, x + n + 1)) * INDEX( Nx_PK, MAX( $A5 + 1, x + n + 1)) / INDEX( Dx_PK, MAX( $A5 + 1, x + n + 1)),
       0)</f>
        <v>0.14976406164117972</v>
      </c>
      <c r="P5" s="6">
        <f t="shared" ref="P5:P36" si="8">IF( $B5 &lt; 121 + 1,
       INDEX( Dx_DR, x + n + 1) / INDEX( Dx_DR, MIN( $A5 + 1, x + n + 1)) * INDEX( Nx_DR, MAX( $A5 + 1, x + n + 1)) / INDEX( Dx_DR, MAX( $A5 + 1, x + n + 1)),
       0)</f>
        <v>0.14976406164117972</v>
      </c>
    </row>
    <row r="6" spans="1:16" x14ac:dyDescent="0.35">
      <c r="A6" s="1">
        <v>1</v>
      </c>
      <c r="B6" s="2">
        <f>INDEX( Tafel!B4:B125, Barwerte!$A6 + 1, 1)</f>
        <v>8.2999999999999998E-5</v>
      </c>
      <c r="C6" s="2">
        <f>INDEX( Tafel!C4:C125, Barwerte!$A6 + 1, 1)</f>
        <v>8.2999999999999998E-5</v>
      </c>
      <c r="D6" s="5">
        <f t="shared" ref="D6:D37" si="9">$D5 * ( 1 - INDEX( qx_PK, $A5 + 1))</f>
        <v>99991.7</v>
      </c>
      <c r="E6" s="5">
        <f t="shared" ref="E6:E37" si="10">$E5 * ( 1 - INDEX( qx_DR, $A5 + 1))</f>
        <v>99991.7</v>
      </c>
      <c r="F6" s="5">
        <f t="shared" si="0"/>
        <v>96145.865384615376</v>
      </c>
      <c r="G6" s="5">
        <f t="shared" si="1"/>
        <v>96145.865384615376</v>
      </c>
      <c r="H6" s="5">
        <f>SUM($F6:$F$126)</f>
        <v>2127778.5620370694</v>
      </c>
      <c r="I6" s="5">
        <f>SUM($G6:$G$126)</f>
        <v>2127778.5620370694</v>
      </c>
      <c r="J6" s="6">
        <f t="shared" si="2"/>
        <v>21.974966343285189</v>
      </c>
      <c r="K6" s="6">
        <f t="shared" si="3"/>
        <v>21.974966343285189</v>
      </c>
      <c r="L6" s="6">
        <f t="shared" si="4"/>
        <v>21.882181358900578</v>
      </c>
      <c r="M6" s="6">
        <f t="shared" si="5"/>
        <v>21.882181358900578</v>
      </c>
      <c r="N6" s="6">
        <f t="shared" si="6"/>
        <v>19.017397588524123</v>
      </c>
      <c r="O6" s="6">
        <f t="shared" si="7"/>
        <v>0.15576755281371044</v>
      </c>
      <c r="P6" s="6">
        <f t="shared" si="8"/>
        <v>0.15576755281371044</v>
      </c>
    </row>
    <row r="7" spans="1:16" x14ac:dyDescent="0.35">
      <c r="A7" s="1">
        <v>2</v>
      </c>
      <c r="B7" s="2">
        <f>INDEX( Tafel!B5:B126, Barwerte!$A7 + 1, 1)</f>
        <v>8.2999999999999998E-5</v>
      </c>
      <c r="C7" s="2">
        <f>INDEX( Tafel!C5:C126, Barwerte!$A7 + 1, 1)</f>
        <v>8.2999999999999998E-5</v>
      </c>
      <c r="D7" s="5">
        <f t="shared" si="9"/>
        <v>99983.400688899987</v>
      </c>
      <c r="E7" s="5">
        <f t="shared" si="10"/>
        <v>99983.400688899987</v>
      </c>
      <c r="F7" s="5">
        <f t="shared" si="0"/>
        <v>92440.274305565792</v>
      </c>
      <c r="G7" s="5">
        <f t="shared" si="1"/>
        <v>92440.274305565792</v>
      </c>
      <c r="H7" s="5">
        <f>SUM($F7:$F$126)</f>
        <v>2031632.6966524541</v>
      </c>
      <c r="I7" s="5">
        <f>SUM($G7:$G$126)</f>
        <v>2031632.6966524541</v>
      </c>
      <c r="J7" s="6">
        <f t="shared" si="2"/>
        <v>21.815775706400238</v>
      </c>
      <c r="K7" s="6">
        <f t="shared" si="3"/>
        <v>21.815775706400238</v>
      </c>
      <c r="L7" s="6">
        <f t="shared" si="4"/>
        <v>21.719271312775572</v>
      </c>
      <c r="M7" s="6">
        <f t="shared" si="5"/>
        <v>21.719271312775572</v>
      </c>
      <c r="N7" s="6">
        <f t="shared" si="6"/>
        <v>18.739648882922374</v>
      </c>
      <c r="O7" s="6">
        <f t="shared" si="7"/>
        <v>0.1620117018975164</v>
      </c>
      <c r="P7" s="6">
        <f t="shared" si="8"/>
        <v>0.1620117018975164</v>
      </c>
    </row>
    <row r="8" spans="1:16" x14ac:dyDescent="0.35">
      <c r="A8" s="1">
        <v>3</v>
      </c>
      <c r="B8" s="2">
        <f>INDEX( Tafel!B6:B127, Barwerte!$A8 + 1, 1)</f>
        <v>8.2999999999999998E-5</v>
      </c>
      <c r="C8" s="2">
        <f>INDEX( Tafel!C6:C127, Barwerte!$A8 + 1, 1)</f>
        <v>8.2999999999999998E-5</v>
      </c>
      <c r="D8" s="5">
        <f t="shared" si="9"/>
        <v>99975.102066642808</v>
      </c>
      <c r="E8" s="5">
        <f t="shared" si="10"/>
        <v>99975.102066642808</v>
      </c>
      <c r="F8" s="5">
        <f t="shared" si="0"/>
        <v>88877.501694998486</v>
      </c>
      <c r="G8" s="5">
        <f t="shared" si="1"/>
        <v>88877.501694998486</v>
      </c>
      <c r="H8" s="5">
        <f>SUM($F8:$F$126)</f>
        <v>1939192.4223468883</v>
      </c>
      <c r="I8" s="5">
        <f>SUM($G8:$G$126)</f>
        <v>1939192.4223468883</v>
      </c>
      <c r="J8" s="6">
        <f t="shared" si="2"/>
        <v>21.650203701563477</v>
      </c>
      <c r="K8" s="6">
        <f t="shared" si="3"/>
        <v>21.650203701563477</v>
      </c>
      <c r="L8" s="6">
        <f t="shared" si="4"/>
        <v>21.5498308012431</v>
      </c>
      <c r="M8" s="6">
        <f t="shared" si="5"/>
        <v>21.5498308012431</v>
      </c>
      <c r="N8" s="6">
        <f t="shared" si="6"/>
        <v>18.450766251838175</v>
      </c>
      <c r="O8" s="6">
        <f t="shared" si="7"/>
        <v>0.16850615598436378</v>
      </c>
      <c r="P8" s="6">
        <f t="shared" si="8"/>
        <v>0.16850615598436378</v>
      </c>
    </row>
    <row r="9" spans="1:16" x14ac:dyDescent="0.35">
      <c r="A9" s="1">
        <v>4</v>
      </c>
      <c r="B9" s="2">
        <f>INDEX( Tafel!B7:B128, Barwerte!$A9 + 1, 1)</f>
        <v>8.2999999999999998E-5</v>
      </c>
      <c r="C9" s="2">
        <f>INDEX( Tafel!C7:C128, Barwerte!$A9 + 1, 1)</f>
        <v>8.2999999999999998E-5</v>
      </c>
      <c r="D9" s="5">
        <f t="shared" si="9"/>
        <v>99966.804133171274</v>
      </c>
      <c r="E9" s="5">
        <f t="shared" si="10"/>
        <v>99966.804133171274</v>
      </c>
      <c r="F9" s="5">
        <f t="shared" si="0"/>
        <v>85452.043136882494</v>
      </c>
      <c r="G9" s="5">
        <f t="shared" si="1"/>
        <v>85452.043136882494</v>
      </c>
      <c r="H9" s="5">
        <f>SUM($F9:$F$126)</f>
        <v>1850314.9206518901</v>
      </c>
      <c r="I9" s="5">
        <f>SUM($G9:$G$126)</f>
        <v>1850314.9206518901</v>
      </c>
      <c r="J9" s="6">
        <f t="shared" si="2"/>
        <v>21.477994523171446</v>
      </c>
      <c r="K9" s="6">
        <f t="shared" si="3"/>
        <v>21.477994523171446</v>
      </c>
      <c r="L9" s="6">
        <f t="shared" si="4"/>
        <v>21.373598041930308</v>
      </c>
      <c r="M9" s="6">
        <f t="shared" si="5"/>
        <v>21.373598041930308</v>
      </c>
      <c r="N9" s="6">
        <f t="shared" si="6"/>
        <v>18.150303377092005</v>
      </c>
      <c r="O9" s="6">
        <f t="shared" si="7"/>
        <v>0.17526094888249558</v>
      </c>
      <c r="P9" s="6">
        <f t="shared" si="8"/>
        <v>0.17526094888249558</v>
      </c>
    </row>
    <row r="10" spans="1:16" x14ac:dyDescent="0.35">
      <c r="A10" s="1">
        <v>5</v>
      </c>
      <c r="B10" s="2">
        <f>INDEX( Tafel!B8:B129, Barwerte!$A10 + 1, 1)</f>
        <v>8.2999999999999998E-5</v>
      </c>
      <c r="C10" s="2">
        <f>INDEX( Tafel!C8:C129, Barwerte!$A10 + 1, 1)</f>
        <v>8.2999999999999998E-5</v>
      </c>
      <c r="D10" s="5">
        <f t="shared" si="9"/>
        <v>99958.506888428208</v>
      </c>
      <c r="E10" s="5">
        <f t="shared" si="10"/>
        <v>99958.506888428208</v>
      </c>
      <c r="F10" s="5">
        <f t="shared" si="0"/>
        <v>82158.60636279048</v>
      </c>
      <c r="G10" s="5">
        <f t="shared" si="1"/>
        <v>82158.60636279048</v>
      </c>
      <c r="H10" s="5">
        <f>SUM($F10:$F$126)</f>
        <v>1764862.877515007</v>
      </c>
      <c r="I10" s="5">
        <f>SUM($G10:$G$126)</f>
        <v>1764862.877515007</v>
      </c>
      <c r="J10" s="6">
        <f t="shared" si="2"/>
        <v>21.298882111313542</v>
      </c>
      <c r="K10" s="6">
        <f t="shared" si="3"/>
        <v>21.298882111313542</v>
      </c>
      <c r="L10" s="6">
        <f t="shared" si="4"/>
        <v>21.190300758570483</v>
      </c>
      <c r="M10" s="6">
        <f t="shared" si="5"/>
        <v>21.190300758570483</v>
      </c>
      <c r="N10" s="6">
        <f t="shared" si="6"/>
        <v>17.837796049247771</v>
      </c>
      <c r="O10" s="6">
        <f t="shared" si="7"/>
        <v>0.18228651661867482</v>
      </c>
      <c r="P10" s="6">
        <f t="shared" si="8"/>
        <v>0.18228651661867482</v>
      </c>
    </row>
    <row r="11" spans="1:16" x14ac:dyDescent="0.35">
      <c r="A11" s="1">
        <v>6</v>
      </c>
      <c r="B11" s="2">
        <f>INDEX( Tafel!B9:B130, Barwerte!$A11 + 1, 1)</f>
        <v>1.0399999999999999E-4</v>
      </c>
      <c r="C11" s="2">
        <f>INDEX( Tafel!C9:C130, Barwerte!$A11 + 1, 1)</f>
        <v>1.0399999999999999E-4</v>
      </c>
      <c r="D11" s="5">
        <f t="shared" si="9"/>
        <v>99950.210332356466</v>
      </c>
      <c r="E11" s="5">
        <f t="shared" si="10"/>
        <v>99950.210332356466</v>
      </c>
      <c r="F11" s="5">
        <f t="shared" si="0"/>
        <v>78992.103075444582</v>
      </c>
      <c r="G11" s="5">
        <f t="shared" si="1"/>
        <v>78992.103075444582</v>
      </c>
      <c r="H11" s="5">
        <f>SUM($F11:$F$126)</f>
        <v>1682704.2711522167</v>
      </c>
      <c r="I11" s="5">
        <f>SUM($G11:$G$126)</f>
        <v>1682704.2711522167</v>
      </c>
      <c r="J11" s="6">
        <f t="shared" si="2"/>
        <v>21.112589740714565</v>
      </c>
      <c r="K11" s="6">
        <f t="shared" si="3"/>
        <v>21.112589740714565</v>
      </c>
      <c r="L11" s="6">
        <f t="shared" si="4"/>
        <v>20.999655760341415</v>
      </c>
      <c r="M11" s="6">
        <f t="shared" si="5"/>
        <v>20.999655760341415</v>
      </c>
      <c r="N11" s="6">
        <f t="shared" si="6"/>
        <v>17.512761450418072</v>
      </c>
      <c r="O11" s="6">
        <f t="shared" si="7"/>
        <v>0.18959371356164745</v>
      </c>
      <c r="P11" s="6">
        <f t="shared" si="8"/>
        <v>0.18959371356164745</v>
      </c>
    </row>
    <row r="12" spans="1:16" x14ac:dyDescent="0.35">
      <c r="A12" s="1">
        <v>7</v>
      </c>
      <c r="B12" s="2">
        <f>INDEX( Tafel!B10:B131, Barwerte!$A12 + 1, 1)</f>
        <v>1.3999999999999999E-4</v>
      </c>
      <c r="C12" s="2">
        <f>INDEX( Tafel!C10:C131, Barwerte!$A12 + 1, 1)</f>
        <v>1.3999999999999999E-4</v>
      </c>
      <c r="D12" s="5">
        <f t="shared" si="9"/>
        <v>99939.815510481902</v>
      </c>
      <c r="E12" s="5">
        <f t="shared" si="10"/>
        <v>99939.815510481902</v>
      </c>
      <c r="F12" s="5">
        <f t="shared" si="0"/>
        <v>75946.046054543011</v>
      </c>
      <c r="G12" s="5">
        <f t="shared" si="1"/>
        <v>75946.046054543011</v>
      </c>
      <c r="H12" s="5">
        <f>SUM($F12:$F$126)</f>
        <v>1603712.168076772</v>
      </c>
      <c r="I12" s="5">
        <f>SUM($G12:$G$126)</f>
        <v>1603712.168076772</v>
      </c>
      <c r="J12" s="6">
        <f t="shared" si="2"/>
        <v>20.919268934312317</v>
      </c>
      <c r="K12" s="6">
        <f t="shared" si="3"/>
        <v>20.919268934312317</v>
      </c>
      <c r="L12" s="6">
        <f t="shared" si="4"/>
        <v>20.801805378514437</v>
      </c>
      <c r="M12" s="6">
        <f t="shared" si="5"/>
        <v>20.801805378514437</v>
      </c>
      <c r="N12" s="6">
        <f t="shared" si="6"/>
        <v>17.175058114478698</v>
      </c>
      <c r="O12" s="6">
        <f t="shared" si="7"/>
        <v>0.19719797069306544</v>
      </c>
      <c r="P12" s="6">
        <f t="shared" si="8"/>
        <v>0.19719797069306544</v>
      </c>
    </row>
    <row r="13" spans="1:16" x14ac:dyDescent="0.35">
      <c r="A13" s="1">
        <v>8</v>
      </c>
      <c r="B13" s="2">
        <f>INDEX( Tafel!B11:B132, Barwerte!$A13 + 1, 1)</f>
        <v>2.7599999999999999E-4</v>
      </c>
      <c r="C13" s="2">
        <f>INDEX( Tafel!C11:C132, Barwerte!$A13 + 1, 1)</f>
        <v>2.7599999999999999E-4</v>
      </c>
      <c r="D13" s="5">
        <f t="shared" si="9"/>
        <v>99925.823936310437</v>
      </c>
      <c r="E13" s="5">
        <f t="shared" si="10"/>
        <v>99925.823936310437</v>
      </c>
      <c r="F13" s="5">
        <f t="shared" si="0"/>
        <v>73014.820777014771</v>
      </c>
      <c r="G13" s="5">
        <f t="shared" si="1"/>
        <v>73014.820777014771</v>
      </c>
      <c r="H13" s="5">
        <f>SUM($F13:$F$126)</f>
        <v>1527766.1220222295</v>
      </c>
      <c r="I13" s="5">
        <f>SUM($G13:$G$126)</f>
        <v>1527766.1220222295</v>
      </c>
      <c r="J13" s="6">
        <f t="shared" si="2"/>
        <v>20.718940343332886</v>
      </c>
      <c r="K13" s="6">
        <f t="shared" si="3"/>
        <v>20.718940343332886</v>
      </c>
      <c r="L13" s="6">
        <f t="shared" si="4"/>
        <v>20.596761140214653</v>
      </c>
      <c r="M13" s="6">
        <f t="shared" si="5"/>
        <v>20.596761140214653</v>
      </c>
      <c r="N13" s="6">
        <f t="shared" si="6"/>
        <v>16.824415857277874</v>
      </c>
      <c r="O13" s="6">
        <f t="shared" si="7"/>
        <v>0.20511460556556727</v>
      </c>
      <c r="P13" s="6">
        <f t="shared" si="8"/>
        <v>0.20511460556556727</v>
      </c>
    </row>
    <row r="14" spans="1:16" x14ac:dyDescent="0.35">
      <c r="A14" s="1">
        <v>9</v>
      </c>
      <c r="B14" s="2">
        <f>INDEX( Tafel!B12:B133, Barwerte!$A14 + 1, 1)</f>
        <v>5.9599999999999996E-4</v>
      </c>
      <c r="C14" s="2">
        <f>INDEX( Tafel!C12:C133, Barwerte!$A14 + 1, 1)</f>
        <v>5.9599999999999996E-4</v>
      </c>
      <c r="D14" s="5">
        <f t="shared" si="9"/>
        <v>99898.244408904007</v>
      </c>
      <c r="E14" s="5">
        <f t="shared" si="10"/>
        <v>99898.244408904007</v>
      </c>
      <c r="F14" s="5">
        <f t="shared" si="0"/>
        <v>70187.181429307995</v>
      </c>
      <c r="G14" s="5">
        <f t="shared" si="1"/>
        <v>70187.181429307995</v>
      </c>
      <c r="H14" s="5">
        <f>SUM($F14:$F$126)</f>
        <v>1454751.3012452147</v>
      </c>
      <c r="I14" s="5">
        <f>SUM($G14:$G$126)</f>
        <v>1454751.3012452147</v>
      </c>
      <c r="J14" s="6">
        <f t="shared" si="2"/>
        <v>20.513359644328037</v>
      </c>
      <c r="K14" s="6">
        <f t="shared" si="3"/>
        <v>20.513359644328037</v>
      </c>
      <c r="L14" s="6">
        <f t="shared" si="4"/>
        <v>20.386258193084529</v>
      </c>
      <c r="M14" s="6">
        <f t="shared" si="5"/>
        <v>20.386258193084529</v>
      </c>
      <c r="N14" s="6">
        <f t="shared" si="6"/>
        <v>16.461935985901096</v>
      </c>
      <c r="O14" s="6">
        <f t="shared" si="7"/>
        <v>0.21337808213886028</v>
      </c>
      <c r="P14" s="6">
        <f t="shared" si="8"/>
        <v>0.21337808213886028</v>
      </c>
    </row>
    <row r="15" spans="1:16" x14ac:dyDescent="0.35">
      <c r="A15" s="1">
        <v>10</v>
      </c>
      <c r="B15" s="2">
        <f>INDEX( Tafel!B13:B134, Barwerte!$A15 + 1, 1)</f>
        <v>5.9800000000000001E-4</v>
      </c>
      <c r="C15" s="2">
        <f>INDEX( Tafel!C13:C134, Barwerte!$A15 + 1, 1)</f>
        <v>5.9800000000000001E-4</v>
      </c>
      <c r="D15" s="5">
        <f t="shared" si="9"/>
        <v>99838.705055236293</v>
      </c>
      <c r="E15" s="5">
        <f t="shared" si="10"/>
        <v>99838.705055236293</v>
      </c>
      <c r="F15" s="5">
        <f t="shared" si="0"/>
        <v>67447.451797284724</v>
      </c>
      <c r="G15" s="5">
        <f t="shared" si="1"/>
        <v>67447.451797284724</v>
      </c>
      <c r="H15" s="5">
        <f>SUM($F15:$F$126)</f>
        <v>1384564.1198159067</v>
      </c>
      <c r="I15" s="5">
        <f>SUM($G15:$G$126)</f>
        <v>1384564.1198159067</v>
      </c>
      <c r="J15" s="6">
        <f t="shared" si="2"/>
        <v>20.305996403957923</v>
      </c>
      <c r="K15" s="6">
        <f t="shared" si="3"/>
        <v>20.305996403957923</v>
      </c>
      <c r="L15" s="6">
        <f t="shared" si="4"/>
        <v>20.173732065118728</v>
      </c>
      <c r="M15" s="6">
        <f t="shared" si="5"/>
        <v>20.173732065118728</v>
      </c>
      <c r="N15" s="6">
        <f t="shared" si="6"/>
        <v>16.090003067165178</v>
      </c>
      <c r="O15" s="6">
        <f t="shared" si="7"/>
        <v>0.22204554456897785</v>
      </c>
      <c r="P15" s="6">
        <f t="shared" si="8"/>
        <v>0.22204554456897785</v>
      </c>
    </row>
    <row r="16" spans="1:16" x14ac:dyDescent="0.35">
      <c r="A16" s="1">
        <v>11</v>
      </c>
      <c r="B16" s="2">
        <f>INDEX( Tafel!B14:B135, Barwerte!$A16 + 1, 1)</f>
        <v>5.9800000000000001E-4</v>
      </c>
      <c r="C16" s="2">
        <f>INDEX( Tafel!C14:C135, Barwerte!$A16 + 1, 1)</f>
        <v>5.9800000000000001E-4</v>
      </c>
      <c r="D16" s="5">
        <f t="shared" si="9"/>
        <v>99779.001509613256</v>
      </c>
      <c r="E16" s="5">
        <f t="shared" si="10"/>
        <v>99779.001509613256</v>
      </c>
      <c r="F16" s="5">
        <f t="shared" si="0"/>
        <v>64814.536751067251</v>
      </c>
      <c r="G16" s="5">
        <f t="shared" si="1"/>
        <v>64814.536751067251</v>
      </c>
      <c r="H16" s="5">
        <f>SUM($F16:$F$126)</f>
        <v>1317116.6680186221</v>
      </c>
      <c r="I16" s="5">
        <f>SUM($G16:$G$126)</f>
        <v>1317116.6680186221</v>
      </c>
      <c r="J16" s="6">
        <f t="shared" si="2"/>
        <v>20.090250229753636</v>
      </c>
      <c r="K16" s="6">
        <f t="shared" si="3"/>
        <v>20.090250229753636</v>
      </c>
      <c r="L16" s="6">
        <f t="shared" si="4"/>
        <v>19.95261301030364</v>
      </c>
      <c r="M16" s="6">
        <f t="shared" si="5"/>
        <v>19.95261301030364</v>
      </c>
      <c r="N16" s="6">
        <f t="shared" si="6"/>
        <v>15.702993580012635</v>
      </c>
      <c r="O16" s="6">
        <f t="shared" si="7"/>
        <v>0.231065543546778</v>
      </c>
      <c r="P16" s="6">
        <f t="shared" si="8"/>
        <v>0.231065543546778</v>
      </c>
    </row>
    <row r="17" spans="1:16" x14ac:dyDescent="0.35">
      <c r="A17" s="1">
        <v>12</v>
      </c>
      <c r="B17" s="2">
        <f>INDEX( Tafel!B15:B136, Barwerte!$A17 + 1, 1)</f>
        <v>5.9800000000000001E-4</v>
      </c>
      <c r="C17" s="2">
        <f>INDEX( Tafel!C15:C136, Barwerte!$A17 + 1, 1)</f>
        <v>5.9800000000000001E-4</v>
      </c>
      <c r="D17" s="5">
        <f t="shared" si="9"/>
        <v>99719.333666710503</v>
      </c>
      <c r="E17" s="5">
        <f t="shared" si="10"/>
        <v>99719.333666710503</v>
      </c>
      <c r="F17" s="5">
        <f t="shared" si="0"/>
        <v>62284.401594317402</v>
      </c>
      <c r="G17" s="5">
        <f t="shared" si="1"/>
        <v>62284.401594317402</v>
      </c>
      <c r="H17" s="5">
        <f>SUM($F17:$F$126)</f>
        <v>1252302.1312675551</v>
      </c>
      <c r="I17" s="5">
        <f>SUM($G17:$G$126)</f>
        <v>1252302.1312675551</v>
      </c>
      <c r="J17" s="6">
        <f t="shared" si="2"/>
        <v>19.865739951434747</v>
      </c>
      <c r="K17" s="6">
        <f t="shared" si="3"/>
        <v>19.865739951434747</v>
      </c>
      <c r="L17" s="6">
        <f t="shared" si="4"/>
        <v>19.7225115926482</v>
      </c>
      <c r="M17" s="6">
        <f t="shared" si="5"/>
        <v>19.7225115926482</v>
      </c>
      <c r="N17" s="6">
        <f t="shared" si="6"/>
        <v>15.300262880415636</v>
      </c>
      <c r="O17" s="6">
        <f t="shared" si="7"/>
        <v>0.24045195555807289</v>
      </c>
      <c r="P17" s="6">
        <f t="shared" si="8"/>
        <v>0.24045195555807289</v>
      </c>
    </row>
    <row r="18" spans="1:16" x14ac:dyDescent="0.35">
      <c r="A18" s="1">
        <v>13</v>
      </c>
      <c r="B18" s="2">
        <f>INDEX( Tafel!B16:B137, Barwerte!$A18 + 1, 1)</f>
        <v>5.9800000000000001E-4</v>
      </c>
      <c r="C18" s="2">
        <f>INDEX( Tafel!C16:C137, Barwerte!$A18 + 1, 1)</f>
        <v>5.9800000000000001E-4</v>
      </c>
      <c r="D18" s="5">
        <f t="shared" si="9"/>
        <v>99659.701505177814</v>
      </c>
      <c r="E18" s="5">
        <f t="shared" si="10"/>
        <v>99659.701505177814</v>
      </c>
      <c r="F18" s="5">
        <f t="shared" si="0"/>
        <v>59853.034155926915</v>
      </c>
      <c r="G18" s="5">
        <f t="shared" si="1"/>
        <v>59853.034155926915</v>
      </c>
      <c r="H18" s="5">
        <f>SUM($F18:$F$126)</f>
        <v>1190017.7296732378</v>
      </c>
      <c r="I18" s="5">
        <f>SUM($G18:$G$126)</f>
        <v>1190017.7296732378</v>
      </c>
      <c r="J18" s="6">
        <f t="shared" si="2"/>
        <v>19.632109551003641</v>
      </c>
      <c r="K18" s="6">
        <f t="shared" si="3"/>
        <v>19.632109551003641</v>
      </c>
      <c r="L18" s="6">
        <f t="shared" si="4"/>
        <v>19.483062927985067</v>
      </c>
      <c r="M18" s="6">
        <f t="shared" si="5"/>
        <v>19.483062927985067</v>
      </c>
      <c r="N18" s="6">
        <f t="shared" si="6"/>
        <v>14.881172336689605</v>
      </c>
      <c r="O18" s="6">
        <f t="shared" si="7"/>
        <v>0.25021966514014959</v>
      </c>
      <c r="P18" s="6">
        <f t="shared" si="8"/>
        <v>0.25021966514014959</v>
      </c>
    </row>
    <row r="19" spans="1:16" x14ac:dyDescent="0.35">
      <c r="A19" s="1">
        <v>14</v>
      </c>
      <c r="B19" s="2">
        <f>INDEX( Tafel!B17:B138, Barwerte!$A19 + 1, 1)</f>
        <v>5.9800000000000001E-4</v>
      </c>
      <c r="C19" s="2">
        <f>INDEX( Tafel!C17:C138, Barwerte!$A19 + 1, 1)</f>
        <v>5.9800000000000001E-4</v>
      </c>
      <c r="D19" s="5">
        <f t="shared" si="9"/>
        <v>99600.105003677716</v>
      </c>
      <c r="E19" s="5">
        <f t="shared" si="10"/>
        <v>99600.105003677716</v>
      </c>
      <c r="F19" s="5">
        <f t="shared" si="0"/>
        <v>57516.578886059287</v>
      </c>
      <c r="G19" s="5">
        <f t="shared" si="1"/>
        <v>57516.578886059287</v>
      </c>
      <c r="H19" s="5">
        <f>SUM($F19:$F$126)</f>
        <v>1130164.6955173109</v>
      </c>
      <c r="I19" s="5">
        <f>SUM($G19:$G$126)</f>
        <v>1130164.6955173109</v>
      </c>
      <c r="J19" s="6">
        <f t="shared" si="2"/>
        <v>19.388988548195613</v>
      </c>
      <c r="K19" s="6">
        <f t="shared" si="3"/>
        <v>19.388988548195613</v>
      </c>
      <c r="L19" s="6">
        <f t="shared" si="4"/>
        <v>19.233887309715684</v>
      </c>
      <c r="M19" s="6">
        <f t="shared" si="5"/>
        <v>19.233887309715684</v>
      </c>
      <c r="N19" s="6">
        <f t="shared" si="6"/>
        <v>14.445057374467122</v>
      </c>
      <c r="O19" s="6">
        <f t="shared" si="7"/>
        <v>0.26038416147431731</v>
      </c>
      <c r="P19" s="6">
        <f t="shared" si="8"/>
        <v>0.26038416147431731</v>
      </c>
    </row>
    <row r="20" spans="1:16" x14ac:dyDescent="0.35">
      <c r="A20" s="1">
        <v>15</v>
      </c>
      <c r="B20" s="2">
        <f>INDEX( Tafel!B18:B139, Barwerte!$A20 + 1, 1)</f>
        <v>5.9800000000000001E-4</v>
      </c>
      <c r="C20" s="2">
        <f>INDEX( Tafel!C18:C139, Barwerte!$A20 + 1, 1)</f>
        <v>5.9800000000000001E-4</v>
      </c>
      <c r="D20" s="5">
        <f t="shared" si="9"/>
        <v>99540.544140885511</v>
      </c>
      <c r="E20" s="5">
        <f t="shared" si="10"/>
        <v>99540.544140885511</v>
      </c>
      <c r="F20" s="5">
        <f t="shared" si="0"/>
        <v>55271.330742197526</v>
      </c>
      <c r="G20" s="5">
        <f t="shared" si="1"/>
        <v>55271.330742197526</v>
      </c>
      <c r="H20" s="5">
        <f>SUM($F20:$F$126)</f>
        <v>1072648.1166312518</v>
      </c>
      <c r="I20" s="5">
        <f>SUM($G20:$G$126)</f>
        <v>1072648.1166312518</v>
      </c>
      <c r="J20" s="6">
        <f t="shared" si="2"/>
        <v>19.135991412988407</v>
      </c>
      <c r="K20" s="6">
        <f t="shared" si="3"/>
        <v>19.135991412988407</v>
      </c>
      <c r="L20" s="6">
        <f t="shared" si="4"/>
        <v>18.974589606689111</v>
      </c>
      <c r="M20" s="6">
        <f t="shared" si="5"/>
        <v>18.974589606689111</v>
      </c>
      <c r="N20" s="6">
        <f t="shared" si="6"/>
        <v>13.991226422846673</v>
      </c>
      <c r="O20" s="6">
        <f t="shared" si="7"/>
        <v>0.27096156294793283</v>
      </c>
      <c r="P20" s="6">
        <f t="shared" si="8"/>
        <v>0.27096156294793283</v>
      </c>
    </row>
    <row r="21" spans="1:16" x14ac:dyDescent="0.35">
      <c r="A21" s="1">
        <v>16</v>
      </c>
      <c r="B21" s="2">
        <f>INDEX( Tafel!B19:B140, Barwerte!$A21 + 1, 1)</f>
        <v>6.2600000000000004E-4</v>
      </c>
      <c r="C21" s="2">
        <f>INDEX( Tafel!C19:C140, Barwerte!$A21 + 1, 1)</f>
        <v>6.2600000000000004E-4</v>
      </c>
      <c r="D21" s="5">
        <f t="shared" si="9"/>
        <v>99481.018895489266</v>
      </c>
      <c r="E21" s="5">
        <f t="shared" si="10"/>
        <v>99481.018895489266</v>
      </c>
      <c r="F21" s="5">
        <f t="shared" si="0"/>
        <v>53113.729313859309</v>
      </c>
      <c r="G21" s="5">
        <f t="shared" si="1"/>
        <v>53113.729313859309</v>
      </c>
      <c r="H21" s="5">
        <f>SUM($F21:$F$126)</f>
        <v>1017376.7858890536</v>
      </c>
      <c r="I21" s="5">
        <f>SUM($G21:$G$126)</f>
        <v>1017376.7858890536</v>
      </c>
      <c r="J21" s="6">
        <f t="shared" si="2"/>
        <v>18.87271695424657</v>
      </c>
      <c r="K21" s="6">
        <f t="shared" si="3"/>
        <v>18.87271695424657</v>
      </c>
      <c r="L21" s="6">
        <f t="shared" si="4"/>
        <v>18.704758636621367</v>
      </c>
      <c r="M21" s="6">
        <f t="shared" si="5"/>
        <v>18.704758636621367</v>
      </c>
      <c r="N21" s="6">
        <f t="shared" si="6"/>
        <v>13.518959817731535</v>
      </c>
      <c r="O21" s="6">
        <f t="shared" si="7"/>
        <v>0.28196864271419331</v>
      </c>
      <c r="P21" s="6">
        <f t="shared" si="8"/>
        <v>0.28196864271419331</v>
      </c>
    </row>
    <row r="22" spans="1:16" x14ac:dyDescent="0.35">
      <c r="A22" s="1">
        <v>17</v>
      </c>
      <c r="B22" s="2">
        <f>INDEX( Tafel!B20:B141, Barwerte!$A22 + 1, 1)</f>
        <v>7.1299999999999998E-4</v>
      </c>
      <c r="C22" s="2">
        <f>INDEX( Tafel!C20:C141, Barwerte!$A22 + 1, 1)</f>
        <v>7.1299999999999998E-4</v>
      </c>
      <c r="D22" s="5">
        <f t="shared" si="9"/>
        <v>99418.743777660682</v>
      </c>
      <c r="E22" s="5">
        <f t="shared" si="10"/>
        <v>99418.743777660682</v>
      </c>
      <c r="F22" s="5">
        <f t="shared" si="0"/>
        <v>51038.923191643109</v>
      </c>
      <c r="G22" s="5">
        <f t="shared" si="1"/>
        <v>51038.923191643109</v>
      </c>
      <c r="H22" s="5">
        <f>SUM($F22:$F$126)</f>
        <v>964263.05657519435</v>
      </c>
      <c r="I22" s="5">
        <f>SUM($G22:$G$126)</f>
        <v>964263.05657519435</v>
      </c>
      <c r="J22" s="6">
        <f t="shared" si="2"/>
        <v>18.599268774669376</v>
      </c>
      <c r="K22" s="6">
        <f t="shared" si="3"/>
        <v>18.599268774669376</v>
      </c>
      <c r="L22" s="6">
        <f t="shared" si="4"/>
        <v>18.424482708261593</v>
      </c>
      <c r="M22" s="6">
        <f t="shared" si="5"/>
        <v>18.424482708261593</v>
      </c>
      <c r="N22" s="6">
        <f t="shared" si="6"/>
        <v>13.027873659351551</v>
      </c>
      <c r="O22" s="6">
        <f t="shared" si="7"/>
        <v>0.29343107627651011</v>
      </c>
      <c r="P22" s="6">
        <f t="shared" si="8"/>
        <v>0.29343107627651011</v>
      </c>
    </row>
    <row r="23" spans="1:16" x14ac:dyDescent="0.35">
      <c r="A23" s="1">
        <v>18</v>
      </c>
      <c r="B23" s="2">
        <f>INDEX( Tafel!B21:B142, Barwerte!$A23 + 1, 1)</f>
        <v>8.0500000000000005E-4</v>
      </c>
      <c r="C23" s="2">
        <f>INDEX( Tafel!C21:C142, Barwerte!$A23 + 1, 1)</f>
        <v>8.0500000000000005E-4</v>
      </c>
      <c r="D23" s="5">
        <f t="shared" si="9"/>
        <v>99347.858213347208</v>
      </c>
      <c r="E23" s="5">
        <f t="shared" si="10"/>
        <v>99347.858213347208</v>
      </c>
      <c r="F23" s="5">
        <f t="shared" si="0"/>
        <v>49040.89657635332</v>
      </c>
      <c r="G23" s="5">
        <f t="shared" si="1"/>
        <v>49040.89657635332</v>
      </c>
      <c r="H23" s="5">
        <f>SUM($F23:$F$126)</f>
        <v>913224.13338355103</v>
      </c>
      <c r="I23" s="5">
        <f>SUM($G23:$G$126)</f>
        <v>913224.13338355103</v>
      </c>
      <c r="J23" s="6">
        <f t="shared" si="2"/>
        <v>18.316299046876576</v>
      </c>
      <c r="K23" s="6">
        <f t="shared" si="3"/>
        <v>18.316299046876576</v>
      </c>
      <c r="L23" s="6">
        <f t="shared" si="4"/>
        <v>18.134391837972533</v>
      </c>
      <c r="M23" s="6">
        <f t="shared" si="5"/>
        <v>18.134391837972533</v>
      </c>
      <c r="N23" s="6">
        <f t="shared" si="6"/>
        <v>12.517913878320854</v>
      </c>
      <c r="O23" s="6">
        <f t="shared" si="7"/>
        <v>0.30538605958805687</v>
      </c>
      <c r="P23" s="6">
        <f t="shared" si="8"/>
        <v>0.30538605958805687</v>
      </c>
    </row>
    <row r="24" spans="1:16" x14ac:dyDescent="0.35">
      <c r="A24" s="1">
        <v>19</v>
      </c>
      <c r="B24" s="2">
        <f>INDEX( Tafel!B22:B143, Barwerte!$A24 + 1, 1)</f>
        <v>9.3999999999999997E-4</v>
      </c>
      <c r="C24" s="2">
        <f>INDEX( Tafel!C22:C143, Barwerte!$A24 + 1, 1)</f>
        <v>9.3999999999999997E-4</v>
      </c>
      <c r="D24" s="5">
        <f t="shared" si="9"/>
        <v>99267.883187485466</v>
      </c>
      <c r="E24" s="5">
        <f t="shared" si="10"/>
        <v>99267.883187485466</v>
      </c>
      <c r="F24" s="5">
        <f t="shared" si="0"/>
        <v>47116.748706355145</v>
      </c>
      <c r="G24" s="5">
        <f t="shared" si="1"/>
        <v>47116.748706355145</v>
      </c>
      <c r="H24" s="5">
        <f>SUM($F24:$F$126)</f>
        <v>864183.23680719768</v>
      </c>
      <c r="I24" s="5">
        <f>SUM($G24:$G$126)</f>
        <v>864183.23680719768</v>
      </c>
      <c r="J24" s="6">
        <f t="shared" si="2"/>
        <v>18.023459893966283</v>
      </c>
      <c r="K24" s="6">
        <f t="shared" si="3"/>
        <v>18.023459893966283</v>
      </c>
      <c r="L24" s="6">
        <f t="shared" si="4"/>
        <v>17.834123981296379</v>
      </c>
      <c r="M24" s="6">
        <f t="shared" si="5"/>
        <v>17.834123981296379</v>
      </c>
      <c r="N24" s="6">
        <f t="shared" si="6"/>
        <v>11.988280999658414</v>
      </c>
      <c r="O24" s="6">
        <f t="shared" si="7"/>
        <v>0.31785737716019319</v>
      </c>
      <c r="P24" s="6">
        <f t="shared" si="8"/>
        <v>0.31785737716019319</v>
      </c>
    </row>
    <row r="25" spans="1:16" x14ac:dyDescent="0.35">
      <c r="A25" s="1">
        <v>20</v>
      </c>
      <c r="B25" s="2">
        <f>INDEX( Tafel!B23:B144, Barwerte!$A25 + 1, 1)</f>
        <v>1.073E-3</v>
      </c>
      <c r="C25" s="2">
        <f>INDEX( Tafel!C23:C144, Barwerte!$A25 + 1, 1)</f>
        <v>1.073E-3</v>
      </c>
      <c r="D25" s="5">
        <f t="shared" si="9"/>
        <v>99174.57137728922</v>
      </c>
      <c r="E25" s="5">
        <f t="shared" si="10"/>
        <v>99174.57137728922</v>
      </c>
      <c r="F25" s="5">
        <f t="shared" si="0"/>
        <v>45261.979771703038</v>
      </c>
      <c r="G25" s="5">
        <f t="shared" si="1"/>
        <v>45261.979771703038</v>
      </c>
      <c r="H25" s="5">
        <f>SUM($F25:$F$126)</f>
        <v>817066.48810084222</v>
      </c>
      <c r="I25" s="5">
        <f>SUM($G25:$G$126)</f>
        <v>817066.48810084222</v>
      </c>
      <c r="J25" s="6">
        <f t="shared" si="2"/>
        <v>17.721056082442427</v>
      </c>
      <c r="K25" s="6">
        <f t="shared" si="3"/>
        <v>17.721056082442427</v>
      </c>
      <c r="L25" s="6">
        <f t="shared" si="4"/>
        <v>17.523961464324696</v>
      </c>
      <c r="M25" s="6">
        <f t="shared" si="5"/>
        <v>17.523961464324696</v>
      </c>
      <c r="N25" s="6">
        <f t="shared" si="6"/>
        <v>11.438564490265597</v>
      </c>
      <c r="O25" s="6">
        <f t="shared" si="7"/>
        <v>0.3308827019864683</v>
      </c>
      <c r="P25" s="6">
        <f t="shared" si="8"/>
        <v>0.3308827019864683</v>
      </c>
    </row>
    <row r="26" spans="1:16" x14ac:dyDescent="0.35">
      <c r="A26" s="1">
        <v>21</v>
      </c>
      <c r="B26" s="2">
        <f>INDEX( Tafel!B24:B145, Barwerte!$A26 + 1, 1)</f>
        <v>1.1969999999999999E-3</v>
      </c>
      <c r="C26" s="2">
        <f>INDEX( Tafel!C24:C145, Barwerte!$A26 + 1, 1)</f>
        <v>1.1969999999999999E-3</v>
      </c>
      <c r="D26" s="5">
        <f t="shared" si="9"/>
        <v>99068.157062201382</v>
      </c>
      <c r="E26" s="5">
        <f t="shared" si="10"/>
        <v>99068.157062201382</v>
      </c>
      <c r="F26" s="5">
        <f t="shared" si="0"/>
        <v>43474.436218661533</v>
      </c>
      <c r="G26" s="5">
        <f t="shared" si="1"/>
        <v>43474.436218661533</v>
      </c>
      <c r="H26" s="5">
        <f>SUM($F26:$F$126)</f>
        <v>771804.50832913921</v>
      </c>
      <c r="I26" s="5">
        <f>SUM($G26:$G$126)</f>
        <v>771804.50832913921</v>
      </c>
      <c r="J26" s="6">
        <f t="shared" si="2"/>
        <v>17.408577729644037</v>
      </c>
      <c r="K26" s="6">
        <f t="shared" si="3"/>
        <v>17.408577729644037</v>
      </c>
      <c r="L26" s="6">
        <f t="shared" si="4"/>
        <v>17.20337914872427</v>
      </c>
      <c r="M26" s="6">
        <f t="shared" si="5"/>
        <v>17.20337914872427</v>
      </c>
      <c r="N26" s="6">
        <f t="shared" si="6"/>
        <v>10.867768185138877</v>
      </c>
      <c r="O26" s="6">
        <f t="shared" si="7"/>
        <v>0.34448764530934395</v>
      </c>
      <c r="P26" s="6">
        <f t="shared" si="8"/>
        <v>0.34448764530934395</v>
      </c>
    </row>
    <row r="27" spans="1:16" x14ac:dyDescent="0.35">
      <c r="A27" s="1">
        <v>22</v>
      </c>
      <c r="B27" s="2">
        <f>INDEX( Tafel!B25:B146, Barwerte!$A27 + 1, 1)</f>
        <v>1.325E-3</v>
      </c>
      <c r="C27" s="2">
        <f>INDEX( Tafel!C25:C146, Barwerte!$A27 + 1, 1)</f>
        <v>1.325E-3</v>
      </c>
      <c r="D27" s="5">
        <f t="shared" si="9"/>
        <v>98949.572478197922</v>
      </c>
      <c r="E27" s="5">
        <f t="shared" si="10"/>
        <v>98949.572478197922</v>
      </c>
      <c r="F27" s="5">
        <f t="shared" si="0"/>
        <v>41752.305113949791</v>
      </c>
      <c r="G27" s="5">
        <f t="shared" si="1"/>
        <v>41752.305113949791</v>
      </c>
      <c r="H27" s="5">
        <f>SUM($F27:$F$126)</f>
        <v>728330.07211047795</v>
      </c>
      <c r="I27" s="5">
        <f>SUM($G27:$G$126)</f>
        <v>728330.07211047795</v>
      </c>
      <c r="J27" s="6">
        <f t="shared" si="2"/>
        <v>17.085372029148701</v>
      </c>
      <c r="K27" s="6">
        <f t="shared" si="3"/>
        <v>17.085372029148701</v>
      </c>
      <c r="L27" s="6">
        <f t="shared" si="4"/>
        <v>16.871709751245493</v>
      </c>
      <c r="M27" s="6">
        <f t="shared" si="5"/>
        <v>16.871709751245493</v>
      </c>
      <c r="N27" s="6">
        <f t="shared" si="6"/>
        <v>10.274777821596892</v>
      </c>
      <c r="O27" s="6">
        <f t="shared" si="7"/>
        <v>0.35869651084519949</v>
      </c>
      <c r="P27" s="6">
        <f t="shared" si="8"/>
        <v>0.35869651084519949</v>
      </c>
    </row>
    <row r="28" spans="1:16" x14ac:dyDescent="0.35">
      <c r="A28" s="1">
        <v>23</v>
      </c>
      <c r="B28" s="2">
        <f>INDEX( Tafel!B26:B147, Barwerte!$A28 + 1, 1)</f>
        <v>1.4729999999999999E-3</v>
      </c>
      <c r="C28" s="2">
        <f>INDEX( Tafel!C26:C147, Barwerte!$A28 + 1, 1)</f>
        <v>1.4729999999999999E-3</v>
      </c>
      <c r="D28" s="5">
        <f t="shared" si="9"/>
        <v>98818.464294664314</v>
      </c>
      <c r="E28" s="5">
        <f t="shared" si="10"/>
        <v>98818.464294664314</v>
      </c>
      <c r="F28" s="5">
        <f t="shared" si="0"/>
        <v>40093.253182378663</v>
      </c>
      <c r="G28" s="5">
        <f t="shared" si="1"/>
        <v>40093.253182378663</v>
      </c>
      <c r="H28" s="5">
        <f>SUM($F28:$F$126)</f>
        <v>686577.76699652791</v>
      </c>
      <c r="I28" s="5">
        <f>SUM($G28:$G$126)</f>
        <v>686577.76699652791</v>
      </c>
      <c r="J28" s="6">
        <f t="shared" si="2"/>
        <v>16.750981961413515</v>
      </c>
      <c r="K28" s="6">
        <f t="shared" si="3"/>
        <v>16.750981961413515</v>
      </c>
      <c r="L28" s="6">
        <f t="shared" si="4"/>
        <v>16.528478375142367</v>
      </c>
      <c r="M28" s="6">
        <f t="shared" si="5"/>
        <v>16.528478375142367</v>
      </c>
      <c r="N28" s="6">
        <f t="shared" si="6"/>
        <v>9.658566535119796</v>
      </c>
      <c r="O28" s="6">
        <f t="shared" si="7"/>
        <v>0.37353931086590481</v>
      </c>
      <c r="P28" s="6">
        <f t="shared" si="8"/>
        <v>0.37353931086590481</v>
      </c>
    </row>
    <row r="29" spans="1:16" x14ac:dyDescent="0.35">
      <c r="A29" s="1">
        <v>24</v>
      </c>
      <c r="B29" s="2">
        <f>INDEX( Tafel!B27:B148, Barwerte!$A29 + 1, 1)</f>
        <v>1.6440000000000001E-3</v>
      </c>
      <c r="C29" s="2">
        <f>INDEX( Tafel!C27:C148, Barwerte!$A29 + 1, 1)</f>
        <v>1.6440000000000001E-3</v>
      </c>
      <c r="D29" s="5">
        <f t="shared" si="9"/>
        <v>98672.904696758284</v>
      </c>
      <c r="E29" s="5">
        <f t="shared" si="10"/>
        <v>98672.904696758284</v>
      </c>
      <c r="F29" s="5">
        <f t="shared" si="0"/>
        <v>38494.419058116371</v>
      </c>
      <c r="G29" s="5">
        <f t="shared" si="1"/>
        <v>38494.419058116371</v>
      </c>
      <c r="H29" s="5">
        <f>SUM($F29:$F$126)</f>
        <v>646484.51381414931</v>
      </c>
      <c r="I29" s="5">
        <f>SUM($G29:$G$126)</f>
        <v>646484.51381414931</v>
      </c>
      <c r="J29" s="6">
        <f t="shared" si="2"/>
        <v>16.405186078964366</v>
      </c>
      <c r="K29" s="6">
        <f t="shared" si="3"/>
        <v>16.405186078964366</v>
      </c>
      <c r="L29" s="6">
        <f t="shared" si="4"/>
        <v>16.173440988724455</v>
      </c>
      <c r="M29" s="6">
        <f t="shared" si="5"/>
        <v>16.173440988724455</v>
      </c>
      <c r="N29" s="6">
        <f t="shared" si="6"/>
        <v>9.0181929948059363</v>
      </c>
      <c r="O29" s="6">
        <f t="shared" si="7"/>
        <v>0.38905395978330171</v>
      </c>
      <c r="P29" s="6">
        <f t="shared" si="8"/>
        <v>0.38905395978330171</v>
      </c>
    </row>
    <row r="30" spans="1:16" x14ac:dyDescent="0.35">
      <c r="A30" s="1">
        <v>25</v>
      </c>
      <c r="B30" s="2">
        <f>INDEX( Tafel!B28:B149, Barwerte!$A30 + 1, 1)</f>
        <v>1.8259999999999999E-3</v>
      </c>
      <c r="C30" s="2">
        <f>INDEX( Tafel!C28:C149, Barwerte!$A30 + 1, 1)</f>
        <v>1.8259999999999999E-3</v>
      </c>
      <c r="D30" s="5">
        <f t="shared" si="9"/>
        <v>98510.686441436817</v>
      </c>
      <c r="E30" s="5">
        <f t="shared" si="10"/>
        <v>98510.686441436817</v>
      </c>
      <c r="F30" s="5">
        <f t="shared" si="0"/>
        <v>36953.013685754639</v>
      </c>
      <c r="G30" s="5">
        <f t="shared" si="1"/>
        <v>36953.013685754639</v>
      </c>
      <c r="H30" s="5">
        <f>SUM($F30:$F$126)</f>
        <v>607990.09475603316</v>
      </c>
      <c r="I30" s="5">
        <f>SUM($G30:$G$126)</f>
        <v>607990.09475603316</v>
      </c>
      <c r="J30" s="6">
        <f t="shared" si="2"/>
        <v>16.047776065975413</v>
      </c>
      <c r="K30" s="6">
        <f t="shared" si="3"/>
        <v>16.047776065975413</v>
      </c>
      <c r="L30" s="6">
        <f t="shared" si="4"/>
        <v>15.806364291168119</v>
      </c>
      <c r="M30" s="6">
        <f t="shared" si="5"/>
        <v>15.806364291168119</v>
      </c>
      <c r="N30" s="6">
        <f t="shared" si="6"/>
        <v>8.3526524752675204</v>
      </c>
      <c r="O30" s="6">
        <f t="shared" si="7"/>
        <v>0.40528240244425218</v>
      </c>
      <c r="P30" s="6">
        <f t="shared" si="8"/>
        <v>0.40528240244425218</v>
      </c>
    </row>
    <row r="31" spans="1:16" x14ac:dyDescent="0.35">
      <c r="A31" s="1">
        <v>26</v>
      </c>
      <c r="B31" s="2">
        <f>INDEX( Tafel!B29:B150, Barwerte!$A31 + 1, 1)</f>
        <v>2.0230000000000001E-3</v>
      </c>
      <c r="C31" s="2">
        <f>INDEX( Tafel!C29:C150, Barwerte!$A31 + 1, 1)</f>
        <v>2.0230000000000001E-3</v>
      </c>
      <c r="D31" s="5">
        <f t="shared" si="9"/>
        <v>98330.805927994748</v>
      </c>
      <c r="E31" s="5">
        <f t="shared" si="10"/>
        <v>98330.805927994748</v>
      </c>
      <c r="F31" s="5">
        <f t="shared" si="0"/>
        <v>35466.862964196582</v>
      </c>
      <c r="G31" s="5">
        <f t="shared" si="1"/>
        <v>35466.862964196582</v>
      </c>
      <c r="H31" s="5">
        <f>SUM($F31:$F$126)</f>
        <v>571037.08107027819</v>
      </c>
      <c r="I31" s="5">
        <f>SUM($G31:$G$126)</f>
        <v>571037.08107027819</v>
      </c>
      <c r="J31" s="6">
        <f t="shared" si="2"/>
        <v>15.678315713106556</v>
      </c>
      <c r="K31" s="6">
        <f t="shared" si="3"/>
        <v>15.678315713106556</v>
      </c>
      <c r="L31" s="6">
        <f t="shared" si="4"/>
        <v>15.426788178027916</v>
      </c>
      <c r="M31" s="6">
        <f t="shared" si="5"/>
        <v>15.426788178027916</v>
      </c>
      <c r="N31" s="6">
        <f t="shared" si="6"/>
        <v>7.6607470984800372</v>
      </c>
      <c r="O31" s="6">
        <f t="shared" si="7"/>
        <v>0.42226475398279495</v>
      </c>
      <c r="P31" s="6">
        <f t="shared" si="8"/>
        <v>0.42226475398279495</v>
      </c>
    </row>
    <row r="32" spans="1:16" x14ac:dyDescent="0.35">
      <c r="A32" s="1">
        <v>27</v>
      </c>
      <c r="B32" s="2">
        <f>INDEX( Tafel!B30:B151, Barwerte!$A32 + 1, 1)</f>
        <v>2.212E-3</v>
      </c>
      <c r="C32" s="2">
        <f>INDEX( Tafel!C30:C151, Barwerte!$A32 + 1, 1)</f>
        <v>2.212E-3</v>
      </c>
      <c r="D32" s="5">
        <f t="shared" si="9"/>
        <v>98131.882707602417</v>
      </c>
      <c r="E32" s="5">
        <f t="shared" si="10"/>
        <v>98131.882707602417</v>
      </c>
      <c r="F32" s="5">
        <f t="shared" si="0"/>
        <v>34033.762981173088</v>
      </c>
      <c r="G32" s="5">
        <f t="shared" si="1"/>
        <v>34033.762981173088</v>
      </c>
      <c r="H32" s="5">
        <f>SUM($F32:$F$126)</f>
        <v>535570.21810608159</v>
      </c>
      <c r="I32" s="5">
        <f>SUM($G32:$G$126)</f>
        <v>535570.21810608159</v>
      </c>
      <c r="J32" s="6">
        <f t="shared" si="2"/>
        <v>15.296392944557658</v>
      </c>
      <c r="K32" s="6">
        <f t="shared" si="3"/>
        <v>15.296392944557658</v>
      </c>
      <c r="L32" s="6">
        <f t="shared" si="4"/>
        <v>15.03427404153506</v>
      </c>
      <c r="M32" s="6">
        <f t="shared" si="5"/>
        <v>15.03427404153506</v>
      </c>
      <c r="N32" s="6">
        <f t="shared" si="6"/>
        <v>6.9412190685950064</v>
      </c>
      <c r="O32" s="6">
        <f t="shared" si="7"/>
        <v>0.44004555630250669</v>
      </c>
      <c r="P32" s="6">
        <f t="shared" si="8"/>
        <v>0.44004555630250669</v>
      </c>
    </row>
    <row r="33" spans="1:16" x14ac:dyDescent="0.35">
      <c r="A33" s="1">
        <v>28</v>
      </c>
      <c r="B33" s="2">
        <f>INDEX( Tafel!B31:B152, Barwerte!$A33 + 1, 1)</f>
        <v>2.3700000000000001E-3</v>
      </c>
      <c r="C33" s="2">
        <f>INDEX( Tafel!C31:C152, Barwerte!$A33 + 1, 1)</f>
        <v>2.3700000000000001E-3</v>
      </c>
      <c r="D33" s="5">
        <f t="shared" si="9"/>
        <v>97914.814983053206</v>
      </c>
      <c r="E33" s="5">
        <f t="shared" si="10"/>
        <v>97914.814983053206</v>
      </c>
      <c r="F33" s="5">
        <f t="shared" si="0"/>
        <v>32652.384901402624</v>
      </c>
      <c r="G33" s="5">
        <f t="shared" si="1"/>
        <v>32652.384901402624</v>
      </c>
      <c r="H33" s="5">
        <f>SUM($F33:$F$126)</f>
        <v>501536.45512490836</v>
      </c>
      <c r="I33" s="5">
        <f>SUM($G33:$G$126)</f>
        <v>501536.45512490836</v>
      </c>
      <c r="J33" s="6">
        <f t="shared" si="2"/>
        <v>14.901210139167802</v>
      </c>
      <c r="K33" s="6">
        <f t="shared" si="3"/>
        <v>14.901210139167802</v>
      </c>
      <c r="L33" s="6">
        <f t="shared" si="4"/>
        <v>14.628002143938852</v>
      </c>
      <c r="M33" s="6">
        <f t="shared" si="5"/>
        <v>14.628002143938852</v>
      </c>
      <c r="N33" s="6">
        <f t="shared" si="6"/>
        <v>6.192565786859336</v>
      </c>
      <c r="O33" s="6">
        <f t="shared" si="7"/>
        <v>0.45866193876315114</v>
      </c>
      <c r="P33" s="6">
        <f t="shared" si="8"/>
        <v>0.45866193876315114</v>
      </c>
    </row>
    <row r="34" spans="1:16" x14ac:dyDescent="0.35">
      <c r="A34" s="1">
        <v>29</v>
      </c>
      <c r="B34" s="2">
        <f>INDEX( Tafel!B32:B153, Barwerte!$A34 + 1, 1)</f>
        <v>2.5400000000000002E-3</v>
      </c>
      <c r="C34" s="2">
        <f>INDEX( Tafel!C32:C153, Barwerte!$A34 + 1, 1)</f>
        <v>2.5400000000000002E-3</v>
      </c>
      <c r="D34" s="5">
        <f t="shared" si="9"/>
        <v>97682.756871543374</v>
      </c>
      <c r="E34" s="5">
        <f t="shared" si="10"/>
        <v>97682.756871543374</v>
      </c>
      <c r="F34" s="5">
        <f t="shared" si="0"/>
        <v>31322.114181909899</v>
      </c>
      <c r="G34" s="5">
        <f t="shared" si="1"/>
        <v>31322.114181909899</v>
      </c>
      <c r="H34" s="5">
        <f>SUM($F34:$F$126)</f>
        <v>468884.07022350573</v>
      </c>
      <c r="I34" s="5">
        <f>SUM($G34:$G$126)</f>
        <v>468884.07022350573</v>
      </c>
      <c r="J34" s="6">
        <f t="shared" si="2"/>
        <v>14.491603645374051</v>
      </c>
      <c r="K34" s="6">
        <f t="shared" si="3"/>
        <v>14.491603645374051</v>
      </c>
      <c r="L34" s="6">
        <f t="shared" si="4"/>
        <v>14.206792327512613</v>
      </c>
      <c r="M34" s="6">
        <f t="shared" si="5"/>
        <v>14.206792327512613</v>
      </c>
      <c r="N34" s="6">
        <f t="shared" si="6"/>
        <v>5.4130974593122794</v>
      </c>
      <c r="O34" s="6">
        <f t="shared" si="7"/>
        <v>0.47814161193396076</v>
      </c>
      <c r="P34" s="6">
        <f t="shared" si="8"/>
        <v>0.47814161193396076</v>
      </c>
    </row>
    <row r="35" spans="1:16" x14ac:dyDescent="0.35">
      <c r="A35" s="1">
        <v>30</v>
      </c>
      <c r="B35" s="2">
        <f>INDEX( Tafel!B33:B154, Barwerte!$A35 + 1, 1)</f>
        <v>2.7810000000000001E-3</v>
      </c>
      <c r="C35" s="2">
        <f>INDEX( Tafel!C33:C154, Barwerte!$A35 + 1, 1)</f>
        <v>2.7810000000000001E-3</v>
      </c>
      <c r="D35" s="5">
        <f t="shared" si="9"/>
        <v>97434.642669089648</v>
      </c>
      <c r="E35" s="5">
        <f t="shared" si="10"/>
        <v>97434.642669089648</v>
      </c>
      <c r="F35" s="5">
        <f t="shared" si="0"/>
        <v>30040.919242199845</v>
      </c>
      <c r="G35" s="5">
        <f t="shared" si="1"/>
        <v>30040.919242199845</v>
      </c>
      <c r="H35" s="5">
        <f>SUM($F35:$F$126)</f>
        <v>437561.95604159578</v>
      </c>
      <c r="I35" s="5">
        <f>SUM($G35:$G$126)</f>
        <v>437561.95604159578</v>
      </c>
      <c r="J35" s="6">
        <f t="shared" si="2"/>
        <v>14.066997966022713</v>
      </c>
      <c r="K35" s="6">
        <f t="shared" si="3"/>
        <v>14.066997966022713</v>
      </c>
      <c r="L35" s="6">
        <f t="shared" si="4"/>
        <v>13.770039922015037</v>
      </c>
      <c r="M35" s="6">
        <f t="shared" si="5"/>
        <v>13.770039922015037</v>
      </c>
      <c r="N35" s="6">
        <f t="shared" si="6"/>
        <v>4.6013086817363815</v>
      </c>
      <c r="O35" s="6">
        <f t="shared" si="7"/>
        <v>0.49853355163246577</v>
      </c>
      <c r="P35" s="6">
        <f t="shared" si="8"/>
        <v>0.49853355163246577</v>
      </c>
    </row>
    <row r="36" spans="1:16" x14ac:dyDescent="0.35">
      <c r="A36" s="1">
        <v>31</v>
      </c>
      <c r="B36" s="2">
        <f>INDEX( Tafel!B34:B155, Barwerte!$A36 + 1, 1)</f>
        <v>3.176E-3</v>
      </c>
      <c r="C36" s="2">
        <f>INDEX( Tafel!C34:C155, Barwerte!$A36 + 1, 1)</f>
        <v>3.176E-3</v>
      </c>
      <c r="D36" s="5">
        <f t="shared" si="9"/>
        <v>97163.676927826906</v>
      </c>
      <c r="E36" s="5">
        <f t="shared" si="10"/>
        <v>97163.676927826906</v>
      </c>
      <c r="F36" s="5">
        <f t="shared" si="0"/>
        <v>28805.168697872396</v>
      </c>
      <c r="G36" s="5">
        <f t="shared" si="1"/>
        <v>28805.168697872396</v>
      </c>
      <c r="H36" s="5">
        <f>SUM($F36:$F$126)</f>
        <v>407521.03679939592</v>
      </c>
      <c r="I36" s="5">
        <f>SUM($G36:$G$126)</f>
        <v>407521.03679939592</v>
      </c>
      <c r="J36" s="6">
        <f t="shared" si="2"/>
        <v>13.627576174003524</v>
      </c>
      <c r="K36" s="6">
        <f t="shared" si="3"/>
        <v>13.627576174003524</v>
      </c>
      <c r="L36" s="6">
        <f t="shared" si="4"/>
        <v>13.317878539112909</v>
      </c>
      <c r="M36" s="6">
        <f t="shared" si="5"/>
        <v>13.317878539112909</v>
      </c>
      <c r="N36" s="6">
        <f t="shared" si="6"/>
        <v>3.7558059252840503</v>
      </c>
      <c r="O36" s="6">
        <f t="shared" si="7"/>
        <v>0.51992079342427722</v>
      </c>
      <c r="P36" s="6">
        <f t="shared" si="8"/>
        <v>0.51992079342427722</v>
      </c>
    </row>
    <row r="37" spans="1:16" x14ac:dyDescent="0.35">
      <c r="A37" s="1">
        <v>32</v>
      </c>
      <c r="B37" s="2">
        <f>INDEX( Tafel!B35:B156, Barwerte!$A37 + 1, 1)</f>
        <v>3.7069999999999998E-3</v>
      </c>
      <c r="C37" s="2">
        <f>INDEX( Tafel!C35:C156, Barwerte!$A37 + 1, 1)</f>
        <v>3.7069999999999998E-3</v>
      </c>
      <c r="D37" s="5">
        <f t="shared" si="9"/>
        <v>96855.085089904125</v>
      </c>
      <c r="E37" s="5">
        <f t="shared" si="10"/>
        <v>96855.085089904125</v>
      </c>
      <c r="F37" s="5">
        <f t="shared" ref="F37:F68" si="11">$D37 * v_PK ^ $A37</f>
        <v>27609.31104046918</v>
      </c>
      <c r="G37" s="5">
        <f t="shared" ref="G37:G68" si="12">$E37 * v_DR ^ $A37</f>
        <v>27609.31104046918</v>
      </c>
      <c r="H37" s="5">
        <f>SUM($F37:$F$126)</f>
        <v>378715.86810152361</v>
      </c>
      <c r="I37" s="5">
        <f>SUM($G37:$G$126)</f>
        <v>378715.86810152361</v>
      </c>
      <c r="J37" s="6">
        <f t="shared" ref="J37:J68" si="13">IF( $A37 &lt; x + n,
       (Nx_PK - INDEX( Nx_PK, MAX( $A37 + 1, x + n + 1))) / Dx_PK,
       0)</f>
        <v>13.174521501251645</v>
      </c>
      <c r="K37" s="6">
        <f t="shared" ref="K37:K68" si="14">IF( $A37 &lt; x + n,
       (Nx_DR - INDEX( Nx_DR, MAX( $A37 + 1, x + n + 1))) / Dx_DR,
       0)</f>
        <v>13.174521501251645</v>
      </c>
      <c r="L37" s="6">
        <f t="shared" ref="L37:L68" si="15">IF( $A37 &lt; x + t,
       (Nx_PK - INDEX( Nx_PK, MAX( $A37 + 1, x + t + 1))) / Dx_PK,
       0)</f>
        <v>12.851409758069058</v>
      </c>
      <c r="M37" s="6">
        <f t="shared" ref="M37:M68" si="16">IF( $A37 &lt; x + t,
       (Nx_DR - INDEX( Nx_DR, MAX( $A37 + 1, x + t + 1))) / Dx_DR,
       0)</f>
        <v>12.851409758069058</v>
      </c>
      <c r="N37" s="6">
        <f t="shared" ref="N37:N68" si="17">IF( $A37 &lt; x + 5,
       (Nx_PK - INDEX( Nx_PK, MAX( $A37 + 1, x + 5 + 1))) / Dx_PK,
       0)</f>
        <v>2.8751697012666386</v>
      </c>
      <c r="O37" s="6">
        <f t="shared" ref="O37:O68" si="18">IF( $B37 &lt; 121 + 1,
       INDEX( Dx_PK, x + n + 1) / INDEX( Dx_PK, MIN( $A37 + 1, x + n + 1)) * INDEX( Nx_PK, MAX( $A37 + 1, x + n + 1)) / INDEX( Dx_PK, MAX( $A37 + 1, x + n + 1)),
       0)</f>
        <v>0.54244041592221737</v>
      </c>
      <c r="P37" s="6">
        <f t="shared" ref="P37:P68" si="19">IF( $B37 &lt; 121 + 1,
       INDEX( Dx_DR, x + n + 1) / INDEX( Dx_DR, MIN( $A37 + 1, x + n + 1)) * INDEX( Nx_DR, MAX( $A37 + 1, x + n + 1)) / INDEX( Dx_DR, MAX( $A37 + 1, x + n + 1)),
       0)</f>
        <v>0.54244041592221737</v>
      </c>
    </row>
    <row r="38" spans="1:16" x14ac:dyDescent="0.35">
      <c r="A38" s="1">
        <v>33</v>
      </c>
      <c r="B38" s="2">
        <f>INDEX( Tafel!B36:B157, Barwerte!$A38 + 1, 1)</f>
        <v>4.2700000000000004E-3</v>
      </c>
      <c r="C38" s="2">
        <f>INDEX( Tafel!C36:C157, Barwerte!$A38 + 1, 1)</f>
        <v>4.2700000000000004E-3</v>
      </c>
      <c r="D38" s="5">
        <f t="shared" ref="D38:D69" si="20">$D37 * ( 1 - INDEX( qx_PK, $A37 + 1))</f>
        <v>96496.043289475856</v>
      </c>
      <c r="E38" s="5">
        <f t="shared" ref="E38:E69" si="21">$E37 * ( 1 - INDEX( qx_DR, $A37 + 1))</f>
        <v>96496.043289475856</v>
      </c>
      <c r="F38" s="5">
        <f t="shared" si="11"/>
        <v>26449.003196579</v>
      </c>
      <c r="G38" s="5">
        <f t="shared" si="12"/>
        <v>26449.003196579</v>
      </c>
      <c r="H38" s="5">
        <f>SUM($F38:$F$126)</f>
        <v>351106.55706105439</v>
      </c>
      <c r="I38" s="5">
        <f>SUM($G38:$G$126)</f>
        <v>351106.55706105439</v>
      </c>
      <c r="J38" s="6">
        <f t="shared" si="13"/>
        <v>12.708613190398516</v>
      </c>
      <c r="K38" s="6">
        <f t="shared" si="14"/>
        <v>12.708613190398516</v>
      </c>
      <c r="L38" s="6">
        <f t="shared" si="15"/>
        <v>12.371326656306749</v>
      </c>
      <c r="M38" s="6">
        <f t="shared" si="16"/>
        <v>12.371326656306749</v>
      </c>
      <c r="N38" s="6">
        <f t="shared" si="17"/>
        <v>1.9574326923076877</v>
      </c>
      <c r="O38" s="6">
        <f t="shared" si="18"/>
        <v>0.56623707339016338</v>
      </c>
      <c r="P38" s="6">
        <f t="shared" si="19"/>
        <v>0.56623707339016338</v>
      </c>
    </row>
    <row r="39" spans="1:16" x14ac:dyDescent="0.35">
      <c r="A39" s="1">
        <v>34</v>
      </c>
      <c r="B39" s="2">
        <f>INDEX( Tafel!B37:B158, Barwerte!$A39 + 1, 1)</f>
        <v>4.9950000000000003E-3</v>
      </c>
      <c r="C39" s="2">
        <f>INDEX( Tafel!C37:C158, Barwerte!$A39 + 1, 1)</f>
        <v>4.9950000000000003E-3</v>
      </c>
      <c r="D39" s="5">
        <f t="shared" si="20"/>
        <v>96084.005184629801</v>
      </c>
      <c r="E39" s="5">
        <f t="shared" si="21"/>
        <v>96084.005184629801</v>
      </c>
      <c r="F39" s="5">
        <f t="shared" si="11"/>
        <v>25323.140339355392</v>
      </c>
      <c r="G39" s="5">
        <f t="shared" si="12"/>
        <v>25323.140339355392</v>
      </c>
      <c r="H39" s="5">
        <f>SUM($F39:$F$126)</f>
        <v>324657.5538644754</v>
      </c>
      <c r="I39" s="5">
        <f>SUM($G39:$G$126)</f>
        <v>324657.5538644754</v>
      </c>
      <c r="J39" s="6">
        <f t="shared" si="13"/>
        <v>12.229176300818954</v>
      </c>
      <c r="K39" s="6">
        <f t="shared" si="14"/>
        <v>12.229176300818954</v>
      </c>
      <c r="L39" s="6">
        <f t="shared" si="15"/>
        <v>11.876894060196056</v>
      </c>
      <c r="M39" s="6">
        <f t="shared" si="16"/>
        <v>11.876894060196056</v>
      </c>
      <c r="N39" s="6">
        <f t="shared" si="17"/>
        <v>0.99999999999999545</v>
      </c>
      <c r="O39" s="6">
        <f t="shared" si="18"/>
        <v>0.59141188507504039</v>
      </c>
      <c r="P39" s="6">
        <f t="shared" si="19"/>
        <v>0.59141188507504039</v>
      </c>
    </row>
    <row r="40" spans="1:16" x14ac:dyDescent="0.35">
      <c r="A40" s="1">
        <v>35</v>
      </c>
      <c r="B40" s="2">
        <f>INDEX( Tafel!B38:B159, Barwerte!$A40 + 1, 1)</f>
        <v>5.744E-3</v>
      </c>
      <c r="C40" s="2">
        <f>INDEX( Tafel!C38:C159, Barwerte!$A40 + 1, 1)</f>
        <v>5.744E-3</v>
      </c>
      <c r="D40" s="5">
        <f t="shared" si="20"/>
        <v>95604.065578732581</v>
      </c>
      <c r="E40" s="5">
        <f t="shared" si="21"/>
        <v>95604.065578732581</v>
      </c>
      <c r="F40" s="5">
        <f t="shared" si="11"/>
        <v>24227.549282077223</v>
      </c>
      <c r="G40" s="5">
        <f t="shared" si="12"/>
        <v>24227.549282077223</v>
      </c>
      <c r="H40" s="5">
        <f>SUM($F40:$F$126)</f>
        <v>299334.41352512012</v>
      </c>
      <c r="I40" s="5">
        <f>SUM($G40:$G$126)</f>
        <v>299334.41352512012</v>
      </c>
      <c r="J40" s="6">
        <f t="shared" si="13"/>
        <v>11.73696951558205</v>
      </c>
      <c r="K40" s="6">
        <f t="shared" si="14"/>
        <v>11.73696951558205</v>
      </c>
      <c r="L40" s="6">
        <f t="shared" si="15"/>
        <v>11.368756762633257</v>
      </c>
      <c r="M40" s="6">
        <f t="shared" si="16"/>
        <v>11.368756762633257</v>
      </c>
      <c r="N40" s="6">
        <f t="shared" si="17"/>
        <v>0</v>
      </c>
      <c r="O40" s="6">
        <f t="shared" si="18"/>
        <v>0.61815604994752982</v>
      </c>
      <c r="P40" s="6">
        <f t="shared" si="19"/>
        <v>0.61815604994752982</v>
      </c>
    </row>
    <row r="41" spans="1:16" x14ac:dyDescent="0.35">
      <c r="A41" s="1">
        <v>36</v>
      </c>
      <c r="B41" s="2">
        <f>INDEX( Tafel!B39:B160, Barwerte!$A41 + 1, 1)</f>
        <v>6.6049999999999998E-3</v>
      </c>
      <c r="C41" s="2">
        <f>INDEX( Tafel!C39:C160, Barwerte!$A41 + 1, 1)</f>
        <v>6.6049999999999998E-3</v>
      </c>
      <c r="D41" s="5">
        <f t="shared" si="20"/>
        <v>95054.915826048338</v>
      </c>
      <c r="E41" s="5">
        <f t="shared" si="21"/>
        <v>95054.915826048338</v>
      </c>
      <c r="F41" s="5">
        <f t="shared" si="11"/>
        <v>23161.909845193237</v>
      </c>
      <c r="G41" s="5">
        <f t="shared" si="12"/>
        <v>23161.909845193237</v>
      </c>
      <c r="H41" s="5">
        <f>SUM($F41:$F$126)</f>
        <v>275106.864243043</v>
      </c>
      <c r="I41" s="5">
        <f>SUM($G41:$G$126)</f>
        <v>275106.864243043</v>
      </c>
      <c r="J41" s="6">
        <f t="shared" si="13"/>
        <v>11.230958924266325</v>
      </c>
      <c r="K41" s="6">
        <f t="shared" si="14"/>
        <v>11.230958924266325</v>
      </c>
      <c r="L41" s="6">
        <f t="shared" si="15"/>
        <v>10.845805339005842</v>
      </c>
      <c r="M41" s="6">
        <f t="shared" si="16"/>
        <v>10.845805339005842</v>
      </c>
      <c r="N41" s="6">
        <f t="shared" si="17"/>
        <v>0</v>
      </c>
      <c r="O41" s="6">
        <f t="shared" si="18"/>
        <v>0.64659634133003097</v>
      </c>
      <c r="P41" s="6">
        <f t="shared" si="19"/>
        <v>0.64659634133003097</v>
      </c>
    </row>
    <row r="42" spans="1:16" x14ac:dyDescent="0.35">
      <c r="A42" s="1">
        <v>37</v>
      </c>
      <c r="B42" s="2">
        <f>INDEX( Tafel!B40:B161, Barwerte!$A42 + 1, 1)</f>
        <v>7.7219999999999997E-3</v>
      </c>
      <c r="C42" s="2">
        <f>INDEX( Tafel!C40:C161, Barwerte!$A42 + 1, 1)</f>
        <v>7.7219999999999997E-3</v>
      </c>
      <c r="D42" s="5">
        <f t="shared" si="20"/>
        <v>94427.078107017296</v>
      </c>
      <c r="E42" s="5">
        <f t="shared" si="21"/>
        <v>94427.078107017296</v>
      </c>
      <c r="F42" s="5">
        <f t="shared" si="11"/>
        <v>22123.966760255513</v>
      </c>
      <c r="G42" s="5">
        <f t="shared" si="12"/>
        <v>22123.966760255513</v>
      </c>
      <c r="H42" s="5">
        <f>SUM($F42:$F$126)</f>
        <v>251944.95439784994</v>
      </c>
      <c r="I42" s="5">
        <f>SUM($G42:$G$126)</f>
        <v>251944.95439784994</v>
      </c>
      <c r="J42" s="6">
        <f t="shared" si="13"/>
        <v>10.710943060149273</v>
      </c>
      <c r="K42" s="6">
        <f t="shared" si="14"/>
        <v>10.710943060149273</v>
      </c>
      <c r="L42" s="6">
        <f t="shared" si="15"/>
        <v>10.307720043453092</v>
      </c>
      <c r="M42" s="6">
        <f t="shared" si="16"/>
        <v>10.307720043453092</v>
      </c>
      <c r="N42" s="6">
        <f t="shared" si="17"/>
        <v>0</v>
      </c>
      <c r="O42" s="6">
        <f t="shared" si="18"/>
        <v>0.67693132639406506</v>
      </c>
      <c r="P42" s="6">
        <f t="shared" si="19"/>
        <v>0.67693132639406506</v>
      </c>
    </row>
    <row r="43" spans="1:16" x14ac:dyDescent="0.35">
      <c r="A43" s="1">
        <v>38</v>
      </c>
      <c r="B43" s="2">
        <f>INDEX( Tafel!B41:B162, Barwerte!$A43 + 1, 1)</f>
        <v>9.3369999999999998E-3</v>
      </c>
      <c r="C43" s="2">
        <f>INDEX( Tafel!C41:C162, Barwerte!$A43 + 1, 1)</f>
        <v>9.3369999999999998E-3</v>
      </c>
      <c r="D43" s="5">
        <f t="shared" si="20"/>
        <v>93697.912209874907</v>
      </c>
      <c r="E43" s="5">
        <f t="shared" si="21"/>
        <v>93697.912209874907</v>
      </c>
      <c r="F43" s="5">
        <f t="shared" si="11"/>
        <v>21108.774508589249</v>
      </c>
      <c r="G43" s="5">
        <f t="shared" si="12"/>
        <v>21108.774508589249</v>
      </c>
      <c r="H43" s="5">
        <f>SUM($F43:$F$126)</f>
        <v>229820.98763759437</v>
      </c>
      <c r="I43" s="5">
        <f>SUM($G43:$G$126)</f>
        <v>229820.98763759437</v>
      </c>
      <c r="J43" s="6">
        <f t="shared" si="13"/>
        <v>10.177975106326292</v>
      </c>
      <c r="K43" s="6">
        <f t="shared" si="14"/>
        <v>10.177975106326292</v>
      </c>
      <c r="L43" s="6">
        <f t="shared" si="15"/>
        <v>9.7553597330498238</v>
      </c>
      <c r="M43" s="6">
        <f t="shared" si="16"/>
        <v>9.7553597330498238</v>
      </c>
      <c r="N43" s="6">
        <f t="shared" si="17"/>
        <v>0</v>
      </c>
      <c r="O43" s="6">
        <f t="shared" si="18"/>
        <v>0.70948723991646256</v>
      </c>
      <c r="P43" s="6">
        <f t="shared" si="19"/>
        <v>0.70948723991646256</v>
      </c>
    </row>
    <row r="44" spans="1:16" x14ac:dyDescent="0.35">
      <c r="A44" s="1">
        <v>39</v>
      </c>
      <c r="B44" s="2">
        <f>INDEX( Tafel!B42:B163, Barwerte!$A44 + 1, 1)</f>
        <v>1.1693E-2</v>
      </c>
      <c r="C44" s="2">
        <f>INDEX( Tafel!C42:C163, Barwerte!$A44 + 1, 1)</f>
        <v>1.1693E-2</v>
      </c>
      <c r="D44" s="5">
        <f t="shared" si="20"/>
        <v>92823.0548035713</v>
      </c>
      <c r="E44" s="5">
        <f t="shared" si="21"/>
        <v>92823.0548035713</v>
      </c>
      <c r="F44" s="5">
        <f t="shared" si="11"/>
        <v>20107.386424040913</v>
      </c>
      <c r="G44" s="5">
        <f t="shared" si="12"/>
        <v>20107.386424040913</v>
      </c>
      <c r="H44" s="5">
        <f>SUM($F44:$F$126)</f>
        <v>208712.21312900513</v>
      </c>
      <c r="I44" s="5">
        <f>SUM($G44:$G$126)</f>
        <v>208712.21312900513</v>
      </c>
      <c r="J44" s="6">
        <f t="shared" si="13"/>
        <v>9.6350566343745001</v>
      </c>
      <c r="K44" s="6">
        <f t="shared" si="14"/>
        <v>9.6350566343745001</v>
      </c>
      <c r="L44" s="6">
        <f t="shared" si="15"/>
        <v>9.1913941697346306</v>
      </c>
      <c r="M44" s="6">
        <f t="shared" si="16"/>
        <v>9.1913941697346306</v>
      </c>
      <c r="N44" s="6">
        <f t="shared" si="17"/>
        <v>0</v>
      </c>
      <c r="O44" s="6">
        <f t="shared" si="18"/>
        <v>0.7448211243511883</v>
      </c>
      <c r="P44" s="6">
        <f t="shared" si="19"/>
        <v>0.7448211243511883</v>
      </c>
    </row>
    <row r="45" spans="1:16" x14ac:dyDescent="0.35">
      <c r="A45" s="1">
        <v>40</v>
      </c>
      <c r="B45" s="2">
        <f>INDEX( Tafel!B43:B164, Barwerte!$A45 + 1, 1)</f>
        <v>1.5167E-2</v>
      </c>
      <c r="C45" s="2">
        <f>INDEX( Tafel!C43:C164, Barwerte!$A45 + 1, 1)</f>
        <v>1.5167E-2</v>
      </c>
      <c r="D45" s="5">
        <f t="shared" si="20"/>
        <v>91737.674823753143</v>
      </c>
      <c r="E45" s="5">
        <f t="shared" si="21"/>
        <v>91737.674823753143</v>
      </c>
      <c r="F45" s="5">
        <f t="shared" si="11"/>
        <v>19107.952648639039</v>
      </c>
      <c r="G45" s="5">
        <f t="shared" si="12"/>
        <v>19107.952648639039</v>
      </c>
      <c r="H45" s="5">
        <f>SUM($F45:$F$126)</f>
        <v>188604.82670496422</v>
      </c>
      <c r="I45" s="5">
        <f>SUM($G45:$G$126)</f>
        <v>188604.82670496422</v>
      </c>
      <c r="J45" s="6">
        <f t="shared" si="13"/>
        <v>9.0867097974106041</v>
      </c>
      <c r="K45" s="6">
        <f t="shared" si="14"/>
        <v>9.0867097974106041</v>
      </c>
      <c r="L45" s="6">
        <f t="shared" si="15"/>
        <v>8.619841746060704</v>
      </c>
      <c r="M45" s="6">
        <f t="shared" si="16"/>
        <v>8.619841746060704</v>
      </c>
      <c r="N45" s="6">
        <f t="shared" si="17"/>
        <v>0</v>
      </c>
      <c r="O45" s="6">
        <f t="shared" si="18"/>
        <v>0.78377869358937646</v>
      </c>
      <c r="P45" s="6">
        <f t="shared" si="19"/>
        <v>0.78377869358937646</v>
      </c>
    </row>
    <row r="46" spans="1:16" x14ac:dyDescent="0.35">
      <c r="A46" s="1">
        <v>41</v>
      </c>
      <c r="B46" s="2">
        <f>INDEX( Tafel!B44:B165, Barwerte!$A46 + 1, 1)</f>
        <v>2.0161999999999999E-2</v>
      </c>
      <c r="C46" s="2">
        <f>INDEX( Tafel!C44:C165, Barwerte!$A46 + 1, 1)</f>
        <v>2.0161999999999999E-2</v>
      </c>
      <c r="D46" s="5">
        <f t="shared" si="20"/>
        <v>90346.289509701281</v>
      </c>
      <c r="E46" s="5">
        <f t="shared" si="21"/>
        <v>90346.289509701281</v>
      </c>
      <c r="F46" s="5">
        <f t="shared" si="11"/>
        <v>18094.367625785701</v>
      </c>
      <c r="G46" s="5">
        <f t="shared" si="12"/>
        <v>18094.367625785701</v>
      </c>
      <c r="H46" s="5">
        <f>SUM($F46:$F$126)</f>
        <v>169496.87405632518</v>
      </c>
      <c r="I46" s="5">
        <f>SUM($G46:$G$126)</f>
        <v>169496.87405632518</v>
      </c>
      <c r="J46" s="6">
        <f t="shared" si="13"/>
        <v>8.5396998164227114</v>
      </c>
      <c r="K46" s="6">
        <f t="shared" si="14"/>
        <v>8.5396998164227114</v>
      </c>
      <c r="L46" s="6">
        <f t="shared" si="15"/>
        <v>8.0466794023993238</v>
      </c>
      <c r="M46" s="6">
        <f t="shared" si="16"/>
        <v>8.0466794023993238</v>
      </c>
      <c r="N46" s="6">
        <f t="shared" si="17"/>
        <v>0</v>
      </c>
      <c r="O46" s="6">
        <f t="shared" si="18"/>
        <v>0.82768331415879803</v>
      </c>
      <c r="P46" s="6">
        <f t="shared" si="19"/>
        <v>0.82768331415879803</v>
      </c>
    </row>
    <row r="47" spans="1:16" x14ac:dyDescent="0.35">
      <c r="A47" s="1">
        <v>42</v>
      </c>
      <c r="B47" s="2">
        <f>INDEX( Tafel!B45:B166, Barwerte!$A47 + 1, 1)</f>
        <v>2.6970000000000001E-2</v>
      </c>
      <c r="C47" s="2">
        <f>INDEX( Tafel!C45:C166, Barwerte!$A47 + 1, 1)</f>
        <v>2.6970000000000001E-2</v>
      </c>
      <c r="D47" s="5">
        <f t="shared" si="20"/>
        <v>88524.727620606689</v>
      </c>
      <c r="E47" s="5">
        <f t="shared" si="21"/>
        <v>88524.727620606689</v>
      </c>
      <c r="F47" s="5">
        <f t="shared" si="11"/>
        <v>17047.643255494815</v>
      </c>
      <c r="G47" s="5">
        <f t="shared" si="12"/>
        <v>17047.643255494815</v>
      </c>
      <c r="H47" s="5">
        <f>SUM($F47:$F$126)</f>
        <v>151402.50643053948</v>
      </c>
      <c r="I47" s="5">
        <f>SUM($G47:$G$126)</f>
        <v>151402.50643053948</v>
      </c>
      <c r="J47" s="6">
        <f t="shared" si="13"/>
        <v>8.002636975785407</v>
      </c>
      <c r="K47" s="6">
        <f t="shared" si="14"/>
        <v>8.002636975785407</v>
      </c>
      <c r="L47" s="6">
        <f t="shared" si="15"/>
        <v>7.4793451351093729</v>
      </c>
      <c r="M47" s="6">
        <f t="shared" si="16"/>
        <v>7.4793451351093729</v>
      </c>
      <c r="N47" s="6">
        <f t="shared" si="17"/>
        <v>0</v>
      </c>
      <c r="O47" s="6">
        <f t="shared" si="18"/>
        <v>0.87850302470933972</v>
      </c>
      <c r="P47" s="6">
        <f t="shared" si="19"/>
        <v>0.87850302470933972</v>
      </c>
    </row>
    <row r="48" spans="1:16" x14ac:dyDescent="0.35">
      <c r="A48" s="1">
        <v>43</v>
      </c>
      <c r="B48" s="2">
        <f>INDEX( Tafel!B46:B167, Barwerte!$A48 + 1, 1)</f>
        <v>3.5853999999999997E-2</v>
      </c>
      <c r="C48" s="2">
        <f>INDEX( Tafel!C46:C167, Barwerte!$A48 + 1, 1)</f>
        <v>3.5853999999999997E-2</v>
      </c>
      <c r="D48" s="5">
        <f t="shared" si="20"/>
        <v>86137.215716678926</v>
      </c>
      <c r="E48" s="5">
        <f t="shared" si="21"/>
        <v>86137.215716678926</v>
      </c>
      <c r="F48" s="5">
        <f t="shared" si="11"/>
        <v>15949.87338162896</v>
      </c>
      <c r="G48" s="5">
        <f t="shared" si="12"/>
        <v>15949.87338162896</v>
      </c>
      <c r="H48" s="5">
        <f>SUM($F48:$F$126)</f>
        <v>134354.86317504468</v>
      </c>
      <c r="I48" s="5">
        <f>SUM($G48:$G$126)</f>
        <v>134354.86317504468</v>
      </c>
      <c r="J48" s="6">
        <f t="shared" si="13"/>
        <v>7.4846021754897833</v>
      </c>
      <c r="K48" s="6">
        <f t="shared" si="14"/>
        <v>7.4846021754897833</v>
      </c>
      <c r="L48" s="6">
        <f t="shared" si="15"/>
        <v>6.9252941230113665</v>
      </c>
      <c r="M48" s="6">
        <f t="shared" si="16"/>
        <v>6.9252941230113665</v>
      </c>
      <c r="N48" s="6">
        <f t="shared" si="17"/>
        <v>0</v>
      </c>
      <c r="O48" s="6">
        <f t="shared" si="18"/>
        <v>0.9389670880627663</v>
      </c>
      <c r="P48" s="6">
        <f t="shared" si="19"/>
        <v>0.9389670880627663</v>
      </c>
    </row>
    <row r="49" spans="1:16" x14ac:dyDescent="0.35">
      <c r="A49" s="1">
        <v>44</v>
      </c>
      <c r="B49" s="2">
        <f>INDEX( Tafel!B47:B168, Barwerte!$A49 + 1, 1)</f>
        <v>4.709E-2</v>
      </c>
      <c r="C49" s="2">
        <f>INDEX( Tafel!C47:C168, Barwerte!$A49 + 1, 1)</f>
        <v>4.709E-2</v>
      </c>
      <c r="D49" s="5">
        <f t="shared" si="20"/>
        <v>83048.851984373119</v>
      </c>
      <c r="E49" s="5">
        <f t="shared" si="21"/>
        <v>83048.851984373119</v>
      </c>
      <c r="F49" s="5">
        <f t="shared" si="11"/>
        <v>14786.54482827311</v>
      </c>
      <c r="G49" s="5">
        <f t="shared" si="12"/>
        <v>14786.54482827311</v>
      </c>
      <c r="H49" s="5">
        <f>SUM($F49:$F$126)</f>
        <v>118404.9897934156</v>
      </c>
      <c r="I49" s="5">
        <f>SUM($G49:$G$126)</f>
        <v>118404.9897934156</v>
      </c>
      <c r="J49" s="6">
        <f t="shared" si="13"/>
        <v>6.9947769969583113</v>
      </c>
      <c r="K49" s="6">
        <f t="shared" si="14"/>
        <v>6.9947769969583113</v>
      </c>
      <c r="L49" s="6">
        <f t="shared" si="15"/>
        <v>6.3914654916701554</v>
      </c>
      <c r="M49" s="6">
        <f t="shared" si="16"/>
        <v>6.3914654916701554</v>
      </c>
      <c r="N49" s="6">
        <f t="shared" si="17"/>
        <v>0</v>
      </c>
      <c r="O49" s="6">
        <f t="shared" si="18"/>
        <v>1.0128401420379041</v>
      </c>
      <c r="P49" s="6">
        <f t="shared" si="19"/>
        <v>1.0128401420379041</v>
      </c>
    </row>
    <row r="50" spans="1:16" x14ac:dyDescent="0.35">
      <c r="A50" s="1">
        <v>45</v>
      </c>
      <c r="B50" s="2">
        <f>INDEX( Tafel!B48:B169, Barwerte!$A50 + 1, 1)</f>
        <v>6.0680999999999999E-2</v>
      </c>
      <c r="C50" s="2">
        <f>INDEX( Tafel!C48:C169, Barwerte!$A50 + 1, 1)</f>
        <v>6.0680999999999999E-2</v>
      </c>
      <c r="D50" s="5">
        <f t="shared" si="20"/>
        <v>79138.081544428991</v>
      </c>
      <c r="E50" s="5">
        <f t="shared" si="21"/>
        <v>79138.081544428991</v>
      </c>
      <c r="F50" s="5">
        <f t="shared" si="11"/>
        <v>13548.313877220891</v>
      </c>
      <c r="G50" s="5">
        <f t="shared" si="12"/>
        <v>13548.313877220891</v>
      </c>
      <c r="H50" s="5">
        <f>SUM($F50:$F$126)</f>
        <v>103618.44496514248</v>
      </c>
      <c r="I50" s="5">
        <f>SUM($G50:$G$126)</f>
        <v>103618.44496514248</v>
      </c>
      <c r="J50" s="6">
        <f t="shared" si="13"/>
        <v>6.5426620319197442</v>
      </c>
      <c r="K50" s="6">
        <f t="shared" si="14"/>
        <v>6.5426620319197442</v>
      </c>
      <c r="L50" s="6">
        <f t="shared" si="15"/>
        <v>5.8842116373392681</v>
      </c>
      <c r="M50" s="6">
        <f t="shared" si="16"/>
        <v>5.8842116373392681</v>
      </c>
      <c r="N50" s="6">
        <f t="shared" si="17"/>
        <v>0</v>
      </c>
      <c r="O50" s="6">
        <f t="shared" si="18"/>
        <v>1.1054073813050762</v>
      </c>
      <c r="P50" s="6">
        <f t="shared" si="19"/>
        <v>1.1054073813050762</v>
      </c>
    </row>
    <row r="51" spans="1:16" x14ac:dyDescent="0.35">
      <c r="A51" s="1">
        <v>46</v>
      </c>
      <c r="B51" s="2">
        <f>INDEX( Tafel!B49:B170, Barwerte!$A51 + 1, 1)</f>
        <v>7.5208999999999998E-2</v>
      </c>
      <c r="C51" s="2">
        <f>INDEX( Tafel!C49:C170, Barwerte!$A51 + 1, 1)</f>
        <v>7.5208999999999998E-2</v>
      </c>
      <c r="D51" s="5">
        <f t="shared" si="20"/>
        <v>74335.903618231503</v>
      </c>
      <c r="E51" s="5">
        <f t="shared" si="21"/>
        <v>74335.903618231503</v>
      </c>
      <c r="F51" s="5">
        <f t="shared" si="11"/>
        <v>12236.71984888197</v>
      </c>
      <c r="G51" s="5">
        <f t="shared" si="12"/>
        <v>12236.71984888197</v>
      </c>
      <c r="H51" s="5">
        <f>SUM($F51:$F$126)</f>
        <v>90070.131087921603</v>
      </c>
      <c r="I51" s="5">
        <f>SUM($G51:$G$126)</f>
        <v>90070.131087921603</v>
      </c>
      <c r="J51" s="6">
        <f t="shared" si="13"/>
        <v>6.1367528104898721</v>
      </c>
      <c r="K51" s="6">
        <f t="shared" si="14"/>
        <v>6.1367528104898721</v>
      </c>
      <c r="L51" s="6">
        <f t="shared" si="15"/>
        <v>5.4077263451850115</v>
      </c>
      <c r="M51" s="6">
        <f t="shared" si="16"/>
        <v>5.4077263451850115</v>
      </c>
      <c r="N51" s="6">
        <f t="shared" si="17"/>
        <v>0</v>
      </c>
      <c r="O51" s="6">
        <f t="shared" si="18"/>
        <v>1.2238905808966702</v>
      </c>
      <c r="P51" s="6">
        <f t="shared" si="19"/>
        <v>1.2238905808966702</v>
      </c>
    </row>
    <row r="52" spans="1:16" x14ac:dyDescent="0.35">
      <c r="A52" s="1">
        <v>47</v>
      </c>
      <c r="B52" s="2">
        <f>INDEX( Tafel!B50:B171, Barwerte!$A52 + 1, 1)</f>
        <v>8.9514999999999997E-2</v>
      </c>
      <c r="C52" s="2">
        <f>INDEX( Tafel!C50:C171, Barwerte!$A52 + 1, 1)</f>
        <v>8.9514999999999997E-2</v>
      </c>
      <c r="D52" s="5">
        <f t="shared" si="20"/>
        <v>68745.174643007937</v>
      </c>
      <c r="E52" s="5">
        <f t="shared" si="21"/>
        <v>68745.174643007937</v>
      </c>
      <c r="F52" s="5">
        <f t="shared" si="11"/>
        <v>10881.16190939174</v>
      </c>
      <c r="G52" s="5">
        <f t="shared" si="12"/>
        <v>10881.16190939174</v>
      </c>
      <c r="H52" s="5">
        <f>SUM($F52:$F$126)</f>
        <v>77833.411239039662</v>
      </c>
      <c r="I52" s="5">
        <f>SUM($G52:$G$126)</f>
        <v>77833.411239039662</v>
      </c>
      <c r="J52" s="6">
        <f t="shared" si="13"/>
        <v>5.7766813506072916</v>
      </c>
      <c r="K52" s="6">
        <f t="shared" si="14"/>
        <v>5.7766813506072916</v>
      </c>
      <c r="L52" s="6">
        <f t="shared" si="15"/>
        <v>4.956833921385928</v>
      </c>
      <c r="M52" s="6">
        <f t="shared" si="16"/>
        <v>4.956833921385928</v>
      </c>
      <c r="N52" s="6">
        <f t="shared" si="17"/>
        <v>0</v>
      </c>
      <c r="O52" s="6">
        <f t="shared" si="18"/>
        <v>1.3763609335866556</v>
      </c>
      <c r="P52" s="6">
        <f t="shared" si="19"/>
        <v>1.3763609335866556</v>
      </c>
    </row>
    <row r="53" spans="1:16" x14ac:dyDescent="0.35">
      <c r="A53" s="1">
        <v>48</v>
      </c>
      <c r="B53" s="2">
        <f>INDEX( Tafel!B51:B172, Barwerte!$A53 + 1, 1)</f>
        <v>0.102378</v>
      </c>
      <c r="C53" s="2">
        <f>INDEX( Tafel!C51:C172, Barwerte!$A53 + 1, 1)</f>
        <v>0.102378</v>
      </c>
      <c r="D53" s="5">
        <f t="shared" si="20"/>
        <v>62591.450334839079</v>
      </c>
      <c r="E53" s="5">
        <f t="shared" si="21"/>
        <v>62591.450334839079</v>
      </c>
      <c r="F53" s="5">
        <f t="shared" si="11"/>
        <v>9526.0910587235921</v>
      </c>
      <c r="G53" s="5">
        <f t="shared" si="12"/>
        <v>9526.0910587235921</v>
      </c>
      <c r="H53" s="5">
        <f>SUM($F53:$F$126)</f>
        <v>66952.249329647893</v>
      </c>
      <c r="I53" s="5">
        <f>SUM($G53:$G$126)</f>
        <v>66952.249329647893</v>
      </c>
      <c r="J53" s="6">
        <f t="shared" si="13"/>
        <v>5.4561564491799226</v>
      </c>
      <c r="K53" s="6">
        <f t="shared" si="14"/>
        <v>5.4561564491799226</v>
      </c>
      <c r="L53" s="6">
        <f t="shared" si="15"/>
        <v>4.5196870659498654</v>
      </c>
      <c r="M53" s="6">
        <f t="shared" si="16"/>
        <v>4.5196870659498654</v>
      </c>
      <c r="N53" s="6">
        <f t="shared" si="17"/>
        <v>0</v>
      </c>
      <c r="O53" s="6">
        <f t="shared" si="18"/>
        <v>1.5721460220982466</v>
      </c>
      <c r="P53" s="6">
        <f t="shared" si="19"/>
        <v>1.5721460220982466</v>
      </c>
    </row>
    <row r="54" spans="1:16" x14ac:dyDescent="0.35">
      <c r="A54" s="1">
        <v>49</v>
      </c>
      <c r="B54" s="2">
        <f>INDEX( Tafel!B52:B173, Barwerte!$A54 + 1, 1)</f>
        <v>0.11304500000000001</v>
      </c>
      <c r="C54" s="2">
        <f>INDEX( Tafel!C52:C173, Barwerte!$A54 + 1, 1)</f>
        <v>0.11304500000000001</v>
      </c>
      <c r="D54" s="5">
        <f t="shared" si="20"/>
        <v>56183.462832458928</v>
      </c>
      <c r="E54" s="5">
        <f t="shared" si="21"/>
        <v>56183.462832458928</v>
      </c>
      <c r="F54" s="5">
        <f t="shared" si="11"/>
        <v>8221.9508733784496</v>
      </c>
      <c r="G54" s="5">
        <f t="shared" si="12"/>
        <v>8221.9508733784496</v>
      </c>
      <c r="H54" s="5">
        <f>SUM($F54:$F$126)</f>
        <v>57426.158270924323</v>
      </c>
      <c r="I54" s="5">
        <f>SUM($G54:$G$126)</f>
        <v>57426.158270924323</v>
      </c>
      <c r="J54" s="6">
        <f t="shared" si="13"/>
        <v>5.1629780766816342</v>
      </c>
      <c r="K54" s="6">
        <f t="shared" si="14"/>
        <v>5.1629780766816342</v>
      </c>
      <c r="L54" s="6">
        <f t="shared" si="15"/>
        <v>4.0779688427733083</v>
      </c>
      <c r="M54" s="6">
        <f t="shared" si="16"/>
        <v>4.0779688427733083</v>
      </c>
      <c r="N54" s="6">
        <f t="shared" si="17"/>
        <v>0</v>
      </c>
      <c r="O54" s="6">
        <f t="shared" si="18"/>
        <v>1.8215149171724589</v>
      </c>
      <c r="P54" s="6">
        <f t="shared" si="19"/>
        <v>1.8215149171724589</v>
      </c>
    </row>
    <row r="55" spans="1:16" x14ac:dyDescent="0.35">
      <c r="A55" s="1">
        <v>50</v>
      </c>
      <c r="B55" s="2">
        <f>INDEX( Tafel!B53:B174, Barwerte!$A55 + 1, 1)</f>
        <v>0.12155299999999999</v>
      </c>
      <c r="C55" s="2">
        <f>INDEX( Tafel!C53:C174, Barwerte!$A55 + 1, 1)</f>
        <v>0.12155299999999999</v>
      </c>
      <c r="D55" s="5">
        <f t="shared" si="20"/>
        <v>49832.203276563603</v>
      </c>
      <c r="E55" s="5">
        <f t="shared" si="21"/>
        <v>49832.203276563603</v>
      </c>
      <c r="F55" s="5">
        <f t="shared" si="11"/>
        <v>7012.0196508628669</v>
      </c>
      <c r="G55" s="5">
        <f t="shared" si="12"/>
        <v>7012.0196508628669</v>
      </c>
      <c r="H55" s="5">
        <f>SUM($F55:$F$126)</f>
        <v>49204.20739754587</v>
      </c>
      <c r="I55" s="5">
        <f>SUM($G55:$G$126)</f>
        <v>49204.20739754587</v>
      </c>
      <c r="J55" s="6">
        <f t="shared" si="13"/>
        <v>4.8813042372486768</v>
      </c>
      <c r="K55" s="6">
        <f t="shared" si="14"/>
        <v>4.8813042372486768</v>
      </c>
      <c r="L55" s="6">
        <f t="shared" si="15"/>
        <v>3.6090755410186999</v>
      </c>
      <c r="M55" s="6">
        <f t="shared" si="16"/>
        <v>3.6090755410186999</v>
      </c>
      <c r="N55" s="6">
        <f t="shared" si="17"/>
        <v>0</v>
      </c>
      <c r="O55" s="6">
        <f t="shared" si="18"/>
        <v>2.1358191947273055</v>
      </c>
      <c r="P55" s="6">
        <f t="shared" si="19"/>
        <v>2.1358191947273055</v>
      </c>
    </row>
    <row r="56" spans="1:16" x14ac:dyDescent="0.35">
      <c r="A56" s="1">
        <v>51</v>
      </c>
      <c r="B56" s="2">
        <f>INDEX( Tafel!B54:B175, Barwerte!$A56 + 1, 1)</f>
        <v>0.131302</v>
      </c>
      <c r="C56" s="2">
        <f>INDEX( Tafel!C54:C175, Barwerte!$A56 + 1, 1)</f>
        <v>0.131302</v>
      </c>
      <c r="D56" s="5">
        <f t="shared" si="20"/>
        <v>43774.949471687469</v>
      </c>
      <c r="E56" s="5">
        <f t="shared" si="21"/>
        <v>43774.949471687469</v>
      </c>
      <c r="F56" s="5">
        <f t="shared" si="11"/>
        <v>5922.7765636937811</v>
      </c>
      <c r="G56" s="5">
        <f t="shared" si="12"/>
        <v>5922.7765636937811</v>
      </c>
      <c r="H56" s="5">
        <f>SUM($F56:$F$126)</f>
        <v>42192.187746682997</v>
      </c>
      <c r="I56" s="5">
        <f>SUM($G56:$G$126)</f>
        <v>42192.187746682997</v>
      </c>
      <c r="J56" s="6">
        <f t="shared" si="13"/>
        <v>4.5951052331428341</v>
      </c>
      <c r="K56" s="6">
        <f t="shared" si="14"/>
        <v>4.5951052331428341</v>
      </c>
      <c r="L56" s="6">
        <f t="shared" si="15"/>
        <v>3.0889041258715069</v>
      </c>
      <c r="M56" s="6">
        <f t="shared" si="16"/>
        <v>3.0889041258715069</v>
      </c>
      <c r="N56" s="6">
        <f t="shared" si="17"/>
        <v>0</v>
      </c>
      <c r="O56" s="6">
        <f t="shared" si="18"/>
        <v>2.5286123835773791</v>
      </c>
      <c r="P56" s="6">
        <f t="shared" si="19"/>
        <v>2.5286123835773791</v>
      </c>
    </row>
    <row r="57" spans="1:16" x14ac:dyDescent="0.35">
      <c r="A57" s="1">
        <v>52</v>
      </c>
      <c r="B57" s="2">
        <f>INDEX( Tafel!B55:B176, Barwerte!$A57 + 1, 1)</f>
        <v>0.140927</v>
      </c>
      <c r="C57" s="2">
        <f>INDEX( Tafel!C55:C176, Barwerte!$A57 + 1, 1)</f>
        <v>0.140927</v>
      </c>
      <c r="D57" s="5">
        <f t="shared" si="20"/>
        <v>38027.21105615596</v>
      </c>
      <c r="E57" s="5">
        <f t="shared" si="21"/>
        <v>38027.21105615596</v>
      </c>
      <c r="F57" s="5">
        <f t="shared" si="11"/>
        <v>4947.2155339689025</v>
      </c>
      <c r="G57" s="5">
        <f t="shared" si="12"/>
        <v>4947.2155339689025</v>
      </c>
      <c r="H57" s="5">
        <f>SUM($F57:$F$126)</f>
        <v>36269.411182989214</v>
      </c>
      <c r="I57" s="5">
        <f>SUM($G57:$G$126)</f>
        <v>36269.411182989214</v>
      </c>
      <c r="J57" s="6">
        <f t="shared" si="13"/>
        <v>4.3040382762116964</v>
      </c>
      <c r="K57" s="6">
        <f t="shared" si="14"/>
        <v>4.3040382762116964</v>
      </c>
      <c r="L57" s="6">
        <f t="shared" si="15"/>
        <v>2.5008234057248515</v>
      </c>
      <c r="M57" s="6">
        <f t="shared" si="16"/>
        <v>2.5008234057248515</v>
      </c>
      <c r="N57" s="6">
        <f t="shared" si="17"/>
        <v>0</v>
      </c>
      <c r="O57" s="6">
        <f t="shared" si="18"/>
        <v>3.0272394766886479</v>
      </c>
      <c r="P57" s="6">
        <f t="shared" si="19"/>
        <v>3.0272394766886479</v>
      </c>
    </row>
    <row r="58" spans="1:16" x14ac:dyDescent="0.35">
      <c r="A58" s="1">
        <v>53</v>
      </c>
      <c r="B58" s="2">
        <f>INDEX( Tafel!B56:B177, Barwerte!$A58 + 1, 1)</f>
        <v>0.15041599999999999</v>
      </c>
      <c r="C58" s="2">
        <f>INDEX( Tafel!C56:C177, Barwerte!$A58 + 1, 1)</f>
        <v>0.15041599999999999</v>
      </c>
      <c r="D58" s="5">
        <f t="shared" si="20"/>
        <v>32668.150283645067</v>
      </c>
      <c r="E58" s="5">
        <f t="shared" si="21"/>
        <v>32668.150283645067</v>
      </c>
      <c r="F58" s="5">
        <f t="shared" si="11"/>
        <v>4086.557010012757</v>
      </c>
      <c r="G58" s="5">
        <f t="shared" si="12"/>
        <v>4086.557010012757</v>
      </c>
      <c r="H58" s="5">
        <f>SUM($F58:$F$126)</f>
        <v>31322.195649020312</v>
      </c>
      <c r="I58" s="5">
        <f>SUM($G58:$G$126)</f>
        <v>31322.195649020312</v>
      </c>
      <c r="J58" s="6">
        <f t="shared" si="13"/>
        <v>3.9998926834624813</v>
      </c>
      <c r="K58" s="6">
        <f t="shared" si="14"/>
        <v>3.9998926834624813</v>
      </c>
      <c r="L58" s="6">
        <f t="shared" si="15"/>
        <v>1.8169076923076919</v>
      </c>
      <c r="M58" s="6">
        <f t="shared" si="16"/>
        <v>1.8169076923076919</v>
      </c>
      <c r="N58" s="6">
        <f t="shared" si="17"/>
        <v>0</v>
      </c>
      <c r="O58" s="6">
        <f t="shared" si="18"/>
        <v>3.6647980506385296</v>
      </c>
      <c r="P58" s="6">
        <f t="shared" si="19"/>
        <v>3.6647980506385296</v>
      </c>
    </row>
    <row r="59" spans="1:16" x14ac:dyDescent="0.35">
      <c r="A59" s="1">
        <v>54</v>
      </c>
      <c r="B59" s="2">
        <f>INDEX( Tafel!B57:B178, Barwerte!$A59 + 1, 1)</f>
        <v>0.15975200000000001</v>
      </c>
      <c r="C59" s="2">
        <f>INDEX( Tafel!C57:C178, Barwerte!$A59 + 1, 1)</f>
        <v>0.15975200000000001</v>
      </c>
      <c r="D59" s="5">
        <f t="shared" si="20"/>
        <v>27754.33779058031</v>
      </c>
      <c r="E59" s="5">
        <f t="shared" si="21"/>
        <v>27754.33779058031</v>
      </c>
      <c r="F59" s="5">
        <f t="shared" si="11"/>
        <v>3338.3398565333432</v>
      </c>
      <c r="G59" s="5">
        <f t="shared" si="12"/>
        <v>3338.3398565333432</v>
      </c>
      <c r="H59" s="5">
        <f>SUM($F59:$F$126)</f>
        <v>27235.638639007557</v>
      </c>
      <c r="I59" s="5">
        <f>SUM($G59:$G$126)</f>
        <v>27235.638639007557</v>
      </c>
      <c r="J59" s="6">
        <f t="shared" si="13"/>
        <v>3.67225417475021</v>
      </c>
      <c r="K59" s="6">
        <f t="shared" si="14"/>
        <v>3.67225417475021</v>
      </c>
      <c r="L59" s="6">
        <f t="shared" si="15"/>
        <v>1.0000000000000004</v>
      </c>
      <c r="M59" s="6">
        <f t="shared" si="16"/>
        <v>1.0000000000000004</v>
      </c>
      <c r="N59" s="6">
        <f t="shared" si="17"/>
        <v>0</v>
      </c>
      <c r="O59" s="6">
        <f t="shared" si="18"/>
        <v>4.4861837942617475</v>
      </c>
      <c r="P59" s="6">
        <f t="shared" si="19"/>
        <v>4.4861837942617475</v>
      </c>
    </row>
    <row r="60" spans="1:16" x14ac:dyDescent="0.35">
      <c r="A60" s="1">
        <v>55</v>
      </c>
      <c r="B60" s="2">
        <f>INDEX( Tafel!B58:B179, Barwerte!$A60 + 1, 1)</f>
        <v>0.168907</v>
      </c>
      <c r="C60" s="2">
        <f>INDEX( Tafel!C58:C179, Barwerte!$A60 + 1, 1)</f>
        <v>0.168907</v>
      </c>
      <c r="D60" s="5">
        <f t="shared" si="20"/>
        <v>23320.526819859526</v>
      </c>
      <c r="E60" s="5">
        <f t="shared" si="21"/>
        <v>23320.526819859526</v>
      </c>
      <c r="F60" s="5">
        <f t="shared" si="11"/>
        <v>2697.1474882427201</v>
      </c>
      <c r="G60" s="5">
        <f t="shared" si="12"/>
        <v>2697.1474882427201</v>
      </c>
      <c r="H60" s="5">
        <f>SUM($F60:$F$126)</f>
        <v>23897.298782474212</v>
      </c>
      <c r="I60" s="5">
        <f>SUM($G60:$G$126)</f>
        <v>23897.298782474212</v>
      </c>
      <c r="J60" s="6">
        <f t="shared" si="13"/>
        <v>3.3075286602767489</v>
      </c>
      <c r="K60" s="6">
        <f t="shared" si="14"/>
        <v>3.3075286602767489</v>
      </c>
      <c r="L60" s="6">
        <f t="shared" si="15"/>
        <v>0</v>
      </c>
      <c r="M60" s="6">
        <f t="shared" si="16"/>
        <v>0</v>
      </c>
      <c r="N60" s="6">
        <f t="shared" si="17"/>
        <v>0</v>
      </c>
      <c r="O60" s="6">
        <f t="shared" si="18"/>
        <v>5.5526834292163931</v>
      </c>
      <c r="P60" s="6">
        <f t="shared" si="19"/>
        <v>5.5526834292163931</v>
      </c>
    </row>
    <row r="61" spans="1:16" x14ac:dyDescent="0.35">
      <c r="A61" s="1">
        <v>56</v>
      </c>
      <c r="B61" s="2">
        <f>INDEX( Tafel!B59:B180, Barwerte!$A61 + 1, 1)</f>
        <v>0.17784800000000001</v>
      </c>
      <c r="C61" s="2">
        <f>INDEX( Tafel!C59:C180, Barwerte!$A61 + 1, 1)</f>
        <v>0.17784800000000001</v>
      </c>
      <c r="D61" s="5">
        <f t="shared" si="20"/>
        <v>19381.526596297514</v>
      </c>
      <c r="E61" s="5">
        <f t="shared" si="21"/>
        <v>19381.526596297514</v>
      </c>
      <c r="F61" s="5">
        <f t="shared" si="11"/>
        <v>2155.3657667751027</v>
      </c>
      <c r="G61" s="5">
        <f t="shared" si="12"/>
        <v>2155.3657667751027</v>
      </c>
      <c r="H61" s="5">
        <f>SUM($F61:$F$126)</f>
        <v>21200.151294231495</v>
      </c>
      <c r="I61" s="5">
        <f>SUM($G61:$G$126)</f>
        <v>21200.151294231495</v>
      </c>
      <c r="J61" s="6">
        <f t="shared" si="13"/>
        <v>2.8875586807828002</v>
      </c>
      <c r="K61" s="6">
        <f t="shared" si="14"/>
        <v>2.8875586807828002</v>
      </c>
      <c r="L61" s="6">
        <f t="shared" si="15"/>
        <v>0</v>
      </c>
      <c r="M61" s="6">
        <f t="shared" si="16"/>
        <v>0</v>
      </c>
      <c r="N61" s="6">
        <f t="shared" si="17"/>
        <v>0</v>
      </c>
      <c r="O61" s="6">
        <f t="shared" si="18"/>
        <v>6.9484290763910304</v>
      </c>
      <c r="P61" s="6">
        <f t="shared" si="19"/>
        <v>6.9484290763910304</v>
      </c>
    </row>
    <row r="62" spans="1:16" x14ac:dyDescent="0.35">
      <c r="A62" s="1">
        <v>57</v>
      </c>
      <c r="B62" s="2">
        <f>INDEX( Tafel!B60:B181, Barwerte!$A62 + 1, 1)</f>
        <v>0.186528</v>
      </c>
      <c r="C62" s="2">
        <f>INDEX( Tafel!C60:C181, Barwerte!$A62 + 1, 1)</f>
        <v>0.186528</v>
      </c>
      <c r="D62" s="5">
        <f t="shared" si="20"/>
        <v>15934.560854199193</v>
      </c>
      <c r="E62" s="5">
        <f t="shared" si="21"/>
        <v>15934.560854199193</v>
      </c>
      <c r="F62" s="5">
        <f t="shared" si="11"/>
        <v>1703.8829575823888</v>
      </c>
      <c r="G62" s="5">
        <f t="shared" si="12"/>
        <v>1703.8829575823888</v>
      </c>
      <c r="H62" s="5">
        <f>SUM($F62:$F$126)</f>
        <v>19044.785527456392</v>
      </c>
      <c r="I62" s="5">
        <f>SUM($G62:$G$126)</f>
        <v>19044.785527456392</v>
      </c>
      <c r="J62" s="6">
        <f t="shared" si="13"/>
        <v>2.3877105790828361</v>
      </c>
      <c r="K62" s="6">
        <f t="shared" si="14"/>
        <v>2.3877105790828361</v>
      </c>
      <c r="L62" s="6">
        <f t="shared" si="15"/>
        <v>0</v>
      </c>
      <c r="M62" s="6">
        <f t="shared" si="16"/>
        <v>0</v>
      </c>
      <c r="N62" s="6">
        <f t="shared" si="17"/>
        <v>0</v>
      </c>
      <c r="O62" s="6">
        <f t="shared" si="18"/>
        <v>8.7895744819044044</v>
      </c>
      <c r="P62" s="6">
        <f t="shared" si="19"/>
        <v>8.7895744819044044</v>
      </c>
    </row>
    <row r="63" spans="1:16" x14ac:dyDescent="0.35">
      <c r="A63" s="1">
        <v>58</v>
      </c>
      <c r="B63" s="2">
        <f>INDEX( Tafel!B61:B182, Barwerte!$A63 + 1, 1)</f>
        <v>0.194887</v>
      </c>
      <c r="C63" s="2">
        <f>INDEX( Tafel!C61:C182, Barwerte!$A63 + 1, 1)</f>
        <v>0.194887</v>
      </c>
      <c r="D63" s="5">
        <f t="shared" si="20"/>
        <v>12962.319087187127</v>
      </c>
      <c r="E63" s="5">
        <f t="shared" si="21"/>
        <v>12962.319087187127</v>
      </c>
      <c r="F63" s="5">
        <f t="shared" si="11"/>
        <v>1332.7510358369814</v>
      </c>
      <c r="G63" s="5">
        <f t="shared" si="12"/>
        <v>1332.7510358369814</v>
      </c>
      <c r="H63" s="5">
        <f>SUM($F63:$F$126)</f>
        <v>17340.902569874004</v>
      </c>
      <c r="I63" s="5">
        <f>SUM($G63:$G$126)</f>
        <v>17340.902569874004</v>
      </c>
      <c r="J63" s="6">
        <f t="shared" si="13"/>
        <v>1.7741471153846116</v>
      </c>
      <c r="K63" s="6">
        <f t="shared" si="14"/>
        <v>1.7741471153846116</v>
      </c>
      <c r="L63" s="6">
        <f t="shared" si="15"/>
        <v>0</v>
      </c>
      <c r="M63" s="6">
        <f t="shared" si="16"/>
        <v>0</v>
      </c>
      <c r="N63" s="6">
        <f t="shared" si="17"/>
        <v>0</v>
      </c>
      <c r="O63" s="6">
        <f t="shared" si="18"/>
        <v>11.23721217347442</v>
      </c>
      <c r="P63" s="6">
        <f t="shared" si="19"/>
        <v>11.23721217347442</v>
      </c>
    </row>
    <row r="64" spans="1:16" x14ac:dyDescent="0.35">
      <c r="A64" s="1">
        <v>59</v>
      </c>
      <c r="B64" s="2">
        <f>INDEX( Tafel!B62:B183, Barwerte!$A64 + 1, 1)</f>
        <v>0.202848</v>
      </c>
      <c r="C64" s="2">
        <f>INDEX( Tafel!C62:C183, Barwerte!$A64 + 1, 1)</f>
        <v>0.202848</v>
      </c>
      <c r="D64" s="5">
        <f t="shared" si="20"/>
        <v>10436.131607242489</v>
      </c>
      <c r="E64" s="5">
        <f t="shared" si="21"/>
        <v>10436.131607242489</v>
      </c>
      <c r="F64" s="5">
        <f t="shared" si="11"/>
        <v>1031.7453699190573</v>
      </c>
      <c r="G64" s="5">
        <f t="shared" si="12"/>
        <v>1031.7453699190573</v>
      </c>
      <c r="H64" s="5">
        <f>SUM($F64:$F$126)</f>
        <v>16008.15153403703</v>
      </c>
      <c r="I64" s="5">
        <f>SUM($G64:$G$126)</f>
        <v>16008.15153403703</v>
      </c>
      <c r="J64" s="6">
        <f t="shared" si="13"/>
        <v>1.0000000000000018</v>
      </c>
      <c r="K64" s="6">
        <f t="shared" si="14"/>
        <v>1.0000000000000018</v>
      </c>
      <c r="L64" s="6">
        <f t="shared" si="15"/>
        <v>0</v>
      </c>
      <c r="M64" s="6">
        <f t="shared" si="16"/>
        <v>0</v>
      </c>
      <c r="N64" s="6">
        <f t="shared" si="17"/>
        <v>0</v>
      </c>
      <c r="O64" s="6">
        <f t="shared" si="18"/>
        <v>14.515602977983708</v>
      </c>
      <c r="P64" s="6">
        <f t="shared" si="19"/>
        <v>14.515602977983708</v>
      </c>
    </row>
    <row r="65" spans="1:16" x14ac:dyDescent="0.35">
      <c r="A65" s="1">
        <v>60</v>
      </c>
      <c r="B65" s="2">
        <f>INDEX( Tafel!B63:B184, Barwerte!$A65 + 1, 1)</f>
        <v>0.210311</v>
      </c>
      <c r="C65" s="2">
        <f>INDEX( Tafel!C63:C184, Barwerte!$A65 + 1, 1)</f>
        <v>0.210311</v>
      </c>
      <c r="D65" s="5">
        <f t="shared" si="20"/>
        <v>8319.1831829765633</v>
      </c>
      <c r="E65" s="5">
        <f t="shared" si="21"/>
        <v>8319.1831829765633</v>
      </c>
      <c r="F65" s="5">
        <f t="shared" si="11"/>
        <v>790.82488954011171</v>
      </c>
      <c r="G65" s="5">
        <f t="shared" si="12"/>
        <v>790.82488954011171</v>
      </c>
      <c r="H65" s="5">
        <f>SUM($F65:$F$126)</f>
        <v>14976.406164117971</v>
      </c>
      <c r="I65" s="5">
        <f>SUM($G65:$G$126)</f>
        <v>14976.406164117971</v>
      </c>
      <c r="J65" s="6">
        <f t="shared" si="13"/>
        <v>0</v>
      </c>
      <c r="K65" s="6">
        <f t="shared" si="14"/>
        <v>0</v>
      </c>
      <c r="L65" s="6">
        <f t="shared" si="15"/>
        <v>0</v>
      </c>
      <c r="M65" s="6">
        <f t="shared" si="16"/>
        <v>0</v>
      </c>
      <c r="N65" s="6">
        <f t="shared" si="17"/>
        <v>0</v>
      </c>
      <c r="O65" s="6">
        <f t="shared" si="18"/>
        <v>18.937702090822153</v>
      </c>
      <c r="P65" s="6">
        <f t="shared" si="19"/>
        <v>18.937702090822153</v>
      </c>
    </row>
    <row r="66" spans="1:16" x14ac:dyDescent="0.35">
      <c r="A66" s="1">
        <v>61</v>
      </c>
      <c r="B66" s="2">
        <f>INDEX( Tafel!B64:B185, Barwerte!$A66 + 1, 1)</f>
        <v>0</v>
      </c>
      <c r="C66" s="2">
        <f>INDEX( Tafel!C64:C185, Barwerte!$A66 + 1, 1)</f>
        <v>0</v>
      </c>
      <c r="D66" s="5">
        <f t="shared" si="20"/>
        <v>6569.5674485815789</v>
      </c>
      <c r="E66" s="5">
        <f t="shared" si="21"/>
        <v>6569.5674485815789</v>
      </c>
      <c r="F66" s="5">
        <f t="shared" si="11"/>
        <v>600.48626557311638</v>
      </c>
      <c r="G66" s="5">
        <f t="shared" si="12"/>
        <v>600.48626557311638</v>
      </c>
      <c r="H66" s="5">
        <f>SUM($F66:$F$126)</f>
        <v>14185.58127457786</v>
      </c>
      <c r="I66" s="5">
        <f>SUM($G66:$G$126)</f>
        <v>14185.58127457786</v>
      </c>
      <c r="J66" s="6">
        <f t="shared" si="13"/>
        <v>0</v>
      </c>
      <c r="K66" s="6">
        <f t="shared" si="14"/>
        <v>0</v>
      </c>
      <c r="L66" s="6">
        <f t="shared" si="15"/>
        <v>0</v>
      </c>
      <c r="M66" s="6">
        <f t="shared" si="16"/>
        <v>0</v>
      </c>
      <c r="N66" s="6">
        <f t="shared" si="17"/>
        <v>0</v>
      </c>
      <c r="O66" s="6">
        <f t="shared" si="18"/>
        <v>23.623489974477355</v>
      </c>
      <c r="P66" s="6">
        <f t="shared" si="19"/>
        <v>23.623489974477355</v>
      </c>
    </row>
    <row r="67" spans="1:16" x14ac:dyDescent="0.35">
      <c r="A67" s="1">
        <v>62</v>
      </c>
      <c r="B67" s="2">
        <f>INDEX( Tafel!B65:B186, Barwerte!$A67 + 1, 1)</f>
        <v>0</v>
      </c>
      <c r="C67" s="2">
        <f>INDEX( Tafel!C65:C186, Barwerte!$A67 + 1, 1)</f>
        <v>0</v>
      </c>
      <c r="D67" s="5">
        <f t="shared" si="20"/>
        <v>6569.5674485815789</v>
      </c>
      <c r="E67" s="5">
        <f t="shared" si="21"/>
        <v>6569.5674485815789</v>
      </c>
      <c r="F67" s="5">
        <f t="shared" si="11"/>
        <v>577.3906399741503</v>
      </c>
      <c r="G67" s="5">
        <f t="shared" si="12"/>
        <v>577.3906399741503</v>
      </c>
      <c r="H67" s="5">
        <f>SUM($F67:$F$126)</f>
        <v>13585.095009004743</v>
      </c>
      <c r="I67" s="5">
        <f>SUM($G67:$G$126)</f>
        <v>13585.095009004743</v>
      </c>
      <c r="J67" s="6">
        <f t="shared" si="13"/>
        <v>0</v>
      </c>
      <c r="K67" s="6">
        <f t="shared" si="14"/>
        <v>0</v>
      </c>
      <c r="L67" s="6">
        <f t="shared" si="15"/>
        <v>0</v>
      </c>
      <c r="M67" s="6">
        <f t="shared" si="16"/>
        <v>0</v>
      </c>
      <c r="N67" s="6">
        <f t="shared" si="17"/>
        <v>0</v>
      </c>
      <c r="O67" s="6">
        <f t="shared" si="18"/>
        <v>23.528429573456449</v>
      </c>
      <c r="P67" s="6">
        <f t="shared" si="19"/>
        <v>23.528429573456449</v>
      </c>
    </row>
    <row r="68" spans="1:16" x14ac:dyDescent="0.35">
      <c r="A68" s="1">
        <v>63</v>
      </c>
      <c r="B68" s="2">
        <f>INDEX( Tafel!B66:B187, Barwerte!$A68 + 1, 1)</f>
        <v>0</v>
      </c>
      <c r="C68" s="2">
        <f>INDEX( Tafel!C66:C187, Barwerte!$A68 + 1, 1)</f>
        <v>0</v>
      </c>
      <c r="D68" s="5">
        <f t="shared" si="20"/>
        <v>6569.5674485815789</v>
      </c>
      <c r="E68" s="5">
        <f t="shared" si="21"/>
        <v>6569.5674485815789</v>
      </c>
      <c r="F68" s="5">
        <f t="shared" si="11"/>
        <v>555.18330766745225</v>
      </c>
      <c r="G68" s="5">
        <f t="shared" si="12"/>
        <v>555.18330766745225</v>
      </c>
      <c r="H68" s="5">
        <f>SUM($F68:$F$126)</f>
        <v>13007.704369030593</v>
      </c>
      <c r="I68" s="5">
        <f>SUM($G68:$G$126)</f>
        <v>13007.704369030593</v>
      </c>
      <c r="J68" s="6">
        <f t="shared" si="13"/>
        <v>0</v>
      </c>
      <c r="K68" s="6">
        <f t="shared" si="14"/>
        <v>0</v>
      </c>
      <c r="L68" s="6">
        <f t="shared" si="15"/>
        <v>0</v>
      </c>
      <c r="M68" s="6">
        <f t="shared" si="16"/>
        <v>0</v>
      </c>
      <c r="N68" s="6">
        <f t="shared" si="17"/>
        <v>0</v>
      </c>
      <c r="O68" s="6">
        <f t="shared" si="18"/>
        <v>23.429566756394706</v>
      </c>
      <c r="P68" s="6">
        <f t="shared" si="19"/>
        <v>23.429566756394706</v>
      </c>
    </row>
    <row r="69" spans="1:16" x14ac:dyDescent="0.35">
      <c r="A69" s="1">
        <v>64</v>
      </c>
      <c r="B69" s="2">
        <f>INDEX( Tafel!B67:B188, Barwerte!$A69 + 1, 1)</f>
        <v>0</v>
      </c>
      <c r="C69" s="2">
        <f>INDEX( Tafel!C67:C188, Barwerte!$A69 + 1, 1)</f>
        <v>0</v>
      </c>
      <c r="D69" s="5">
        <f t="shared" si="20"/>
        <v>6569.5674485815789</v>
      </c>
      <c r="E69" s="5">
        <f t="shared" si="21"/>
        <v>6569.5674485815789</v>
      </c>
      <c r="F69" s="5">
        <f t="shared" ref="F69:F100" si="22">$D69 * v_PK ^ $A69</f>
        <v>533.83010352639633</v>
      </c>
      <c r="G69" s="5">
        <f t="shared" ref="G69:G100" si="23">$E69 * v_DR ^ $A69</f>
        <v>533.83010352639633</v>
      </c>
      <c r="H69" s="5">
        <f>SUM($F69:$F$126)</f>
        <v>12452.521061363141</v>
      </c>
      <c r="I69" s="5">
        <f>SUM($G69:$G$126)</f>
        <v>12452.521061363141</v>
      </c>
      <c r="J69" s="6">
        <f t="shared" ref="J69:J100" si="24">IF( $A69 &lt; x + n,
       (Nx_PK - INDEX( Nx_PK, MAX( $A69 + 1, x + n + 1))) / Dx_PK,
       0)</f>
        <v>0</v>
      </c>
      <c r="K69" s="6">
        <f t="shared" ref="K69:K100" si="25">IF( $A69 &lt; x + n,
       (Nx_DR - INDEX( Nx_DR, MAX( $A69 + 1, x + n + 1))) / Dx_DR,
       0)</f>
        <v>0</v>
      </c>
      <c r="L69" s="6">
        <f t="shared" ref="L69:L100" si="26">IF( $A69 &lt; x + t,
       (Nx_PK - INDEX( Nx_PK, MAX( $A69 + 1, x + t + 1))) / Dx_PK,
       0)</f>
        <v>0</v>
      </c>
      <c r="M69" s="6">
        <f t="shared" ref="M69:M100" si="27">IF( $A69 &lt; x + t,
       (Nx_DR - INDEX( Nx_DR, MAX( $A69 + 1, x + t + 1))) / Dx_DR,
       0)</f>
        <v>0</v>
      </c>
      <c r="N69" s="6">
        <f t="shared" ref="N69:N100" si="28">IF( $A69 &lt; x + 5,
       (Nx_PK - INDEX( Nx_PK, MAX( $A69 + 1, x + 5 + 1))) / Dx_PK,
       0)</f>
        <v>0</v>
      </c>
      <c r="O69" s="6">
        <f t="shared" ref="O69:O100" si="29">IF( $B69 &lt; 121 + 1,
       INDEX( Dx_PK, x + n + 1) / INDEX( Dx_PK, MIN( $A69 + 1, x + n + 1)) * INDEX( Nx_PK, MAX( $A69 + 1, x + n + 1)) / INDEX( Dx_PK, MAX( $A69 + 1, x + n + 1)),
       0)</f>
        <v>23.326749426650498</v>
      </c>
      <c r="P69" s="6">
        <f t="shared" ref="P69:P100" si="30">IF( $B69 &lt; 121 + 1,
       INDEX( Dx_DR, x + n + 1) / INDEX( Dx_DR, MIN( $A69 + 1, x + n + 1)) * INDEX( Nx_DR, MAX( $A69 + 1, x + n + 1)) / INDEX( Dx_DR, MAX( $A69 + 1, x + n + 1)),
       0)</f>
        <v>23.326749426650498</v>
      </c>
    </row>
    <row r="70" spans="1:16" x14ac:dyDescent="0.35">
      <c r="A70" s="1">
        <v>65</v>
      </c>
      <c r="B70" s="2">
        <f>INDEX( Tafel!B68:B189, Barwerte!$A70 + 1, 1)</f>
        <v>0</v>
      </c>
      <c r="C70" s="2">
        <f>INDEX( Tafel!C68:C189, Barwerte!$A70 + 1, 1)</f>
        <v>0</v>
      </c>
      <c r="D70" s="5">
        <f t="shared" ref="D70:D101" si="31">$D69 * ( 1 - INDEX( qx_PK, $A69 + 1))</f>
        <v>6569.5674485815789</v>
      </c>
      <c r="E70" s="5">
        <f t="shared" ref="E70:E101" si="32">$E69 * ( 1 - INDEX( qx_DR, $A69 + 1))</f>
        <v>6569.5674485815789</v>
      </c>
      <c r="F70" s="5">
        <f t="shared" si="22"/>
        <v>513.29817646768879</v>
      </c>
      <c r="G70" s="5">
        <f t="shared" si="23"/>
        <v>513.29817646768879</v>
      </c>
      <c r="H70" s="5">
        <f>SUM($F70:$F$126)</f>
        <v>11918.690957836745</v>
      </c>
      <c r="I70" s="5">
        <f>SUM($G70:$G$126)</f>
        <v>11918.690957836745</v>
      </c>
      <c r="J70" s="6">
        <f t="shared" si="24"/>
        <v>0</v>
      </c>
      <c r="K70" s="6">
        <f t="shared" si="25"/>
        <v>0</v>
      </c>
      <c r="L70" s="6">
        <f t="shared" si="26"/>
        <v>0</v>
      </c>
      <c r="M70" s="6">
        <f t="shared" si="27"/>
        <v>0</v>
      </c>
      <c r="N70" s="6">
        <f t="shared" si="28"/>
        <v>0</v>
      </c>
      <c r="O70" s="6">
        <f t="shared" si="29"/>
        <v>23.219819403716517</v>
      </c>
      <c r="P70" s="6">
        <f t="shared" si="30"/>
        <v>23.219819403716517</v>
      </c>
    </row>
    <row r="71" spans="1:16" x14ac:dyDescent="0.35">
      <c r="A71" s="1">
        <v>66</v>
      </c>
      <c r="B71" s="2">
        <f>INDEX( Tafel!B69:B190, Barwerte!$A71 + 1, 1)</f>
        <v>0</v>
      </c>
      <c r="C71" s="2">
        <f>INDEX( Tafel!C69:C190, Barwerte!$A71 + 1, 1)</f>
        <v>0</v>
      </c>
      <c r="D71" s="5">
        <f t="shared" si="31"/>
        <v>6569.5674485815789</v>
      </c>
      <c r="E71" s="5">
        <f t="shared" si="32"/>
        <v>6569.5674485815789</v>
      </c>
      <c r="F71" s="5">
        <f t="shared" si="22"/>
        <v>493.55593891123914</v>
      </c>
      <c r="G71" s="5">
        <f t="shared" si="23"/>
        <v>493.55593891123914</v>
      </c>
      <c r="H71" s="5">
        <f>SUM($F71:$F$126)</f>
        <v>11405.392781369057</v>
      </c>
      <c r="I71" s="5">
        <f>SUM($G71:$G$126)</f>
        <v>11405.392781369057</v>
      </c>
      <c r="J71" s="6">
        <f t="shared" si="24"/>
        <v>0</v>
      </c>
      <c r="K71" s="6">
        <f t="shared" si="25"/>
        <v>0</v>
      </c>
      <c r="L71" s="6">
        <f t="shared" si="26"/>
        <v>0</v>
      </c>
      <c r="M71" s="6">
        <f t="shared" si="27"/>
        <v>0</v>
      </c>
      <c r="N71" s="6">
        <f t="shared" si="28"/>
        <v>0</v>
      </c>
      <c r="O71" s="6">
        <f t="shared" si="29"/>
        <v>23.108612179865183</v>
      </c>
      <c r="P71" s="6">
        <f t="shared" si="30"/>
        <v>23.108612179865183</v>
      </c>
    </row>
    <row r="72" spans="1:16" x14ac:dyDescent="0.35">
      <c r="A72" s="1">
        <v>67</v>
      </c>
      <c r="B72" s="2">
        <f>INDEX( Tafel!B70:B191, Barwerte!$A72 + 1, 1)</f>
        <v>0</v>
      </c>
      <c r="C72" s="2">
        <f>INDEX( Tafel!C70:C191, Barwerte!$A72 + 1, 1)</f>
        <v>0</v>
      </c>
      <c r="D72" s="5">
        <f t="shared" si="31"/>
        <v>6569.5674485815789</v>
      </c>
      <c r="E72" s="5">
        <f t="shared" si="32"/>
        <v>6569.5674485815789</v>
      </c>
      <c r="F72" s="5">
        <f t="shared" si="22"/>
        <v>474.57301818388379</v>
      </c>
      <c r="G72" s="5">
        <f t="shared" si="23"/>
        <v>474.57301818388379</v>
      </c>
      <c r="H72" s="5">
        <f>SUM($F72:$F$126)</f>
        <v>10911.836842457815</v>
      </c>
      <c r="I72" s="5">
        <f>SUM($G72:$G$126)</f>
        <v>10911.836842457815</v>
      </c>
      <c r="J72" s="6">
        <f t="shared" si="24"/>
        <v>0</v>
      </c>
      <c r="K72" s="6">
        <f t="shared" si="25"/>
        <v>0</v>
      </c>
      <c r="L72" s="6">
        <f t="shared" si="26"/>
        <v>0</v>
      </c>
      <c r="M72" s="6">
        <f t="shared" si="27"/>
        <v>0</v>
      </c>
      <c r="N72" s="6">
        <f t="shared" si="28"/>
        <v>0</v>
      </c>
      <c r="O72" s="6">
        <f t="shared" si="29"/>
        <v>22.992956667059783</v>
      </c>
      <c r="P72" s="6">
        <f t="shared" si="30"/>
        <v>22.992956667059783</v>
      </c>
    </row>
    <row r="73" spans="1:16" x14ac:dyDescent="0.35">
      <c r="A73" s="1">
        <v>68</v>
      </c>
      <c r="B73" s="2">
        <f>INDEX( Tafel!B71:B192, Barwerte!$A73 + 1, 1)</f>
        <v>0</v>
      </c>
      <c r="C73" s="2">
        <f>INDEX( Tafel!C71:C192, Barwerte!$A73 + 1, 1)</f>
        <v>0</v>
      </c>
      <c r="D73" s="5">
        <f t="shared" si="31"/>
        <v>6569.5674485815789</v>
      </c>
      <c r="E73" s="5">
        <f t="shared" si="32"/>
        <v>6569.5674485815789</v>
      </c>
      <c r="F73" s="5">
        <f t="shared" si="22"/>
        <v>456.32020979219584</v>
      </c>
      <c r="G73" s="5">
        <f t="shared" si="23"/>
        <v>456.32020979219584</v>
      </c>
      <c r="H73" s="5">
        <f>SUM($F73:$F$126)</f>
        <v>10437.26382427393</v>
      </c>
      <c r="I73" s="5">
        <f>SUM($G73:$G$126)</f>
        <v>10437.26382427393</v>
      </c>
      <c r="J73" s="6">
        <f t="shared" si="24"/>
        <v>0</v>
      </c>
      <c r="K73" s="6">
        <f t="shared" si="25"/>
        <v>0</v>
      </c>
      <c r="L73" s="6">
        <f t="shared" si="26"/>
        <v>0</v>
      </c>
      <c r="M73" s="6">
        <f t="shared" si="27"/>
        <v>0</v>
      </c>
      <c r="N73" s="6">
        <f t="shared" si="28"/>
        <v>0</v>
      </c>
      <c r="O73" s="6">
        <f t="shared" si="29"/>
        <v>22.872674933742179</v>
      </c>
      <c r="P73" s="6">
        <f t="shared" si="30"/>
        <v>22.872674933742179</v>
      </c>
    </row>
    <row r="74" spans="1:16" x14ac:dyDescent="0.35">
      <c r="A74" s="1">
        <v>69</v>
      </c>
      <c r="B74" s="2">
        <f>INDEX( Tafel!B72:B193, Barwerte!$A74 + 1, 1)</f>
        <v>0</v>
      </c>
      <c r="C74" s="2">
        <f>INDEX( Tafel!C72:C193, Barwerte!$A74 + 1, 1)</f>
        <v>0</v>
      </c>
      <c r="D74" s="5">
        <f t="shared" si="31"/>
        <v>6569.5674485815789</v>
      </c>
      <c r="E74" s="5">
        <f t="shared" si="32"/>
        <v>6569.5674485815789</v>
      </c>
      <c r="F74" s="5">
        <f t="shared" si="22"/>
        <v>438.76943249249598</v>
      </c>
      <c r="G74" s="5">
        <f t="shared" si="23"/>
        <v>438.76943249249598</v>
      </c>
      <c r="H74" s="5">
        <f>SUM($F74:$F$126)</f>
        <v>9980.9436144817355</v>
      </c>
      <c r="I74" s="5">
        <f>SUM($G74:$G$126)</f>
        <v>9980.9436144817355</v>
      </c>
      <c r="J74" s="6">
        <f t="shared" si="24"/>
        <v>0</v>
      </c>
      <c r="K74" s="6">
        <f t="shared" si="25"/>
        <v>0</v>
      </c>
      <c r="L74" s="6">
        <f t="shared" si="26"/>
        <v>0</v>
      </c>
      <c r="M74" s="6">
        <f t="shared" si="27"/>
        <v>0</v>
      </c>
      <c r="N74" s="6">
        <f t="shared" si="28"/>
        <v>0</v>
      </c>
      <c r="O74" s="6">
        <f t="shared" si="29"/>
        <v>22.747581931091869</v>
      </c>
      <c r="P74" s="6">
        <f t="shared" si="30"/>
        <v>22.747581931091869</v>
      </c>
    </row>
    <row r="75" spans="1:16" x14ac:dyDescent="0.35">
      <c r="A75" s="1">
        <v>70</v>
      </c>
      <c r="B75" s="2">
        <f>INDEX( Tafel!B73:B194, Barwerte!$A75 + 1, 1)</f>
        <v>0</v>
      </c>
      <c r="C75" s="2">
        <f>INDEX( Tafel!C73:C194, Barwerte!$A75 + 1, 1)</f>
        <v>0</v>
      </c>
      <c r="D75" s="5">
        <f t="shared" si="31"/>
        <v>6569.5674485815789</v>
      </c>
      <c r="E75" s="5">
        <f t="shared" si="32"/>
        <v>6569.5674485815789</v>
      </c>
      <c r="F75" s="5">
        <f t="shared" si="22"/>
        <v>421.89368508893841</v>
      </c>
      <c r="G75" s="5">
        <f t="shared" si="23"/>
        <v>421.89368508893841</v>
      </c>
      <c r="H75" s="5">
        <f>SUM($F75:$F$126)</f>
        <v>9542.1741819892395</v>
      </c>
      <c r="I75" s="5">
        <f>SUM($G75:$G$126)</f>
        <v>9542.1741819892395</v>
      </c>
      <c r="J75" s="6">
        <f t="shared" si="24"/>
        <v>0</v>
      </c>
      <c r="K75" s="6">
        <f t="shared" si="25"/>
        <v>0</v>
      </c>
      <c r="L75" s="6">
        <f t="shared" si="26"/>
        <v>0</v>
      </c>
      <c r="M75" s="6">
        <f t="shared" si="27"/>
        <v>0</v>
      </c>
      <c r="N75" s="6">
        <f t="shared" si="28"/>
        <v>0</v>
      </c>
      <c r="O75" s="6">
        <f t="shared" si="29"/>
        <v>22.617485208335545</v>
      </c>
      <c r="P75" s="6">
        <f t="shared" si="30"/>
        <v>22.617485208335545</v>
      </c>
    </row>
    <row r="76" spans="1:16" x14ac:dyDescent="0.35">
      <c r="A76" s="1">
        <v>71</v>
      </c>
      <c r="B76" s="2">
        <f>INDEX( Tafel!B74:B195, Barwerte!$A76 + 1, 1)</f>
        <v>0</v>
      </c>
      <c r="C76" s="2">
        <f>INDEX( Tafel!C74:C195, Barwerte!$A76 + 1, 1)</f>
        <v>0</v>
      </c>
      <c r="D76" s="5">
        <f t="shared" si="31"/>
        <v>6569.5674485815789</v>
      </c>
      <c r="E76" s="5">
        <f t="shared" si="32"/>
        <v>6569.5674485815789</v>
      </c>
      <c r="F76" s="5">
        <f t="shared" si="22"/>
        <v>405.66700489320999</v>
      </c>
      <c r="G76" s="5">
        <f t="shared" si="23"/>
        <v>405.66700489320999</v>
      </c>
      <c r="H76" s="5">
        <f>SUM($F76:$F$126)</f>
        <v>9120.2804969003009</v>
      </c>
      <c r="I76" s="5">
        <f>SUM($G76:$G$126)</f>
        <v>9120.2804969003009</v>
      </c>
      <c r="J76" s="6">
        <f t="shared" si="24"/>
        <v>0</v>
      </c>
      <c r="K76" s="6">
        <f t="shared" si="25"/>
        <v>0</v>
      </c>
      <c r="L76" s="6">
        <f t="shared" si="26"/>
        <v>0</v>
      </c>
      <c r="M76" s="6">
        <f t="shared" si="27"/>
        <v>0</v>
      </c>
      <c r="N76" s="6">
        <f t="shared" si="28"/>
        <v>0</v>
      </c>
      <c r="O76" s="6">
        <f t="shared" si="29"/>
        <v>22.48218461666897</v>
      </c>
      <c r="P76" s="6">
        <f t="shared" si="30"/>
        <v>22.48218461666897</v>
      </c>
    </row>
    <row r="77" spans="1:16" x14ac:dyDescent="0.35">
      <c r="A77" s="1">
        <v>72</v>
      </c>
      <c r="B77" s="2">
        <f>INDEX( Tafel!B75:B196, Barwerte!$A77 + 1, 1)</f>
        <v>0</v>
      </c>
      <c r="C77" s="2">
        <f>INDEX( Tafel!C75:C196, Barwerte!$A77 + 1, 1)</f>
        <v>0</v>
      </c>
      <c r="D77" s="5">
        <f t="shared" si="31"/>
        <v>6569.5674485815789</v>
      </c>
      <c r="E77" s="5">
        <f t="shared" si="32"/>
        <v>6569.5674485815789</v>
      </c>
      <c r="F77" s="5">
        <f t="shared" si="22"/>
        <v>390.06442778193264</v>
      </c>
      <c r="G77" s="5">
        <f t="shared" si="23"/>
        <v>390.06442778193264</v>
      </c>
      <c r="H77" s="5">
        <f>SUM($F77:$F$126)</f>
        <v>8714.6134920070908</v>
      </c>
      <c r="I77" s="5">
        <f>SUM($G77:$G$126)</f>
        <v>8714.6134920070908</v>
      </c>
      <c r="J77" s="6">
        <f t="shared" si="24"/>
        <v>0</v>
      </c>
      <c r="K77" s="6">
        <f t="shared" si="25"/>
        <v>0</v>
      </c>
      <c r="L77" s="6">
        <f t="shared" si="26"/>
        <v>0</v>
      </c>
      <c r="M77" s="6">
        <f t="shared" si="27"/>
        <v>0</v>
      </c>
      <c r="N77" s="6">
        <f t="shared" si="28"/>
        <v>0</v>
      </c>
      <c r="O77" s="6">
        <f t="shared" si="29"/>
        <v>22.341472001335731</v>
      </c>
      <c r="P77" s="6">
        <f t="shared" si="30"/>
        <v>22.341472001335731</v>
      </c>
    </row>
    <row r="78" spans="1:16" x14ac:dyDescent="0.35">
      <c r="A78" s="1">
        <v>73</v>
      </c>
      <c r="B78" s="2">
        <f>INDEX( Tafel!B76:B197, Barwerte!$A78 + 1, 1)</f>
        <v>0</v>
      </c>
      <c r="C78" s="2">
        <f>INDEX( Tafel!C76:C197, Barwerte!$A78 + 1, 1)</f>
        <v>0</v>
      </c>
      <c r="D78" s="5">
        <f t="shared" si="31"/>
        <v>6569.5674485815789</v>
      </c>
      <c r="E78" s="5">
        <f t="shared" si="32"/>
        <v>6569.5674485815789</v>
      </c>
      <c r="F78" s="5">
        <f t="shared" si="22"/>
        <v>375.06194979031983</v>
      </c>
      <c r="G78" s="5">
        <f t="shared" si="23"/>
        <v>375.06194979031983</v>
      </c>
      <c r="H78" s="5">
        <f>SUM($F78:$F$126)</f>
        <v>8324.5490642251589</v>
      </c>
      <c r="I78" s="5">
        <f>SUM($G78:$G$126)</f>
        <v>8324.5490642251589</v>
      </c>
      <c r="J78" s="6">
        <f t="shared" si="24"/>
        <v>0</v>
      </c>
      <c r="K78" s="6">
        <f t="shared" si="25"/>
        <v>0</v>
      </c>
      <c r="L78" s="6">
        <f t="shared" si="26"/>
        <v>0</v>
      </c>
      <c r="M78" s="6">
        <f t="shared" si="27"/>
        <v>0</v>
      </c>
      <c r="N78" s="6">
        <f t="shared" si="28"/>
        <v>0</v>
      </c>
      <c r="O78" s="6">
        <f t="shared" si="29"/>
        <v>22.195130881389161</v>
      </c>
      <c r="P78" s="6">
        <f t="shared" si="30"/>
        <v>22.195130881389161</v>
      </c>
    </row>
    <row r="79" spans="1:16" x14ac:dyDescent="0.35">
      <c r="A79" s="1">
        <v>74</v>
      </c>
      <c r="B79" s="2">
        <f>INDEX( Tafel!B77:B198, Barwerte!$A79 + 1, 1)</f>
        <v>0</v>
      </c>
      <c r="C79" s="2">
        <f>INDEX( Tafel!C77:C198, Barwerte!$A79 + 1, 1)</f>
        <v>0</v>
      </c>
      <c r="D79" s="5">
        <f t="shared" si="31"/>
        <v>6569.5674485815789</v>
      </c>
      <c r="E79" s="5">
        <f t="shared" si="32"/>
        <v>6569.5674485815789</v>
      </c>
      <c r="F79" s="5">
        <f t="shared" si="22"/>
        <v>360.63649018299975</v>
      </c>
      <c r="G79" s="5">
        <f t="shared" si="23"/>
        <v>360.63649018299975</v>
      </c>
      <c r="H79" s="5">
        <f>SUM($F79:$F$126)</f>
        <v>7949.4871144348399</v>
      </c>
      <c r="I79" s="5">
        <f>SUM($G79:$G$126)</f>
        <v>7949.4871144348399</v>
      </c>
      <c r="J79" s="6">
        <f t="shared" si="24"/>
        <v>0</v>
      </c>
      <c r="K79" s="6">
        <f t="shared" si="25"/>
        <v>0</v>
      </c>
      <c r="L79" s="6">
        <f t="shared" si="26"/>
        <v>0</v>
      </c>
      <c r="M79" s="6">
        <f t="shared" si="27"/>
        <v>0</v>
      </c>
      <c r="N79" s="6">
        <f t="shared" si="28"/>
        <v>0</v>
      </c>
      <c r="O79" s="6">
        <f t="shared" si="29"/>
        <v>22.042936116644736</v>
      </c>
      <c r="P79" s="6">
        <f t="shared" si="30"/>
        <v>22.042936116644736</v>
      </c>
    </row>
    <row r="80" spans="1:16" x14ac:dyDescent="0.35">
      <c r="A80" s="1">
        <v>75</v>
      </c>
      <c r="B80" s="2">
        <f>INDEX( Tafel!B78:B199, Barwerte!$A80 + 1, 1)</f>
        <v>0</v>
      </c>
      <c r="C80" s="2">
        <f>INDEX( Tafel!C78:C199, Barwerte!$A80 + 1, 1)</f>
        <v>0</v>
      </c>
      <c r="D80" s="5">
        <f t="shared" si="31"/>
        <v>6569.5674485815789</v>
      </c>
      <c r="E80" s="5">
        <f t="shared" si="32"/>
        <v>6569.5674485815789</v>
      </c>
      <c r="F80" s="5">
        <f t="shared" si="22"/>
        <v>346.76585594519207</v>
      </c>
      <c r="G80" s="5">
        <f t="shared" si="23"/>
        <v>346.76585594519207</v>
      </c>
      <c r="H80" s="5">
        <f>SUM($F80:$F$126)</f>
        <v>7588.8506242518397</v>
      </c>
      <c r="I80" s="5">
        <f>SUM($G80:$G$126)</f>
        <v>7588.8506242518397</v>
      </c>
      <c r="J80" s="6">
        <f t="shared" si="24"/>
        <v>0</v>
      </c>
      <c r="K80" s="6">
        <f t="shared" si="25"/>
        <v>0</v>
      </c>
      <c r="L80" s="6">
        <f t="shared" si="26"/>
        <v>0</v>
      </c>
      <c r="M80" s="6">
        <f t="shared" si="27"/>
        <v>0</v>
      </c>
      <c r="N80" s="6">
        <f t="shared" si="28"/>
        <v>0</v>
      </c>
      <c r="O80" s="6">
        <f t="shared" si="29"/>
        <v>21.884653561310525</v>
      </c>
      <c r="P80" s="6">
        <f t="shared" si="30"/>
        <v>21.884653561310525</v>
      </c>
    </row>
    <row r="81" spans="1:16" x14ac:dyDescent="0.35">
      <c r="A81" s="1">
        <v>76</v>
      </c>
      <c r="B81" s="2">
        <f>INDEX( Tafel!B79:B200, Barwerte!$A81 + 1, 1)</f>
        <v>0</v>
      </c>
      <c r="C81" s="2">
        <f>INDEX( Tafel!C79:C200, Barwerte!$A81 + 1, 1)</f>
        <v>0</v>
      </c>
      <c r="D81" s="5">
        <f t="shared" si="31"/>
        <v>6569.5674485815789</v>
      </c>
      <c r="E81" s="5">
        <f t="shared" si="32"/>
        <v>6569.5674485815789</v>
      </c>
      <c r="F81" s="5">
        <f t="shared" si="22"/>
        <v>333.42870763960769</v>
      </c>
      <c r="G81" s="5">
        <f t="shared" si="23"/>
        <v>333.42870763960769</v>
      </c>
      <c r="H81" s="5">
        <f>SUM($F81:$F$126)</f>
        <v>7242.0847683066495</v>
      </c>
      <c r="I81" s="5">
        <f>SUM($G81:$G$126)</f>
        <v>7242.0847683066495</v>
      </c>
      <c r="J81" s="6">
        <f t="shared" si="24"/>
        <v>0</v>
      </c>
      <c r="K81" s="6">
        <f t="shared" si="25"/>
        <v>0</v>
      </c>
      <c r="L81" s="6">
        <f t="shared" si="26"/>
        <v>0</v>
      </c>
      <c r="M81" s="6">
        <f t="shared" si="27"/>
        <v>0</v>
      </c>
      <c r="N81" s="6">
        <f t="shared" si="28"/>
        <v>0</v>
      </c>
      <c r="O81" s="6">
        <f t="shared" si="29"/>
        <v>21.720039703762954</v>
      </c>
      <c r="P81" s="6">
        <f t="shared" si="30"/>
        <v>21.720039703762954</v>
      </c>
    </row>
    <row r="82" spans="1:16" x14ac:dyDescent="0.35">
      <c r="A82" s="1">
        <v>77</v>
      </c>
      <c r="B82" s="2">
        <f>INDEX( Tafel!B80:B201, Barwerte!$A82 + 1, 1)</f>
        <v>0</v>
      </c>
      <c r="C82" s="2">
        <f>INDEX( Tafel!C80:C201, Barwerte!$A82 + 1, 1)</f>
        <v>0</v>
      </c>
      <c r="D82" s="5">
        <f t="shared" si="31"/>
        <v>6569.5674485815789</v>
      </c>
      <c r="E82" s="5">
        <f t="shared" si="32"/>
        <v>6569.5674485815789</v>
      </c>
      <c r="F82" s="5">
        <f t="shared" si="22"/>
        <v>320.60452657654582</v>
      </c>
      <c r="G82" s="5">
        <f t="shared" si="23"/>
        <v>320.60452657654582</v>
      </c>
      <c r="H82" s="5">
        <f>SUM($F82:$F$126)</f>
        <v>6908.6560606670409</v>
      </c>
      <c r="I82" s="5">
        <f>SUM($G82:$G$126)</f>
        <v>6908.6560606670409</v>
      </c>
      <c r="J82" s="6">
        <f t="shared" si="24"/>
        <v>0</v>
      </c>
      <c r="K82" s="6">
        <f t="shared" si="25"/>
        <v>0</v>
      </c>
      <c r="L82" s="6">
        <f t="shared" si="26"/>
        <v>0</v>
      </c>
      <c r="M82" s="6">
        <f t="shared" si="27"/>
        <v>0</v>
      </c>
      <c r="N82" s="6">
        <f t="shared" si="28"/>
        <v>0</v>
      </c>
      <c r="O82" s="6">
        <f t="shared" si="29"/>
        <v>21.548841291913472</v>
      </c>
      <c r="P82" s="6">
        <f t="shared" si="30"/>
        <v>21.548841291913472</v>
      </c>
    </row>
    <row r="83" spans="1:16" x14ac:dyDescent="0.35">
      <c r="A83" s="1">
        <v>78</v>
      </c>
      <c r="B83" s="2">
        <f>INDEX( Tafel!B81:B202, Barwerte!$A83 + 1, 1)</f>
        <v>0</v>
      </c>
      <c r="C83" s="2">
        <f>INDEX( Tafel!C81:C202, Barwerte!$A83 + 1, 1)</f>
        <v>0</v>
      </c>
      <c r="D83" s="5">
        <f t="shared" si="31"/>
        <v>6569.5674485815789</v>
      </c>
      <c r="E83" s="5">
        <f t="shared" si="32"/>
        <v>6569.5674485815789</v>
      </c>
      <c r="F83" s="5">
        <f t="shared" si="22"/>
        <v>308.27358324667864</v>
      </c>
      <c r="G83" s="5">
        <f t="shared" si="23"/>
        <v>308.27358324667864</v>
      </c>
      <c r="H83" s="5">
        <f>SUM($F83:$F$126)</f>
        <v>6588.0515340904949</v>
      </c>
      <c r="I83" s="5">
        <f>SUM($G83:$G$126)</f>
        <v>6588.0515340904949</v>
      </c>
      <c r="J83" s="6">
        <f t="shared" si="24"/>
        <v>0</v>
      </c>
      <c r="K83" s="6">
        <f t="shared" si="25"/>
        <v>0</v>
      </c>
      <c r="L83" s="6">
        <f t="shared" si="26"/>
        <v>0</v>
      </c>
      <c r="M83" s="6">
        <f t="shared" si="27"/>
        <v>0</v>
      </c>
      <c r="N83" s="6">
        <f t="shared" si="28"/>
        <v>0</v>
      </c>
      <c r="O83" s="6">
        <f t="shared" si="29"/>
        <v>21.370794943590013</v>
      </c>
      <c r="P83" s="6">
        <f t="shared" si="30"/>
        <v>21.370794943590013</v>
      </c>
    </row>
    <row r="84" spans="1:16" x14ac:dyDescent="0.35">
      <c r="A84" s="1">
        <v>79</v>
      </c>
      <c r="B84" s="2">
        <f>INDEX( Tafel!B82:B203, Barwerte!$A84 + 1, 1)</f>
        <v>0</v>
      </c>
      <c r="C84" s="2">
        <f>INDEX( Tafel!C82:C203, Barwerte!$A84 + 1, 1)</f>
        <v>0</v>
      </c>
      <c r="D84" s="5">
        <f t="shared" si="31"/>
        <v>6569.5674485815789</v>
      </c>
      <c r="E84" s="5">
        <f t="shared" si="32"/>
        <v>6569.5674485815789</v>
      </c>
      <c r="F84" s="5">
        <f t="shared" si="22"/>
        <v>296.41690696796024</v>
      </c>
      <c r="G84" s="5">
        <f t="shared" si="23"/>
        <v>296.41690696796024</v>
      </c>
      <c r="H84" s="5">
        <f>SUM($F84:$F$126)</f>
        <v>6279.7779508438161</v>
      </c>
      <c r="I84" s="5">
        <f>SUM($G84:$G$126)</f>
        <v>6279.7779508438161</v>
      </c>
      <c r="J84" s="6">
        <f t="shared" si="24"/>
        <v>0</v>
      </c>
      <c r="K84" s="6">
        <f t="shared" si="25"/>
        <v>0</v>
      </c>
      <c r="L84" s="6">
        <f t="shared" si="26"/>
        <v>0</v>
      </c>
      <c r="M84" s="6">
        <f t="shared" si="27"/>
        <v>0</v>
      </c>
      <c r="N84" s="6">
        <f t="shared" si="28"/>
        <v>0</v>
      </c>
      <c r="O84" s="6">
        <f t="shared" si="29"/>
        <v>21.185626741333614</v>
      </c>
      <c r="P84" s="6">
        <f t="shared" si="30"/>
        <v>21.185626741333614</v>
      </c>
    </row>
    <row r="85" spans="1:16" x14ac:dyDescent="0.35">
      <c r="A85" s="1">
        <v>80</v>
      </c>
      <c r="B85" s="2">
        <f>INDEX( Tafel!B83:B204, Barwerte!$A85 + 1, 1)</f>
        <v>0</v>
      </c>
      <c r="C85" s="2">
        <f>INDEX( Tafel!C83:C204, Barwerte!$A85 + 1, 1)</f>
        <v>0</v>
      </c>
      <c r="D85" s="5">
        <f t="shared" si="31"/>
        <v>6569.5674485815789</v>
      </c>
      <c r="E85" s="5">
        <f t="shared" si="32"/>
        <v>6569.5674485815789</v>
      </c>
      <c r="F85" s="5">
        <f t="shared" si="22"/>
        <v>285.01625669996173</v>
      </c>
      <c r="G85" s="5">
        <f t="shared" si="23"/>
        <v>285.01625669996173</v>
      </c>
      <c r="H85" s="5">
        <f>SUM($F85:$F$126)</f>
        <v>5983.3610438758551</v>
      </c>
      <c r="I85" s="5">
        <f>SUM($G85:$G$126)</f>
        <v>5983.3610438758551</v>
      </c>
      <c r="J85" s="6">
        <f t="shared" si="24"/>
        <v>0</v>
      </c>
      <c r="K85" s="6">
        <f t="shared" si="25"/>
        <v>0</v>
      </c>
      <c r="L85" s="6">
        <f t="shared" si="26"/>
        <v>0</v>
      </c>
      <c r="M85" s="6">
        <f t="shared" si="27"/>
        <v>0</v>
      </c>
      <c r="N85" s="6">
        <f t="shared" si="28"/>
        <v>0</v>
      </c>
      <c r="O85" s="6">
        <f t="shared" si="29"/>
        <v>20.993051810986959</v>
      </c>
      <c r="P85" s="6">
        <f t="shared" si="30"/>
        <v>20.993051810986959</v>
      </c>
    </row>
    <row r="86" spans="1:16" x14ac:dyDescent="0.35">
      <c r="A86" s="1">
        <v>81</v>
      </c>
      <c r="B86" s="2">
        <f>INDEX( Tafel!B84:B205, Barwerte!$A86 + 1, 1)</f>
        <v>0</v>
      </c>
      <c r="C86" s="2">
        <f>INDEX( Tafel!C84:C205, Barwerte!$A86 + 1, 1)</f>
        <v>0</v>
      </c>
      <c r="D86" s="5">
        <f t="shared" si="31"/>
        <v>6569.5674485815789</v>
      </c>
      <c r="E86" s="5">
        <f t="shared" si="32"/>
        <v>6569.5674485815789</v>
      </c>
      <c r="F86" s="5">
        <f t="shared" si="22"/>
        <v>274.05409298073238</v>
      </c>
      <c r="G86" s="5">
        <f t="shared" si="23"/>
        <v>274.05409298073238</v>
      </c>
      <c r="H86" s="5">
        <f>SUM($F86:$F$126)</f>
        <v>5698.3447871758926</v>
      </c>
      <c r="I86" s="5">
        <f>SUM($G86:$G$126)</f>
        <v>5698.3447871758926</v>
      </c>
      <c r="J86" s="6">
        <f t="shared" si="24"/>
        <v>0</v>
      </c>
      <c r="K86" s="6">
        <f t="shared" si="25"/>
        <v>0</v>
      </c>
      <c r="L86" s="6">
        <f t="shared" si="26"/>
        <v>0</v>
      </c>
      <c r="M86" s="6">
        <f t="shared" si="27"/>
        <v>0</v>
      </c>
      <c r="N86" s="6">
        <f t="shared" si="28"/>
        <v>0</v>
      </c>
      <c r="O86" s="6">
        <f t="shared" si="29"/>
        <v>20.792773883426438</v>
      </c>
      <c r="P86" s="6">
        <f t="shared" si="30"/>
        <v>20.792773883426438</v>
      </c>
    </row>
    <row r="87" spans="1:16" x14ac:dyDescent="0.35">
      <c r="A87" s="1">
        <v>82</v>
      </c>
      <c r="B87" s="2">
        <f>INDEX( Tafel!B85:B206, Barwerte!$A87 + 1, 1)</f>
        <v>0</v>
      </c>
      <c r="C87" s="2">
        <f>INDEX( Tafel!C85:C206, Barwerte!$A87 + 1, 1)</f>
        <v>0</v>
      </c>
      <c r="D87" s="5">
        <f t="shared" si="31"/>
        <v>6569.5674485815789</v>
      </c>
      <c r="E87" s="5">
        <f t="shared" si="32"/>
        <v>6569.5674485815789</v>
      </c>
      <c r="F87" s="5">
        <f t="shared" si="22"/>
        <v>263.51355094301186</v>
      </c>
      <c r="G87" s="5">
        <f t="shared" si="23"/>
        <v>263.51355094301186</v>
      </c>
      <c r="H87" s="5">
        <f>SUM($F87:$F$126)</f>
        <v>5424.2906941951605</v>
      </c>
      <c r="I87" s="5">
        <f>SUM($G87:$G$126)</f>
        <v>5424.2906941951605</v>
      </c>
      <c r="J87" s="6">
        <f t="shared" si="24"/>
        <v>0</v>
      </c>
      <c r="K87" s="6">
        <f t="shared" si="25"/>
        <v>0</v>
      </c>
      <c r="L87" s="6">
        <f t="shared" si="26"/>
        <v>0</v>
      </c>
      <c r="M87" s="6">
        <f t="shared" si="27"/>
        <v>0</v>
      </c>
      <c r="N87" s="6">
        <f t="shared" si="28"/>
        <v>0</v>
      </c>
      <c r="O87" s="6">
        <f t="shared" si="29"/>
        <v>20.584484838763498</v>
      </c>
      <c r="P87" s="6">
        <f t="shared" si="30"/>
        <v>20.584484838763498</v>
      </c>
    </row>
    <row r="88" spans="1:16" x14ac:dyDescent="0.35">
      <c r="A88" s="1">
        <v>83</v>
      </c>
      <c r="B88" s="2">
        <f>INDEX( Tafel!B86:B207, Barwerte!$A88 + 1, 1)</f>
        <v>0</v>
      </c>
      <c r="C88" s="2">
        <f>INDEX( Tafel!C86:C207, Barwerte!$A88 + 1, 1)</f>
        <v>0</v>
      </c>
      <c r="D88" s="5">
        <f t="shared" si="31"/>
        <v>6569.5674485815789</v>
      </c>
      <c r="E88" s="5">
        <f t="shared" si="32"/>
        <v>6569.5674485815789</v>
      </c>
      <c r="F88" s="5">
        <f t="shared" si="22"/>
        <v>253.37841436828063</v>
      </c>
      <c r="G88" s="5">
        <f t="shared" si="23"/>
        <v>253.37841436828063</v>
      </c>
      <c r="H88" s="5">
        <f>SUM($F88:$F$126)</f>
        <v>5160.7771432521477</v>
      </c>
      <c r="I88" s="5">
        <f>SUM($G88:$G$126)</f>
        <v>5160.7771432521477</v>
      </c>
      <c r="J88" s="6">
        <f t="shared" si="24"/>
        <v>0</v>
      </c>
      <c r="K88" s="6">
        <f t="shared" si="25"/>
        <v>0</v>
      </c>
      <c r="L88" s="6">
        <f t="shared" si="26"/>
        <v>0</v>
      </c>
      <c r="M88" s="6">
        <f t="shared" si="27"/>
        <v>0</v>
      </c>
      <c r="N88" s="6">
        <f t="shared" si="28"/>
        <v>0</v>
      </c>
      <c r="O88" s="6">
        <f t="shared" si="29"/>
        <v>20.367864232314034</v>
      </c>
      <c r="P88" s="6">
        <f t="shared" si="30"/>
        <v>20.367864232314034</v>
      </c>
    </row>
    <row r="89" spans="1:16" x14ac:dyDescent="0.35">
      <c r="A89" s="1">
        <v>84</v>
      </c>
      <c r="B89" s="2">
        <f>INDEX( Tafel!B87:B208, Barwerte!$A89 + 1, 1)</f>
        <v>0</v>
      </c>
      <c r="C89" s="2">
        <f>INDEX( Tafel!C87:C208, Barwerte!$A89 + 1, 1)</f>
        <v>0</v>
      </c>
      <c r="D89" s="5">
        <f t="shared" si="31"/>
        <v>6569.5674485815789</v>
      </c>
      <c r="E89" s="5">
        <f t="shared" si="32"/>
        <v>6569.5674485815789</v>
      </c>
      <c r="F89" s="5">
        <f t="shared" si="22"/>
        <v>243.63309073873131</v>
      </c>
      <c r="G89" s="5">
        <f t="shared" si="23"/>
        <v>243.63309073873131</v>
      </c>
      <c r="H89" s="5">
        <f>SUM($F89:$F$126)</f>
        <v>4907.3987288838671</v>
      </c>
      <c r="I89" s="5">
        <f>SUM($G89:$G$126)</f>
        <v>4907.3987288838671</v>
      </c>
      <c r="J89" s="6">
        <f t="shared" si="24"/>
        <v>0</v>
      </c>
      <c r="K89" s="6">
        <f t="shared" si="25"/>
        <v>0</v>
      </c>
      <c r="L89" s="6">
        <f t="shared" si="26"/>
        <v>0</v>
      </c>
      <c r="M89" s="6">
        <f t="shared" si="27"/>
        <v>0</v>
      </c>
      <c r="N89" s="6">
        <f t="shared" si="28"/>
        <v>0</v>
      </c>
      <c r="O89" s="6">
        <f t="shared" si="29"/>
        <v>20.142578801606604</v>
      </c>
      <c r="P89" s="6">
        <f t="shared" si="30"/>
        <v>20.142578801606604</v>
      </c>
    </row>
    <row r="90" spans="1:16" x14ac:dyDescent="0.35">
      <c r="A90" s="1">
        <v>85</v>
      </c>
      <c r="B90" s="2">
        <f>INDEX( Tafel!B88:B209, Barwerte!$A90 + 1, 1)</f>
        <v>0</v>
      </c>
      <c r="C90" s="2">
        <f>INDEX( Tafel!C88:C209, Barwerte!$A90 + 1, 1)</f>
        <v>0</v>
      </c>
      <c r="D90" s="5">
        <f t="shared" si="31"/>
        <v>6569.5674485815789</v>
      </c>
      <c r="E90" s="5">
        <f t="shared" si="32"/>
        <v>6569.5674485815789</v>
      </c>
      <c r="F90" s="5">
        <f t="shared" si="22"/>
        <v>234.26258724878011</v>
      </c>
      <c r="G90" s="5">
        <f t="shared" si="23"/>
        <v>234.26258724878011</v>
      </c>
      <c r="H90" s="5">
        <f>SUM($F90:$F$126)</f>
        <v>4663.7656381451361</v>
      </c>
      <c r="I90" s="5">
        <f>SUM($G90:$G$126)</f>
        <v>4663.7656381451361</v>
      </c>
      <c r="J90" s="6">
        <f t="shared" si="24"/>
        <v>0</v>
      </c>
      <c r="K90" s="6">
        <f t="shared" si="25"/>
        <v>0</v>
      </c>
      <c r="L90" s="6">
        <f t="shared" si="26"/>
        <v>0</v>
      </c>
      <c r="M90" s="6">
        <f t="shared" si="27"/>
        <v>0</v>
      </c>
      <c r="N90" s="6">
        <f t="shared" si="28"/>
        <v>0</v>
      </c>
      <c r="O90" s="6">
        <f t="shared" si="29"/>
        <v>19.908281953670869</v>
      </c>
      <c r="P90" s="6">
        <f t="shared" si="30"/>
        <v>19.908281953670869</v>
      </c>
    </row>
    <row r="91" spans="1:16" x14ac:dyDescent="0.35">
      <c r="A91" s="1">
        <v>86</v>
      </c>
      <c r="B91" s="2">
        <f>INDEX( Tafel!B89:B210, Barwerte!$A91 + 1, 1)</f>
        <v>0</v>
      </c>
      <c r="C91" s="2">
        <f>INDEX( Tafel!C89:C210, Barwerte!$A91 + 1, 1)</f>
        <v>0</v>
      </c>
      <c r="D91" s="5">
        <f t="shared" si="31"/>
        <v>6569.5674485815789</v>
      </c>
      <c r="E91" s="5">
        <f t="shared" si="32"/>
        <v>6569.5674485815789</v>
      </c>
      <c r="F91" s="5">
        <f t="shared" si="22"/>
        <v>225.2524877392116</v>
      </c>
      <c r="G91" s="5">
        <f t="shared" si="23"/>
        <v>225.2524877392116</v>
      </c>
      <c r="H91" s="5">
        <f>SUM($F91:$F$126)</f>
        <v>4429.5030508963555</v>
      </c>
      <c r="I91" s="5">
        <f>SUM($G91:$G$126)</f>
        <v>4429.5030508963555</v>
      </c>
      <c r="J91" s="6">
        <f t="shared" si="24"/>
        <v>0</v>
      </c>
      <c r="K91" s="6">
        <f t="shared" si="25"/>
        <v>0</v>
      </c>
      <c r="L91" s="6">
        <f t="shared" si="26"/>
        <v>0</v>
      </c>
      <c r="M91" s="6">
        <f t="shared" si="27"/>
        <v>0</v>
      </c>
      <c r="N91" s="6">
        <f t="shared" si="28"/>
        <v>0</v>
      </c>
      <c r="O91" s="6">
        <f t="shared" si="29"/>
        <v>19.664613231817704</v>
      </c>
      <c r="P91" s="6">
        <f t="shared" si="30"/>
        <v>19.664613231817704</v>
      </c>
    </row>
    <row r="92" spans="1:16" x14ac:dyDescent="0.35">
      <c r="A92" s="1">
        <v>87</v>
      </c>
      <c r="B92" s="2">
        <f>INDEX( Tafel!B90:B211, Barwerte!$A92 + 1, 1)</f>
        <v>0</v>
      </c>
      <c r="C92" s="2">
        <f>INDEX( Tafel!C90:C211, Barwerte!$A92 + 1, 1)</f>
        <v>0</v>
      </c>
      <c r="D92" s="5">
        <f t="shared" si="31"/>
        <v>6569.5674485815789</v>
      </c>
      <c r="E92" s="5">
        <f t="shared" si="32"/>
        <v>6569.5674485815789</v>
      </c>
      <c r="F92" s="5">
        <f t="shared" si="22"/>
        <v>216.58893051847272</v>
      </c>
      <c r="G92" s="5">
        <f t="shared" si="23"/>
        <v>216.58893051847272</v>
      </c>
      <c r="H92" s="5">
        <f>SUM($F92:$F$126)</f>
        <v>4204.2505631571439</v>
      </c>
      <c r="I92" s="5">
        <f>SUM($G92:$G$126)</f>
        <v>4204.2505631571439</v>
      </c>
      <c r="J92" s="6">
        <f t="shared" si="24"/>
        <v>0</v>
      </c>
      <c r="K92" s="6">
        <f t="shared" si="25"/>
        <v>0</v>
      </c>
      <c r="L92" s="6">
        <f t="shared" si="26"/>
        <v>0</v>
      </c>
      <c r="M92" s="6">
        <f t="shared" si="27"/>
        <v>0</v>
      </c>
      <c r="N92" s="6">
        <f t="shared" si="28"/>
        <v>0</v>
      </c>
      <c r="O92" s="6">
        <f t="shared" si="29"/>
        <v>19.41119776109041</v>
      </c>
      <c r="P92" s="6">
        <f t="shared" si="30"/>
        <v>19.41119776109041</v>
      </c>
    </row>
    <row r="93" spans="1:16" x14ac:dyDescent="0.35">
      <c r="A93" s="1">
        <v>88</v>
      </c>
      <c r="B93" s="2">
        <f>INDEX( Tafel!B91:B212, Barwerte!$A93 + 1, 1)</f>
        <v>0</v>
      </c>
      <c r="C93" s="2">
        <f>INDEX( Tafel!C91:C212, Barwerte!$A93 + 1, 1)</f>
        <v>0</v>
      </c>
      <c r="D93" s="5">
        <f t="shared" si="31"/>
        <v>6569.5674485815789</v>
      </c>
      <c r="E93" s="5">
        <f t="shared" si="32"/>
        <v>6569.5674485815789</v>
      </c>
      <c r="F93" s="5">
        <f t="shared" si="22"/>
        <v>208.25858703699296</v>
      </c>
      <c r="G93" s="5">
        <f t="shared" si="23"/>
        <v>208.25858703699296</v>
      </c>
      <c r="H93" s="5">
        <f>SUM($F93:$F$126)</f>
        <v>3987.6616326386711</v>
      </c>
      <c r="I93" s="5">
        <f>SUM($G93:$G$126)</f>
        <v>3987.6616326386711</v>
      </c>
      <c r="J93" s="6">
        <f t="shared" si="24"/>
        <v>0</v>
      </c>
      <c r="K93" s="6">
        <f t="shared" si="25"/>
        <v>0</v>
      </c>
      <c r="L93" s="6">
        <f t="shared" si="26"/>
        <v>0</v>
      </c>
      <c r="M93" s="6">
        <f t="shared" si="27"/>
        <v>0</v>
      </c>
      <c r="N93" s="6">
        <f t="shared" si="28"/>
        <v>0</v>
      </c>
      <c r="O93" s="6">
        <f t="shared" si="29"/>
        <v>19.147645671534029</v>
      </c>
      <c r="P93" s="6">
        <f t="shared" si="30"/>
        <v>19.147645671534029</v>
      </c>
    </row>
    <row r="94" spans="1:16" x14ac:dyDescent="0.35">
      <c r="A94" s="1">
        <v>89</v>
      </c>
      <c r="B94" s="2">
        <f>INDEX( Tafel!B92:B213, Barwerte!$A94 + 1, 1)</f>
        <v>0</v>
      </c>
      <c r="C94" s="2">
        <f>INDEX( Tafel!C92:C213, Barwerte!$A94 + 1, 1)</f>
        <v>0</v>
      </c>
      <c r="D94" s="5">
        <f t="shared" si="31"/>
        <v>6569.5674485815789</v>
      </c>
      <c r="E94" s="5">
        <f t="shared" si="32"/>
        <v>6569.5674485815789</v>
      </c>
      <c r="F94" s="5">
        <f t="shared" si="22"/>
        <v>200.24864138172398</v>
      </c>
      <c r="G94" s="5">
        <f t="shared" si="23"/>
        <v>200.24864138172398</v>
      </c>
      <c r="H94" s="5">
        <f>SUM($F94:$F$126)</f>
        <v>3779.4030456016781</v>
      </c>
      <c r="I94" s="5">
        <f>SUM($G94:$G$126)</f>
        <v>3779.4030456016781</v>
      </c>
      <c r="J94" s="6">
        <f t="shared" si="24"/>
        <v>0</v>
      </c>
      <c r="K94" s="6">
        <f t="shared" si="25"/>
        <v>0</v>
      </c>
      <c r="L94" s="6">
        <f t="shared" si="26"/>
        <v>0</v>
      </c>
      <c r="M94" s="6">
        <f t="shared" si="27"/>
        <v>0</v>
      </c>
      <c r="N94" s="6">
        <f t="shared" si="28"/>
        <v>0</v>
      </c>
      <c r="O94" s="6">
        <f t="shared" si="29"/>
        <v>18.87355149839539</v>
      </c>
      <c r="P94" s="6">
        <f t="shared" si="30"/>
        <v>18.87355149839539</v>
      </c>
    </row>
    <row r="95" spans="1:16" x14ac:dyDescent="0.35">
      <c r="A95" s="1">
        <v>90</v>
      </c>
      <c r="B95" s="2">
        <f>INDEX( Tafel!B93:B214, Barwerte!$A95 + 1, 1)</f>
        <v>0</v>
      </c>
      <c r="C95" s="2">
        <f>INDEX( Tafel!C93:C214, Barwerte!$A95 + 1, 1)</f>
        <v>0</v>
      </c>
      <c r="D95" s="5">
        <f t="shared" si="31"/>
        <v>6569.5674485815789</v>
      </c>
      <c r="E95" s="5">
        <f t="shared" si="32"/>
        <v>6569.5674485815789</v>
      </c>
      <c r="F95" s="5">
        <f t="shared" si="22"/>
        <v>192.54677055934997</v>
      </c>
      <c r="G95" s="5">
        <f t="shared" si="23"/>
        <v>192.54677055934997</v>
      </c>
      <c r="H95" s="5">
        <f>SUM($F95:$F$126)</f>
        <v>3579.1544042199544</v>
      </c>
      <c r="I95" s="5">
        <f>SUM($G95:$G$126)</f>
        <v>3579.1544042199544</v>
      </c>
      <c r="J95" s="6">
        <f t="shared" si="24"/>
        <v>0</v>
      </c>
      <c r="K95" s="6">
        <f t="shared" si="25"/>
        <v>0</v>
      </c>
      <c r="L95" s="6">
        <f t="shared" si="26"/>
        <v>0</v>
      </c>
      <c r="M95" s="6">
        <f t="shared" si="27"/>
        <v>0</v>
      </c>
      <c r="N95" s="6">
        <f t="shared" si="28"/>
        <v>0</v>
      </c>
      <c r="O95" s="6">
        <f t="shared" si="29"/>
        <v>18.588493558331209</v>
      </c>
      <c r="P95" s="6">
        <f t="shared" si="30"/>
        <v>18.588493558331209</v>
      </c>
    </row>
    <row r="96" spans="1:16" x14ac:dyDescent="0.35">
      <c r="A96" s="1">
        <v>91</v>
      </c>
      <c r="B96" s="2">
        <f>INDEX( Tafel!B94:B215, Barwerte!$A96 + 1, 1)</f>
        <v>0</v>
      </c>
      <c r="C96" s="2">
        <f>INDEX( Tafel!C94:C215, Barwerte!$A96 + 1, 1)</f>
        <v>0</v>
      </c>
      <c r="D96" s="5">
        <f t="shared" si="31"/>
        <v>6569.5674485815789</v>
      </c>
      <c r="E96" s="5">
        <f t="shared" si="32"/>
        <v>6569.5674485815789</v>
      </c>
      <c r="F96" s="5">
        <f t="shared" si="22"/>
        <v>185.1411255378365</v>
      </c>
      <c r="G96" s="5">
        <f t="shared" si="23"/>
        <v>185.1411255378365</v>
      </c>
      <c r="H96" s="5">
        <f>SUM($F96:$F$126)</f>
        <v>3386.6076336606043</v>
      </c>
      <c r="I96" s="5">
        <f>SUM($G96:$G$126)</f>
        <v>3386.6076336606043</v>
      </c>
      <c r="J96" s="6">
        <f t="shared" si="24"/>
        <v>0</v>
      </c>
      <c r="K96" s="6">
        <f t="shared" si="25"/>
        <v>0</v>
      </c>
      <c r="L96" s="6">
        <f t="shared" si="26"/>
        <v>0</v>
      </c>
      <c r="M96" s="6">
        <f t="shared" si="27"/>
        <v>0</v>
      </c>
      <c r="N96" s="6">
        <f t="shared" si="28"/>
        <v>0</v>
      </c>
      <c r="O96" s="6">
        <f t="shared" si="29"/>
        <v>18.292033300664457</v>
      </c>
      <c r="P96" s="6">
        <f t="shared" si="30"/>
        <v>18.292033300664457</v>
      </c>
    </row>
    <row r="97" spans="1:16" x14ac:dyDescent="0.35">
      <c r="A97" s="1">
        <v>92</v>
      </c>
      <c r="B97" s="2">
        <f>INDEX( Tafel!B95:B216, Barwerte!$A97 + 1, 1)</f>
        <v>0</v>
      </c>
      <c r="C97" s="2">
        <f>INDEX( Tafel!C95:C216, Barwerte!$A97 + 1, 1)</f>
        <v>0</v>
      </c>
      <c r="D97" s="5">
        <f t="shared" si="31"/>
        <v>6569.5674485815789</v>
      </c>
      <c r="E97" s="5">
        <f t="shared" si="32"/>
        <v>6569.5674485815789</v>
      </c>
      <c r="F97" s="5">
        <f t="shared" si="22"/>
        <v>178.02031301715044</v>
      </c>
      <c r="G97" s="5">
        <f t="shared" si="23"/>
        <v>178.02031301715044</v>
      </c>
      <c r="H97" s="5">
        <f>SUM($F97:$F$126)</f>
        <v>3201.4665081227681</v>
      </c>
      <c r="I97" s="5">
        <f>SUM($G97:$G$126)</f>
        <v>3201.4665081227681</v>
      </c>
      <c r="J97" s="6">
        <f t="shared" si="24"/>
        <v>0</v>
      </c>
      <c r="K97" s="6">
        <f t="shared" si="25"/>
        <v>0</v>
      </c>
      <c r="L97" s="6">
        <f t="shared" si="26"/>
        <v>0</v>
      </c>
      <c r="M97" s="6">
        <f t="shared" si="27"/>
        <v>0</v>
      </c>
      <c r="N97" s="6">
        <f t="shared" si="28"/>
        <v>0</v>
      </c>
      <c r="O97" s="6">
        <f t="shared" si="29"/>
        <v>17.983714632691044</v>
      </c>
      <c r="P97" s="6">
        <f t="shared" si="30"/>
        <v>17.983714632691044</v>
      </c>
    </row>
    <row r="98" spans="1:16" x14ac:dyDescent="0.35">
      <c r="A98" s="1">
        <v>93</v>
      </c>
      <c r="B98" s="2">
        <f>INDEX( Tafel!B96:B217, Barwerte!$A98 + 1, 1)</f>
        <v>0</v>
      </c>
      <c r="C98" s="2">
        <f>INDEX( Tafel!C96:C217, Barwerte!$A98 + 1, 1)</f>
        <v>0</v>
      </c>
      <c r="D98" s="5">
        <f t="shared" si="31"/>
        <v>6569.5674485815789</v>
      </c>
      <c r="E98" s="5">
        <f t="shared" si="32"/>
        <v>6569.5674485815789</v>
      </c>
      <c r="F98" s="5">
        <f t="shared" si="22"/>
        <v>171.17337790110619</v>
      </c>
      <c r="G98" s="5">
        <f t="shared" si="23"/>
        <v>171.17337790110619</v>
      </c>
      <c r="H98" s="5">
        <f>SUM($F98:$F$126)</f>
        <v>3023.4461951056178</v>
      </c>
      <c r="I98" s="5">
        <f>SUM($G98:$G$126)</f>
        <v>3023.4461951056178</v>
      </c>
      <c r="J98" s="6">
        <f t="shared" si="24"/>
        <v>0</v>
      </c>
      <c r="K98" s="6">
        <f t="shared" si="25"/>
        <v>0</v>
      </c>
      <c r="L98" s="6">
        <f t="shared" si="26"/>
        <v>0</v>
      </c>
      <c r="M98" s="6">
        <f t="shared" si="27"/>
        <v>0</v>
      </c>
      <c r="N98" s="6">
        <f t="shared" si="28"/>
        <v>0</v>
      </c>
      <c r="O98" s="6">
        <f t="shared" si="29"/>
        <v>17.663063217998687</v>
      </c>
      <c r="P98" s="6">
        <f t="shared" si="30"/>
        <v>17.663063217998687</v>
      </c>
    </row>
    <row r="99" spans="1:16" x14ac:dyDescent="0.35">
      <c r="A99" s="1">
        <v>94</v>
      </c>
      <c r="B99" s="2">
        <f>INDEX( Tafel!B97:B218, Barwerte!$A99 + 1, 1)</f>
        <v>0</v>
      </c>
      <c r="C99" s="2">
        <f>INDEX( Tafel!C97:C218, Barwerte!$A99 + 1, 1)</f>
        <v>0</v>
      </c>
      <c r="D99" s="5">
        <f t="shared" si="31"/>
        <v>6569.5674485815789</v>
      </c>
      <c r="E99" s="5">
        <f t="shared" si="32"/>
        <v>6569.5674485815789</v>
      </c>
      <c r="F99" s="5">
        <f t="shared" si="22"/>
        <v>164.58978644337128</v>
      </c>
      <c r="G99" s="5">
        <f t="shared" si="23"/>
        <v>164.58978644337128</v>
      </c>
      <c r="H99" s="5">
        <f>SUM($F99:$F$126)</f>
        <v>2852.2728172045117</v>
      </c>
      <c r="I99" s="5">
        <f>SUM($G99:$G$126)</f>
        <v>2852.2728172045117</v>
      </c>
      <c r="J99" s="6">
        <f t="shared" si="24"/>
        <v>0</v>
      </c>
      <c r="K99" s="6">
        <f t="shared" si="25"/>
        <v>0</v>
      </c>
      <c r="L99" s="6">
        <f t="shared" si="26"/>
        <v>0</v>
      </c>
      <c r="M99" s="6">
        <f t="shared" si="27"/>
        <v>0</v>
      </c>
      <c r="N99" s="6">
        <f t="shared" si="28"/>
        <v>0</v>
      </c>
      <c r="O99" s="6">
        <f t="shared" si="29"/>
        <v>17.329585746718639</v>
      </c>
      <c r="P99" s="6">
        <f t="shared" si="30"/>
        <v>17.329585746718639</v>
      </c>
    </row>
    <row r="100" spans="1:16" x14ac:dyDescent="0.35">
      <c r="A100" s="1">
        <v>95</v>
      </c>
      <c r="B100" s="2">
        <f>INDEX( Tafel!B98:B219, Barwerte!$A100 + 1, 1)</f>
        <v>0</v>
      </c>
      <c r="C100" s="2">
        <f>INDEX( Tafel!C98:C219, Barwerte!$A100 + 1, 1)</f>
        <v>0</v>
      </c>
      <c r="D100" s="5">
        <f t="shared" si="31"/>
        <v>6569.5674485815789</v>
      </c>
      <c r="E100" s="5">
        <f t="shared" si="32"/>
        <v>6569.5674485815789</v>
      </c>
      <c r="F100" s="5">
        <f t="shared" si="22"/>
        <v>158.25941004170318</v>
      </c>
      <c r="G100" s="5">
        <f t="shared" si="23"/>
        <v>158.25941004170318</v>
      </c>
      <c r="H100" s="5">
        <f>SUM($F100:$F$126)</f>
        <v>2687.6830307611403</v>
      </c>
      <c r="I100" s="5">
        <f>SUM($G100:$G$126)</f>
        <v>2687.6830307611403</v>
      </c>
      <c r="J100" s="6">
        <f t="shared" si="24"/>
        <v>0</v>
      </c>
      <c r="K100" s="6">
        <f t="shared" si="25"/>
        <v>0</v>
      </c>
      <c r="L100" s="6">
        <f t="shared" si="26"/>
        <v>0</v>
      </c>
      <c r="M100" s="6">
        <f t="shared" si="27"/>
        <v>0</v>
      </c>
      <c r="N100" s="6">
        <f t="shared" si="28"/>
        <v>0</v>
      </c>
      <c r="O100" s="6">
        <f t="shared" si="29"/>
        <v>16.982769176587382</v>
      </c>
      <c r="P100" s="6">
        <f t="shared" si="30"/>
        <v>16.982769176587382</v>
      </c>
    </row>
    <row r="101" spans="1:16" x14ac:dyDescent="0.35">
      <c r="A101" s="1">
        <v>96</v>
      </c>
      <c r="B101" s="2">
        <f>INDEX( Tafel!B99:B220, Barwerte!$A101 + 1, 1)</f>
        <v>0</v>
      </c>
      <c r="C101" s="2">
        <f>INDEX( Tafel!C99:C220, Barwerte!$A101 + 1, 1)</f>
        <v>0</v>
      </c>
      <c r="D101" s="5">
        <f t="shared" si="31"/>
        <v>6569.5674485815789</v>
      </c>
      <c r="E101" s="5">
        <f t="shared" si="32"/>
        <v>6569.5674485815789</v>
      </c>
      <c r="F101" s="5">
        <f t="shared" ref="F101:F126" si="33">$D101 * v_PK ^ $A101</f>
        <v>152.17250965548379</v>
      </c>
      <c r="G101" s="5">
        <f t="shared" ref="G101:G126" si="34">$E101 * v_DR ^ $A101</f>
        <v>152.17250965548379</v>
      </c>
      <c r="H101" s="5">
        <f>SUM($F101:$F$126)</f>
        <v>2529.4236207194372</v>
      </c>
      <c r="I101" s="5">
        <f>SUM($G101:$G$126)</f>
        <v>2529.4236207194372</v>
      </c>
      <c r="J101" s="6">
        <f t="shared" ref="J101:J126" si="35">IF( $A101 &lt; x + n,
       (Nx_PK - INDEX( Nx_PK, MAX( $A101 + 1, x + n + 1))) / Dx_PK,
       0)</f>
        <v>0</v>
      </c>
      <c r="K101" s="6">
        <f t="shared" ref="K101:K126" si="36">IF( $A101 &lt; x + n,
       (Nx_DR - INDEX( Nx_DR, MAX( $A101 + 1, x + n + 1))) / Dx_DR,
       0)</f>
        <v>0</v>
      </c>
      <c r="L101" s="6">
        <f t="shared" ref="L101:L126" si="37">IF( $A101 &lt; x + t,
       (Nx_PK - INDEX( Nx_PK, MAX( $A101 + 1, x + t + 1))) / Dx_PK,
       0)</f>
        <v>0</v>
      </c>
      <c r="M101" s="6">
        <f t="shared" ref="M101:M126" si="38">IF( $A101 &lt; x + t,
       (Nx_DR - INDEX( Nx_DR, MAX( $A101 + 1, x + t + 1))) / Dx_DR,
       0)</f>
        <v>0</v>
      </c>
      <c r="N101" s="6">
        <f t="shared" ref="N101:N126" si="39">IF( $A101 &lt; x + 5,
       (Nx_PK - INDEX( Nx_PK, MAX( $A101 + 1, x + 5 + 1))) / Dx_PK,
       0)</f>
        <v>0</v>
      </c>
      <c r="O101" s="6">
        <f t="shared" ref="O101:O126" si="40">IF( $B101 &lt; 121 + 1,
       INDEX( Dx_PK, x + n + 1) / INDEX( Dx_PK, MIN( $A101 + 1, x + n + 1)) * INDEX( Nx_PK, MAX( $A101 + 1, x + n + 1)) / INDEX( Dx_PK, MAX( $A101 + 1, x + n + 1)),
       0)</f>
        <v>16.622079943650881</v>
      </c>
      <c r="P101" s="6">
        <f t="shared" ref="P101:P126" si="41">IF( $B101 &lt; 121 + 1,
       INDEX( Dx_DR, x + n + 1) / INDEX( Dx_DR, MIN( $A101 + 1, x + n + 1)) * INDEX( Nx_DR, MAX( $A101 + 1, x + n + 1)) / INDEX( Dx_DR, MAX( $A101 + 1, x + n + 1)),
       0)</f>
        <v>16.622079943650881</v>
      </c>
    </row>
    <row r="102" spans="1:16" x14ac:dyDescent="0.35">
      <c r="A102" s="1">
        <v>97</v>
      </c>
      <c r="B102" s="2">
        <f>INDEX( Tafel!B100:B221, Barwerte!$A102 + 1, 1)</f>
        <v>0</v>
      </c>
      <c r="C102" s="2">
        <f>INDEX( Tafel!C100:C221, Barwerte!$A102 + 1, 1)</f>
        <v>0</v>
      </c>
      <c r="D102" s="5">
        <f t="shared" ref="D102:D126" si="42">$D101 * ( 1 - INDEX( qx_PK, $A101 + 1))</f>
        <v>6569.5674485815789</v>
      </c>
      <c r="E102" s="5">
        <f t="shared" ref="E102:E126" si="43">$E101 * ( 1 - INDEX( qx_DR, $A101 + 1))</f>
        <v>6569.5674485815789</v>
      </c>
      <c r="F102" s="5">
        <f t="shared" si="33"/>
        <v>146.31972082258056</v>
      </c>
      <c r="G102" s="5">
        <f t="shared" si="34"/>
        <v>146.31972082258056</v>
      </c>
      <c r="H102" s="5">
        <f>SUM($F102:$F$126)</f>
        <v>2377.251111063953</v>
      </c>
      <c r="I102" s="5">
        <f>SUM($G102:$G$126)</f>
        <v>2377.251111063953</v>
      </c>
      <c r="J102" s="6">
        <f t="shared" si="35"/>
        <v>0</v>
      </c>
      <c r="K102" s="6">
        <f t="shared" si="36"/>
        <v>0</v>
      </c>
      <c r="L102" s="6">
        <f t="shared" si="37"/>
        <v>0</v>
      </c>
      <c r="M102" s="6">
        <f t="shared" si="38"/>
        <v>0</v>
      </c>
      <c r="N102" s="6">
        <f t="shared" si="39"/>
        <v>0</v>
      </c>
      <c r="O102" s="6">
        <f t="shared" si="40"/>
        <v>16.246963141396915</v>
      </c>
      <c r="P102" s="6">
        <f t="shared" si="41"/>
        <v>16.246963141396915</v>
      </c>
    </row>
    <row r="103" spans="1:16" x14ac:dyDescent="0.35">
      <c r="A103" s="1">
        <v>98</v>
      </c>
      <c r="B103" s="2">
        <f>INDEX( Tafel!B101:B222, Barwerte!$A103 + 1, 1)</f>
        <v>0</v>
      </c>
      <c r="C103" s="2">
        <f>INDEX( Tafel!C101:C222, Barwerte!$A103 + 1, 1)</f>
        <v>0</v>
      </c>
      <c r="D103" s="5">
        <f t="shared" si="42"/>
        <v>6569.5674485815789</v>
      </c>
      <c r="E103" s="5">
        <f t="shared" si="43"/>
        <v>6569.5674485815789</v>
      </c>
      <c r="F103" s="5">
        <f t="shared" si="33"/>
        <v>140.69203925248129</v>
      </c>
      <c r="G103" s="5">
        <f t="shared" si="34"/>
        <v>140.69203925248129</v>
      </c>
      <c r="H103" s="5">
        <f>SUM($F103:$F$126)</f>
        <v>2230.9313902413724</v>
      </c>
      <c r="I103" s="5">
        <f>SUM($G103:$G$126)</f>
        <v>2230.9313902413724</v>
      </c>
      <c r="J103" s="6">
        <f t="shared" si="35"/>
        <v>0</v>
      </c>
      <c r="K103" s="6">
        <f t="shared" si="36"/>
        <v>0</v>
      </c>
      <c r="L103" s="6">
        <f t="shared" si="37"/>
        <v>0</v>
      </c>
      <c r="M103" s="6">
        <f t="shared" si="38"/>
        <v>0</v>
      </c>
      <c r="N103" s="6">
        <f t="shared" si="39"/>
        <v>0</v>
      </c>
      <c r="O103" s="6">
        <f t="shared" si="40"/>
        <v>15.856841667052793</v>
      </c>
      <c r="P103" s="6">
        <f t="shared" si="41"/>
        <v>15.856841667052793</v>
      </c>
    </row>
    <row r="104" spans="1:16" x14ac:dyDescent="0.35">
      <c r="A104" s="1">
        <v>99</v>
      </c>
      <c r="B104" s="2">
        <f>INDEX( Tafel!B102:B223, Barwerte!$A104 + 1, 1)</f>
        <v>0</v>
      </c>
      <c r="C104" s="2">
        <f>INDEX( Tafel!C102:C223, Barwerte!$A104 + 1, 1)</f>
        <v>0</v>
      </c>
      <c r="D104" s="5">
        <f t="shared" si="42"/>
        <v>6569.5674485815789</v>
      </c>
      <c r="E104" s="5">
        <f t="shared" si="43"/>
        <v>6569.5674485815789</v>
      </c>
      <c r="F104" s="5">
        <f t="shared" si="33"/>
        <v>135.28080697353971</v>
      </c>
      <c r="G104" s="5">
        <f t="shared" si="34"/>
        <v>135.28080697353971</v>
      </c>
      <c r="H104" s="5">
        <f>SUM($F104:$F$126)</f>
        <v>2090.2393509888911</v>
      </c>
      <c r="I104" s="5">
        <f>SUM($G104:$G$126)</f>
        <v>2090.2393509888911</v>
      </c>
      <c r="J104" s="6">
        <f t="shared" si="35"/>
        <v>0</v>
      </c>
      <c r="K104" s="6">
        <f t="shared" si="36"/>
        <v>0</v>
      </c>
      <c r="L104" s="6">
        <f t="shared" si="37"/>
        <v>0</v>
      </c>
      <c r="M104" s="6">
        <f t="shared" si="38"/>
        <v>0</v>
      </c>
      <c r="N104" s="6">
        <f t="shared" si="39"/>
        <v>0</v>
      </c>
      <c r="O104" s="6">
        <f t="shared" si="40"/>
        <v>15.451115333734904</v>
      </c>
      <c r="P104" s="6">
        <f t="shared" si="41"/>
        <v>15.451115333734904</v>
      </c>
    </row>
    <row r="105" spans="1:16" x14ac:dyDescent="0.35">
      <c r="A105" s="1">
        <v>100</v>
      </c>
      <c r="B105" s="2">
        <f>INDEX( Tafel!B103:B224, Barwerte!$A105 + 1, 1)</f>
        <v>0</v>
      </c>
      <c r="C105" s="2">
        <f>INDEX( Tafel!C103:C224, Barwerte!$A105 + 1, 1)</f>
        <v>0</v>
      </c>
      <c r="D105" s="5">
        <f t="shared" si="42"/>
        <v>6569.5674485815789</v>
      </c>
      <c r="E105" s="5">
        <f t="shared" si="43"/>
        <v>6569.5674485815789</v>
      </c>
      <c r="F105" s="5">
        <f t="shared" si="33"/>
        <v>130.07769901301893</v>
      </c>
      <c r="G105" s="5">
        <f t="shared" si="34"/>
        <v>130.07769901301893</v>
      </c>
      <c r="H105" s="5">
        <f>SUM($F105:$F$126)</f>
        <v>1954.9585440153514</v>
      </c>
      <c r="I105" s="5">
        <f>SUM($G105:$G$126)</f>
        <v>1954.9585440153514</v>
      </c>
      <c r="J105" s="6">
        <f t="shared" si="35"/>
        <v>0</v>
      </c>
      <c r="K105" s="6">
        <f t="shared" si="36"/>
        <v>0</v>
      </c>
      <c r="L105" s="6">
        <f t="shared" si="37"/>
        <v>0</v>
      </c>
      <c r="M105" s="6">
        <f t="shared" si="38"/>
        <v>0</v>
      </c>
      <c r="N105" s="6">
        <f t="shared" si="39"/>
        <v>0</v>
      </c>
      <c r="O105" s="6">
        <f t="shared" si="40"/>
        <v>15.029159947084302</v>
      </c>
      <c r="P105" s="6">
        <f t="shared" si="41"/>
        <v>15.029159947084302</v>
      </c>
    </row>
    <row r="106" spans="1:16" x14ac:dyDescent="0.35">
      <c r="A106" s="1">
        <v>101</v>
      </c>
      <c r="B106" s="2">
        <f>INDEX( Tafel!B104:B225, Barwerte!$A106 + 1, 1)</f>
        <v>0</v>
      </c>
      <c r="C106" s="2">
        <f>INDEX( Tafel!C104:C225, Barwerte!$A106 + 1, 1)</f>
        <v>0</v>
      </c>
      <c r="D106" s="5">
        <f t="shared" si="42"/>
        <v>6569.5674485815789</v>
      </c>
      <c r="E106" s="5">
        <f t="shared" si="43"/>
        <v>6569.5674485815789</v>
      </c>
      <c r="F106" s="5">
        <f t="shared" si="33"/>
        <v>125.07471058944125</v>
      </c>
      <c r="G106" s="5">
        <f t="shared" si="34"/>
        <v>125.07471058944125</v>
      </c>
      <c r="H106" s="5">
        <f>SUM($F106:$F$126)</f>
        <v>1824.8808450023323</v>
      </c>
      <c r="I106" s="5">
        <f>SUM($G106:$G$126)</f>
        <v>1824.8808450023323</v>
      </c>
      <c r="J106" s="6">
        <f t="shared" si="35"/>
        <v>0</v>
      </c>
      <c r="K106" s="6">
        <f t="shared" si="36"/>
        <v>0</v>
      </c>
      <c r="L106" s="6">
        <f t="shared" si="37"/>
        <v>0</v>
      </c>
      <c r="M106" s="6">
        <f t="shared" si="38"/>
        <v>0</v>
      </c>
      <c r="N106" s="6">
        <f t="shared" si="39"/>
        <v>0</v>
      </c>
      <c r="O106" s="6">
        <f t="shared" si="40"/>
        <v>14.590326344967677</v>
      </c>
      <c r="P106" s="6">
        <f t="shared" si="41"/>
        <v>14.590326344967677</v>
      </c>
    </row>
    <row r="107" spans="1:16" x14ac:dyDescent="0.35">
      <c r="A107" s="1">
        <v>102</v>
      </c>
      <c r="B107" s="2">
        <f>INDEX( Tafel!B105:B226, Barwerte!$A107 + 1, 1)</f>
        <v>0</v>
      </c>
      <c r="C107" s="2">
        <f>INDEX( Tafel!C105:C226, Barwerte!$A107 + 1, 1)</f>
        <v>0</v>
      </c>
      <c r="D107" s="5">
        <f t="shared" si="42"/>
        <v>6569.5674485815789</v>
      </c>
      <c r="E107" s="5">
        <f t="shared" si="43"/>
        <v>6569.5674485815789</v>
      </c>
      <c r="F107" s="5">
        <f t="shared" si="33"/>
        <v>120.26414479753966</v>
      </c>
      <c r="G107" s="5">
        <f t="shared" si="34"/>
        <v>120.26414479753966</v>
      </c>
      <c r="H107" s="5">
        <f>SUM($F107:$F$126)</f>
        <v>1699.806134412891</v>
      </c>
      <c r="I107" s="5">
        <f>SUM($G107:$G$126)</f>
        <v>1699.806134412891</v>
      </c>
      <c r="J107" s="6">
        <f t="shared" si="35"/>
        <v>0</v>
      </c>
      <c r="K107" s="6">
        <f t="shared" si="36"/>
        <v>0</v>
      </c>
      <c r="L107" s="6">
        <f t="shared" si="37"/>
        <v>0</v>
      </c>
      <c r="M107" s="6">
        <f t="shared" si="38"/>
        <v>0</v>
      </c>
      <c r="N107" s="6">
        <f t="shared" si="39"/>
        <v>0</v>
      </c>
      <c r="O107" s="6">
        <f t="shared" si="40"/>
        <v>14.133939398766383</v>
      </c>
      <c r="P107" s="6">
        <f t="shared" si="41"/>
        <v>14.133939398766383</v>
      </c>
    </row>
    <row r="108" spans="1:16" x14ac:dyDescent="0.35">
      <c r="A108" s="1">
        <v>103</v>
      </c>
      <c r="B108" s="2">
        <f>INDEX( Tafel!B106:B227, Barwerte!$A108 + 1, 1)</f>
        <v>0</v>
      </c>
      <c r="C108" s="2">
        <f>INDEX( Tafel!C106:C227, Barwerte!$A108 + 1, 1)</f>
        <v>0</v>
      </c>
      <c r="D108" s="5">
        <f t="shared" si="42"/>
        <v>6569.5674485815789</v>
      </c>
      <c r="E108" s="5">
        <f t="shared" si="43"/>
        <v>6569.5674485815789</v>
      </c>
      <c r="F108" s="5">
        <f t="shared" si="33"/>
        <v>115.63860076686507</v>
      </c>
      <c r="G108" s="5">
        <f t="shared" si="34"/>
        <v>115.63860076686507</v>
      </c>
      <c r="H108" s="5">
        <f>SUM($F108:$F$126)</f>
        <v>1579.5419896153512</v>
      </c>
      <c r="I108" s="5">
        <f>SUM($G108:$G$126)</f>
        <v>1579.5419896153512</v>
      </c>
      <c r="J108" s="6">
        <f t="shared" si="35"/>
        <v>0</v>
      </c>
      <c r="K108" s="6">
        <f t="shared" si="36"/>
        <v>0</v>
      </c>
      <c r="L108" s="6">
        <f t="shared" si="37"/>
        <v>0</v>
      </c>
      <c r="M108" s="6">
        <f t="shared" si="38"/>
        <v>0</v>
      </c>
      <c r="N108" s="6">
        <f t="shared" si="39"/>
        <v>0</v>
      </c>
      <c r="O108" s="6">
        <f t="shared" si="40"/>
        <v>13.659296974717037</v>
      </c>
      <c r="P108" s="6">
        <f t="shared" si="41"/>
        <v>13.659296974717037</v>
      </c>
    </row>
    <row r="109" spans="1:16" x14ac:dyDescent="0.35">
      <c r="A109" s="1">
        <v>104</v>
      </c>
      <c r="B109" s="2">
        <f>INDEX( Tafel!B107:B228, Barwerte!$A109 + 1, 1)</f>
        <v>0</v>
      </c>
      <c r="C109" s="2">
        <f>INDEX( Tafel!C107:C228, Barwerte!$A109 + 1, 1)</f>
        <v>0</v>
      </c>
      <c r="D109" s="5">
        <f t="shared" si="42"/>
        <v>6569.5674485815789</v>
      </c>
      <c r="E109" s="5">
        <f t="shared" si="43"/>
        <v>6569.5674485815789</v>
      </c>
      <c r="F109" s="5">
        <f t="shared" si="33"/>
        <v>111.19096227583177</v>
      </c>
      <c r="G109" s="5">
        <f t="shared" si="34"/>
        <v>111.19096227583177</v>
      </c>
      <c r="H109" s="5">
        <f>SUM($F109:$F$126)</f>
        <v>1463.9033888484864</v>
      </c>
      <c r="I109" s="5">
        <f>SUM($G109:$G$126)</f>
        <v>1463.9033888484864</v>
      </c>
      <c r="J109" s="6">
        <f t="shared" si="35"/>
        <v>0</v>
      </c>
      <c r="K109" s="6">
        <f t="shared" si="36"/>
        <v>0</v>
      </c>
      <c r="L109" s="6">
        <f t="shared" si="37"/>
        <v>0</v>
      </c>
      <c r="M109" s="6">
        <f t="shared" si="38"/>
        <v>0</v>
      </c>
      <c r="N109" s="6">
        <f t="shared" si="39"/>
        <v>0</v>
      </c>
      <c r="O109" s="6">
        <f t="shared" si="40"/>
        <v>13.165668853705725</v>
      </c>
      <c r="P109" s="6">
        <f t="shared" si="41"/>
        <v>13.165668853705725</v>
      </c>
    </row>
    <row r="110" spans="1:16" x14ac:dyDescent="0.35">
      <c r="A110" s="1">
        <v>105</v>
      </c>
      <c r="B110" s="2">
        <f>INDEX( Tafel!B108:B229, Barwerte!$A110 + 1, 1)</f>
        <v>0</v>
      </c>
      <c r="C110" s="2">
        <f>INDEX( Tafel!C108:C229, Barwerte!$A110 + 1, 1)</f>
        <v>0</v>
      </c>
      <c r="D110" s="5">
        <f t="shared" si="42"/>
        <v>6569.5674485815789</v>
      </c>
      <c r="E110" s="5">
        <f t="shared" si="43"/>
        <v>6569.5674485815789</v>
      </c>
      <c r="F110" s="5">
        <f t="shared" si="33"/>
        <v>106.91438680368439</v>
      </c>
      <c r="G110" s="5">
        <f t="shared" si="34"/>
        <v>106.91438680368439</v>
      </c>
      <c r="H110" s="5">
        <f>SUM($F110:$F$126)</f>
        <v>1352.7124265726545</v>
      </c>
      <c r="I110" s="5">
        <f>SUM($G110:$G$126)</f>
        <v>1352.7124265726545</v>
      </c>
      <c r="J110" s="6">
        <f t="shared" si="35"/>
        <v>0</v>
      </c>
      <c r="K110" s="6">
        <f t="shared" si="36"/>
        <v>0</v>
      </c>
      <c r="L110" s="6">
        <f t="shared" si="37"/>
        <v>0</v>
      </c>
      <c r="M110" s="6">
        <f t="shared" si="38"/>
        <v>0</v>
      </c>
      <c r="N110" s="6">
        <f t="shared" si="39"/>
        <v>0</v>
      </c>
      <c r="O110" s="6">
        <f t="shared" si="40"/>
        <v>12.652295607853951</v>
      </c>
      <c r="P110" s="6">
        <f t="shared" si="41"/>
        <v>12.652295607853951</v>
      </c>
    </row>
    <row r="111" spans="1:16" x14ac:dyDescent="0.35">
      <c r="A111" s="1">
        <v>106</v>
      </c>
      <c r="B111" s="2">
        <f>INDEX( Tafel!B109:B230, Barwerte!$A111 + 1, 1)</f>
        <v>0</v>
      </c>
      <c r="C111" s="2">
        <f>INDEX( Tafel!C109:C230, Barwerte!$A111 + 1, 1)</f>
        <v>0</v>
      </c>
      <c r="D111" s="5">
        <f t="shared" si="42"/>
        <v>6569.5674485815789</v>
      </c>
      <c r="E111" s="5">
        <f t="shared" si="43"/>
        <v>6569.5674485815789</v>
      </c>
      <c r="F111" s="5">
        <f t="shared" si="33"/>
        <v>102.80229500354265</v>
      </c>
      <c r="G111" s="5">
        <f t="shared" si="34"/>
        <v>102.80229500354265</v>
      </c>
      <c r="H111" s="5">
        <f>SUM($F111:$F$126)</f>
        <v>1245.7980397689703</v>
      </c>
      <c r="I111" s="5">
        <f>SUM($G111:$G$126)</f>
        <v>1245.7980397689703</v>
      </c>
      <c r="J111" s="6">
        <f t="shared" si="35"/>
        <v>0</v>
      </c>
      <c r="K111" s="6">
        <f t="shared" si="36"/>
        <v>0</v>
      </c>
      <c r="L111" s="6">
        <f t="shared" si="37"/>
        <v>0</v>
      </c>
      <c r="M111" s="6">
        <f t="shared" si="38"/>
        <v>0</v>
      </c>
      <c r="N111" s="6">
        <f t="shared" si="39"/>
        <v>0</v>
      </c>
      <c r="O111" s="6">
        <f t="shared" si="40"/>
        <v>12.118387432168115</v>
      </c>
      <c r="P111" s="6">
        <f t="shared" si="41"/>
        <v>12.118387432168115</v>
      </c>
    </row>
    <row r="112" spans="1:16" x14ac:dyDescent="0.35">
      <c r="A112" s="1">
        <v>107</v>
      </c>
      <c r="B112" s="2">
        <f>INDEX( Tafel!B110:B231, Barwerte!$A112 + 1, 1)</f>
        <v>0</v>
      </c>
      <c r="C112" s="2">
        <f>INDEX( Tafel!C110:C231, Barwerte!$A112 + 1, 1)</f>
        <v>0</v>
      </c>
      <c r="D112" s="5">
        <f t="shared" si="42"/>
        <v>6569.5674485815789</v>
      </c>
      <c r="E112" s="5">
        <f t="shared" si="43"/>
        <v>6569.5674485815789</v>
      </c>
      <c r="F112" s="5">
        <f t="shared" si="33"/>
        <v>98.848360580329469</v>
      </c>
      <c r="G112" s="5">
        <f t="shared" si="34"/>
        <v>98.848360580329469</v>
      </c>
      <c r="H112" s="5">
        <f>SUM($F112:$F$126)</f>
        <v>1142.9957447654276</v>
      </c>
      <c r="I112" s="5">
        <f>SUM($G112:$G$126)</f>
        <v>1142.9957447654276</v>
      </c>
      <c r="J112" s="6">
        <f t="shared" si="35"/>
        <v>0</v>
      </c>
      <c r="K112" s="6">
        <f t="shared" si="36"/>
        <v>0</v>
      </c>
      <c r="L112" s="6">
        <f t="shared" si="37"/>
        <v>0</v>
      </c>
      <c r="M112" s="6">
        <f t="shared" si="38"/>
        <v>0</v>
      </c>
      <c r="N112" s="6">
        <f t="shared" si="39"/>
        <v>0</v>
      </c>
      <c r="O112" s="6">
        <f t="shared" si="40"/>
        <v>11.56312292945484</v>
      </c>
      <c r="P112" s="6">
        <f t="shared" si="41"/>
        <v>11.56312292945484</v>
      </c>
    </row>
    <row r="113" spans="1:16" x14ac:dyDescent="0.35">
      <c r="A113" s="1">
        <v>108</v>
      </c>
      <c r="B113" s="2">
        <f>INDEX( Tafel!B111:B232, Barwerte!$A113 + 1, 1)</f>
        <v>0</v>
      </c>
      <c r="C113" s="2">
        <f>INDEX( Tafel!C111:C232, Barwerte!$A113 + 1, 1)</f>
        <v>0</v>
      </c>
      <c r="D113" s="5">
        <f t="shared" si="42"/>
        <v>6569.5674485815789</v>
      </c>
      <c r="E113" s="5">
        <f t="shared" si="43"/>
        <v>6569.5674485815789</v>
      </c>
      <c r="F113" s="5">
        <f t="shared" si="33"/>
        <v>95.046500558009114</v>
      </c>
      <c r="G113" s="5">
        <f t="shared" si="34"/>
        <v>95.046500558009114</v>
      </c>
      <c r="H113" s="5">
        <f>SUM($F113:$F$126)</f>
        <v>1044.1473841850982</v>
      </c>
      <c r="I113" s="5">
        <f>SUM($G113:$G$126)</f>
        <v>1044.1473841850982</v>
      </c>
      <c r="J113" s="6">
        <f t="shared" si="35"/>
        <v>0</v>
      </c>
      <c r="K113" s="6">
        <f t="shared" si="36"/>
        <v>0</v>
      </c>
      <c r="L113" s="6">
        <f t="shared" si="37"/>
        <v>0</v>
      </c>
      <c r="M113" s="6">
        <f t="shared" si="38"/>
        <v>0</v>
      </c>
      <c r="N113" s="6">
        <f t="shared" si="39"/>
        <v>0</v>
      </c>
      <c r="O113" s="6">
        <f t="shared" si="40"/>
        <v>10.985647846633032</v>
      </c>
      <c r="P113" s="6">
        <f t="shared" si="41"/>
        <v>10.985647846633032</v>
      </c>
    </row>
    <row r="114" spans="1:16" x14ac:dyDescent="0.35">
      <c r="A114" s="1">
        <v>109</v>
      </c>
      <c r="B114" s="2">
        <f>INDEX( Tafel!B112:B233, Barwerte!$A114 + 1, 1)</f>
        <v>0</v>
      </c>
      <c r="C114" s="2">
        <f>INDEX( Tafel!C112:C233, Barwerte!$A114 + 1, 1)</f>
        <v>0</v>
      </c>
      <c r="D114" s="5">
        <f t="shared" si="42"/>
        <v>6569.5674485815789</v>
      </c>
      <c r="E114" s="5">
        <f t="shared" si="43"/>
        <v>6569.5674485815789</v>
      </c>
      <c r="F114" s="5">
        <f t="shared" si="33"/>
        <v>91.390865921162586</v>
      </c>
      <c r="G114" s="5">
        <f t="shared" si="34"/>
        <v>91.390865921162586</v>
      </c>
      <c r="H114" s="5">
        <f>SUM($F114:$F$126)</f>
        <v>949.10088362708893</v>
      </c>
      <c r="I114" s="5">
        <f>SUM($G114:$G$126)</f>
        <v>949.10088362708893</v>
      </c>
      <c r="J114" s="6">
        <f t="shared" si="35"/>
        <v>0</v>
      </c>
      <c r="K114" s="6">
        <f t="shared" si="36"/>
        <v>0</v>
      </c>
      <c r="L114" s="6">
        <f t="shared" si="37"/>
        <v>0</v>
      </c>
      <c r="M114" s="6">
        <f t="shared" si="38"/>
        <v>0</v>
      </c>
      <c r="N114" s="6">
        <f t="shared" si="39"/>
        <v>0</v>
      </c>
      <c r="O114" s="6">
        <f t="shared" si="40"/>
        <v>10.385073760498356</v>
      </c>
      <c r="P114" s="6">
        <f t="shared" si="41"/>
        <v>10.385073760498356</v>
      </c>
    </row>
    <row r="115" spans="1:16" x14ac:dyDescent="0.35">
      <c r="A115" s="1">
        <v>110</v>
      </c>
      <c r="B115" s="2">
        <f>INDEX( Tafel!B113:B234, Barwerte!$A115 + 1, 1)</f>
        <v>0</v>
      </c>
      <c r="C115" s="2">
        <f>INDEX( Tafel!C113:C234, Barwerte!$A115 + 1, 1)</f>
        <v>0</v>
      </c>
      <c r="D115" s="5">
        <f t="shared" si="42"/>
        <v>6569.5674485815789</v>
      </c>
      <c r="E115" s="5">
        <f t="shared" si="43"/>
        <v>6569.5674485815789</v>
      </c>
      <c r="F115" s="5">
        <f t="shared" si="33"/>
        <v>87.875832616502464</v>
      </c>
      <c r="G115" s="5">
        <f t="shared" si="34"/>
        <v>87.875832616502464</v>
      </c>
      <c r="H115" s="5">
        <f>SUM($F115:$F$126)</f>
        <v>857.71001770592648</v>
      </c>
      <c r="I115" s="5">
        <f>SUM($G115:$G$126)</f>
        <v>857.71001770592648</v>
      </c>
      <c r="J115" s="6">
        <f t="shared" si="35"/>
        <v>0</v>
      </c>
      <c r="K115" s="6">
        <f t="shared" si="36"/>
        <v>0</v>
      </c>
      <c r="L115" s="6">
        <f t="shared" si="37"/>
        <v>0</v>
      </c>
      <c r="M115" s="6">
        <f t="shared" si="38"/>
        <v>0</v>
      </c>
      <c r="N115" s="6">
        <f t="shared" si="39"/>
        <v>0</v>
      </c>
      <c r="O115" s="6">
        <f t="shared" si="40"/>
        <v>9.7604767109182937</v>
      </c>
      <c r="P115" s="6">
        <f t="shared" si="41"/>
        <v>9.7604767109182937</v>
      </c>
    </row>
    <row r="116" spans="1:16" x14ac:dyDescent="0.35">
      <c r="A116" s="1">
        <v>111</v>
      </c>
      <c r="B116" s="2">
        <f>INDEX( Tafel!B114:B235, Barwerte!$A116 + 1, 1)</f>
        <v>0</v>
      </c>
      <c r="C116" s="2">
        <f>INDEX( Tafel!C114:C235, Barwerte!$A116 + 1, 1)</f>
        <v>0</v>
      </c>
      <c r="D116" s="5">
        <f t="shared" si="42"/>
        <v>6569.5674485815789</v>
      </c>
      <c r="E116" s="5">
        <f t="shared" si="43"/>
        <v>6569.5674485815789</v>
      </c>
      <c r="F116" s="5">
        <f t="shared" si="33"/>
        <v>84.495992900483145</v>
      </c>
      <c r="G116" s="5">
        <f t="shared" si="34"/>
        <v>84.495992900483145</v>
      </c>
      <c r="H116" s="5">
        <f>SUM($F116:$F$126)</f>
        <v>769.83418508942395</v>
      </c>
      <c r="I116" s="5">
        <f>SUM($G116:$G$126)</f>
        <v>769.83418508942395</v>
      </c>
      <c r="J116" s="6">
        <f t="shared" si="35"/>
        <v>0</v>
      </c>
      <c r="K116" s="6">
        <f t="shared" si="36"/>
        <v>0</v>
      </c>
      <c r="L116" s="6">
        <f t="shared" si="37"/>
        <v>0</v>
      </c>
      <c r="M116" s="6">
        <f t="shared" si="38"/>
        <v>0</v>
      </c>
      <c r="N116" s="6">
        <f t="shared" si="39"/>
        <v>0</v>
      </c>
      <c r="O116" s="6">
        <f t="shared" si="40"/>
        <v>9.1108957793550243</v>
      </c>
      <c r="P116" s="6">
        <f t="shared" si="41"/>
        <v>9.1108957793550243</v>
      </c>
    </row>
    <row r="117" spans="1:16" x14ac:dyDescent="0.35">
      <c r="A117" s="1">
        <v>112</v>
      </c>
      <c r="B117" s="2">
        <f>INDEX( Tafel!B115:B236, Barwerte!$A117 + 1, 1)</f>
        <v>0</v>
      </c>
      <c r="C117" s="2">
        <f>INDEX( Tafel!C115:C236, Barwerte!$A117 + 1, 1)</f>
        <v>0</v>
      </c>
      <c r="D117" s="5">
        <f t="shared" si="42"/>
        <v>6569.5674485815789</v>
      </c>
      <c r="E117" s="5">
        <f t="shared" si="43"/>
        <v>6569.5674485815789</v>
      </c>
      <c r="F117" s="5">
        <f t="shared" si="33"/>
        <v>81.246147019695314</v>
      </c>
      <c r="G117" s="5">
        <f t="shared" si="34"/>
        <v>81.246147019695314</v>
      </c>
      <c r="H117" s="5">
        <f>SUM($F117:$F$126)</f>
        <v>685.33819218894075</v>
      </c>
      <c r="I117" s="5">
        <f>SUM($G117:$G$126)</f>
        <v>685.33819218894075</v>
      </c>
      <c r="J117" s="6">
        <f t="shared" si="35"/>
        <v>0</v>
      </c>
      <c r="K117" s="6">
        <f t="shared" si="36"/>
        <v>0</v>
      </c>
      <c r="L117" s="6">
        <f t="shared" si="37"/>
        <v>0</v>
      </c>
      <c r="M117" s="6">
        <f t="shared" si="38"/>
        <v>0</v>
      </c>
      <c r="N117" s="6">
        <f t="shared" si="39"/>
        <v>0</v>
      </c>
      <c r="O117" s="6">
        <f t="shared" si="40"/>
        <v>8.4353316105292269</v>
      </c>
      <c r="P117" s="6">
        <f t="shared" si="41"/>
        <v>8.4353316105292269</v>
      </c>
    </row>
    <row r="118" spans="1:16" x14ac:dyDescent="0.35">
      <c r="A118" s="1">
        <v>113</v>
      </c>
      <c r="B118" s="2">
        <f>INDEX( Tafel!B116:B237, Barwerte!$A118 + 1, 1)</f>
        <v>0</v>
      </c>
      <c r="C118" s="2">
        <f>INDEX( Tafel!C116:C237, Barwerte!$A118 + 1, 1)</f>
        <v>0</v>
      </c>
      <c r="D118" s="5">
        <f t="shared" si="42"/>
        <v>6569.5674485815789</v>
      </c>
      <c r="E118" s="5">
        <f t="shared" si="43"/>
        <v>6569.5674485815789</v>
      </c>
      <c r="F118" s="5">
        <f t="shared" si="33"/>
        <v>78.12129521124551</v>
      </c>
      <c r="G118" s="5">
        <f t="shared" si="34"/>
        <v>78.12129521124551</v>
      </c>
      <c r="H118" s="5">
        <f>SUM($F118:$F$126)</f>
        <v>604.09204516924547</v>
      </c>
      <c r="I118" s="5">
        <f>SUM($G118:$G$126)</f>
        <v>604.09204516924547</v>
      </c>
      <c r="J118" s="6">
        <f t="shared" si="35"/>
        <v>0</v>
      </c>
      <c r="K118" s="6">
        <f t="shared" si="36"/>
        <v>0</v>
      </c>
      <c r="L118" s="6">
        <f t="shared" si="37"/>
        <v>0</v>
      </c>
      <c r="M118" s="6">
        <f t="shared" si="38"/>
        <v>0</v>
      </c>
      <c r="N118" s="6">
        <f t="shared" si="39"/>
        <v>0</v>
      </c>
      <c r="O118" s="6">
        <f t="shared" si="40"/>
        <v>7.7327448749503942</v>
      </c>
      <c r="P118" s="6">
        <f t="shared" si="41"/>
        <v>7.7327448749503942</v>
      </c>
    </row>
    <row r="119" spans="1:16" x14ac:dyDescent="0.35">
      <c r="A119" s="1">
        <v>114</v>
      </c>
      <c r="B119" s="2">
        <f>INDEX( Tafel!B117:B238, Barwerte!$A119 + 1, 1)</f>
        <v>0</v>
      </c>
      <c r="C119" s="2">
        <f>INDEX( Tafel!C117:C238, Barwerte!$A119 + 1, 1)</f>
        <v>0</v>
      </c>
      <c r="D119" s="5">
        <f t="shared" si="42"/>
        <v>6569.5674485815789</v>
      </c>
      <c r="E119" s="5">
        <f t="shared" si="43"/>
        <v>6569.5674485815789</v>
      </c>
      <c r="F119" s="5">
        <f t="shared" si="33"/>
        <v>75.116630010812969</v>
      </c>
      <c r="G119" s="5">
        <f t="shared" si="34"/>
        <v>75.116630010812969</v>
      </c>
      <c r="H119" s="5">
        <f>SUM($F119:$F$126)</f>
        <v>525.97074995799994</v>
      </c>
      <c r="I119" s="5">
        <f>SUM($G119:$G$126)</f>
        <v>525.97074995799994</v>
      </c>
      <c r="J119" s="6">
        <f t="shared" si="35"/>
        <v>0</v>
      </c>
      <c r="K119" s="6">
        <f t="shared" si="36"/>
        <v>0</v>
      </c>
      <c r="L119" s="6">
        <f t="shared" si="37"/>
        <v>0</v>
      </c>
      <c r="M119" s="6">
        <f t="shared" si="38"/>
        <v>0</v>
      </c>
      <c r="N119" s="6">
        <f t="shared" si="39"/>
        <v>0</v>
      </c>
      <c r="O119" s="6">
        <f t="shared" si="40"/>
        <v>7.0020546699484116</v>
      </c>
      <c r="P119" s="6">
        <f t="shared" si="41"/>
        <v>7.0020546699484116</v>
      </c>
    </row>
    <row r="120" spans="1:16" x14ac:dyDescent="0.35">
      <c r="A120" s="1">
        <v>115</v>
      </c>
      <c r="B120" s="2">
        <f>INDEX( Tafel!B118:B239, Barwerte!$A120 + 1, 1)</f>
        <v>0</v>
      </c>
      <c r="C120" s="2">
        <f>INDEX( Tafel!C118:C239, Barwerte!$A120 + 1, 1)</f>
        <v>0</v>
      </c>
      <c r="D120" s="5">
        <f t="shared" si="42"/>
        <v>6569.5674485815789</v>
      </c>
      <c r="E120" s="5">
        <f t="shared" si="43"/>
        <v>6569.5674485815789</v>
      </c>
      <c r="F120" s="5">
        <f t="shared" si="33"/>
        <v>72.227528856550919</v>
      </c>
      <c r="G120" s="5">
        <f t="shared" si="34"/>
        <v>72.227528856550919</v>
      </c>
      <c r="H120" s="5">
        <f>SUM($F120:$F$126)</f>
        <v>450.85411994718697</v>
      </c>
      <c r="I120" s="5">
        <f>SUM($G120:$G$126)</f>
        <v>450.85411994718697</v>
      </c>
      <c r="J120" s="6">
        <f t="shared" si="35"/>
        <v>0</v>
      </c>
      <c r="K120" s="6">
        <f t="shared" si="36"/>
        <v>0</v>
      </c>
      <c r="L120" s="6">
        <f t="shared" si="37"/>
        <v>0</v>
      </c>
      <c r="M120" s="6">
        <f t="shared" si="38"/>
        <v>0</v>
      </c>
      <c r="N120" s="6">
        <f t="shared" si="39"/>
        <v>0</v>
      </c>
      <c r="O120" s="6">
        <f t="shared" si="40"/>
        <v>6.2421368567463489</v>
      </c>
      <c r="P120" s="6">
        <f t="shared" si="41"/>
        <v>6.2421368567463489</v>
      </c>
    </row>
    <row r="121" spans="1:16" x14ac:dyDescent="0.35">
      <c r="A121" s="1">
        <v>116</v>
      </c>
      <c r="B121" s="2">
        <f>INDEX( Tafel!B119:B240, Barwerte!$A121 + 1, 1)</f>
        <v>0</v>
      </c>
      <c r="C121" s="2">
        <f>INDEX( Tafel!C119:C240, Barwerte!$A121 + 1, 1)</f>
        <v>0</v>
      </c>
      <c r="D121" s="5">
        <f t="shared" si="42"/>
        <v>6569.5674485815789</v>
      </c>
      <c r="E121" s="5">
        <f t="shared" si="43"/>
        <v>6569.5674485815789</v>
      </c>
      <c r="F121" s="5">
        <f t="shared" si="33"/>
        <v>69.449546977452798</v>
      </c>
      <c r="G121" s="5">
        <f t="shared" si="34"/>
        <v>69.449546977452798</v>
      </c>
      <c r="H121" s="5">
        <f>SUM($F121:$F$126)</f>
        <v>378.62659109063611</v>
      </c>
      <c r="I121" s="5">
        <f>SUM($G121:$G$126)</f>
        <v>378.62659109063611</v>
      </c>
      <c r="J121" s="6">
        <f t="shared" si="35"/>
        <v>0</v>
      </c>
      <c r="K121" s="6">
        <f t="shared" si="36"/>
        <v>0</v>
      </c>
      <c r="L121" s="6">
        <f t="shared" si="37"/>
        <v>0</v>
      </c>
      <c r="M121" s="6">
        <f t="shared" si="38"/>
        <v>0</v>
      </c>
      <c r="N121" s="6">
        <f t="shared" si="39"/>
        <v>0</v>
      </c>
      <c r="O121" s="6">
        <f t="shared" si="40"/>
        <v>5.4518223310162046</v>
      </c>
      <c r="P121" s="6">
        <f t="shared" si="41"/>
        <v>5.4518223310162046</v>
      </c>
    </row>
    <row r="122" spans="1:16" x14ac:dyDescent="0.35">
      <c r="A122" s="1">
        <v>117</v>
      </c>
      <c r="B122" s="2">
        <f>INDEX( Tafel!B120:B241, Barwerte!$A122 + 1, 1)</f>
        <v>0</v>
      </c>
      <c r="C122" s="2">
        <f>INDEX( Tafel!C120:C241, Barwerte!$A122 + 1, 1)</f>
        <v>0</v>
      </c>
      <c r="D122" s="5">
        <f t="shared" si="42"/>
        <v>6569.5674485815789</v>
      </c>
      <c r="E122" s="5">
        <f t="shared" si="43"/>
        <v>6569.5674485815789</v>
      </c>
      <c r="F122" s="5">
        <f t="shared" si="33"/>
        <v>66.77841055524307</v>
      </c>
      <c r="G122" s="5">
        <f t="shared" si="34"/>
        <v>66.77841055524307</v>
      </c>
      <c r="H122" s="5">
        <f>SUM($F122:$F$126)</f>
        <v>309.17704411318334</v>
      </c>
      <c r="I122" s="5">
        <f>SUM($G122:$G$126)</f>
        <v>309.17704411318334</v>
      </c>
      <c r="J122" s="6">
        <f t="shared" si="35"/>
        <v>0</v>
      </c>
      <c r="K122" s="6">
        <f t="shared" si="36"/>
        <v>0</v>
      </c>
      <c r="L122" s="6">
        <f t="shared" si="37"/>
        <v>0</v>
      </c>
      <c r="M122" s="6">
        <f t="shared" si="38"/>
        <v>0</v>
      </c>
      <c r="N122" s="6">
        <f t="shared" si="39"/>
        <v>0</v>
      </c>
      <c r="O122" s="6">
        <f t="shared" si="40"/>
        <v>4.6298952242568534</v>
      </c>
      <c r="P122" s="6">
        <f t="shared" si="41"/>
        <v>4.6298952242568534</v>
      </c>
    </row>
    <row r="123" spans="1:16" x14ac:dyDescent="0.35">
      <c r="A123" s="1">
        <v>118</v>
      </c>
      <c r="B123" s="2">
        <f>INDEX( Tafel!B121:B242, Barwerte!$A123 + 1, 1)</f>
        <v>0</v>
      </c>
      <c r="C123" s="2">
        <f>INDEX( Tafel!C121:C242, Barwerte!$A123 + 1, 1)</f>
        <v>0</v>
      </c>
      <c r="D123" s="5">
        <f t="shared" si="42"/>
        <v>6569.5674485815789</v>
      </c>
      <c r="E123" s="5">
        <f t="shared" si="43"/>
        <v>6569.5674485815789</v>
      </c>
      <c r="F123" s="5">
        <f t="shared" si="33"/>
        <v>64.210010149272165</v>
      </c>
      <c r="G123" s="5">
        <f t="shared" si="34"/>
        <v>64.210010149272165</v>
      </c>
      <c r="H123" s="5">
        <f>SUM($F123:$F$126)</f>
        <v>242.39863355794026</v>
      </c>
      <c r="I123" s="5">
        <f>SUM($G123:$G$126)</f>
        <v>242.39863355794026</v>
      </c>
      <c r="J123" s="6">
        <f t="shared" si="35"/>
        <v>0</v>
      </c>
      <c r="K123" s="6">
        <f t="shared" si="36"/>
        <v>0</v>
      </c>
      <c r="L123" s="6">
        <f t="shared" si="37"/>
        <v>0</v>
      </c>
      <c r="M123" s="6">
        <f t="shared" si="38"/>
        <v>0</v>
      </c>
      <c r="N123" s="6">
        <f t="shared" si="39"/>
        <v>0</v>
      </c>
      <c r="O123" s="6">
        <f t="shared" si="40"/>
        <v>3.7750910332271284</v>
      </c>
      <c r="P123" s="6">
        <f t="shared" si="41"/>
        <v>3.7750910332271284</v>
      </c>
    </row>
    <row r="124" spans="1:16" x14ac:dyDescent="0.35">
      <c r="A124" s="1">
        <v>119</v>
      </c>
      <c r="B124" s="2">
        <f>INDEX( Tafel!B122:B243, Barwerte!$A124 + 1, 1)</f>
        <v>0</v>
      </c>
      <c r="C124" s="2">
        <f>INDEX( Tafel!C122:C243, Barwerte!$A124 + 1, 1)</f>
        <v>0</v>
      </c>
      <c r="D124" s="5">
        <f t="shared" si="42"/>
        <v>6569.5674485815789</v>
      </c>
      <c r="E124" s="5">
        <f t="shared" si="43"/>
        <v>6569.5674485815789</v>
      </c>
      <c r="F124" s="5">
        <f t="shared" si="33"/>
        <v>61.740394374300159</v>
      </c>
      <c r="G124" s="5">
        <f t="shared" si="34"/>
        <v>61.740394374300159</v>
      </c>
      <c r="H124" s="5">
        <f>SUM($F124:$F$126)</f>
        <v>178.18862340866806</v>
      </c>
      <c r="I124" s="5">
        <f>SUM($G124:$G$126)</f>
        <v>178.18862340866806</v>
      </c>
      <c r="J124" s="6">
        <f t="shared" si="35"/>
        <v>0</v>
      </c>
      <c r="K124" s="6">
        <f t="shared" si="36"/>
        <v>0</v>
      </c>
      <c r="L124" s="6">
        <f t="shared" si="37"/>
        <v>0</v>
      </c>
      <c r="M124" s="6">
        <f t="shared" si="38"/>
        <v>0</v>
      </c>
      <c r="N124" s="6">
        <f t="shared" si="39"/>
        <v>0</v>
      </c>
      <c r="O124" s="6">
        <f t="shared" si="40"/>
        <v>2.886094674556213</v>
      </c>
      <c r="P124" s="6">
        <f t="shared" si="41"/>
        <v>2.886094674556213</v>
      </c>
    </row>
    <row r="125" spans="1:16" x14ac:dyDescent="0.35">
      <c r="A125" s="1">
        <v>120</v>
      </c>
      <c r="B125" s="2">
        <f>INDEX( Tafel!B123:B244, Barwerte!$A125 + 1, 1)</f>
        <v>0</v>
      </c>
      <c r="C125" s="2">
        <f>INDEX( Tafel!C123:C244, Barwerte!$A125 + 1, 1)</f>
        <v>0</v>
      </c>
      <c r="D125" s="5">
        <f t="shared" si="42"/>
        <v>6569.5674485815789</v>
      </c>
      <c r="E125" s="5">
        <f t="shared" si="43"/>
        <v>6569.5674485815789</v>
      </c>
      <c r="F125" s="5">
        <f t="shared" si="33"/>
        <v>59.365763821442464</v>
      </c>
      <c r="G125" s="5">
        <f t="shared" si="34"/>
        <v>59.365763821442464</v>
      </c>
      <c r="H125" s="5">
        <f>SUM($F125:$F$126)</f>
        <v>116.44822903436791</v>
      </c>
      <c r="I125" s="5">
        <f>SUM($G125:$G$126)</f>
        <v>116.44822903436791</v>
      </c>
      <c r="J125" s="6">
        <f t="shared" si="35"/>
        <v>0</v>
      </c>
      <c r="K125" s="6">
        <f t="shared" si="36"/>
        <v>0</v>
      </c>
      <c r="L125" s="6">
        <f t="shared" si="37"/>
        <v>0</v>
      </c>
      <c r="M125" s="6">
        <f t="shared" si="38"/>
        <v>0</v>
      </c>
      <c r="N125" s="6">
        <f t="shared" si="39"/>
        <v>0</v>
      </c>
      <c r="O125" s="6">
        <f t="shared" si="40"/>
        <v>1.9615384615384617</v>
      </c>
      <c r="P125" s="6">
        <f t="shared" si="41"/>
        <v>1.9615384615384617</v>
      </c>
    </row>
    <row r="126" spans="1:16" x14ac:dyDescent="0.35">
      <c r="A126" s="1">
        <v>121</v>
      </c>
      <c r="B126" s="2">
        <f>INDEX( Tafel!B124:B245, Barwerte!$A126 + 1, 1)</f>
        <v>0</v>
      </c>
      <c r="C126" s="2">
        <f>INDEX( Tafel!C124:C245, Barwerte!$A126 + 1, 1)</f>
        <v>0</v>
      </c>
      <c r="D126" s="5">
        <f t="shared" si="42"/>
        <v>6569.5674485815789</v>
      </c>
      <c r="E126" s="5">
        <f t="shared" si="43"/>
        <v>6569.5674485815789</v>
      </c>
      <c r="F126" s="5">
        <f t="shared" si="33"/>
        <v>57.082465212925449</v>
      </c>
      <c r="G126" s="5">
        <f t="shared" si="34"/>
        <v>57.082465212925449</v>
      </c>
      <c r="H126" s="5">
        <f>SUM($F126:$F$126)</f>
        <v>57.082465212925449</v>
      </c>
      <c r="I126" s="5">
        <f>SUM($G126:$G$126)</f>
        <v>57.082465212925449</v>
      </c>
      <c r="J126" s="6">
        <f t="shared" si="35"/>
        <v>0</v>
      </c>
      <c r="K126" s="6">
        <f t="shared" si="36"/>
        <v>0</v>
      </c>
      <c r="L126" s="6">
        <f t="shared" si="37"/>
        <v>0</v>
      </c>
      <c r="M126" s="6">
        <f t="shared" si="38"/>
        <v>0</v>
      </c>
      <c r="N126" s="6">
        <f t="shared" si="39"/>
        <v>0</v>
      </c>
      <c r="O126" s="6">
        <f t="shared" si="40"/>
        <v>1</v>
      </c>
      <c r="P126" s="6">
        <f t="shared" si="41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G132"/>
  <sheetViews>
    <sheetView showGridLines="0" zoomScale="90" zoomScaleNormal="90" workbookViewId="0">
      <selection sqref="A1:B1"/>
    </sheetView>
  </sheetViews>
  <sheetFormatPr baseColWidth="10" defaultRowHeight="14.5" x14ac:dyDescent="0.35"/>
  <cols>
    <col min="1" max="5" width="10.90625" style="7"/>
    <col min="6" max="6" width="12.1796875" style="7" customWidth="1"/>
    <col min="7" max="9" width="10.90625" style="7"/>
    <col min="10" max="10" width="12.26953125" style="7" customWidth="1"/>
    <col min="11" max="11" width="12.1796875" style="7" customWidth="1"/>
    <col min="12" max="27" width="10.90625" style="7"/>
    <col min="28" max="29" width="10.90625" style="7" customWidth="1"/>
    <col min="30" max="16384" width="10.90625" style="7"/>
  </cols>
  <sheetData>
    <row r="1" spans="1:33" ht="15" thickBot="1" x14ac:dyDescent="0.4">
      <c r="A1" s="128" t="s">
        <v>65</v>
      </c>
      <c r="B1" s="130"/>
      <c r="C1" s="128" t="s">
        <v>68</v>
      </c>
      <c r="D1" s="130"/>
      <c r="F1" s="73" t="s">
        <v>66</v>
      </c>
      <c r="G1" s="128" t="s">
        <v>67</v>
      </c>
      <c r="H1" s="129"/>
      <c r="I1" s="129"/>
      <c r="J1" s="129"/>
      <c r="K1" s="129"/>
      <c r="L1" s="129"/>
      <c r="M1" s="129"/>
      <c r="N1" s="130"/>
      <c r="P1" s="87" t="s">
        <v>88</v>
      </c>
      <c r="Q1" s="87"/>
    </row>
    <row r="2" spans="1:33" x14ac:dyDescent="0.35">
      <c r="A2" s="37" t="s">
        <v>0</v>
      </c>
      <c r="B2" s="38">
        <v>30</v>
      </c>
      <c r="C2" s="37" t="s">
        <v>44</v>
      </c>
      <c r="D2" s="44">
        <v>0.04</v>
      </c>
      <c r="E2" s="46"/>
      <c r="F2" s="47" t="s">
        <v>35</v>
      </c>
      <c r="G2" s="47" t="s">
        <v>16</v>
      </c>
      <c r="H2" s="47" t="s">
        <v>11</v>
      </c>
      <c r="I2" s="47" t="s">
        <v>8</v>
      </c>
      <c r="J2" s="47" t="s">
        <v>9</v>
      </c>
      <c r="K2" s="47" t="s">
        <v>10</v>
      </c>
      <c r="L2" s="47" t="s">
        <v>12</v>
      </c>
      <c r="M2" s="47" t="s">
        <v>13</v>
      </c>
      <c r="N2" s="48" t="s">
        <v>14</v>
      </c>
      <c r="P2" s="87" t="s">
        <v>89</v>
      </c>
      <c r="Q2" s="87"/>
    </row>
    <row r="3" spans="1:33" x14ac:dyDescent="0.35">
      <c r="A3" s="17" t="s">
        <v>5</v>
      </c>
      <c r="B3" s="39">
        <v>12000</v>
      </c>
      <c r="C3" s="17" t="s">
        <v>45</v>
      </c>
      <c r="D3" s="45">
        <v>0.04</v>
      </c>
      <c r="E3" s="19" t="s">
        <v>6</v>
      </c>
      <c r="F3" s="11">
        <f>( 1 + gamma_2_PK) * Rente * INDEX( n_ae_x_PK, x + 1, 1)
  / (( 1 - beta_PK - alpha_g_PK - gamma_1_PK * t) * INDEX( ae_xt_PK, x + 1, 1)
       - alpha_z_PK * t - gamma_3_PK * t * ( INDEX( ae_xn_PK, x + 1, 1) - INDEX( ae_xt_PK, x + 1, 1)))</f>
        <v>517.27791751111715</v>
      </c>
      <c r="G3" s="36" t="s">
        <v>2</v>
      </c>
      <c r="H3" s="12">
        <v>0.04</v>
      </c>
      <c r="I3" s="12">
        <v>0.04</v>
      </c>
      <c r="J3" s="12">
        <v>0.02</v>
      </c>
      <c r="K3" s="12">
        <v>0.03</v>
      </c>
      <c r="L3" s="12">
        <v>1.5E-3</v>
      </c>
      <c r="M3" s="12">
        <v>0</v>
      </c>
      <c r="N3" s="49">
        <v>0</v>
      </c>
      <c r="P3" s="87" t="s">
        <v>90</v>
      </c>
      <c r="Q3" s="87"/>
      <c r="R3" s="88"/>
      <c r="S3" s="88"/>
    </row>
    <row r="4" spans="1:33" ht="15" thickBot="1" x14ac:dyDescent="0.4">
      <c r="A4" s="17" t="s">
        <v>3</v>
      </c>
      <c r="B4" s="40">
        <v>25</v>
      </c>
      <c r="C4" s="41" t="s">
        <v>46</v>
      </c>
      <c r="D4" s="43" t="s">
        <v>95</v>
      </c>
      <c r="E4" s="50" t="s">
        <v>7</v>
      </c>
      <c r="F4" s="51">
        <f>( 1 + gamma_2_DR) * Rente * INDEX( n_ae_x_DR, x + 1, 1)
  / (( 1 - beta_DR - alpha_g_DR - gamma_1_DR * t) * INDEX( ae_xt_DR, x + 1, 1)
       - alpha_z_DR * t - gamma_3_DR * t * ( INDEX( ae_xn_DR, x + 1, 1) - INDEX( ae_xt_DR, x + 1, 1)))</f>
        <v>528.64151840393004</v>
      </c>
      <c r="G4" s="52" t="s">
        <v>2</v>
      </c>
      <c r="H4" s="53">
        <v>0.04</v>
      </c>
      <c r="I4" s="53">
        <f>MIN( alpha_z_PK, HZillsatz)</f>
        <v>0.04</v>
      </c>
      <c r="J4" s="53">
        <f>(alpha_z_PK - alpha_z_DR) * t / INDEX( ae_xt_DR, x + 1, 1) + alpha_g_PK</f>
        <v>0.02</v>
      </c>
      <c r="K4" s="53">
        <v>0.03</v>
      </c>
      <c r="L4" s="53">
        <v>1.5E-3</v>
      </c>
      <c r="M4" s="53">
        <v>0.02</v>
      </c>
      <c r="N4" s="54">
        <v>3.0000000000000001E-3</v>
      </c>
      <c r="P4" s="87" t="s">
        <v>91</v>
      </c>
      <c r="Q4" s="87"/>
      <c r="R4" s="88"/>
      <c r="S4" s="88"/>
    </row>
    <row r="5" spans="1:33" ht="15" thickBot="1" x14ac:dyDescent="0.4">
      <c r="A5" s="41" t="s">
        <v>4</v>
      </c>
      <c r="B5" s="42">
        <v>30</v>
      </c>
      <c r="I5" s="89"/>
      <c r="J5" s="90"/>
      <c r="P5" s="87" t="s">
        <v>92</v>
      </c>
      <c r="Q5" s="87"/>
    </row>
    <row r="6" spans="1:33" s="31" customFormat="1" ht="15" thickBot="1" x14ac:dyDescent="0.4">
      <c r="A6" s="30"/>
      <c r="B6" s="30"/>
      <c r="L6" s="91" t="s">
        <v>6</v>
      </c>
      <c r="P6" s="121" t="s">
        <v>6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</row>
    <row r="7" spans="1:33" x14ac:dyDescent="0.35">
      <c r="C7" s="122" t="s">
        <v>93</v>
      </c>
      <c r="D7" s="123"/>
      <c r="E7" s="123"/>
      <c r="F7" s="124"/>
      <c r="G7" s="122" t="s">
        <v>94</v>
      </c>
      <c r="H7" s="123"/>
      <c r="I7" s="123"/>
      <c r="J7" s="125"/>
      <c r="K7" s="33"/>
      <c r="L7" s="28" t="s">
        <v>41</v>
      </c>
      <c r="M7" s="126" t="s">
        <v>39</v>
      </c>
      <c r="N7" s="127"/>
      <c r="P7" s="118" t="s">
        <v>104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20"/>
      <c r="AF7" s="101"/>
    </row>
    <row r="8" spans="1:33" ht="29" x14ac:dyDescent="0.35">
      <c r="A8" s="8" t="s">
        <v>15</v>
      </c>
      <c r="B8" s="13" t="s">
        <v>0</v>
      </c>
      <c r="C8" s="17" t="s">
        <v>33</v>
      </c>
      <c r="D8" s="8" t="s">
        <v>34</v>
      </c>
      <c r="E8" s="8" t="s">
        <v>35</v>
      </c>
      <c r="F8" s="18" t="s">
        <v>36</v>
      </c>
      <c r="G8" s="17" t="s">
        <v>33</v>
      </c>
      <c r="H8" s="8" t="s">
        <v>34</v>
      </c>
      <c r="I8" s="8" t="s">
        <v>35</v>
      </c>
      <c r="J8" s="15" t="s">
        <v>37</v>
      </c>
      <c r="K8" s="26" t="s">
        <v>43</v>
      </c>
      <c r="L8" s="26" t="s">
        <v>47</v>
      </c>
      <c r="M8" s="29" t="s">
        <v>40</v>
      </c>
      <c r="N8" s="18" t="s">
        <v>38</v>
      </c>
      <c r="P8" s="97" t="s">
        <v>5</v>
      </c>
      <c r="Q8" s="93" t="s">
        <v>103</v>
      </c>
      <c r="R8" s="93" t="s">
        <v>101</v>
      </c>
      <c r="S8" s="93" t="s">
        <v>103</v>
      </c>
      <c r="T8" s="93" t="s">
        <v>102</v>
      </c>
      <c r="U8" s="93" t="s">
        <v>103</v>
      </c>
      <c r="V8" s="93" t="s">
        <v>96</v>
      </c>
      <c r="W8" s="93" t="s">
        <v>103</v>
      </c>
      <c r="X8" s="93" t="s">
        <v>97</v>
      </c>
      <c r="Y8" s="93" t="s">
        <v>103</v>
      </c>
      <c r="Z8" s="93" t="s">
        <v>98</v>
      </c>
      <c r="AA8" s="93" t="s">
        <v>103</v>
      </c>
      <c r="AB8" s="93" t="s">
        <v>99</v>
      </c>
      <c r="AC8" s="93" t="s">
        <v>103</v>
      </c>
      <c r="AD8" s="94" t="s">
        <v>100</v>
      </c>
      <c r="AE8" s="99" t="s">
        <v>103</v>
      </c>
      <c r="AF8" s="102" t="s">
        <v>81</v>
      </c>
    </row>
    <row r="9" spans="1:33" x14ac:dyDescent="0.35">
      <c r="A9" s="9"/>
      <c r="B9" s="14"/>
      <c r="C9" s="19"/>
      <c r="D9" s="10">
        <f>alpha_z_PK * Beitrag_PK * t</f>
        <v>517.27791751111715</v>
      </c>
      <c r="E9" s="9"/>
      <c r="F9" s="20">
        <f>IF( $A10 &lt;&gt; "",
      ( 1 + gamma_2_PK) * Rente * INDEX( n_ae_x_PK, x + $A10 + 1, 1)
         + ( beta_PK + t * gamma_1_PK + alpha_g_PK) * Beitrag_PK * INDEX( ae_xt_PK, x + $A10 + 1, 1)
         + t * gamma_3_PK * Beitrag_PK * (INDEX( ae_xn_PK, x + $A10 + 1, 1) - INDEX( ae_xt_PK, x + $A10 + 1, 1))
         - Beitrag_PK * INDEX( ae_xt_PK, x + $A10 + 1, 1),
     "")</f>
        <v>-517.27791751111818</v>
      </c>
      <c r="G9" s="19"/>
      <c r="H9" s="10">
        <f>alpha_z_DR * Beitrag_DR * t</f>
        <v>528.64151840393004</v>
      </c>
      <c r="I9" s="9"/>
      <c r="J9" s="16">
        <f t="shared" ref="J9:J40" si="0">IF( $A10 &lt;&gt; "",
      ( 1 + gamma_2_DR) * Rente * INDEX( n_ae_x_DR, x + $A10 + 1, 1)
         + ( beta_DR + t * gamma_1_DR + alpha_g_DR) * Beitrag_DR * INDEX( ae_xt_DR, x + $A10 + 1, 1)
         + t * gamma_3_DR * Beitrag_DR * (INDEX( ae_xn_DR, x + $A10 + 1, 1) - INDEX( ae_xt_DR, x + $A10 + 1, 1))
         - Beitrag_DR * INDEX( ae_xt_DR, x + $A10 + 1, 1),
     "")</f>
        <v>-528.64151840392969</v>
      </c>
      <c r="K9" s="27">
        <f>IF( $A10 &lt;&gt; "",
      ( 1 + gamma_2_DR) * Rente * INDEX( n_ae_x_DR, x + $A10 + 1, 1)
         + ( beta_DR + t * gamma_1_DR + alpha_g_DR) * Beitrag_DR * INDEX( ae_xt_DR, x + $A10 + 1, 1)
         + t * gamma_3_DR * Beitrag_DR * (INDEX( ae_xn_DR, x + $A10 + 1, 1) - INDEX( ae_xt_DR, x + $A10 + 1, 1))
         - MIN( Beitrag_PK, Beitrag_DR) * INDEX( ae_xt_DR, x + $A10 + 1, 1),
     "")</f>
        <v>-372.16428045205066</v>
      </c>
      <c r="L9" s="27">
        <f t="shared" ref="L9:L40" si="1">IF( $A10 &lt;&gt; "",
      IF( RKW = "BGH-Urteil",
          MAX( $F9, 0.5 * (Tarifreserve + alpha_z_PK * Beitrag_PK * t * INDEX( ae_xt_PK, x + $A10 + 1, 1) / INDEX( ae_xt_PK, x + 1, 1))),
          IF( RKW = "VVG-Reform",
              Tarifreserve + alpha_z_PK * Beitrag_PK * t * INDEX( ae_x5_PK, x + $A10 + 1, 1) / INDEX( ae_x5_PK, x + 1, 1),
              MAX( 0, INDEX( Tarifreserve, $A10 + 1, 1)))),
      "")</f>
        <v>0</v>
      </c>
      <c r="M9" s="32">
        <f>IF( $A10 &lt;&gt; "",
      MAX( 0, L9 - K9),
      "")</f>
        <v>372.16428045205066</v>
      </c>
      <c r="N9" s="20">
        <f>IF( $A10 &lt;&gt; "",
      MAX( K9, L9),
      "")</f>
        <v>0</v>
      </c>
      <c r="P9" s="98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100"/>
      <c r="AF9" s="103"/>
    </row>
    <row r="10" spans="1:33" x14ac:dyDescent="0.35">
      <c r="A10" s="9">
        <f t="shared" ref="A10:A41" si="2">IF( 121 - x &gt;= ROW() - ROW($A$10), ROW() - ROW($A$10), "")</f>
        <v>0</v>
      </c>
      <c r="B10" s="14">
        <f t="shared" ref="B10:B41" si="3">IF( m &lt;&gt; "", x + $A10, "")</f>
        <v>30</v>
      </c>
      <c r="C10" s="21">
        <f>IF( m &lt;&gt; "",
      IF( m &gt;= n,
          Rente,
          0),
       "")</f>
        <v>0</v>
      </c>
      <c r="D10" s="10">
        <f>IF( m &lt;&gt; "",
      IF( m &lt; t,
          (beta_PK + alpha_g_PK + gamma_1_PK * t) * Beitrag_PK,
          IF( m &lt; n,
              gamma_3_PK * t * Beitrag_PK,
              gamma_2_PK * Rente)),
      "")</f>
        <v>45.261817782222749</v>
      </c>
      <c r="E10" s="10">
        <f>IF( $A10 &lt;&gt; "", IF( $A10 &lt; t, -Beitrag_PK, 0), "")</f>
        <v>-517.27791751111715</v>
      </c>
      <c r="F10" s="20">
        <f t="shared" ref="F10:F40" si="4">IF( $A11 &lt;&gt; "",
      ( 1 + gamma_2_PK) * Rente * INDEX( n_ae_x_PK, x + $A11 + 1, 1)
         + ( beta_PK + t * gamma_1_PK + alpha_g_PK) * Beitrag_PK * INDEX( ae_xt_PK, x + $A11 + 1, 1)
         + t * gamma_3_PK * Beitrag_PK * (INDEX( ae_xn_PK, x + $A11 + 1, 1) - INDEX( ae_xt_PK, x + $A11 + 1, 1))
         - Beitrag_PK * INDEX( ae_xt_PK, x + $A11 + 1, 1),
     "")</f>
        <v>-47.203563603894509</v>
      </c>
      <c r="G10" s="21">
        <f t="shared" ref="G10:G41" si="5">IF( m &lt;&gt; "",
      IF( m &gt;= n,
          Rente,
          0),
       "")</f>
        <v>0</v>
      </c>
      <c r="H10" s="10">
        <f t="shared" ref="H10:H41" si="6">IF( m &lt;&gt; "",
      IF( m &lt; t,
          (beta_DR + alpha_g_DR + gamma_1_DR * t) * Beitrag_DR,
          IF( m &lt; n,
              gamma_3_DR * t * Beitrag_DR,
              gamma_2_DR * Rente)),
      "")</f>
        <v>46.256132860343875</v>
      </c>
      <c r="I10" s="10">
        <f>IF( $A10 &lt;&gt; "", IF( $A10 &lt; t, -Beitrag_DR, 0), "")</f>
        <v>-528.64151840393004</v>
      </c>
      <c r="J10" s="16">
        <f t="shared" si="0"/>
        <v>-48.240535102878312</v>
      </c>
      <c r="K10" s="27">
        <f>IF( $A11 &lt;&gt; "",
      ( 1 + gamma_2_DR) * Rente * INDEX( n_ae_x_DR, x + $A11 + 1, 1)
         + ( beta_DR + t * gamma_1_DR + alpha_g_DR) * Beitrag_DR * INDEX( ae_xt_DR, x + $A11 + 1, 1)
         + t * gamma_3_DR * Beitrag_DR * (INDEX( ae_xn_DR, x + $A11 + 1, 1) - INDEX( ae_xt_DR, x + $A11 + 1, 1))
         - MIN( Beitrag_PK, Beitrag_DR) * INDEX( ae_xt_DR, x + $A11 + 1, 1),
     "")</f>
        <v>103.09852135455822</v>
      </c>
      <c r="L10" s="27">
        <f t="shared" si="1"/>
        <v>0</v>
      </c>
      <c r="M10" s="32">
        <f t="shared" ref="M10:M73" si="7">IF( $A11 &lt;&gt; "",
      MAX( 0, L10 - K10),
      "")</f>
        <v>0</v>
      </c>
      <c r="N10" s="20">
        <f t="shared" ref="N10:N73" si="8">IF( $A11 &lt;&gt; "",
      MAX( K10, L10),
      "")</f>
        <v>103.09852135455822</v>
      </c>
      <c r="P10" s="106">
        <f t="shared" ref="P10:P41" si="9">IF( m &lt;&gt; "",
      IF( m &gt;= n,
          Rente,
          0),
       "")</f>
        <v>0</v>
      </c>
      <c r="Q10" s="107">
        <f t="shared" ref="Q10:Q41" si="10">IF( m &lt;&gt; "", P10 + _xlfn.NUMBERVALUE( Q11) * v_PK * ( 1 - INDEX( qx_PK, $B10 + 1)), "")</f>
        <v>5982.4026195896004</v>
      </c>
      <c r="R10" s="104">
        <f t="shared" ref="R10:R41" si="11">IF( m &lt;&gt; "", IF( m = 0, alpha_z_PK * Beitrag_PK * t, 0), "")</f>
        <v>517.27791751111715</v>
      </c>
      <c r="S10" s="104">
        <f t="shared" ref="S10:S41" si="12">IF( m &lt;&gt; "", R10 + _xlfn.NUMBERVALUE( S11) * v_PK * ( 1 - INDEX( qx_PK, $B10 + 1)), "")</f>
        <v>517.27791751111715</v>
      </c>
      <c r="T10" s="104">
        <f t="shared" ref="T10:T41" si="13">IF( m &lt;&gt; "",
      IF( m &lt; t,
          alpha_g_PK * Beitrag_PK,
          0),
      "")</f>
        <v>10.345558350222344</v>
      </c>
      <c r="U10" s="104">
        <f t="shared" ref="U10:U41" si="14">IF( m &lt;&gt; "", T10 + _xlfn.NUMBERVALUE( U11) * v_PK * ( 1 - INDEX( qx_PK, $B10 + 1)), "")</f>
        <v>142.45875149809717</v>
      </c>
      <c r="V10" s="110">
        <f t="shared" ref="V10:V41" si="15">IF( m &lt;&gt; "",
      IF( m &lt; t,
          beta_PK * Beitrag_PK,
          0),
      "")</f>
        <v>15.518337525333514</v>
      </c>
      <c r="W10" s="110">
        <f t="shared" ref="W10:W41" si="16">IF( m &lt;&gt; "", V10 + _xlfn.NUMBERVALUE( W11) * v_PK * ( 1 - INDEX( qx_PK, $B10 + 1)), "")</f>
        <v>213.68812724714672</v>
      </c>
      <c r="X10" s="110">
        <f t="shared" ref="X10:X41" si="17">IF( m &lt;&gt; "",
      IF( m &lt; t,
          gamma_1_PK * t * Beitrag_PK,
          0),
      "")</f>
        <v>19.397921906666891</v>
      </c>
      <c r="Y10" s="110">
        <f t="shared" ref="Y10:Y41" si="18">IF( m &lt;&gt; "", X10 + _xlfn.NUMBERVALUE( Y11) * v_PK * ( 1 - INDEX( qx_PK, $B10 + 1)), "")</f>
        <v>267.11015905893487</v>
      </c>
      <c r="Z10" s="110">
        <f t="shared" ref="Z10:Z41" si="19">IF( m &lt;&gt; "",
      IF( m &lt; t,
          0,
          IF( m &lt; n,
              gamma_3_PK * t * Beitrag_PK,
              0)),
      "")</f>
        <v>0</v>
      </c>
      <c r="AA10" s="110">
        <f t="shared" ref="AA10:AA41" si="20">IF( m &lt;&gt; "", Z10 + _xlfn.NUMBERVALUE( AA11) * v_PK * ( 1 - INDEX( qx_PK, $B10 + 1)), "")</f>
        <v>0</v>
      </c>
      <c r="AB10" s="110">
        <f t="shared" ref="AB10:AB41" si="21">IF( m &lt;&gt; "",
      IF( m &lt; n,
           0,
           gamma_2_PK * Rente),
      "")</f>
        <v>0</v>
      </c>
      <c r="AC10" s="110">
        <f t="shared" ref="AC10:AC41" si="22">IF( m &lt;&gt; "", AB10 + _xlfn.NUMBERVALUE( AC11) * v_PK * ( 1 - INDEX( qx_PK, $B10 + 1)), "")</f>
        <v>0</v>
      </c>
      <c r="AD10" s="112">
        <f t="shared" ref="AD10:AD41" si="23">IF( m &lt;&gt; "",
      IF( m &lt; t, -Beitrag_PK, 0),
      "")</f>
        <v>-517.27791751111715</v>
      </c>
      <c r="AE10" s="113">
        <f t="shared" ref="AE10:AE41" si="24">IF( m &lt;&gt; "", AD10 + _xlfn.NUMBERVALUE( AE11) * v_PK * ( 1 - INDEX( qx_PK, $B10 + 1)), "")</f>
        <v>-7122.9375749048877</v>
      </c>
      <c r="AF10" s="116">
        <f>SUM(Q10,U10,W10,Y10,AA10,AC10,AE10)</f>
        <v>-517.27791751110817</v>
      </c>
      <c r="AG10" s="134" t="s">
        <v>105</v>
      </c>
    </row>
    <row r="11" spans="1:33" x14ac:dyDescent="0.35">
      <c r="A11" s="9">
        <f t="shared" si="2"/>
        <v>1</v>
      </c>
      <c r="B11" s="14">
        <f t="shared" si="3"/>
        <v>31</v>
      </c>
      <c r="C11" s="21">
        <f t="shared" ref="C11:C41" si="25">IF( m &lt;&gt; "",
      IF( m &gt;= n,
          Rente,
          0),
       "")</f>
        <v>0</v>
      </c>
      <c r="D11" s="10">
        <f t="shared" ref="D11:D41" si="26">IF( m &lt;&gt; "",
      IF( m &lt; t,
          (beta_PK + alpha_g_PK + gamma_1_PK * t) * Beitrag_PK,
          IF( m &lt; n,
              gamma_3_PK * t * Beitrag_PK,
              gamma_2_PK * Rente)),
      "")</f>
        <v>45.261817782222749</v>
      </c>
      <c r="E11" s="10">
        <f t="shared" ref="E11:E41" si="27">IF( $A11 &lt;&gt; "", IF( $A11 &lt; t, -Beitrag_PK, 0), "")</f>
        <v>-517.27791751111715</v>
      </c>
      <c r="F11" s="20">
        <f t="shared" si="4"/>
        <v>443.21268104499723</v>
      </c>
      <c r="G11" s="21">
        <f t="shared" si="5"/>
        <v>0</v>
      </c>
      <c r="H11" s="10">
        <f t="shared" si="6"/>
        <v>46.256132860343875</v>
      </c>
      <c r="I11" s="10">
        <f t="shared" ref="I11:I41" si="28">IF( $A11 &lt;&gt; "", IF( $A11 &lt; t, -Beitrag_DR, 0), "")</f>
        <v>-528.64151840393004</v>
      </c>
      <c r="J11" s="16">
        <f t="shared" si="0"/>
        <v>452.9492111529562</v>
      </c>
      <c r="K11" s="27">
        <f>IF( $A12 &lt;&gt; "",
      ( 1 + gamma_2_DR) * Rente * INDEX( n_ae_x_DR, x + $A12 + 1, 1)
         + ( beta_DR + t * gamma_1_DR + alpha_g_DR) * Beitrag_DR * INDEX( ae_xt_DR, x + $A12 + 1, 1)
         + t * gamma_3_DR * Beitrag_DR * (INDEX( ae_xn_DR, x + $A12 + 1, 1) - INDEX( ae_xt_DR, x + $A12 + 1, 1))
         - MIN( Beitrag_PK, Beitrag_DR) * INDEX( ae_xt_DR, x + $A12 + 1, 1),
     "")</f>
        <v>598.98750255365394</v>
      </c>
      <c r="L11" s="27">
        <f t="shared" si="1"/>
        <v>443.21268104499723</v>
      </c>
      <c r="M11" s="32">
        <f t="shared" si="7"/>
        <v>0</v>
      </c>
      <c r="N11" s="20">
        <f t="shared" si="8"/>
        <v>598.98750255365394</v>
      </c>
      <c r="P11" s="106">
        <f t="shared" si="9"/>
        <v>0</v>
      </c>
      <c r="Q11" s="107">
        <f t="shared" si="10"/>
        <v>6239.0495210913386</v>
      </c>
      <c r="R11" s="104">
        <f t="shared" si="11"/>
        <v>0</v>
      </c>
      <c r="S11" s="104">
        <f t="shared" si="12"/>
        <v>0</v>
      </c>
      <c r="T11" s="104">
        <f t="shared" si="13"/>
        <v>10.345558350222344</v>
      </c>
      <c r="U11" s="104">
        <f t="shared" si="14"/>
        <v>137.7808895275663</v>
      </c>
      <c r="V11" s="110">
        <f t="shared" si="15"/>
        <v>15.518337525333514</v>
      </c>
      <c r="W11" s="110">
        <f t="shared" si="16"/>
        <v>206.67133429135041</v>
      </c>
      <c r="X11" s="110">
        <f t="shared" si="17"/>
        <v>19.397921906666891</v>
      </c>
      <c r="Y11" s="110">
        <f t="shared" si="18"/>
        <v>258.33916786418877</v>
      </c>
      <c r="Z11" s="110">
        <f t="shared" si="19"/>
        <v>0</v>
      </c>
      <c r="AA11" s="110">
        <f t="shared" si="20"/>
        <v>0</v>
      </c>
      <c r="AB11" s="110">
        <f t="shared" si="21"/>
        <v>0</v>
      </c>
      <c r="AC11" s="110">
        <f t="shared" si="22"/>
        <v>0</v>
      </c>
      <c r="AD11" s="112">
        <f t="shared" si="23"/>
        <v>-517.27791751111715</v>
      </c>
      <c r="AE11" s="113">
        <f t="shared" si="24"/>
        <v>-6889.0444763783253</v>
      </c>
      <c r="AF11" s="116">
        <f t="shared" ref="AF11:AF74" si="29">SUM(Q11,U11,W11,Y11,AA11,AC11,AE11)</f>
        <v>-47.203563603879957</v>
      </c>
    </row>
    <row r="12" spans="1:33" x14ac:dyDescent="0.35">
      <c r="A12" s="9">
        <f t="shared" si="2"/>
        <v>2</v>
      </c>
      <c r="B12" s="14">
        <f t="shared" si="3"/>
        <v>32</v>
      </c>
      <c r="C12" s="21">
        <f t="shared" si="25"/>
        <v>0</v>
      </c>
      <c r="D12" s="10">
        <f t="shared" si="26"/>
        <v>45.261817782222749</v>
      </c>
      <c r="E12" s="10">
        <f t="shared" si="27"/>
        <v>-517.27791751111715</v>
      </c>
      <c r="F12" s="20">
        <f t="shared" si="4"/>
        <v>955.37952389994462</v>
      </c>
      <c r="G12" s="21">
        <f t="shared" si="5"/>
        <v>0</v>
      </c>
      <c r="H12" s="10">
        <f t="shared" si="6"/>
        <v>46.256132860343875</v>
      </c>
      <c r="I12" s="10">
        <f t="shared" si="28"/>
        <v>-528.64151840393004</v>
      </c>
      <c r="J12" s="16">
        <f t="shared" si="0"/>
        <v>976.36737442138474</v>
      </c>
      <c r="K12" s="27">
        <f>IF( $A13 &lt;&gt; "",
      ( 1 + gamma_2_DR) * Rente * INDEX( n_ae_x_DR, x + $A13 + 1, 1)
         + ( beta_DR + t * gamma_1_DR + alpha_g_DR) * Beitrag_DR * INDEX( ae_xt_DR, x + $A13 + 1, 1)
         + t * gamma_3_DR * Beitrag_DR * (INDEX( ae_xn_DR, x + $A13 + 1, 1) - INDEX( ae_xt_DR, x + $A13 + 1, 1))
         - MIN( Beitrag_PK, Beitrag_DR) * INDEX( ae_xt_DR, x + $A13 + 1, 1),
     "")</f>
        <v>1116.9501930582728</v>
      </c>
      <c r="L12" s="27">
        <f t="shared" si="1"/>
        <v>955.37952389994462</v>
      </c>
      <c r="M12" s="32">
        <f t="shared" si="7"/>
        <v>0</v>
      </c>
      <c r="N12" s="20">
        <f t="shared" si="8"/>
        <v>1116.9501930582728</v>
      </c>
      <c r="P12" s="106">
        <f t="shared" si="9"/>
        <v>0</v>
      </c>
      <c r="Q12" s="107">
        <f t="shared" si="10"/>
        <v>6509.2849910666164</v>
      </c>
      <c r="R12" s="104">
        <f t="shared" si="11"/>
        <v>0</v>
      </c>
      <c r="S12" s="104">
        <f t="shared" si="12"/>
        <v>0</v>
      </c>
      <c r="T12" s="104">
        <f t="shared" si="13"/>
        <v>10.345558350222344</v>
      </c>
      <c r="U12" s="104">
        <f t="shared" si="14"/>
        <v>132.95500953471969</v>
      </c>
      <c r="V12" s="110">
        <f t="shared" si="15"/>
        <v>15.518337525333514</v>
      </c>
      <c r="W12" s="110">
        <f t="shared" si="16"/>
        <v>199.43251430208051</v>
      </c>
      <c r="X12" s="110">
        <f t="shared" si="17"/>
        <v>19.397921906666891</v>
      </c>
      <c r="Y12" s="110">
        <f t="shared" si="18"/>
        <v>249.29064287760158</v>
      </c>
      <c r="Z12" s="110">
        <f t="shared" si="19"/>
        <v>0</v>
      </c>
      <c r="AA12" s="110">
        <f t="shared" si="20"/>
        <v>0</v>
      </c>
      <c r="AB12" s="110">
        <f t="shared" si="21"/>
        <v>0</v>
      </c>
      <c r="AC12" s="110">
        <f t="shared" si="22"/>
        <v>0</v>
      </c>
      <c r="AD12" s="112">
        <f t="shared" si="23"/>
        <v>-517.27791751111715</v>
      </c>
      <c r="AE12" s="113">
        <f t="shared" si="24"/>
        <v>-6647.7504767360142</v>
      </c>
      <c r="AF12" s="116">
        <f t="shared" si="29"/>
        <v>443.21268104500359</v>
      </c>
    </row>
    <row r="13" spans="1:33" x14ac:dyDescent="0.35">
      <c r="A13" s="9">
        <f t="shared" si="2"/>
        <v>3</v>
      </c>
      <c r="B13" s="14">
        <f t="shared" si="3"/>
        <v>33</v>
      </c>
      <c r="C13" s="21">
        <f t="shared" si="25"/>
        <v>0</v>
      </c>
      <c r="D13" s="10">
        <f t="shared" si="26"/>
        <v>45.261817782222749</v>
      </c>
      <c r="E13" s="10">
        <f t="shared" si="27"/>
        <v>-517.27791751111715</v>
      </c>
      <c r="F13" s="20">
        <f t="shared" si="4"/>
        <v>1490.8574097134697</v>
      </c>
      <c r="G13" s="21">
        <f t="shared" si="5"/>
        <v>0</v>
      </c>
      <c r="H13" s="10">
        <f t="shared" si="6"/>
        <v>46.256132860343875</v>
      </c>
      <c r="I13" s="10">
        <f t="shared" si="28"/>
        <v>-528.64151840393004</v>
      </c>
      <c r="J13" s="16">
        <f t="shared" si="0"/>
        <v>1523.608679424714</v>
      </c>
      <c r="K13" s="27">
        <f t="shared" ref="K13:K40" si="30">IF( $A14 &lt;&gt; "",
      ( 1 + gamma_2_DR) * Rente * INDEX( n_ae_x_DR, x + $A14 + 1, 1)
         + ( beta_DR + t * gamma_1_DR + alpha_g_DR) * Beitrag_DR * INDEX( ae_xt_DR, x + $A14 + 1, 1)
         + t * gamma_3_DR * Beitrag_DR * (INDEX( ae_xn_DR, x + $A14 + 1, 1) - INDEX( ae_xt_DR, x + $A14 + 1, 1))
         - MIN( Beitrag_PK, Beitrag_DR) * INDEX( ae_xt_DR, x + $A14 + 1, 1),
     "")</f>
        <v>1658.5729633710016</v>
      </c>
      <c r="L13" s="27">
        <f t="shared" si="1"/>
        <v>1490.8574097134697</v>
      </c>
      <c r="M13" s="32">
        <f t="shared" si="7"/>
        <v>0</v>
      </c>
      <c r="N13" s="20">
        <f t="shared" si="8"/>
        <v>1658.5729633710016</v>
      </c>
      <c r="P13" s="106">
        <f t="shared" si="9"/>
        <v>0</v>
      </c>
      <c r="Q13" s="107">
        <f t="shared" si="10"/>
        <v>6794.8448806819742</v>
      </c>
      <c r="R13" s="104">
        <f t="shared" si="11"/>
        <v>0</v>
      </c>
      <c r="S13" s="104">
        <f t="shared" si="12"/>
        <v>0</v>
      </c>
      <c r="T13" s="104">
        <f t="shared" si="13"/>
        <v>10.345558350222344</v>
      </c>
      <c r="U13" s="104">
        <f t="shared" si="14"/>
        <v>127.9882817924821</v>
      </c>
      <c r="V13" s="110">
        <f t="shared" si="15"/>
        <v>15.518337525333514</v>
      </c>
      <c r="W13" s="110">
        <f t="shared" si="16"/>
        <v>191.98242268872363</v>
      </c>
      <c r="X13" s="110">
        <f t="shared" si="17"/>
        <v>19.397921906666891</v>
      </c>
      <c r="Y13" s="110">
        <f t="shared" si="18"/>
        <v>239.97802836090571</v>
      </c>
      <c r="Z13" s="110">
        <f t="shared" si="19"/>
        <v>0</v>
      </c>
      <c r="AA13" s="110">
        <f t="shared" si="20"/>
        <v>0</v>
      </c>
      <c r="AB13" s="110">
        <f t="shared" si="21"/>
        <v>0</v>
      </c>
      <c r="AC13" s="110">
        <f t="shared" si="22"/>
        <v>0</v>
      </c>
      <c r="AD13" s="112">
        <f t="shared" si="23"/>
        <v>-517.27791751111715</v>
      </c>
      <c r="AE13" s="113">
        <f t="shared" si="24"/>
        <v>-6399.4140896241333</v>
      </c>
      <c r="AF13" s="116">
        <f t="shared" si="29"/>
        <v>955.3795238999528</v>
      </c>
    </row>
    <row r="14" spans="1:33" x14ac:dyDescent="0.35">
      <c r="A14" s="9">
        <f t="shared" si="2"/>
        <v>4</v>
      </c>
      <c r="B14" s="14">
        <f t="shared" si="3"/>
        <v>34</v>
      </c>
      <c r="C14" s="21">
        <f t="shared" si="25"/>
        <v>0</v>
      </c>
      <c r="D14" s="10">
        <f t="shared" si="26"/>
        <v>45.261817782222749</v>
      </c>
      <c r="E14" s="10">
        <f t="shared" si="27"/>
        <v>-517.27791751111715</v>
      </c>
      <c r="F14" s="20">
        <f t="shared" si="4"/>
        <v>2051.6363735057157</v>
      </c>
      <c r="G14" s="21">
        <f t="shared" si="5"/>
        <v>0</v>
      </c>
      <c r="H14" s="10">
        <f t="shared" si="6"/>
        <v>46.256132860343875</v>
      </c>
      <c r="I14" s="10">
        <f t="shared" si="28"/>
        <v>-528.64151840393004</v>
      </c>
      <c r="J14" s="16">
        <f t="shared" si="0"/>
        <v>2096.7068784247595</v>
      </c>
      <c r="K14" s="27">
        <f t="shared" si="30"/>
        <v>2225.8968929227913</v>
      </c>
      <c r="L14" s="27">
        <f t="shared" si="1"/>
        <v>2051.6363735057157</v>
      </c>
      <c r="M14" s="32">
        <f t="shared" si="7"/>
        <v>0</v>
      </c>
      <c r="N14" s="20">
        <f t="shared" si="8"/>
        <v>2225.8968929227913</v>
      </c>
      <c r="P14" s="106">
        <f t="shared" si="9"/>
        <v>0</v>
      </c>
      <c r="Q14" s="107">
        <f t="shared" si="10"/>
        <v>7096.9426209005042</v>
      </c>
      <c r="R14" s="104">
        <f t="shared" si="11"/>
        <v>0</v>
      </c>
      <c r="S14" s="104">
        <f t="shared" si="12"/>
        <v>0</v>
      </c>
      <c r="T14" s="104">
        <f t="shared" si="13"/>
        <v>10.345558350222344</v>
      </c>
      <c r="U14" s="104">
        <f t="shared" si="14"/>
        <v>122.87310051916728</v>
      </c>
      <c r="V14" s="110">
        <f t="shared" si="15"/>
        <v>15.518337525333514</v>
      </c>
      <c r="W14" s="110">
        <f t="shared" si="16"/>
        <v>184.30965077875143</v>
      </c>
      <c r="X14" s="110">
        <f t="shared" si="17"/>
        <v>19.397921906666891</v>
      </c>
      <c r="Y14" s="110">
        <f t="shared" si="18"/>
        <v>230.38706347343998</v>
      </c>
      <c r="Z14" s="110">
        <f t="shared" si="19"/>
        <v>0</v>
      </c>
      <c r="AA14" s="110">
        <f t="shared" si="20"/>
        <v>0</v>
      </c>
      <c r="AB14" s="110">
        <f t="shared" si="21"/>
        <v>0</v>
      </c>
      <c r="AC14" s="110">
        <f t="shared" si="22"/>
        <v>0</v>
      </c>
      <c r="AD14" s="112">
        <f t="shared" si="23"/>
        <v>-517.27791751111715</v>
      </c>
      <c r="AE14" s="113">
        <f t="shared" si="24"/>
        <v>-6143.6550259583837</v>
      </c>
      <c r="AF14" s="116">
        <f t="shared" si="29"/>
        <v>1490.8574097134797</v>
      </c>
    </row>
    <row r="15" spans="1:33" x14ac:dyDescent="0.35">
      <c r="A15" s="9">
        <f t="shared" si="2"/>
        <v>5</v>
      </c>
      <c r="B15" s="14">
        <f t="shared" si="3"/>
        <v>35</v>
      </c>
      <c r="C15" s="21">
        <f t="shared" si="25"/>
        <v>0</v>
      </c>
      <c r="D15" s="10">
        <f t="shared" si="26"/>
        <v>45.261817782222749</v>
      </c>
      <c r="E15" s="10">
        <f t="shared" si="27"/>
        <v>-517.27791751111715</v>
      </c>
      <c r="F15" s="20">
        <f t="shared" si="4"/>
        <v>2639.7613614240136</v>
      </c>
      <c r="G15" s="21">
        <f t="shared" si="5"/>
        <v>0</v>
      </c>
      <c r="H15" s="10">
        <f t="shared" si="6"/>
        <v>46.256132860343875</v>
      </c>
      <c r="I15" s="10">
        <f t="shared" si="28"/>
        <v>-528.64151840393004</v>
      </c>
      <c r="J15" s="16">
        <f t="shared" si="0"/>
        <v>2697.751841102373</v>
      </c>
      <c r="K15" s="27">
        <f t="shared" si="30"/>
        <v>2820.9992443359743</v>
      </c>
      <c r="L15" s="27">
        <f t="shared" si="1"/>
        <v>2639.7613614240136</v>
      </c>
      <c r="M15" s="32">
        <f t="shared" si="7"/>
        <v>0</v>
      </c>
      <c r="N15" s="20">
        <f t="shared" si="8"/>
        <v>2820.9992443359743</v>
      </c>
      <c r="P15" s="106">
        <f t="shared" si="9"/>
        <v>0</v>
      </c>
      <c r="Q15" s="107">
        <f t="shared" si="10"/>
        <v>7417.8725993703783</v>
      </c>
      <c r="R15" s="104">
        <f t="shared" si="11"/>
        <v>0</v>
      </c>
      <c r="S15" s="104">
        <f t="shared" si="12"/>
        <v>0</v>
      </c>
      <c r="T15" s="104">
        <f t="shared" si="13"/>
        <v>10.345558350222344</v>
      </c>
      <c r="U15" s="104">
        <f t="shared" si="14"/>
        <v>117.61613645730732</v>
      </c>
      <c r="V15" s="110">
        <f t="shared" si="15"/>
        <v>15.518337525333514</v>
      </c>
      <c r="W15" s="110">
        <f t="shared" si="16"/>
        <v>176.42420468596097</v>
      </c>
      <c r="X15" s="110">
        <f t="shared" si="17"/>
        <v>19.397921906666891</v>
      </c>
      <c r="Y15" s="110">
        <f t="shared" si="18"/>
        <v>220.53025585745189</v>
      </c>
      <c r="Z15" s="110">
        <f t="shared" si="19"/>
        <v>0</v>
      </c>
      <c r="AA15" s="110">
        <f t="shared" si="20"/>
        <v>0</v>
      </c>
      <c r="AB15" s="110">
        <f t="shared" si="21"/>
        <v>0</v>
      </c>
      <c r="AC15" s="110">
        <f t="shared" si="22"/>
        <v>0</v>
      </c>
      <c r="AD15" s="112">
        <f t="shared" si="23"/>
        <v>-517.27791751111715</v>
      </c>
      <c r="AE15" s="113">
        <f t="shared" si="24"/>
        <v>-5880.8068228653665</v>
      </c>
      <c r="AF15" s="116">
        <f t="shared" si="29"/>
        <v>2051.6363735057321</v>
      </c>
      <c r="AG15" s="92"/>
    </row>
    <row r="16" spans="1:33" x14ac:dyDescent="0.35">
      <c r="A16" s="9">
        <f t="shared" si="2"/>
        <v>6</v>
      </c>
      <c r="B16" s="14">
        <f t="shared" si="3"/>
        <v>36</v>
      </c>
      <c r="C16" s="21">
        <f t="shared" si="25"/>
        <v>0</v>
      </c>
      <c r="D16" s="10">
        <f t="shared" si="26"/>
        <v>45.261817782222749</v>
      </c>
      <c r="E16" s="10">
        <f t="shared" si="27"/>
        <v>-517.27791751111715</v>
      </c>
      <c r="F16" s="20">
        <f t="shared" si="4"/>
        <v>3257.7661047207021</v>
      </c>
      <c r="G16" s="21">
        <f t="shared" si="5"/>
        <v>0</v>
      </c>
      <c r="H16" s="10">
        <f t="shared" si="6"/>
        <v>46.256132860343875</v>
      </c>
      <c r="I16" s="10">
        <f t="shared" si="28"/>
        <v>-528.64151840393004</v>
      </c>
      <c r="J16" s="16">
        <f t="shared" si="0"/>
        <v>3329.3329599120116</v>
      </c>
      <c r="K16" s="27">
        <f t="shared" si="30"/>
        <v>3446.4657766006603</v>
      </c>
      <c r="L16" s="27">
        <f t="shared" si="1"/>
        <v>3257.7661047207021</v>
      </c>
      <c r="M16" s="32">
        <f t="shared" si="7"/>
        <v>0</v>
      </c>
      <c r="N16" s="20">
        <f t="shared" si="8"/>
        <v>3446.4657766006603</v>
      </c>
      <c r="P16" s="106">
        <f t="shared" si="9"/>
        <v>0</v>
      </c>
      <c r="Q16" s="107">
        <f t="shared" si="10"/>
        <v>7759.1560959603903</v>
      </c>
      <c r="R16" s="104">
        <f t="shared" si="11"/>
        <v>0</v>
      </c>
      <c r="S16" s="104">
        <f t="shared" si="12"/>
        <v>0</v>
      </c>
      <c r="T16" s="104">
        <f t="shared" si="13"/>
        <v>10.345558350222344</v>
      </c>
      <c r="U16" s="104">
        <f t="shared" si="14"/>
        <v>112.20591198983772</v>
      </c>
      <c r="V16" s="110">
        <f t="shared" si="15"/>
        <v>15.518337525333514</v>
      </c>
      <c r="W16" s="110">
        <f t="shared" si="16"/>
        <v>168.30886798475657</v>
      </c>
      <c r="X16" s="110">
        <f t="shared" si="17"/>
        <v>19.397921906666891</v>
      </c>
      <c r="Y16" s="110">
        <f t="shared" si="18"/>
        <v>210.38608498094712</v>
      </c>
      <c r="Z16" s="110">
        <f t="shared" si="19"/>
        <v>0</v>
      </c>
      <c r="AA16" s="110">
        <f t="shared" si="20"/>
        <v>0</v>
      </c>
      <c r="AB16" s="110">
        <f t="shared" si="21"/>
        <v>0</v>
      </c>
      <c r="AC16" s="110">
        <f t="shared" si="22"/>
        <v>0</v>
      </c>
      <c r="AD16" s="112">
        <f t="shared" si="23"/>
        <v>-517.27791751111715</v>
      </c>
      <c r="AE16" s="113">
        <f t="shared" si="24"/>
        <v>-5610.2955994919048</v>
      </c>
      <c r="AF16" s="116">
        <f t="shared" si="29"/>
        <v>2639.7613614240272</v>
      </c>
      <c r="AG16" s="92"/>
    </row>
    <row r="17" spans="1:33" x14ac:dyDescent="0.35">
      <c r="A17" s="9">
        <f t="shared" si="2"/>
        <v>7</v>
      </c>
      <c r="B17" s="14">
        <f t="shared" si="3"/>
        <v>37</v>
      </c>
      <c r="C17" s="21">
        <f t="shared" si="25"/>
        <v>0</v>
      </c>
      <c r="D17" s="10">
        <f t="shared" si="26"/>
        <v>45.261817782222749</v>
      </c>
      <c r="E17" s="10">
        <f t="shared" si="27"/>
        <v>-517.27791751111715</v>
      </c>
      <c r="F17" s="20">
        <f t="shared" si="4"/>
        <v>3909.1600263510645</v>
      </c>
      <c r="G17" s="21">
        <f t="shared" si="5"/>
        <v>0</v>
      </c>
      <c r="H17" s="10">
        <f t="shared" si="6"/>
        <v>46.256132860343875</v>
      </c>
      <c r="I17" s="10">
        <f t="shared" si="28"/>
        <v>-528.64151840393004</v>
      </c>
      <c r="J17" s="16">
        <f t="shared" si="0"/>
        <v>3995.0367530811154</v>
      </c>
      <c r="K17" s="27">
        <f t="shared" si="30"/>
        <v>4105.8927676533112</v>
      </c>
      <c r="L17" s="27">
        <f t="shared" si="1"/>
        <v>3909.1600263510645</v>
      </c>
      <c r="M17" s="32">
        <f t="shared" si="7"/>
        <v>0</v>
      </c>
      <c r="N17" s="20">
        <f t="shared" si="8"/>
        <v>4105.8927676533112</v>
      </c>
      <c r="P17" s="106">
        <f t="shared" si="9"/>
        <v>0</v>
      </c>
      <c r="Q17" s="107">
        <f t="shared" si="10"/>
        <v>8123.1759167287983</v>
      </c>
      <c r="R17" s="104">
        <f t="shared" si="11"/>
        <v>0</v>
      </c>
      <c r="S17" s="104">
        <f t="shared" si="12"/>
        <v>0</v>
      </c>
      <c r="T17" s="104">
        <f t="shared" si="13"/>
        <v>10.345558350222344</v>
      </c>
      <c r="U17" s="104">
        <f t="shared" si="14"/>
        <v>106.63911916729992</v>
      </c>
      <c r="V17" s="110">
        <f t="shared" si="15"/>
        <v>15.518337525333514</v>
      </c>
      <c r="W17" s="110">
        <f t="shared" si="16"/>
        <v>159.95867875094987</v>
      </c>
      <c r="X17" s="110">
        <f t="shared" si="17"/>
        <v>19.397921906666891</v>
      </c>
      <c r="Y17" s="110">
        <f t="shared" si="18"/>
        <v>199.94834843868878</v>
      </c>
      <c r="Z17" s="110">
        <f t="shared" si="19"/>
        <v>0</v>
      </c>
      <c r="AA17" s="110">
        <f t="shared" si="20"/>
        <v>0</v>
      </c>
      <c r="AB17" s="110">
        <f t="shared" si="21"/>
        <v>0</v>
      </c>
      <c r="AC17" s="110">
        <f t="shared" si="22"/>
        <v>0</v>
      </c>
      <c r="AD17" s="112">
        <f t="shared" si="23"/>
        <v>-517.27791751111715</v>
      </c>
      <c r="AE17" s="113">
        <f t="shared" si="24"/>
        <v>-5331.9559583650152</v>
      </c>
      <c r="AF17" s="116">
        <f t="shared" si="29"/>
        <v>3257.7661047207221</v>
      </c>
      <c r="AG17" s="92"/>
    </row>
    <row r="18" spans="1:33" x14ac:dyDescent="0.35">
      <c r="A18" s="9">
        <f t="shared" si="2"/>
        <v>8</v>
      </c>
      <c r="B18" s="14">
        <f t="shared" si="3"/>
        <v>38</v>
      </c>
      <c r="C18" s="21">
        <f t="shared" si="25"/>
        <v>0</v>
      </c>
      <c r="D18" s="10">
        <f t="shared" si="26"/>
        <v>45.261817782222749</v>
      </c>
      <c r="E18" s="10">
        <f t="shared" si="27"/>
        <v>-517.27791751111715</v>
      </c>
      <c r="F18" s="20">
        <f t="shared" si="4"/>
        <v>4599.3674651452184</v>
      </c>
      <c r="G18" s="21">
        <f t="shared" si="5"/>
        <v>0</v>
      </c>
      <c r="H18" s="10">
        <f t="shared" si="6"/>
        <v>46.256132860343875</v>
      </c>
      <c r="I18" s="10">
        <f t="shared" si="28"/>
        <v>-528.64151840393004</v>
      </c>
      <c r="J18" s="16">
        <f t="shared" si="0"/>
        <v>4700.4067217304882</v>
      </c>
      <c r="K18" s="27">
        <f t="shared" si="30"/>
        <v>4804.8540567238797</v>
      </c>
      <c r="L18" s="27">
        <f t="shared" si="1"/>
        <v>4599.3674651452184</v>
      </c>
      <c r="M18" s="32">
        <f t="shared" si="7"/>
        <v>0</v>
      </c>
      <c r="N18" s="20">
        <f t="shared" si="8"/>
        <v>4804.8540567238797</v>
      </c>
      <c r="P18" s="106">
        <f t="shared" si="9"/>
        <v>0</v>
      </c>
      <c r="Q18" s="107">
        <f t="shared" si="10"/>
        <v>8513.8468789975723</v>
      </c>
      <c r="R18" s="104">
        <f t="shared" si="11"/>
        <v>0</v>
      </c>
      <c r="S18" s="104">
        <f t="shared" si="12"/>
        <v>0</v>
      </c>
      <c r="T18" s="104">
        <f t="shared" si="13"/>
        <v>10.345558350222344</v>
      </c>
      <c r="U18" s="104">
        <f t="shared" si="14"/>
        <v>100.92464334567636</v>
      </c>
      <c r="V18" s="110">
        <f t="shared" si="15"/>
        <v>15.518337525333514</v>
      </c>
      <c r="W18" s="110">
        <f t="shared" si="16"/>
        <v>151.38696501851405</v>
      </c>
      <c r="X18" s="110">
        <f t="shared" si="17"/>
        <v>19.397921906666891</v>
      </c>
      <c r="Y18" s="110">
        <f t="shared" si="18"/>
        <v>189.23370627314446</v>
      </c>
      <c r="Z18" s="110">
        <f t="shared" si="19"/>
        <v>0</v>
      </c>
      <c r="AA18" s="110">
        <f t="shared" si="20"/>
        <v>0</v>
      </c>
      <c r="AB18" s="110">
        <f t="shared" si="21"/>
        <v>0</v>
      </c>
      <c r="AC18" s="110">
        <f t="shared" si="22"/>
        <v>0</v>
      </c>
      <c r="AD18" s="112">
        <f t="shared" si="23"/>
        <v>-517.27791751111715</v>
      </c>
      <c r="AE18" s="113">
        <f t="shared" si="24"/>
        <v>-5046.232167283817</v>
      </c>
      <c r="AF18" s="116">
        <f t="shared" si="29"/>
        <v>3909.1600263510882</v>
      </c>
      <c r="AG18" s="92"/>
    </row>
    <row r="19" spans="1:33" x14ac:dyDescent="0.35">
      <c r="A19" s="9">
        <f t="shared" si="2"/>
        <v>9</v>
      </c>
      <c r="B19" s="14">
        <f t="shared" si="3"/>
        <v>39</v>
      </c>
      <c r="C19" s="21">
        <f t="shared" si="25"/>
        <v>0</v>
      </c>
      <c r="D19" s="10">
        <f t="shared" si="26"/>
        <v>45.261817782222749</v>
      </c>
      <c r="E19" s="10">
        <f t="shared" si="27"/>
        <v>-517.27791751111715</v>
      </c>
      <c r="F19" s="20">
        <f t="shared" si="4"/>
        <v>5336.6402418166408</v>
      </c>
      <c r="G19" s="21">
        <f t="shared" si="5"/>
        <v>0</v>
      </c>
      <c r="H19" s="10">
        <f t="shared" si="6"/>
        <v>46.256132860343875</v>
      </c>
      <c r="I19" s="10">
        <f t="shared" si="28"/>
        <v>-528.64151840393004</v>
      </c>
      <c r="J19" s="16">
        <f t="shared" si="0"/>
        <v>5453.8759632027677</v>
      </c>
      <c r="K19" s="27">
        <f t="shared" si="30"/>
        <v>5551.8284045642094</v>
      </c>
      <c r="L19" s="27">
        <f t="shared" si="1"/>
        <v>5336.6402418166408</v>
      </c>
      <c r="M19" s="32">
        <f t="shared" si="7"/>
        <v>0</v>
      </c>
      <c r="N19" s="20">
        <f t="shared" si="8"/>
        <v>5551.8284045642094</v>
      </c>
      <c r="P19" s="106">
        <f t="shared" si="9"/>
        <v>0</v>
      </c>
      <c r="Q19" s="107">
        <f t="shared" si="10"/>
        <v>8937.8534922142808</v>
      </c>
      <c r="R19" s="104">
        <f t="shared" si="11"/>
        <v>0</v>
      </c>
      <c r="S19" s="104">
        <f t="shared" si="12"/>
        <v>0</v>
      </c>
      <c r="T19" s="104">
        <f t="shared" si="13"/>
        <v>10.345558350222344</v>
      </c>
      <c r="U19" s="104">
        <f t="shared" si="14"/>
        <v>95.090104702883011</v>
      </c>
      <c r="V19" s="110">
        <f t="shared" si="15"/>
        <v>15.518337525333514</v>
      </c>
      <c r="W19" s="110">
        <f t="shared" si="16"/>
        <v>142.6351570543244</v>
      </c>
      <c r="X19" s="110">
        <f t="shared" si="17"/>
        <v>19.397921906666891</v>
      </c>
      <c r="Y19" s="110">
        <f t="shared" si="18"/>
        <v>178.29394631790694</v>
      </c>
      <c r="Z19" s="110">
        <f t="shared" si="19"/>
        <v>0</v>
      </c>
      <c r="AA19" s="110">
        <f t="shared" si="20"/>
        <v>0</v>
      </c>
      <c r="AB19" s="110">
        <f t="shared" si="21"/>
        <v>0</v>
      </c>
      <c r="AC19" s="110">
        <f t="shared" si="22"/>
        <v>0</v>
      </c>
      <c r="AD19" s="112">
        <f t="shared" si="23"/>
        <v>-517.27791751111715</v>
      </c>
      <c r="AE19" s="113">
        <f t="shared" si="24"/>
        <v>-4754.5052351441509</v>
      </c>
      <c r="AF19" s="116">
        <f t="shared" si="29"/>
        <v>4599.3674651452448</v>
      </c>
      <c r="AG19" s="92"/>
    </row>
    <row r="20" spans="1:33" x14ac:dyDescent="0.35">
      <c r="A20" s="9">
        <f t="shared" si="2"/>
        <v>10</v>
      </c>
      <c r="B20" s="14">
        <f t="shared" si="3"/>
        <v>40</v>
      </c>
      <c r="C20" s="21">
        <f t="shared" si="25"/>
        <v>0</v>
      </c>
      <c r="D20" s="10">
        <f t="shared" si="26"/>
        <v>45.261817782222749</v>
      </c>
      <c r="E20" s="10">
        <f t="shared" si="27"/>
        <v>-517.27791751111715</v>
      </c>
      <c r="F20" s="20">
        <f t="shared" si="4"/>
        <v>6134.0375426162154</v>
      </c>
      <c r="G20" s="21">
        <f t="shared" si="5"/>
        <v>0</v>
      </c>
      <c r="H20" s="10">
        <f t="shared" si="6"/>
        <v>46.256132860343875</v>
      </c>
      <c r="I20" s="10">
        <f t="shared" si="28"/>
        <v>-528.64151840393004</v>
      </c>
      <c r="J20" s="16">
        <f t="shared" si="0"/>
        <v>6268.7905489521654</v>
      </c>
      <c r="K20" s="27">
        <f t="shared" si="30"/>
        <v>6360.2298021934494</v>
      </c>
      <c r="L20" s="27">
        <f t="shared" si="1"/>
        <v>6134.0375426162154</v>
      </c>
      <c r="M20" s="32">
        <f t="shared" si="7"/>
        <v>0</v>
      </c>
      <c r="N20" s="20">
        <f t="shared" si="8"/>
        <v>6360.2298021934494</v>
      </c>
      <c r="P20" s="106">
        <f t="shared" si="9"/>
        <v>0</v>
      </c>
      <c r="Q20" s="107">
        <f t="shared" si="10"/>
        <v>9405.3443230725388</v>
      </c>
      <c r="R20" s="104">
        <f t="shared" si="11"/>
        <v>0</v>
      </c>
      <c r="S20" s="104">
        <f t="shared" si="12"/>
        <v>0</v>
      </c>
      <c r="T20" s="104">
        <f t="shared" si="13"/>
        <v>10.345558350222344</v>
      </c>
      <c r="U20" s="104">
        <f t="shared" si="14"/>
        <v>89.17707575355341</v>
      </c>
      <c r="V20" s="110">
        <f t="shared" si="15"/>
        <v>15.518337525333514</v>
      </c>
      <c r="W20" s="110">
        <f t="shared" si="16"/>
        <v>133.76561363032954</v>
      </c>
      <c r="X20" s="110">
        <f t="shared" si="17"/>
        <v>19.397921906666891</v>
      </c>
      <c r="Y20" s="110">
        <f t="shared" si="18"/>
        <v>167.20701703791354</v>
      </c>
      <c r="Z20" s="110">
        <f t="shared" si="19"/>
        <v>0</v>
      </c>
      <c r="AA20" s="110">
        <f t="shared" si="20"/>
        <v>0</v>
      </c>
      <c r="AB20" s="110">
        <f t="shared" si="21"/>
        <v>0</v>
      </c>
      <c r="AC20" s="110">
        <f t="shared" si="22"/>
        <v>0</v>
      </c>
      <c r="AD20" s="112">
        <f t="shared" si="23"/>
        <v>-517.27791751111715</v>
      </c>
      <c r="AE20" s="113">
        <f t="shared" si="24"/>
        <v>-4458.85378767767</v>
      </c>
      <c r="AF20" s="116">
        <f t="shared" si="29"/>
        <v>5336.6402418166672</v>
      </c>
    </row>
    <row r="21" spans="1:33" x14ac:dyDescent="0.35">
      <c r="A21" s="9">
        <f t="shared" si="2"/>
        <v>11</v>
      </c>
      <c r="B21" s="14">
        <f t="shared" si="3"/>
        <v>41</v>
      </c>
      <c r="C21" s="21">
        <f t="shared" si="25"/>
        <v>0</v>
      </c>
      <c r="D21" s="10">
        <f t="shared" si="26"/>
        <v>45.261817782222749</v>
      </c>
      <c r="E21" s="10">
        <f t="shared" si="27"/>
        <v>-517.27791751111715</v>
      </c>
      <c r="F21" s="20">
        <f t="shared" si="4"/>
        <v>7011.6649773114696</v>
      </c>
      <c r="G21" s="21">
        <f t="shared" si="5"/>
        <v>0</v>
      </c>
      <c r="H21" s="10">
        <f t="shared" si="6"/>
        <v>46.256132860343875</v>
      </c>
      <c r="I21" s="10">
        <f t="shared" si="28"/>
        <v>-528.64151840393004</v>
      </c>
      <c r="J21" s="16">
        <f t="shared" si="0"/>
        <v>7165.6977703207922</v>
      </c>
      <c r="K21" s="27">
        <f t="shared" si="30"/>
        <v>7250.6900633757759</v>
      </c>
      <c r="L21" s="27">
        <f t="shared" si="1"/>
        <v>7011.6649773114696</v>
      </c>
      <c r="M21" s="32">
        <f t="shared" si="7"/>
        <v>0</v>
      </c>
      <c r="N21" s="20">
        <f t="shared" si="8"/>
        <v>7250.6900633757759</v>
      </c>
      <c r="P21" s="106">
        <f t="shared" si="9"/>
        <v>0</v>
      </c>
      <c r="Q21" s="107">
        <f t="shared" si="10"/>
        <v>9932.1997699055992</v>
      </c>
      <c r="R21" s="104">
        <f t="shared" si="11"/>
        <v>0</v>
      </c>
      <c r="S21" s="104">
        <f t="shared" si="12"/>
        <v>0</v>
      </c>
      <c r="T21" s="104">
        <f t="shared" si="13"/>
        <v>10.345558350222344</v>
      </c>
      <c r="U21" s="104">
        <f t="shared" si="14"/>
        <v>83.247391283054441</v>
      </c>
      <c r="V21" s="110">
        <f t="shared" si="15"/>
        <v>15.518337525333514</v>
      </c>
      <c r="W21" s="110">
        <f t="shared" si="16"/>
        <v>124.87108692458128</v>
      </c>
      <c r="X21" s="110">
        <f t="shared" si="17"/>
        <v>19.397921906666891</v>
      </c>
      <c r="Y21" s="110">
        <f t="shared" si="18"/>
        <v>156.08885865572751</v>
      </c>
      <c r="Z21" s="110">
        <f t="shared" si="19"/>
        <v>0</v>
      </c>
      <c r="AA21" s="110">
        <f t="shared" si="20"/>
        <v>0</v>
      </c>
      <c r="AB21" s="110">
        <f t="shared" si="21"/>
        <v>0</v>
      </c>
      <c r="AC21" s="110">
        <f t="shared" si="22"/>
        <v>0</v>
      </c>
      <c r="AD21" s="112">
        <f t="shared" si="23"/>
        <v>-517.27791751111715</v>
      </c>
      <c r="AE21" s="113">
        <f t="shared" si="24"/>
        <v>-4162.369564152722</v>
      </c>
      <c r="AF21" s="116">
        <f t="shared" si="29"/>
        <v>6134.0375426162382</v>
      </c>
    </row>
    <row r="22" spans="1:33" x14ac:dyDescent="0.35">
      <c r="A22" s="9">
        <f t="shared" si="2"/>
        <v>12</v>
      </c>
      <c r="B22" s="14">
        <f t="shared" si="3"/>
        <v>42</v>
      </c>
      <c r="C22" s="21">
        <f t="shared" si="25"/>
        <v>0</v>
      </c>
      <c r="D22" s="10">
        <f t="shared" si="26"/>
        <v>45.261817782222749</v>
      </c>
      <c r="E22" s="10">
        <f t="shared" si="27"/>
        <v>-517.27791751111715</v>
      </c>
      <c r="F22" s="20">
        <f t="shared" si="4"/>
        <v>7998.7547353339351</v>
      </c>
      <c r="G22" s="21">
        <f t="shared" si="5"/>
        <v>0</v>
      </c>
      <c r="H22" s="10">
        <f t="shared" si="6"/>
        <v>46.256132860343875</v>
      </c>
      <c r="I22" s="10">
        <f t="shared" si="28"/>
        <v>-528.64151840393004</v>
      </c>
      <c r="J22" s="16">
        <f t="shared" si="0"/>
        <v>8174.4719917155198</v>
      </c>
      <c r="K22" s="27">
        <f t="shared" si="30"/>
        <v>8253.1682701947648</v>
      </c>
      <c r="L22" s="27">
        <f t="shared" si="1"/>
        <v>7998.7547353339351</v>
      </c>
      <c r="M22" s="32">
        <f t="shared" si="7"/>
        <v>0</v>
      </c>
      <c r="N22" s="20">
        <f t="shared" si="8"/>
        <v>8253.1682701947648</v>
      </c>
      <c r="P22" s="106">
        <f t="shared" si="9"/>
        <v>0</v>
      </c>
      <c r="Q22" s="107">
        <f t="shared" si="10"/>
        <v>10542.036296512082</v>
      </c>
      <c r="R22" s="104">
        <f t="shared" si="11"/>
        <v>0</v>
      </c>
      <c r="S22" s="104">
        <f t="shared" si="12"/>
        <v>0</v>
      </c>
      <c r="T22" s="104">
        <f t="shared" si="13"/>
        <v>10.345558350222344</v>
      </c>
      <c r="U22" s="104">
        <f t="shared" si="14"/>
        <v>77.37800151672559</v>
      </c>
      <c r="V22" s="110">
        <f t="shared" si="15"/>
        <v>15.518337525333514</v>
      </c>
      <c r="W22" s="110">
        <f t="shared" si="16"/>
        <v>116.0670022750885</v>
      </c>
      <c r="X22" s="110">
        <f t="shared" si="17"/>
        <v>19.397921906666891</v>
      </c>
      <c r="Y22" s="110">
        <f t="shared" si="18"/>
        <v>145.08375284386088</v>
      </c>
      <c r="Z22" s="110">
        <f t="shared" si="19"/>
        <v>0</v>
      </c>
      <c r="AA22" s="110">
        <f t="shared" si="20"/>
        <v>0</v>
      </c>
      <c r="AB22" s="110">
        <f t="shared" si="21"/>
        <v>0</v>
      </c>
      <c r="AC22" s="110">
        <f t="shared" si="22"/>
        <v>0</v>
      </c>
      <c r="AD22" s="112">
        <f t="shared" si="23"/>
        <v>-517.27791751111715</v>
      </c>
      <c r="AE22" s="113">
        <f t="shared" si="24"/>
        <v>-3868.9000758362845</v>
      </c>
      <c r="AF22" s="116">
        <f t="shared" si="29"/>
        <v>7011.6649773114723</v>
      </c>
    </row>
    <row r="23" spans="1:33" x14ac:dyDescent="0.35">
      <c r="A23" s="9">
        <f t="shared" si="2"/>
        <v>13</v>
      </c>
      <c r="B23" s="14">
        <f t="shared" si="3"/>
        <v>43</v>
      </c>
      <c r="C23" s="21">
        <f t="shared" si="25"/>
        <v>0</v>
      </c>
      <c r="D23" s="10">
        <f t="shared" si="26"/>
        <v>45.261817782222749</v>
      </c>
      <c r="E23" s="10">
        <f t="shared" si="27"/>
        <v>-517.27791751111715</v>
      </c>
      <c r="F23" s="20">
        <f t="shared" si="4"/>
        <v>9137.2070915248823</v>
      </c>
      <c r="G23" s="21">
        <f t="shared" si="5"/>
        <v>0</v>
      </c>
      <c r="H23" s="10">
        <f t="shared" si="6"/>
        <v>46.256132860343875</v>
      </c>
      <c r="I23" s="10">
        <f t="shared" si="28"/>
        <v>-528.64151840393004</v>
      </c>
      <c r="J23" s="16">
        <f t="shared" si="0"/>
        <v>9337.9339564230686</v>
      </c>
      <c r="K23" s="27">
        <f t="shared" si="30"/>
        <v>9410.5640193905947</v>
      </c>
      <c r="L23" s="27">
        <f t="shared" si="1"/>
        <v>9137.2070915248823</v>
      </c>
      <c r="M23" s="32">
        <f t="shared" si="7"/>
        <v>0</v>
      </c>
      <c r="N23" s="20">
        <f t="shared" si="8"/>
        <v>9410.5640193905947</v>
      </c>
      <c r="P23" s="106">
        <f t="shared" si="9"/>
        <v>0</v>
      </c>
      <c r="Q23" s="107">
        <f t="shared" si="10"/>
        <v>11267.605056753242</v>
      </c>
      <c r="R23" s="104">
        <f t="shared" si="11"/>
        <v>0</v>
      </c>
      <c r="S23" s="104">
        <f t="shared" si="12"/>
        <v>0</v>
      </c>
      <c r="T23" s="104">
        <f t="shared" si="13"/>
        <v>10.345558350222344</v>
      </c>
      <c r="U23" s="104">
        <f t="shared" si="14"/>
        <v>71.646034442065854</v>
      </c>
      <c r="V23" s="110">
        <f t="shared" si="15"/>
        <v>15.518337525333514</v>
      </c>
      <c r="W23" s="110">
        <f t="shared" si="16"/>
        <v>107.46905166309881</v>
      </c>
      <c r="X23" s="110">
        <f t="shared" si="17"/>
        <v>19.397921906666891</v>
      </c>
      <c r="Y23" s="110">
        <f t="shared" si="18"/>
        <v>134.33631457887353</v>
      </c>
      <c r="Z23" s="110">
        <f t="shared" si="19"/>
        <v>0</v>
      </c>
      <c r="AA23" s="110">
        <f t="shared" si="20"/>
        <v>0</v>
      </c>
      <c r="AB23" s="110">
        <f t="shared" si="21"/>
        <v>0</v>
      </c>
      <c r="AC23" s="110">
        <f t="shared" si="22"/>
        <v>0</v>
      </c>
      <c r="AD23" s="112">
        <f t="shared" si="23"/>
        <v>-517.27791751111715</v>
      </c>
      <c r="AE23" s="113">
        <f t="shared" si="24"/>
        <v>-3582.3017221032974</v>
      </c>
      <c r="AF23" s="116">
        <f t="shared" si="29"/>
        <v>7998.7547353339833</v>
      </c>
    </row>
    <row r="24" spans="1:33" x14ac:dyDescent="0.35">
      <c r="A24" s="9">
        <f t="shared" si="2"/>
        <v>14</v>
      </c>
      <c r="B24" s="14">
        <f t="shared" si="3"/>
        <v>44</v>
      </c>
      <c r="C24" s="21">
        <f t="shared" si="25"/>
        <v>0</v>
      </c>
      <c r="D24" s="10">
        <f t="shared" si="26"/>
        <v>45.261817782222749</v>
      </c>
      <c r="E24" s="10">
        <f t="shared" si="27"/>
        <v>-517.27791751111715</v>
      </c>
      <c r="F24" s="20">
        <f t="shared" si="4"/>
        <v>10487.44594862466</v>
      </c>
      <c r="G24" s="21">
        <f t="shared" si="5"/>
        <v>0</v>
      </c>
      <c r="H24" s="10">
        <f t="shared" si="6"/>
        <v>46.256132860343875</v>
      </c>
      <c r="I24" s="10">
        <f t="shared" si="28"/>
        <v>-528.64151840393004</v>
      </c>
      <c r="J24" s="16">
        <f t="shared" si="0"/>
        <v>10717.834964105026</v>
      </c>
      <c r="K24" s="27">
        <f t="shared" si="30"/>
        <v>10784.700796720594</v>
      </c>
      <c r="L24" s="27">
        <f t="shared" si="1"/>
        <v>10487.44594862466</v>
      </c>
      <c r="M24" s="32">
        <f t="shared" si="7"/>
        <v>0</v>
      </c>
      <c r="N24" s="20">
        <f t="shared" si="8"/>
        <v>10784.700796720594</v>
      </c>
      <c r="P24" s="106">
        <f t="shared" si="9"/>
        <v>0</v>
      </c>
      <c r="Q24" s="107">
        <f t="shared" si="10"/>
        <v>12154.081704454926</v>
      </c>
      <c r="R24" s="104">
        <f t="shared" si="11"/>
        <v>0</v>
      </c>
      <c r="S24" s="104">
        <f t="shared" si="12"/>
        <v>0</v>
      </c>
      <c r="T24" s="104">
        <f t="shared" si="13"/>
        <v>10.345558350222344</v>
      </c>
      <c r="U24" s="104">
        <f t="shared" si="14"/>
        <v>66.123279187506085</v>
      </c>
      <c r="V24" s="110">
        <f t="shared" si="15"/>
        <v>15.518337525333514</v>
      </c>
      <c r="W24" s="110">
        <f t="shared" si="16"/>
        <v>99.184918781259171</v>
      </c>
      <c r="X24" s="110">
        <f t="shared" si="17"/>
        <v>19.397921906666891</v>
      </c>
      <c r="Y24" s="110">
        <f t="shared" si="18"/>
        <v>123.9811484765743</v>
      </c>
      <c r="Z24" s="110">
        <f t="shared" si="19"/>
        <v>0</v>
      </c>
      <c r="AA24" s="110">
        <f t="shared" si="20"/>
        <v>0</v>
      </c>
      <c r="AB24" s="110">
        <f t="shared" si="21"/>
        <v>0</v>
      </c>
      <c r="AC24" s="110">
        <f t="shared" si="22"/>
        <v>0</v>
      </c>
      <c r="AD24" s="112">
        <f t="shared" si="23"/>
        <v>-517.27791751111715</v>
      </c>
      <c r="AE24" s="113">
        <f t="shared" si="24"/>
        <v>-3306.1639593753084</v>
      </c>
      <c r="AF24" s="116">
        <f t="shared" si="29"/>
        <v>9137.2070915249569</v>
      </c>
    </row>
    <row r="25" spans="1:33" x14ac:dyDescent="0.35">
      <c r="A25" s="9">
        <f t="shared" si="2"/>
        <v>15</v>
      </c>
      <c r="B25" s="14">
        <f t="shared" si="3"/>
        <v>45</v>
      </c>
      <c r="C25" s="21">
        <f t="shared" si="25"/>
        <v>0</v>
      </c>
      <c r="D25" s="10">
        <f t="shared" si="26"/>
        <v>45.261817782222749</v>
      </c>
      <c r="E25" s="10">
        <f t="shared" si="27"/>
        <v>-517.27791751111715</v>
      </c>
      <c r="F25" s="20">
        <f t="shared" si="4"/>
        <v>12134.153072904626</v>
      </c>
      <c r="G25" s="21">
        <f t="shared" si="5"/>
        <v>0</v>
      </c>
      <c r="H25" s="10">
        <f t="shared" si="6"/>
        <v>46.256132860343875</v>
      </c>
      <c r="I25" s="10">
        <f t="shared" si="28"/>
        <v>-528.64151840393004</v>
      </c>
      <c r="J25" s="16">
        <f t="shared" si="0"/>
        <v>12400.717076557121</v>
      </c>
      <c r="K25" s="27">
        <f t="shared" si="30"/>
        <v>12462.168320481353</v>
      </c>
      <c r="L25" s="27">
        <f t="shared" si="1"/>
        <v>12134.153072904626</v>
      </c>
      <c r="M25" s="32">
        <f t="shared" si="7"/>
        <v>0</v>
      </c>
      <c r="N25" s="20">
        <f t="shared" si="8"/>
        <v>12462.168320481353</v>
      </c>
      <c r="P25" s="106">
        <f t="shared" si="9"/>
        <v>0</v>
      </c>
      <c r="Q25" s="107">
        <f t="shared" si="10"/>
        <v>13264.888575660967</v>
      </c>
      <c r="R25" s="104">
        <f t="shared" si="11"/>
        <v>0</v>
      </c>
      <c r="S25" s="104">
        <f t="shared" si="12"/>
        <v>0</v>
      </c>
      <c r="T25" s="104">
        <f t="shared" si="13"/>
        <v>10.345558350222344</v>
      </c>
      <c r="U25" s="104">
        <f t="shared" si="14"/>
        <v>60.875454839150706</v>
      </c>
      <c r="V25" s="110">
        <f t="shared" si="15"/>
        <v>15.518337525333514</v>
      </c>
      <c r="W25" s="110">
        <f t="shared" si="16"/>
        <v>91.31318225872613</v>
      </c>
      <c r="X25" s="110">
        <f t="shared" si="17"/>
        <v>19.397921906666891</v>
      </c>
      <c r="Y25" s="110">
        <f t="shared" si="18"/>
        <v>114.14147782340764</v>
      </c>
      <c r="Z25" s="110">
        <f t="shared" si="19"/>
        <v>0</v>
      </c>
      <c r="AA25" s="110">
        <f t="shared" si="20"/>
        <v>0</v>
      </c>
      <c r="AB25" s="110">
        <f t="shared" si="21"/>
        <v>0</v>
      </c>
      <c r="AC25" s="110">
        <f t="shared" si="22"/>
        <v>0</v>
      </c>
      <c r="AD25" s="112">
        <f t="shared" si="23"/>
        <v>-517.27791751111715</v>
      </c>
      <c r="AE25" s="113">
        <f t="shared" si="24"/>
        <v>-3043.7727419575408</v>
      </c>
      <c r="AF25" s="116">
        <f t="shared" si="29"/>
        <v>10487.445948624711</v>
      </c>
    </row>
    <row r="26" spans="1:33" x14ac:dyDescent="0.35">
      <c r="A26" s="9">
        <f t="shared" si="2"/>
        <v>16</v>
      </c>
      <c r="B26" s="14">
        <f t="shared" si="3"/>
        <v>46</v>
      </c>
      <c r="C26" s="21">
        <f t="shared" si="25"/>
        <v>0</v>
      </c>
      <c r="D26" s="10">
        <f t="shared" si="26"/>
        <v>45.261817782222749</v>
      </c>
      <c r="E26" s="10">
        <f t="shared" si="27"/>
        <v>-517.27791751111715</v>
      </c>
      <c r="F26" s="20">
        <f t="shared" si="4"/>
        <v>14176.6257884634</v>
      </c>
      <c r="G26" s="21">
        <f t="shared" si="5"/>
        <v>0</v>
      </c>
      <c r="H26" s="10">
        <f t="shared" si="6"/>
        <v>46.256132860343875</v>
      </c>
      <c r="I26" s="10">
        <f t="shared" si="28"/>
        <v>-528.64151840393004</v>
      </c>
      <c r="J26" s="16">
        <f t="shared" si="0"/>
        <v>14488.058989095625</v>
      </c>
      <c r="K26" s="27">
        <f t="shared" si="30"/>
        <v>14544.38647147021</v>
      </c>
      <c r="L26" s="27">
        <f t="shared" si="1"/>
        <v>14176.6257884634</v>
      </c>
      <c r="M26" s="32">
        <f t="shared" si="7"/>
        <v>0</v>
      </c>
      <c r="N26" s="20">
        <f t="shared" si="8"/>
        <v>14544.38647147021</v>
      </c>
      <c r="P26" s="106">
        <f t="shared" si="9"/>
        <v>0</v>
      </c>
      <c r="Q26" s="107">
        <f t="shared" si="10"/>
        <v>14686.686970760069</v>
      </c>
      <c r="R26" s="104">
        <f t="shared" si="11"/>
        <v>0</v>
      </c>
      <c r="S26" s="104">
        <f t="shared" si="12"/>
        <v>0</v>
      </c>
      <c r="T26" s="104">
        <f t="shared" si="13"/>
        <v>10.345558350222344</v>
      </c>
      <c r="U26" s="104">
        <f t="shared" si="14"/>
        <v>55.945948446146119</v>
      </c>
      <c r="V26" s="110">
        <f t="shared" si="15"/>
        <v>15.518337525333514</v>
      </c>
      <c r="W26" s="110">
        <f t="shared" si="16"/>
        <v>83.918922669219228</v>
      </c>
      <c r="X26" s="110">
        <f t="shared" si="17"/>
        <v>19.397921906666891</v>
      </c>
      <c r="Y26" s="110">
        <f t="shared" si="18"/>
        <v>104.89865333652409</v>
      </c>
      <c r="Z26" s="110">
        <f t="shared" si="19"/>
        <v>0</v>
      </c>
      <c r="AA26" s="110">
        <f t="shared" si="20"/>
        <v>0</v>
      </c>
      <c r="AB26" s="110">
        <f t="shared" si="21"/>
        <v>0</v>
      </c>
      <c r="AC26" s="110">
        <f t="shared" si="22"/>
        <v>0</v>
      </c>
      <c r="AD26" s="112">
        <f t="shared" si="23"/>
        <v>-517.27791751111715</v>
      </c>
      <c r="AE26" s="113">
        <f t="shared" si="24"/>
        <v>-2797.2974223073106</v>
      </c>
      <c r="AF26" s="116">
        <f t="shared" si="29"/>
        <v>12134.153072904648</v>
      </c>
    </row>
    <row r="27" spans="1:33" x14ac:dyDescent="0.35">
      <c r="A27" s="9">
        <f t="shared" si="2"/>
        <v>17</v>
      </c>
      <c r="B27" s="14">
        <f t="shared" si="3"/>
        <v>47</v>
      </c>
      <c r="C27" s="21">
        <f t="shared" si="25"/>
        <v>0</v>
      </c>
      <c r="D27" s="10">
        <f t="shared" si="26"/>
        <v>45.261817782222749</v>
      </c>
      <c r="E27" s="10">
        <f t="shared" si="27"/>
        <v>-517.27791751111715</v>
      </c>
      <c r="F27" s="20">
        <f t="shared" si="4"/>
        <v>16732.387204314175</v>
      </c>
      <c r="G27" s="21">
        <f t="shared" si="5"/>
        <v>0</v>
      </c>
      <c r="H27" s="10">
        <f t="shared" si="6"/>
        <v>46.256132860343875</v>
      </c>
      <c r="I27" s="10">
        <f t="shared" si="28"/>
        <v>-528.64151840393004</v>
      </c>
      <c r="J27" s="16">
        <f t="shared" si="0"/>
        <v>17099.96556738967</v>
      </c>
      <c r="K27" s="27">
        <f t="shared" si="30"/>
        <v>17151.325487367532</v>
      </c>
      <c r="L27" s="27">
        <f t="shared" si="1"/>
        <v>16732.387204314175</v>
      </c>
      <c r="M27" s="32">
        <f t="shared" si="7"/>
        <v>0</v>
      </c>
      <c r="N27" s="20">
        <f t="shared" si="8"/>
        <v>17151.325487367532</v>
      </c>
      <c r="P27" s="106">
        <f t="shared" si="9"/>
        <v>0</v>
      </c>
      <c r="Q27" s="107">
        <f t="shared" si="10"/>
        <v>16516.331203039903</v>
      </c>
      <c r="R27" s="104">
        <f t="shared" si="11"/>
        <v>0</v>
      </c>
      <c r="S27" s="104">
        <f t="shared" si="12"/>
        <v>0</v>
      </c>
      <c r="T27" s="104">
        <f t="shared" si="13"/>
        <v>10.345558350222344</v>
      </c>
      <c r="U27" s="104">
        <f t="shared" si="14"/>
        <v>51.281214566059475</v>
      </c>
      <c r="V27" s="110">
        <f t="shared" si="15"/>
        <v>15.518337525333514</v>
      </c>
      <c r="W27" s="110">
        <f t="shared" si="16"/>
        <v>76.92182184908927</v>
      </c>
      <c r="X27" s="110">
        <f t="shared" si="17"/>
        <v>19.397921906666891</v>
      </c>
      <c r="Y27" s="110">
        <f t="shared" si="18"/>
        <v>96.152277311361686</v>
      </c>
      <c r="Z27" s="110">
        <f t="shared" si="19"/>
        <v>0</v>
      </c>
      <c r="AA27" s="110">
        <f t="shared" si="20"/>
        <v>0</v>
      </c>
      <c r="AB27" s="110">
        <f t="shared" si="21"/>
        <v>0</v>
      </c>
      <c r="AC27" s="110">
        <f t="shared" si="22"/>
        <v>0</v>
      </c>
      <c r="AD27" s="112">
        <f t="shared" si="23"/>
        <v>-517.27791751111715</v>
      </c>
      <c r="AE27" s="113">
        <f t="shared" si="24"/>
        <v>-2564.0607283029785</v>
      </c>
      <c r="AF27" s="116">
        <f t="shared" si="29"/>
        <v>14176.625788463436</v>
      </c>
    </row>
    <row r="28" spans="1:33" x14ac:dyDescent="0.35">
      <c r="A28" s="9">
        <f t="shared" si="2"/>
        <v>18</v>
      </c>
      <c r="B28" s="14">
        <f t="shared" si="3"/>
        <v>48</v>
      </c>
      <c r="C28" s="21">
        <f t="shared" si="25"/>
        <v>0</v>
      </c>
      <c r="D28" s="10">
        <f t="shared" si="26"/>
        <v>45.261817782222749</v>
      </c>
      <c r="E28" s="10">
        <f t="shared" si="27"/>
        <v>-517.27791751111715</v>
      </c>
      <c r="F28" s="20">
        <f t="shared" si="4"/>
        <v>19933.312058087697</v>
      </c>
      <c r="G28" s="21">
        <f t="shared" si="5"/>
        <v>0</v>
      </c>
      <c r="H28" s="10">
        <f t="shared" si="6"/>
        <v>46.256132860343875</v>
      </c>
      <c r="I28" s="10">
        <f t="shared" si="28"/>
        <v>-528.64151840393004</v>
      </c>
      <c r="J28" s="16">
        <f t="shared" si="0"/>
        <v>20371.208583402135</v>
      </c>
      <c r="K28" s="27">
        <f t="shared" si="30"/>
        <v>20417.548993784734</v>
      </c>
      <c r="L28" s="27">
        <f t="shared" si="1"/>
        <v>19933.312058087697</v>
      </c>
      <c r="M28" s="32">
        <f t="shared" si="7"/>
        <v>0</v>
      </c>
      <c r="N28" s="20">
        <f t="shared" si="8"/>
        <v>20417.548993784734</v>
      </c>
      <c r="P28" s="106">
        <f t="shared" si="9"/>
        <v>0</v>
      </c>
      <c r="Q28" s="107">
        <f t="shared" si="10"/>
        <v>18865.752265178959</v>
      </c>
      <c r="R28" s="104">
        <f t="shared" si="11"/>
        <v>0</v>
      </c>
      <c r="S28" s="104">
        <f t="shared" si="12"/>
        <v>0</v>
      </c>
      <c r="T28" s="104">
        <f t="shared" si="13"/>
        <v>10.345558350222344</v>
      </c>
      <c r="U28" s="104">
        <f t="shared" si="14"/>
        <v>46.758686265529533</v>
      </c>
      <c r="V28" s="110">
        <f t="shared" si="15"/>
        <v>15.518337525333514</v>
      </c>
      <c r="W28" s="110">
        <f t="shared" si="16"/>
        <v>70.13802939829435</v>
      </c>
      <c r="X28" s="110">
        <f t="shared" si="17"/>
        <v>19.397921906666891</v>
      </c>
      <c r="Y28" s="110">
        <f t="shared" si="18"/>
        <v>87.672536747867952</v>
      </c>
      <c r="Z28" s="110">
        <f t="shared" si="19"/>
        <v>0</v>
      </c>
      <c r="AA28" s="110">
        <f t="shared" si="20"/>
        <v>0</v>
      </c>
      <c r="AB28" s="110">
        <f t="shared" si="21"/>
        <v>0</v>
      </c>
      <c r="AC28" s="110">
        <f t="shared" si="22"/>
        <v>0</v>
      </c>
      <c r="AD28" s="112">
        <f t="shared" si="23"/>
        <v>-517.27791751111715</v>
      </c>
      <c r="AE28" s="113">
        <f t="shared" si="24"/>
        <v>-2337.9343132764811</v>
      </c>
      <c r="AF28" s="116">
        <f t="shared" si="29"/>
        <v>16732.387204314171</v>
      </c>
    </row>
    <row r="29" spans="1:33" x14ac:dyDescent="0.35">
      <c r="A29" s="9">
        <f t="shared" si="2"/>
        <v>19</v>
      </c>
      <c r="B29" s="14">
        <f t="shared" si="3"/>
        <v>49</v>
      </c>
      <c r="C29" s="21">
        <f t="shared" si="25"/>
        <v>0</v>
      </c>
      <c r="D29" s="10">
        <f t="shared" si="26"/>
        <v>45.261817782222749</v>
      </c>
      <c r="E29" s="10">
        <f t="shared" si="27"/>
        <v>-517.27791751111715</v>
      </c>
      <c r="F29" s="20">
        <f t="shared" si="4"/>
        <v>23926.288576229072</v>
      </c>
      <c r="G29" s="21">
        <f t="shared" si="5"/>
        <v>0</v>
      </c>
      <c r="H29" s="10">
        <f t="shared" si="6"/>
        <v>46.256132860343875</v>
      </c>
      <c r="I29" s="10">
        <f t="shared" si="28"/>
        <v>-528.64151840393004</v>
      </c>
      <c r="J29" s="16">
        <f t="shared" si="0"/>
        <v>24451.903115381894</v>
      </c>
      <c r="K29" s="27">
        <f t="shared" si="30"/>
        <v>24492.915209422041</v>
      </c>
      <c r="L29" s="27">
        <f t="shared" si="1"/>
        <v>23926.288576229072</v>
      </c>
      <c r="M29" s="32">
        <f t="shared" si="7"/>
        <v>0</v>
      </c>
      <c r="N29" s="20">
        <f t="shared" si="8"/>
        <v>24492.915209422041</v>
      </c>
      <c r="P29" s="106">
        <f t="shared" si="9"/>
        <v>0</v>
      </c>
      <c r="Q29" s="107">
        <f t="shared" si="10"/>
        <v>21858.179006069531</v>
      </c>
      <c r="R29" s="104">
        <f t="shared" si="11"/>
        <v>0</v>
      </c>
      <c r="S29" s="104">
        <f t="shared" si="12"/>
        <v>0</v>
      </c>
      <c r="T29" s="104">
        <f t="shared" si="13"/>
        <v>10.345558350222344</v>
      </c>
      <c r="U29" s="104">
        <f t="shared" si="14"/>
        <v>42.188864613299913</v>
      </c>
      <c r="V29" s="110">
        <f t="shared" si="15"/>
        <v>15.518337525333514</v>
      </c>
      <c r="W29" s="110">
        <f t="shared" si="16"/>
        <v>63.283296919949876</v>
      </c>
      <c r="X29" s="110">
        <f t="shared" si="17"/>
        <v>19.397921906666891</v>
      </c>
      <c r="Y29" s="110">
        <f t="shared" si="18"/>
        <v>79.104121149937399</v>
      </c>
      <c r="Z29" s="110">
        <f t="shared" si="19"/>
        <v>0</v>
      </c>
      <c r="AA29" s="110">
        <f t="shared" si="20"/>
        <v>0</v>
      </c>
      <c r="AB29" s="110">
        <f t="shared" si="21"/>
        <v>0</v>
      </c>
      <c r="AC29" s="110">
        <f t="shared" si="22"/>
        <v>0</v>
      </c>
      <c r="AD29" s="112">
        <f t="shared" si="23"/>
        <v>-517.27791751111715</v>
      </c>
      <c r="AE29" s="113">
        <f t="shared" si="24"/>
        <v>-2109.443230664996</v>
      </c>
      <c r="AF29" s="116">
        <f t="shared" si="29"/>
        <v>19933.312058087722</v>
      </c>
    </row>
    <row r="30" spans="1:33" x14ac:dyDescent="0.35">
      <c r="A30" s="9">
        <f t="shared" si="2"/>
        <v>20</v>
      </c>
      <c r="B30" s="14">
        <f t="shared" si="3"/>
        <v>50</v>
      </c>
      <c r="C30" s="21">
        <f t="shared" si="25"/>
        <v>0</v>
      </c>
      <c r="D30" s="10">
        <f t="shared" si="26"/>
        <v>45.261817782222749</v>
      </c>
      <c r="E30" s="10">
        <f t="shared" si="27"/>
        <v>-517.27791751111715</v>
      </c>
      <c r="F30" s="20">
        <f t="shared" si="4"/>
        <v>28885.33612499819</v>
      </c>
      <c r="G30" s="21">
        <f t="shared" si="5"/>
        <v>0</v>
      </c>
      <c r="H30" s="10">
        <f t="shared" si="6"/>
        <v>46.256132860343875</v>
      </c>
      <c r="I30" s="10">
        <f t="shared" si="28"/>
        <v>-528.64151840393004</v>
      </c>
      <c r="J30" s="16">
        <f t="shared" si="0"/>
        <v>29519.891400349137</v>
      </c>
      <c r="K30" s="27">
        <f t="shared" si="30"/>
        <v>29554.992474031707</v>
      </c>
      <c r="L30" s="27">
        <f t="shared" si="1"/>
        <v>28885.33612499819</v>
      </c>
      <c r="M30" s="32">
        <f t="shared" si="7"/>
        <v>0</v>
      </c>
      <c r="N30" s="20">
        <f t="shared" si="8"/>
        <v>29554.992474031707</v>
      </c>
      <c r="P30" s="106">
        <f t="shared" si="9"/>
        <v>0</v>
      </c>
      <c r="Q30" s="107">
        <f t="shared" si="10"/>
        <v>25629.830336727708</v>
      </c>
      <c r="R30" s="104">
        <f t="shared" si="11"/>
        <v>0</v>
      </c>
      <c r="S30" s="104">
        <f t="shared" si="12"/>
        <v>0</v>
      </c>
      <c r="T30" s="104">
        <f t="shared" si="13"/>
        <v>10.345558350222344</v>
      </c>
      <c r="U30" s="104">
        <f t="shared" si="14"/>
        <v>37.337901599969214</v>
      </c>
      <c r="V30" s="110">
        <f t="shared" si="15"/>
        <v>15.518337525333514</v>
      </c>
      <c r="W30" s="110">
        <f t="shared" si="16"/>
        <v>56.006852399953821</v>
      </c>
      <c r="X30" s="110">
        <f t="shared" si="17"/>
        <v>19.397921906666891</v>
      </c>
      <c r="Y30" s="110">
        <f t="shared" si="18"/>
        <v>70.00856549994225</v>
      </c>
      <c r="Z30" s="110">
        <f t="shared" si="19"/>
        <v>0</v>
      </c>
      <c r="AA30" s="110">
        <f t="shared" si="20"/>
        <v>0</v>
      </c>
      <c r="AB30" s="110">
        <f t="shared" si="21"/>
        <v>0</v>
      </c>
      <c r="AC30" s="110">
        <f t="shared" si="22"/>
        <v>0</v>
      </c>
      <c r="AD30" s="112">
        <f t="shared" si="23"/>
        <v>-517.27791751111715</v>
      </c>
      <c r="AE30" s="113">
        <f t="shared" si="24"/>
        <v>-1866.8950799984605</v>
      </c>
      <c r="AF30" s="116">
        <f t="shared" si="29"/>
        <v>23926.288576229115</v>
      </c>
    </row>
    <row r="31" spans="1:33" x14ac:dyDescent="0.35">
      <c r="A31" s="9">
        <f t="shared" si="2"/>
        <v>21</v>
      </c>
      <c r="B31" s="14">
        <f t="shared" si="3"/>
        <v>51</v>
      </c>
      <c r="C31" s="21">
        <f t="shared" si="25"/>
        <v>0</v>
      </c>
      <c r="D31" s="10">
        <f t="shared" si="26"/>
        <v>45.261817782222749</v>
      </c>
      <c r="E31" s="10">
        <f t="shared" si="27"/>
        <v>-517.27791751111715</v>
      </c>
      <c r="F31" s="20">
        <f t="shared" si="4"/>
        <v>35146.444810182802</v>
      </c>
      <c r="G31" s="21">
        <f t="shared" si="5"/>
        <v>0</v>
      </c>
      <c r="H31" s="10">
        <f t="shared" si="6"/>
        <v>46.256132860343875</v>
      </c>
      <c r="I31" s="10">
        <f t="shared" si="28"/>
        <v>-528.64151840393004</v>
      </c>
      <c r="J31" s="16">
        <f t="shared" si="0"/>
        <v>35918.544600457753</v>
      </c>
      <c r="K31" s="27">
        <f t="shared" si="30"/>
        <v>35946.962959543816</v>
      </c>
      <c r="L31" s="27">
        <f t="shared" si="1"/>
        <v>35146.444810182802</v>
      </c>
      <c r="M31" s="32">
        <f t="shared" si="7"/>
        <v>0</v>
      </c>
      <c r="N31" s="20">
        <f t="shared" si="8"/>
        <v>35946.962959543816</v>
      </c>
      <c r="P31" s="106">
        <f t="shared" si="9"/>
        <v>0</v>
      </c>
      <c r="Q31" s="107">
        <f t="shared" si="10"/>
        <v>30343.348602928574</v>
      </c>
      <c r="R31" s="104">
        <f t="shared" si="11"/>
        <v>0</v>
      </c>
      <c r="S31" s="104">
        <f t="shared" si="12"/>
        <v>0</v>
      </c>
      <c r="T31" s="104">
        <f t="shared" si="13"/>
        <v>10.345558350222344</v>
      </c>
      <c r="U31" s="104">
        <f t="shared" si="14"/>
        <v>31.956437872446198</v>
      </c>
      <c r="V31" s="110">
        <f t="shared" si="15"/>
        <v>15.518337525333514</v>
      </c>
      <c r="W31" s="110">
        <f t="shared" si="16"/>
        <v>47.934656808669295</v>
      </c>
      <c r="X31" s="110">
        <f t="shared" si="17"/>
        <v>19.397921906666891</v>
      </c>
      <c r="Y31" s="110">
        <f t="shared" si="18"/>
        <v>59.918321010836635</v>
      </c>
      <c r="Z31" s="110">
        <f t="shared" si="19"/>
        <v>0</v>
      </c>
      <c r="AA31" s="110">
        <f t="shared" si="20"/>
        <v>0</v>
      </c>
      <c r="AB31" s="110">
        <f t="shared" si="21"/>
        <v>0</v>
      </c>
      <c r="AC31" s="110">
        <f t="shared" si="22"/>
        <v>0</v>
      </c>
      <c r="AD31" s="112">
        <f t="shared" si="23"/>
        <v>-517.27791751111715</v>
      </c>
      <c r="AE31" s="113">
        <f t="shared" si="24"/>
        <v>-1597.8218936223097</v>
      </c>
      <c r="AF31" s="116">
        <f t="shared" si="29"/>
        <v>28885.336124998215</v>
      </c>
    </row>
    <row r="32" spans="1:33" x14ac:dyDescent="0.35">
      <c r="A32" s="9">
        <f t="shared" si="2"/>
        <v>22</v>
      </c>
      <c r="B32" s="14">
        <f t="shared" si="3"/>
        <v>52</v>
      </c>
      <c r="C32" s="21">
        <f t="shared" si="25"/>
        <v>0</v>
      </c>
      <c r="D32" s="10">
        <f t="shared" si="26"/>
        <v>45.261817782222749</v>
      </c>
      <c r="E32" s="10">
        <f t="shared" si="27"/>
        <v>-517.27791751111715</v>
      </c>
      <c r="F32" s="20">
        <f t="shared" si="4"/>
        <v>43119.966925171851</v>
      </c>
      <c r="G32" s="21">
        <f t="shared" si="5"/>
        <v>0</v>
      </c>
      <c r="H32" s="10">
        <f t="shared" si="6"/>
        <v>46.256132860343875</v>
      </c>
      <c r="I32" s="10">
        <f t="shared" si="28"/>
        <v>-528.64151840393004</v>
      </c>
      <c r="J32" s="16">
        <f t="shared" si="0"/>
        <v>44067.22965969293</v>
      </c>
      <c r="K32" s="27">
        <f t="shared" si="30"/>
        <v>44087.876273567395</v>
      </c>
      <c r="L32" s="27">
        <f t="shared" si="1"/>
        <v>43119.966925171851</v>
      </c>
      <c r="M32" s="32">
        <f t="shared" si="7"/>
        <v>0</v>
      </c>
      <c r="N32" s="20">
        <f t="shared" si="8"/>
        <v>44087.876273567395</v>
      </c>
      <c r="P32" s="106">
        <f t="shared" si="9"/>
        <v>0</v>
      </c>
      <c r="Q32" s="107">
        <f t="shared" si="10"/>
        <v>36326.8737202638</v>
      </c>
      <c r="R32" s="104">
        <f t="shared" si="11"/>
        <v>0</v>
      </c>
      <c r="S32" s="104">
        <f t="shared" si="12"/>
        <v>0</v>
      </c>
      <c r="T32" s="104">
        <f t="shared" si="13"/>
        <v>10.345558350222344</v>
      </c>
      <c r="U32" s="104">
        <f t="shared" si="14"/>
        <v>25.872414467528177</v>
      </c>
      <c r="V32" s="110">
        <f t="shared" si="15"/>
        <v>15.518337525333514</v>
      </c>
      <c r="W32" s="110">
        <f t="shared" si="16"/>
        <v>38.808621701292338</v>
      </c>
      <c r="X32" s="110">
        <f t="shared" si="17"/>
        <v>19.397921906666891</v>
      </c>
      <c r="Y32" s="110">
        <f t="shared" si="18"/>
        <v>48.51077712661543</v>
      </c>
      <c r="Z32" s="110">
        <f t="shared" si="19"/>
        <v>0</v>
      </c>
      <c r="AA32" s="110">
        <f t="shared" si="20"/>
        <v>0</v>
      </c>
      <c r="AB32" s="110">
        <f t="shared" si="21"/>
        <v>0</v>
      </c>
      <c r="AC32" s="110">
        <f t="shared" si="22"/>
        <v>0</v>
      </c>
      <c r="AD32" s="112">
        <f t="shared" si="23"/>
        <v>-517.27791751111715</v>
      </c>
      <c r="AE32" s="113">
        <f t="shared" si="24"/>
        <v>-1293.6207233764112</v>
      </c>
      <c r="AF32" s="116">
        <f t="shared" si="29"/>
        <v>35146.444810182817</v>
      </c>
    </row>
    <row r="33" spans="1:32" x14ac:dyDescent="0.35">
      <c r="A33" s="9">
        <f t="shared" si="2"/>
        <v>23</v>
      </c>
      <c r="B33" s="14">
        <f t="shared" si="3"/>
        <v>53</v>
      </c>
      <c r="C33" s="21">
        <f t="shared" si="25"/>
        <v>0</v>
      </c>
      <c r="D33" s="10">
        <f t="shared" si="26"/>
        <v>45.261817782222749</v>
      </c>
      <c r="E33" s="10">
        <f t="shared" si="27"/>
        <v>-517.27791751111715</v>
      </c>
      <c r="F33" s="20">
        <f t="shared" si="4"/>
        <v>53362.189431412073</v>
      </c>
      <c r="G33" s="21">
        <f t="shared" si="5"/>
        <v>0</v>
      </c>
      <c r="H33" s="10">
        <f t="shared" si="6"/>
        <v>46.256132860343875</v>
      </c>
      <c r="I33" s="10">
        <f t="shared" si="28"/>
        <v>-528.64151840393004</v>
      </c>
      <c r="J33" s="16">
        <f t="shared" si="0"/>
        <v>54534.454094057786</v>
      </c>
      <c r="K33" s="27">
        <f t="shared" si="30"/>
        <v>54545.817694950594</v>
      </c>
      <c r="L33" s="27">
        <f t="shared" si="1"/>
        <v>53362.189431412073</v>
      </c>
      <c r="M33" s="32">
        <f t="shared" si="7"/>
        <v>0</v>
      </c>
      <c r="N33" s="20">
        <f t="shared" si="8"/>
        <v>54545.817694950594</v>
      </c>
      <c r="P33" s="106">
        <f t="shared" si="9"/>
        <v>0</v>
      </c>
      <c r="Q33" s="107">
        <f t="shared" si="10"/>
        <v>43977.576607662399</v>
      </c>
      <c r="R33" s="104">
        <f t="shared" si="11"/>
        <v>0</v>
      </c>
      <c r="S33" s="104">
        <f t="shared" si="12"/>
        <v>0</v>
      </c>
      <c r="T33" s="104">
        <f t="shared" si="13"/>
        <v>10.345558350222344</v>
      </c>
      <c r="U33" s="104">
        <f t="shared" si="14"/>
        <v>18.796924547737021</v>
      </c>
      <c r="V33" s="110">
        <f t="shared" si="15"/>
        <v>15.518337525333514</v>
      </c>
      <c r="W33" s="110">
        <f t="shared" si="16"/>
        <v>28.195386821605567</v>
      </c>
      <c r="X33" s="110">
        <f t="shared" si="17"/>
        <v>19.397921906666891</v>
      </c>
      <c r="Y33" s="110">
        <f t="shared" si="18"/>
        <v>35.244233527006976</v>
      </c>
      <c r="Z33" s="110">
        <f t="shared" si="19"/>
        <v>0</v>
      </c>
      <c r="AA33" s="110">
        <f t="shared" si="20"/>
        <v>0</v>
      </c>
      <c r="AB33" s="110">
        <f t="shared" si="21"/>
        <v>0</v>
      </c>
      <c r="AC33" s="110">
        <f t="shared" si="22"/>
        <v>0</v>
      </c>
      <c r="AD33" s="112">
        <f t="shared" si="23"/>
        <v>-517.27791751111715</v>
      </c>
      <c r="AE33" s="113">
        <f t="shared" si="24"/>
        <v>-939.84622738685255</v>
      </c>
      <c r="AF33" s="116">
        <f t="shared" si="29"/>
        <v>43119.966925171902</v>
      </c>
    </row>
    <row r="34" spans="1:32" x14ac:dyDescent="0.35">
      <c r="A34" s="9">
        <f t="shared" si="2"/>
        <v>24</v>
      </c>
      <c r="B34" s="14">
        <f t="shared" si="3"/>
        <v>54</v>
      </c>
      <c r="C34" s="21">
        <f t="shared" si="25"/>
        <v>0</v>
      </c>
      <c r="D34" s="10">
        <f t="shared" si="26"/>
        <v>45.261817782222749</v>
      </c>
      <c r="E34" s="10">
        <f t="shared" si="27"/>
        <v>-517.27791751111715</v>
      </c>
      <c r="F34" s="20">
        <f t="shared" si="4"/>
        <v>66632.201150596724</v>
      </c>
      <c r="G34" s="21">
        <f t="shared" si="5"/>
        <v>0</v>
      </c>
      <c r="H34" s="10">
        <f t="shared" si="6"/>
        <v>46.256132860343875</v>
      </c>
      <c r="I34" s="10">
        <f t="shared" si="28"/>
        <v>-528.64151840393004</v>
      </c>
      <c r="J34" s="16">
        <f t="shared" si="0"/>
        <v>68095.982446593654</v>
      </c>
      <c r="K34" s="27">
        <f t="shared" si="30"/>
        <v>68095.982446593654</v>
      </c>
      <c r="L34" s="27">
        <f t="shared" si="1"/>
        <v>66632.201150596724</v>
      </c>
      <c r="M34" s="32">
        <f t="shared" si="7"/>
        <v>0</v>
      </c>
      <c r="N34" s="20">
        <f t="shared" si="8"/>
        <v>68095.982446593654</v>
      </c>
      <c r="P34" s="106">
        <f t="shared" si="9"/>
        <v>0</v>
      </c>
      <c r="Q34" s="107">
        <f t="shared" si="10"/>
        <v>53834.205531141008</v>
      </c>
      <c r="R34" s="104">
        <f t="shared" si="11"/>
        <v>0</v>
      </c>
      <c r="S34" s="104">
        <f t="shared" si="12"/>
        <v>0</v>
      </c>
      <c r="T34" s="104">
        <f t="shared" si="13"/>
        <v>10.345558350222344</v>
      </c>
      <c r="U34" s="104">
        <f t="shared" si="14"/>
        <v>10.345558350222344</v>
      </c>
      <c r="V34" s="110">
        <f t="shared" si="15"/>
        <v>15.518337525333514</v>
      </c>
      <c r="W34" s="110">
        <f t="shared" si="16"/>
        <v>15.518337525333514</v>
      </c>
      <c r="X34" s="110">
        <f t="shared" si="17"/>
        <v>19.397921906666891</v>
      </c>
      <c r="Y34" s="110">
        <f t="shared" si="18"/>
        <v>19.397921906666891</v>
      </c>
      <c r="Z34" s="110">
        <f t="shared" si="19"/>
        <v>0</v>
      </c>
      <c r="AA34" s="110">
        <f t="shared" si="20"/>
        <v>0</v>
      </c>
      <c r="AB34" s="110">
        <f t="shared" si="21"/>
        <v>0</v>
      </c>
      <c r="AC34" s="110">
        <f t="shared" si="22"/>
        <v>0</v>
      </c>
      <c r="AD34" s="112">
        <f t="shared" si="23"/>
        <v>-517.27791751111715</v>
      </c>
      <c r="AE34" s="113">
        <f t="shared" si="24"/>
        <v>-517.27791751111715</v>
      </c>
      <c r="AF34" s="116">
        <f t="shared" si="29"/>
        <v>53362.189431412116</v>
      </c>
    </row>
    <row r="35" spans="1:32" x14ac:dyDescent="0.35">
      <c r="A35" s="9">
        <f t="shared" si="2"/>
        <v>25</v>
      </c>
      <c r="B35" s="14">
        <f t="shared" si="3"/>
        <v>55</v>
      </c>
      <c r="C35" s="21">
        <f t="shared" si="25"/>
        <v>0</v>
      </c>
      <c r="D35" s="10">
        <f t="shared" si="26"/>
        <v>0</v>
      </c>
      <c r="E35" s="10">
        <f t="shared" si="27"/>
        <v>0</v>
      </c>
      <c r="F35" s="20">
        <f t="shared" si="4"/>
        <v>83381.148916692371</v>
      </c>
      <c r="G35" s="21">
        <f t="shared" si="5"/>
        <v>0</v>
      </c>
      <c r="H35" s="10">
        <f t="shared" si="6"/>
        <v>39.648113880294751</v>
      </c>
      <c r="I35" s="10">
        <f t="shared" si="28"/>
        <v>0</v>
      </c>
      <c r="J35" s="16">
        <f t="shared" si="0"/>
        <v>85163.25815043792</v>
      </c>
      <c r="K35" s="27">
        <f t="shared" si="30"/>
        <v>85163.25815043792</v>
      </c>
      <c r="L35" s="27">
        <f t="shared" si="1"/>
        <v>83381.148916692371</v>
      </c>
      <c r="M35" s="32">
        <f t="shared" si="7"/>
        <v>0</v>
      </c>
      <c r="N35" s="20">
        <f t="shared" si="8"/>
        <v>85163.25815043792</v>
      </c>
      <c r="P35" s="106">
        <f t="shared" si="9"/>
        <v>0</v>
      </c>
      <c r="Q35" s="107">
        <f t="shared" si="10"/>
        <v>66632.20115059684</v>
      </c>
      <c r="R35" s="104">
        <f t="shared" si="11"/>
        <v>0</v>
      </c>
      <c r="S35" s="104">
        <f t="shared" si="12"/>
        <v>0</v>
      </c>
      <c r="T35" s="104">
        <f t="shared" si="13"/>
        <v>0</v>
      </c>
      <c r="U35" s="104">
        <f t="shared" si="14"/>
        <v>0</v>
      </c>
      <c r="V35" s="110">
        <f t="shared" si="15"/>
        <v>0</v>
      </c>
      <c r="W35" s="110">
        <f t="shared" si="16"/>
        <v>0</v>
      </c>
      <c r="X35" s="110">
        <f t="shared" si="17"/>
        <v>0</v>
      </c>
      <c r="Y35" s="110">
        <f t="shared" si="18"/>
        <v>0</v>
      </c>
      <c r="Z35" s="110">
        <f t="shared" si="19"/>
        <v>0</v>
      </c>
      <c r="AA35" s="110">
        <f t="shared" si="20"/>
        <v>0</v>
      </c>
      <c r="AB35" s="110">
        <f t="shared" si="21"/>
        <v>0</v>
      </c>
      <c r="AC35" s="110">
        <f t="shared" si="22"/>
        <v>0</v>
      </c>
      <c r="AD35" s="112">
        <f t="shared" si="23"/>
        <v>0</v>
      </c>
      <c r="AE35" s="113">
        <f t="shared" si="24"/>
        <v>0</v>
      </c>
      <c r="AF35" s="116">
        <f t="shared" si="29"/>
        <v>66632.20115059684</v>
      </c>
    </row>
    <row r="36" spans="1:32" x14ac:dyDescent="0.35">
      <c r="A36" s="9">
        <f t="shared" si="2"/>
        <v>26</v>
      </c>
      <c r="B36" s="14">
        <f t="shared" si="3"/>
        <v>56</v>
      </c>
      <c r="C36" s="21">
        <f t="shared" si="25"/>
        <v>0</v>
      </c>
      <c r="D36" s="10">
        <f t="shared" si="26"/>
        <v>0</v>
      </c>
      <c r="E36" s="10">
        <f t="shared" si="27"/>
        <v>0</v>
      </c>
      <c r="F36" s="20">
        <f t="shared" si="4"/>
        <v>105474.89378285286</v>
      </c>
      <c r="G36" s="21">
        <f t="shared" si="5"/>
        <v>0</v>
      </c>
      <c r="H36" s="10">
        <f t="shared" si="6"/>
        <v>39.648113880294751</v>
      </c>
      <c r="I36" s="10">
        <f t="shared" si="28"/>
        <v>0</v>
      </c>
      <c r="J36" s="16">
        <f t="shared" si="0"/>
        <v>107679.05987946257</v>
      </c>
      <c r="K36" s="27">
        <f t="shared" si="30"/>
        <v>107679.05987946257</v>
      </c>
      <c r="L36" s="27">
        <f t="shared" si="1"/>
        <v>105474.89378285286</v>
      </c>
      <c r="M36" s="32">
        <f t="shared" si="7"/>
        <v>0</v>
      </c>
      <c r="N36" s="20">
        <f t="shared" si="8"/>
        <v>107679.05987946257</v>
      </c>
      <c r="P36" s="106">
        <f t="shared" si="9"/>
        <v>0</v>
      </c>
      <c r="Q36" s="107">
        <f t="shared" si="10"/>
        <v>83381.148916692458</v>
      </c>
      <c r="R36" s="104">
        <f t="shared" si="11"/>
        <v>0</v>
      </c>
      <c r="S36" s="104">
        <f t="shared" si="12"/>
        <v>0</v>
      </c>
      <c r="T36" s="104">
        <f t="shared" si="13"/>
        <v>0</v>
      </c>
      <c r="U36" s="104">
        <f t="shared" si="14"/>
        <v>0</v>
      </c>
      <c r="V36" s="110">
        <f t="shared" si="15"/>
        <v>0</v>
      </c>
      <c r="W36" s="110">
        <f t="shared" si="16"/>
        <v>0</v>
      </c>
      <c r="X36" s="110">
        <f t="shared" si="17"/>
        <v>0</v>
      </c>
      <c r="Y36" s="110">
        <f t="shared" si="18"/>
        <v>0</v>
      </c>
      <c r="Z36" s="110">
        <f t="shared" si="19"/>
        <v>0</v>
      </c>
      <c r="AA36" s="110">
        <f t="shared" si="20"/>
        <v>0</v>
      </c>
      <c r="AB36" s="110">
        <f t="shared" si="21"/>
        <v>0</v>
      </c>
      <c r="AC36" s="110">
        <f t="shared" si="22"/>
        <v>0</v>
      </c>
      <c r="AD36" s="112">
        <f t="shared" si="23"/>
        <v>0</v>
      </c>
      <c r="AE36" s="113">
        <f t="shared" si="24"/>
        <v>0</v>
      </c>
      <c r="AF36" s="116">
        <f t="shared" si="29"/>
        <v>83381.148916692458</v>
      </c>
    </row>
    <row r="37" spans="1:32" x14ac:dyDescent="0.35">
      <c r="A37" s="9">
        <f t="shared" si="2"/>
        <v>27</v>
      </c>
      <c r="B37" s="14">
        <f t="shared" si="3"/>
        <v>57</v>
      </c>
      <c r="C37" s="21">
        <f t="shared" si="25"/>
        <v>0</v>
      </c>
      <c r="D37" s="10">
        <f t="shared" si="26"/>
        <v>0</v>
      </c>
      <c r="E37" s="10">
        <f t="shared" si="27"/>
        <v>0</v>
      </c>
      <c r="F37" s="20">
        <f t="shared" si="4"/>
        <v>134846.54608169303</v>
      </c>
      <c r="G37" s="21">
        <f t="shared" si="5"/>
        <v>0</v>
      </c>
      <c r="H37" s="10">
        <f t="shared" si="6"/>
        <v>39.648113880294751</v>
      </c>
      <c r="I37" s="10">
        <f t="shared" si="28"/>
        <v>0</v>
      </c>
      <c r="J37" s="16">
        <f t="shared" si="0"/>
        <v>137613.81859019806</v>
      </c>
      <c r="K37" s="27">
        <f t="shared" si="30"/>
        <v>137613.81859019806</v>
      </c>
      <c r="L37" s="27">
        <f t="shared" si="1"/>
        <v>134846.54608169303</v>
      </c>
      <c r="M37" s="32">
        <f t="shared" si="7"/>
        <v>0</v>
      </c>
      <c r="N37" s="20">
        <f t="shared" si="8"/>
        <v>137613.81859019806</v>
      </c>
      <c r="P37" s="106">
        <f t="shared" si="9"/>
        <v>0</v>
      </c>
      <c r="Q37" s="107">
        <f t="shared" si="10"/>
        <v>105474.89378285284</v>
      </c>
      <c r="R37" s="104">
        <f t="shared" si="11"/>
        <v>0</v>
      </c>
      <c r="S37" s="104">
        <f t="shared" si="12"/>
        <v>0</v>
      </c>
      <c r="T37" s="104">
        <f t="shared" si="13"/>
        <v>0</v>
      </c>
      <c r="U37" s="104">
        <f t="shared" si="14"/>
        <v>0</v>
      </c>
      <c r="V37" s="110">
        <f t="shared" si="15"/>
        <v>0</v>
      </c>
      <c r="W37" s="110">
        <f t="shared" si="16"/>
        <v>0</v>
      </c>
      <c r="X37" s="110">
        <f t="shared" si="17"/>
        <v>0</v>
      </c>
      <c r="Y37" s="110">
        <f t="shared" si="18"/>
        <v>0</v>
      </c>
      <c r="Z37" s="110">
        <f t="shared" si="19"/>
        <v>0</v>
      </c>
      <c r="AA37" s="110">
        <f t="shared" si="20"/>
        <v>0</v>
      </c>
      <c r="AB37" s="110">
        <f t="shared" si="21"/>
        <v>0</v>
      </c>
      <c r="AC37" s="110">
        <f t="shared" si="22"/>
        <v>0</v>
      </c>
      <c r="AD37" s="112">
        <f t="shared" si="23"/>
        <v>0</v>
      </c>
      <c r="AE37" s="113">
        <f t="shared" si="24"/>
        <v>0</v>
      </c>
      <c r="AF37" s="116">
        <f t="shared" si="29"/>
        <v>105474.89378285284</v>
      </c>
    </row>
    <row r="38" spans="1:32" x14ac:dyDescent="0.35">
      <c r="A38" s="9">
        <f t="shared" si="2"/>
        <v>28</v>
      </c>
      <c r="B38" s="14">
        <f t="shared" si="3"/>
        <v>58</v>
      </c>
      <c r="C38" s="21">
        <f t="shared" si="25"/>
        <v>0</v>
      </c>
      <c r="D38" s="10">
        <f t="shared" si="26"/>
        <v>0</v>
      </c>
      <c r="E38" s="10">
        <f t="shared" si="27"/>
        <v>0</v>
      </c>
      <c r="F38" s="20">
        <f t="shared" si="4"/>
        <v>174187.23573580448</v>
      </c>
      <c r="G38" s="21">
        <f t="shared" si="5"/>
        <v>0</v>
      </c>
      <c r="H38" s="10">
        <f t="shared" si="6"/>
        <v>39.648113880294751</v>
      </c>
      <c r="I38" s="10">
        <f t="shared" si="28"/>
        <v>0</v>
      </c>
      <c r="J38" s="16">
        <f t="shared" si="0"/>
        <v>177710.62856440089</v>
      </c>
      <c r="K38" s="27">
        <f t="shared" si="30"/>
        <v>177710.62856440089</v>
      </c>
      <c r="L38" s="27">
        <f t="shared" si="1"/>
        <v>174187.23573580448</v>
      </c>
      <c r="M38" s="32">
        <f t="shared" si="7"/>
        <v>0</v>
      </c>
      <c r="N38" s="20">
        <f t="shared" si="8"/>
        <v>177710.62856440089</v>
      </c>
      <c r="P38" s="106">
        <f t="shared" si="9"/>
        <v>0</v>
      </c>
      <c r="Q38" s="107">
        <f t="shared" si="10"/>
        <v>134846.54608169344</v>
      </c>
      <c r="R38" s="104">
        <f t="shared" si="11"/>
        <v>0</v>
      </c>
      <c r="S38" s="104">
        <f t="shared" si="12"/>
        <v>0</v>
      </c>
      <c r="T38" s="104">
        <f t="shared" si="13"/>
        <v>0</v>
      </c>
      <c r="U38" s="104">
        <f t="shared" si="14"/>
        <v>0</v>
      </c>
      <c r="V38" s="110">
        <f t="shared" si="15"/>
        <v>0</v>
      </c>
      <c r="W38" s="110">
        <f t="shared" si="16"/>
        <v>0</v>
      </c>
      <c r="X38" s="110">
        <f t="shared" si="17"/>
        <v>0</v>
      </c>
      <c r="Y38" s="110">
        <f t="shared" si="18"/>
        <v>0</v>
      </c>
      <c r="Z38" s="110">
        <f t="shared" si="19"/>
        <v>0</v>
      </c>
      <c r="AA38" s="110">
        <f t="shared" si="20"/>
        <v>0</v>
      </c>
      <c r="AB38" s="110">
        <f t="shared" si="21"/>
        <v>0</v>
      </c>
      <c r="AC38" s="110">
        <f t="shared" si="22"/>
        <v>0</v>
      </c>
      <c r="AD38" s="112">
        <f t="shared" si="23"/>
        <v>0</v>
      </c>
      <c r="AE38" s="113">
        <f t="shared" si="24"/>
        <v>0</v>
      </c>
      <c r="AF38" s="116">
        <f t="shared" si="29"/>
        <v>134846.54608169344</v>
      </c>
    </row>
    <row r="39" spans="1:32" x14ac:dyDescent="0.35">
      <c r="A39" s="9">
        <f t="shared" si="2"/>
        <v>29</v>
      </c>
      <c r="B39" s="14">
        <f t="shared" si="3"/>
        <v>59</v>
      </c>
      <c r="C39" s="21">
        <f t="shared" si="25"/>
        <v>0</v>
      </c>
      <c r="D39" s="10">
        <f t="shared" si="26"/>
        <v>0</v>
      </c>
      <c r="E39" s="10">
        <f t="shared" si="27"/>
        <v>0</v>
      </c>
      <c r="F39" s="20">
        <f t="shared" si="4"/>
        <v>227252.42508986584</v>
      </c>
      <c r="G39" s="21">
        <f t="shared" si="5"/>
        <v>0</v>
      </c>
      <c r="H39" s="10">
        <f t="shared" si="6"/>
        <v>39.648113880294751</v>
      </c>
      <c r="I39" s="10">
        <f t="shared" si="28"/>
        <v>0</v>
      </c>
      <c r="J39" s="16">
        <f t="shared" si="0"/>
        <v>231797.47359166315</v>
      </c>
      <c r="K39" s="27">
        <f t="shared" si="30"/>
        <v>231797.47359166315</v>
      </c>
      <c r="L39" s="27">
        <f t="shared" si="1"/>
        <v>227252.42508986584</v>
      </c>
      <c r="M39" s="32">
        <f t="shared" si="7"/>
        <v>0</v>
      </c>
      <c r="N39" s="20">
        <f t="shared" si="8"/>
        <v>231797.47359166315</v>
      </c>
      <c r="P39" s="106">
        <f t="shared" si="9"/>
        <v>0</v>
      </c>
      <c r="Q39" s="107">
        <f t="shared" si="10"/>
        <v>174187.23573580541</v>
      </c>
      <c r="R39" s="104">
        <f t="shared" si="11"/>
        <v>0</v>
      </c>
      <c r="S39" s="104">
        <f t="shared" si="12"/>
        <v>0</v>
      </c>
      <c r="T39" s="104">
        <f t="shared" si="13"/>
        <v>0</v>
      </c>
      <c r="U39" s="104">
        <f t="shared" si="14"/>
        <v>0</v>
      </c>
      <c r="V39" s="110">
        <f t="shared" si="15"/>
        <v>0</v>
      </c>
      <c r="W39" s="110">
        <f t="shared" si="16"/>
        <v>0</v>
      </c>
      <c r="X39" s="110">
        <f t="shared" si="17"/>
        <v>0</v>
      </c>
      <c r="Y39" s="110">
        <f t="shared" si="18"/>
        <v>0</v>
      </c>
      <c r="Z39" s="110">
        <f t="shared" si="19"/>
        <v>0</v>
      </c>
      <c r="AA39" s="110">
        <f t="shared" si="20"/>
        <v>0</v>
      </c>
      <c r="AB39" s="110">
        <f t="shared" si="21"/>
        <v>0</v>
      </c>
      <c r="AC39" s="110">
        <f t="shared" si="22"/>
        <v>0</v>
      </c>
      <c r="AD39" s="112">
        <f t="shared" si="23"/>
        <v>0</v>
      </c>
      <c r="AE39" s="113">
        <f t="shared" si="24"/>
        <v>0</v>
      </c>
      <c r="AF39" s="116">
        <f t="shared" si="29"/>
        <v>174187.23573580541</v>
      </c>
    </row>
    <row r="40" spans="1:32" x14ac:dyDescent="0.35">
      <c r="A40" s="9">
        <f t="shared" si="2"/>
        <v>30</v>
      </c>
      <c r="B40" s="14">
        <f t="shared" si="3"/>
        <v>60</v>
      </c>
      <c r="C40" s="21">
        <f t="shared" si="25"/>
        <v>12000</v>
      </c>
      <c r="D40" s="10">
        <f t="shared" si="26"/>
        <v>0</v>
      </c>
      <c r="E40" s="10">
        <f t="shared" si="27"/>
        <v>0</v>
      </c>
      <c r="F40" s="20">
        <f t="shared" si="4"/>
        <v>283481.87969372823</v>
      </c>
      <c r="G40" s="21">
        <f t="shared" si="5"/>
        <v>12000</v>
      </c>
      <c r="H40" s="10">
        <f t="shared" si="6"/>
        <v>240</v>
      </c>
      <c r="I40" s="10">
        <f t="shared" si="28"/>
        <v>0</v>
      </c>
      <c r="J40" s="16">
        <f t="shared" si="0"/>
        <v>289151.51728760282</v>
      </c>
      <c r="K40" s="27">
        <f t="shared" si="30"/>
        <v>289151.51728760282</v>
      </c>
      <c r="L40" s="27">
        <f t="shared" si="1"/>
        <v>283481.87969372823</v>
      </c>
      <c r="M40" s="32">
        <f t="shared" si="7"/>
        <v>0</v>
      </c>
      <c r="N40" s="20">
        <f t="shared" si="8"/>
        <v>289151.51728760282</v>
      </c>
      <c r="P40" s="106">
        <f t="shared" si="9"/>
        <v>12000</v>
      </c>
      <c r="Q40" s="107">
        <f t="shared" si="10"/>
        <v>227252.4250898672</v>
      </c>
      <c r="R40" s="104">
        <f t="shared" si="11"/>
        <v>0</v>
      </c>
      <c r="S40" s="104">
        <f t="shared" si="12"/>
        <v>0</v>
      </c>
      <c r="T40" s="104">
        <f t="shared" si="13"/>
        <v>0</v>
      </c>
      <c r="U40" s="104">
        <f t="shared" si="14"/>
        <v>0</v>
      </c>
      <c r="V40" s="110">
        <f t="shared" si="15"/>
        <v>0</v>
      </c>
      <c r="W40" s="110">
        <f t="shared" si="16"/>
        <v>0</v>
      </c>
      <c r="X40" s="110">
        <f t="shared" si="17"/>
        <v>0</v>
      </c>
      <c r="Y40" s="110">
        <f t="shared" si="18"/>
        <v>0</v>
      </c>
      <c r="Z40" s="110">
        <f t="shared" si="19"/>
        <v>0</v>
      </c>
      <c r="AA40" s="110">
        <f t="shared" si="20"/>
        <v>0</v>
      </c>
      <c r="AB40" s="110">
        <f t="shared" si="21"/>
        <v>0</v>
      </c>
      <c r="AC40" s="110">
        <f t="shared" si="22"/>
        <v>0</v>
      </c>
      <c r="AD40" s="112">
        <f t="shared" si="23"/>
        <v>0</v>
      </c>
      <c r="AE40" s="113">
        <f t="shared" si="24"/>
        <v>0</v>
      </c>
      <c r="AF40" s="116">
        <f t="shared" si="29"/>
        <v>227252.4250898672</v>
      </c>
    </row>
    <row r="41" spans="1:32" x14ac:dyDescent="0.35">
      <c r="A41" s="9">
        <f t="shared" si="2"/>
        <v>31</v>
      </c>
      <c r="B41" s="14">
        <f t="shared" si="3"/>
        <v>61</v>
      </c>
      <c r="C41" s="21">
        <f t="shared" si="25"/>
        <v>12000</v>
      </c>
      <c r="D41" s="10">
        <f t="shared" si="26"/>
        <v>0</v>
      </c>
      <c r="E41" s="10">
        <f t="shared" si="27"/>
        <v>0</v>
      </c>
      <c r="F41" s="20">
        <f t="shared" ref="F41:F72" si="31">IF( $A42 &lt;&gt; "",
      ( 1 + gamma_2_PK) * Rente * INDEX( n_ae_x_PK, x + $A42 + 1, 1)
         + ( beta_PK + t * gamma_1_PK + alpha_g_PK) * Beitrag_PK * INDEX( ae_xt_PK, x + $A42 + 1, 1)
         + t * gamma_3_PK * Beitrag_PK * (INDEX( ae_xn_PK, x + $A42 + 1, 1) - INDEX( ae_xt_PK, x + $A42 + 1, 1))
         - Beitrag_PK * INDEX( ae_xt_PK, x + $A42 + 1, 1),
     "")</f>
        <v>282341.15488147741</v>
      </c>
      <c r="G41" s="21">
        <f t="shared" si="5"/>
        <v>12000</v>
      </c>
      <c r="H41" s="10">
        <f t="shared" si="6"/>
        <v>240</v>
      </c>
      <c r="I41" s="10">
        <f t="shared" si="28"/>
        <v>0</v>
      </c>
      <c r="J41" s="16">
        <f t="shared" ref="J41:J72" si="32">IF( $A42 &lt;&gt; "",
      ( 1 + gamma_2_DR) * Rente * INDEX( n_ae_x_DR, x + $A42 + 1, 1)
         + ( beta_DR + t * gamma_1_DR + alpha_g_DR) * Beitrag_DR * INDEX( ae_xt_DR, x + $A42 + 1, 1)
         + t * gamma_3_DR * Beitrag_DR * (INDEX( ae_xn_DR, x + $A42 + 1, 1) - INDEX( ae_xt_DR, x + $A42 + 1, 1))
         - Beitrag_DR * INDEX( ae_xt_DR, x + $A42 + 1, 1),
     "")</f>
        <v>287987.97797910694</v>
      </c>
      <c r="K41" s="27">
        <f t="shared" ref="K41:K72" si="33">IF( $A42 &lt;&gt; "",
      ( 1 + gamma_2_DR) * Rente * INDEX( n_ae_x_DR, x + $A42 + 1, 1)
         + ( beta_DR + t * gamma_1_DR + alpha_g_DR) * Beitrag_DR * INDEX( ae_xt_DR, x + $A42 + 1, 1)
         + t * gamma_3_DR * Beitrag_DR * (INDEX( ae_xn_DR, x + $A42 + 1, 1) - INDEX( ae_xt_DR, x + $A42 + 1, 1))
         - MIN( Beitrag_PK, Beitrag_DR) * INDEX( ae_xt_DR, x + $A42 + 1, 1),
     "")</f>
        <v>287987.97797910694</v>
      </c>
      <c r="L41" s="27">
        <f t="shared" ref="L41:L72" si="34">IF( $A42 &lt;&gt; "",
      IF( RKW = "BGH-Urteil",
          MAX( $F41, 0.5 * (Tarifreserve + alpha_z_PK * Beitrag_PK * t * INDEX( ae_xt_PK, x + $A42 + 1, 1) / INDEX( ae_xt_PK, x + 1, 1))),
          IF( RKW = "VVG-Reform",
              Tarifreserve + alpha_z_PK * Beitrag_PK * t * INDEX( ae_x5_PK, x + $A42 + 1, 1) / INDEX( ae_x5_PK, x + 1, 1),
              MAX( 0, INDEX( Tarifreserve, $A42 + 1, 1)))),
      "")</f>
        <v>282341.15488147741</v>
      </c>
      <c r="M41" s="32">
        <f t="shared" si="7"/>
        <v>0</v>
      </c>
      <c r="N41" s="20">
        <f t="shared" si="8"/>
        <v>287987.97797910694</v>
      </c>
      <c r="P41" s="106">
        <f t="shared" si="9"/>
        <v>12000</v>
      </c>
      <c r="Q41" s="107">
        <f t="shared" si="10"/>
        <v>283481.87969372974</v>
      </c>
      <c r="R41" s="104">
        <f t="shared" si="11"/>
        <v>0</v>
      </c>
      <c r="S41" s="104">
        <f t="shared" si="12"/>
        <v>0</v>
      </c>
      <c r="T41" s="104">
        <f t="shared" si="13"/>
        <v>0</v>
      </c>
      <c r="U41" s="104">
        <f t="shared" si="14"/>
        <v>0</v>
      </c>
      <c r="V41" s="110">
        <f t="shared" si="15"/>
        <v>0</v>
      </c>
      <c r="W41" s="110">
        <f t="shared" si="16"/>
        <v>0</v>
      </c>
      <c r="X41" s="110">
        <f t="shared" si="17"/>
        <v>0</v>
      </c>
      <c r="Y41" s="110">
        <f t="shared" si="18"/>
        <v>0</v>
      </c>
      <c r="Z41" s="110">
        <f t="shared" si="19"/>
        <v>0</v>
      </c>
      <c r="AA41" s="110">
        <f t="shared" si="20"/>
        <v>0</v>
      </c>
      <c r="AB41" s="110">
        <f t="shared" si="21"/>
        <v>0</v>
      </c>
      <c r="AC41" s="110">
        <f t="shared" si="22"/>
        <v>0</v>
      </c>
      <c r="AD41" s="112">
        <f t="shared" si="23"/>
        <v>0</v>
      </c>
      <c r="AE41" s="113">
        <f t="shared" si="24"/>
        <v>0</v>
      </c>
      <c r="AF41" s="116">
        <f t="shared" si="29"/>
        <v>283481.87969372974</v>
      </c>
    </row>
    <row r="42" spans="1:32" x14ac:dyDescent="0.35">
      <c r="A42" s="9">
        <f t="shared" ref="A42:A73" si="35">IF( 121 - x &gt;= ROW() - ROW($A$10), ROW() - ROW($A$10), "")</f>
        <v>32</v>
      </c>
      <c r="B42" s="14">
        <f t="shared" ref="B42:B73" si="36">IF( m &lt;&gt; "", x + $A42, "")</f>
        <v>62</v>
      </c>
      <c r="C42" s="21">
        <f t="shared" ref="C42:C73" si="37">IF( m &lt;&gt; "",
      IF( m &gt;= n,
          Rente,
          0),
       "")</f>
        <v>12000</v>
      </c>
      <c r="D42" s="10">
        <f t="shared" ref="D42:D73" si="38">IF( m &lt;&gt; "",
      IF( m &lt; t,
          (beta_PK + alpha_g_PK + gamma_1_PK * t) * Beitrag_PK,
          IF( m &lt; n,
              gamma_3_PK * t * Beitrag_PK,
              gamma_2_PK * Rente)),
      "")</f>
        <v>0</v>
      </c>
      <c r="E42" s="10">
        <f t="shared" ref="E42:E73" si="39">IF( $A42 &lt;&gt; "", IF( $A42 &lt; t, -Beitrag_PK, 0), "")</f>
        <v>0</v>
      </c>
      <c r="F42" s="20">
        <f t="shared" si="31"/>
        <v>281154.80107673648</v>
      </c>
      <c r="G42" s="21">
        <f t="shared" ref="G42:G73" si="40">IF( m &lt;&gt; "",
      IF( m &gt;= n,
          Rente,
          0),
       "")</f>
        <v>12000</v>
      </c>
      <c r="H42" s="10">
        <f t="shared" ref="H42:H73" si="41">IF( m &lt;&gt; "",
      IF( m &lt; t,
          (beta_DR + alpha_g_DR + gamma_1_DR * t) * Beitrag_DR,
          IF( m &lt; n,
              gamma_3_DR * t * Beitrag_DR,
              gamma_2_DR * Rente)),
      "")</f>
        <v>240</v>
      </c>
      <c r="I42" s="10">
        <f t="shared" ref="I42:I73" si="42">IF( $A42 &lt;&gt; "", IF( $A42 &lt; t, -Beitrag_DR, 0), "")</f>
        <v>0</v>
      </c>
      <c r="J42" s="16">
        <f t="shared" si="32"/>
        <v>286777.89709827118</v>
      </c>
      <c r="K42" s="27">
        <f t="shared" si="33"/>
        <v>286777.89709827118</v>
      </c>
      <c r="L42" s="27">
        <f t="shared" si="34"/>
        <v>281154.80107673648</v>
      </c>
      <c r="M42" s="32">
        <f t="shared" si="7"/>
        <v>0</v>
      </c>
      <c r="N42" s="20">
        <f t="shared" si="8"/>
        <v>286777.89709827118</v>
      </c>
      <c r="P42" s="106">
        <f t="shared" ref="P42:P73" si="43">IF( m &lt;&gt; "",
      IF( m &gt;= n,
          Rente,
          0),
       "")</f>
        <v>12000</v>
      </c>
      <c r="Q42" s="107">
        <f t="shared" ref="Q42:Q73" si="44">IF( m &lt;&gt; "", P42 + _xlfn.NUMBERVALUE( Q43) * v_PK * ( 1 - INDEX( qx_PK, $B42 + 1)), "")</f>
        <v>282341.15488147881</v>
      </c>
      <c r="R42" s="104">
        <f t="shared" ref="R42:R73" si="45">IF( m &lt;&gt; "", IF( m = 0, alpha_z_PK * Beitrag_PK * t, 0), "")</f>
        <v>0</v>
      </c>
      <c r="S42" s="104">
        <f t="shared" ref="S42:S73" si="46">IF( m &lt;&gt; "", R42 + _xlfn.NUMBERVALUE( S43) * v_PK * ( 1 - INDEX( qx_PK, $B42 + 1)), "")</f>
        <v>0</v>
      </c>
      <c r="T42" s="104">
        <f t="shared" ref="T42:T73" si="47">IF( m &lt;&gt; "",
      IF( m &lt; t,
          alpha_g_PK * Beitrag_PK,
          0),
      "")</f>
        <v>0</v>
      </c>
      <c r="U42" s="104">
        <f t="shared" ref="U42:U73" si="48">IF( m &lt;&gt; "", T42 + _xlfn.NUMBERVALUE( U43) * v_PK * ( 1 - INDEX( qx_PK, $B42 + 1)), "")</f>
        <v>0</v>
      </c>
      <c r="V42" s="110">
        <f t="shared" ref="V42:V73" si="49">IF( m &lt;&gt; "",
      IF( m &lt; t,
          beta_PK * Beitrag_PK,
          0),
      "")</f>
        <v>0</v>
      </c>
      <c r="W42" s="110">
        <f t="shared" ref="W42:W73" si="50">IF( m &lt;&gt; "", V42 + _xlfn.NUMBERVALUE( W43) * v_PK * ( 1 - INDEX( qx_PK, $B42 + 1)), "")</f>
        <v>0</v>
      </c>
      <c r="X42" s="110">
        <f t="shared" ref="X42:X73" si="51">IF( m &lt;&gt; "",
      IF( m &lt; t,
          gamma_1_PK * t * Beitrag_PK,
          0),
      "")</f>
        <v>0</v>
      </c>
      <c r="Y42" s="110">
        <f t="shared" ref="Y42:Y73" si="52">IF( m &lt;&gt; "", X42 + _xlfn.NUMBERVALUE( Y43) * v_PK * ( 1 - INDEX( qx_PK, $B42 + 1)), "")</f>
        <v>0</v>
      </c>
      <c r="Z42" s="110">
        <f t="shared" ref="Z42:Z73" si="53">IF( m &lt;&gt; "",
      IF( m &lt; t,
          0,
          IF( m &lt; n,
              gamma_3_PK * t * Beitrag_PK,
              0)),
      "")</f>
        <v>0</v>
      </c>
      <c r="AA42" s="110">
        <f t="shared" ref="AA42:AA73" si="54">IF( m &lt;&gt; "", Z42 + _xlfn.NUMBERVALUE( AA43) * v_PK * ( 1 - INDEX( qx_PK, $B42 + 1)), "")</f>
        <v>0</v>
      </c>
      <c r="AB42" s="110">
        <f t="shared" ref="AB42:AB73" si="55">IF( m &lt;&gt; "",
      IF( m &lt; n,
           0,
           gamma_2_PK * Rente),
      "")</f>
        <v>0</v>
      </c>
      <c r="AC42" s="110">
        <f t="shared" ref="AC42:AC73" si="56">IF( m &lt;&gt; "", AB42 + _xlfn.NUMBERVALUE( AC43) * v_PK * ( 1 - INDEX( qx_PK, $B42 + 1)), "")</f>
        <v>0</v>
      </c>
      <c r="AD42" s="112">
        <f t="shared" ref="AD42:AD73" si="57">IF( m &lt;&gt; "",
      IF( m &lt; t, -Beitrag_PK, 0),
      "")</f>
        <v>0</v>
      </c>
      <c r="AE42" s="113">
        <f t="shared" ref="AE42:AE73" si="58">IF( m &lt;&gt; "", AD42 + _xlfn.NUMBERVALUE( AE43) * v_PK * ( 1 - INDEX( qx_PK, $B42 + 1)), "")</f>
        <v>0</v>
      </c>
      <c r="AF42" s="116">
        <f t="shared" si="29"/>
        <v>282341.15488147881</v>
      </c>
    </row>
    <row r="43" spans="1:32" x14ac:dyDescent="0.35">
      <c r="A43" s="9">
        <f t="shared" si="35"/>
        <v>33</v>
      </c>
      <c r="B43" s="14">
        <f t="shared" si="36"/>
        <v>63</v>
      </c>
      <c r="C43" s="21">
        <f t="shared" si="37"/>
        <v>12000</v>
      </c>
      <c r="D43" s="10">
        <f t="shared" si="38"/>
        <v>0</v>
      </c>
      <c r="E43" s="10">
        <f t="shared" si="39"/>
        <v>0</v>
      </c>
      <c r="F43" s="20">
        <f t="shared" si="31"/>
        <v>279920.99311980599</v>
      </c>
      <c r="G43" s="21">
        <f t="shared" si="40"/>
        <v>12000</v>
      </c>
      <c r="H43" s="10">
        <f t="shared" si="41"/>
        <v>240</v>
      </c>
      <c r="I43" s="10">
        <f t="shared" si="42"/>
        <v>0</v>
      </c>
      <c r="J43" s="16">
        <f t="shared" si="32"/>
        <v>285519.41298220208</v>
      </c>
      <c r="K43" s="27">
        <f t="shared" si="33"/>
        <v>285519.41298220208</v>
      </c>
      <c r="L43" s="27">
        <f t="shared" si="34"/>
        <v>279920.99311980599</v>
      </c>
      <c r="M43" s="32">
        <f t="shared" si="7"/>
        <v>0</v>
      </c>
      <c r="N43" s="20">
        <f t="shared" si="8"/>
        <v>285519.41298220208</v>
      </c>
      <c r="P43" s="106">
        <f t="shared" si="43"/>
        <v>12000</v>
      </c>
      <c r="Q43" s="107">
        <f t="shared" si="44"/>
        <v>281154.8010767384</v>
      </c>
      <c r="R43" s="104">
        <f t="shared" si="45"/>
        <v>0</v>
      </c>
      <c r="S43" s="104">
        <f t="shared" si="46"/>
        <v>0</v>
      </c>
      <c r="T43" s="104">
        <f t="shared" si="47"/>
        <v>0</v>
      </c>
      <c r="U43" s="104">
        <f t="shared" si="48"/>
        <v>0</v>
      </c>
      <c r="V43" s="110">
        <f t="shared" si="49"/>
        <v>0</v>
      </c>
      <c r="W43" s="110">
        <f t="shared" si="50"/>
        <v>0</v>
      </c>
      <c r="X43" s="110">
        <f t="shared" si="51"/>
        <v>0</v>
      </c>
      <c r="Y43" s="110">
        <f t="shared" si="52"/>
        <v>0</v>
      </c>
      <c r="Z43" s="110">
        <f t="shared" si="53"/>
        <v>0</v>
      </c>
      <c r="AA43" s="110">
        <f t="shared" si="54"/>
        <v>0</v>
      </c>
      <c r="AB43" s="110">
        <f t="shared" si="55"/>
        <v>0</v>
      </c>
      <c r="AC43" s="110">
        <f t="shared" si="56"/>
        <v>0</v>
      </c>
      <c r="AD43" s="112">
        <f t="shared" si="57"/>
        <v>0</v>
      </c>
      <c r="AE43" s="113">
        <f t="shared" si="58"/>
        <v>0</v>
      </c>
      <c r="AF43" s="116">
        <f t="shared" si="29"/>
        <v>281154.8010767384</v>
      </c>
    </row>
    <row r="44" spans="1:32" x14ac:dyDescent="0.35">
      <c r="A44" s="9">
        <f t="shared" si="35"/>
        <v>34</v>
      </c>
      <c r="B44" s="14">
        <f t="shared" si="36"/>
        <v>64</v>
      </c>
      <c r="C44" s="21">
        <f t="shared" si="37"/>
        <v>12000</v>
      </c>
      <c r="D44" s="10">
        <f t="shared" si="38"/>
        <v>0</v>
      </c>
      <c r="E44" s="10">
        <f t="shared" si="39"/>
        <v>0</v>
      </c>
      <c r="F44" s="20">
        <f t="shared" si="31"/>
        <v>278637.83284459822</v>
      </c>
      <c r="G44" s="21">
        <f t="shared" si="40"/>
        <v>12000</v>
      </c>
      <c r="H44" s="10">
        <f t="shared" si="41"/>
        <v>240</v>
      </c>
      <c r="I44" s="10">
        <f t="shared" si="42"/>
        <v>0</v>
      </c>
      <c r="J44" s="16">
        <f t="shared" si="32"/>
        <v>284210.58950149018</v>
      </c>
      <c r="K44" s="27">
        <f t="shared" si="33"/>
        <v>284210.58950149018</v>
      </c>
      <c r="L44" s="27">
        <f t="shared" si="34"/>
        <v>278637.83284459822</v>
      </c>
      <c r="M44" s="32">
        <f t="shared" si="7"/>
        <v>0</v>
      </c>
      <c r="N44" s="20">
        <f t="shared" si="8"/>
        <v>284210.58950149018</v>
      </c>
      <c r="P44" s="106">
        <f t="shared" si="43"/>
        <v>12000</v>
      </c>
      <c r="Q44" s="107">
        <f t="shared" si="44"/>
        <v>279920.99311980768</v>
      </c>
      <c r="R44" s="104">
        <f t="shared" si="45"/>
        <v>0</v>
      </c>
      <c r="S44" s="104">
        <f t="shared" si="46"/>
        <v>0</v>
      </c>
      <c r="T44" s="104">
        <f t="shared" si="47"/>
        <v>0</v>
      </c>
      <c r="U44" s="104">
        <f t="shared" si="48"/>
        <v>0</v>
      </c>
      <c r="V44" s="110">
        <f t="shared" si="49"/>
        <v>0</v>
      </c>
      <c r="W44" s="110">
        <f t="shared" si="50"/>
        <v>0</v>
      </c>
      <c r="X44" s="110">
        <f t="shared" si="51"/>
        <v>0</v>
      </c>
      <c r="Y44" s="110">
        <f t="shared" si="52"/>
        <v>0</v>
      </c>
      <c r="Z44" s="110">
        <f t="shared" si="53"/>
        <v>0</v>
      </c>
      <c r="AA44" s="110">
        <f t="shared" si="54"/>
        <v>0</v>
      </c>
      <c r="AB44" s="110">
        <f t="shared" si="55"/>
        <v>0</v>
      </c>
      <c r="AC44" s="110">
        <f t="shared" si="56"/>
        <v>0</v>
      </c>
      <c r="AD44" s="112">
        <f t="shared" si="57"/>
        <v>0</v>
      </c>
      <c r="AE44" s="113">
        <f t="shared" si="58"/>
        <v>0</v>
      </c>
      <c r="AF44" s="116">
        <f t="shared" si="29"/>
        <v>279920.99311980768</v>
      </c>
    </row>
    <row r="45" spans="1:32" x14ac:dyDescent="0.35">
      <c r="A45" s="9">
        <f t="shared" si="35"/>
        <v>35</v>
      </c>
      <c r="B45" s="14">
        <f t="shared" si="36"/>
        <v>65</v>
      </c>
      <c r="C45" s="21">
        <f t="shared" si="37"/>
        <v>12000</v>
      </c>
      <c r="D45" s="10">
        <f t="shared" si="38"/>
        <v>0</v>
      </c>
      <c r="E45" s="10">
        <f t="shared" si="39"/>
        <v>0</v>
      </c>
      <c r="F45" s="20">
        <f t="shared" si="31"/>
        <v>277303.34615838219</v>
      </c>
      <c r="G45" s="21">
        <f t="shared" si="40"/>
        <v>12000</v>
      </c>
      <c r="H45" s="10">
        <f t="shared" si="41"/>
        <v>240</v>
      </c>
      <c r="I45" s="10">
        <f t="shared" si="42"/>
        <v>0</v>
      </c>
      <c r="J45" s="16">
        <f t="shared" si="32"/>
        <v>282849.41308154986</v>
      </c>
      <c r="K45" s="27">
        <f t="shared" si="33"/>
        <v>282849.41308154986</v>
      </c>
      <c r="L45" s="27">
        <f t="shared" si="34"/>
        <v>277303.34615838219</v>
      </c>
      <c r="M45" s="32">
        <f t="shared" si="7"/>
        <v>0</v>
      </c>
      <c r="N45" s="20">
        <f t="shared" si="8"/>
        <v>282849.41308154986</v>
      </c>
      <c r="P45" s="106">
        <f t="shared" si="43"/>
        <v>12000</v>
      </c>
      <c r="Q45" s="107">
        <f t="shared" si="44"/>
        <v>278637.83284459997</v>
      </c>
      <c r="R45" s="104">
        <f t="shared" si="45"/>
        <v>0</v>
      </c>
      <c r="S45" s="104">
        <f t="shared" si="46"/>
        <v>0</v>
      </c>
      <c r="T45" s="104">
        <f t="shared" si="47"/>
        <v>0</v>
      </c>
      <c r="U45" s="104">
        <f t="shared" si="48"/>
        <v>0</v>
      </c>
      <c r="V45" s="110">
        <f t="shared" si="49"/>
        <v>0</v>
      </c>
      <c r="W45" s="110">
        <f t="shared" si="50"/>
        <v>0</v>
      </c>
      <c r="X45" s="110">
        <f t="shared" si="51"/>
        <v>0</v>
      </c>
      <c r="Y45" s="110">
        <f t="shared" si="52"/>
        <v>0</v>
      </c>
      <c r="Z45" s="110">
        <f t="shared" si="53"/>
        <v>0</v>
      </c>
      <c r="AA45" s="110">
        <f t="shared" si="54"/>
        <v>0</v>
      </c>
      <c r="AB45" s="110">
        <f t="shared" si="55"/>
        <v>0</v>
      </c>
      <c r="AC45" s="110">
        <f t="shared" si="56"/>
        <v>0</v>
      </c>
      <c r="AD45" s="112">
        <f t="shared" si="57"/>
        <v>0</v>
      </c>
      <c r="AE45" s="113">
        <f t="shared" si="58"/>
        <v>0</v>
      </c>
      <c r="AF45" s="116">
        <f t="shared" si="29"/>
        <v>278637.83284459997</v>
      </c>
    </row>
    <row r="46" spans="1:32" x14ac:dyDescent="0.35">
      <c r="A46" s="9">
        <f t="shared" si="35"/>
        <v>36</v>
      </c>
      <c r="B46" s="14">
        <f t="shared" si="36"/>
        <v>66</v>
      </c>
      <c r="C46" s="21">
        <f t="shared" si="37"/>
        <v>12000</v>
      </c>
      <c r="D46" s="10">
        <f t="shared" si="38"/>
        <v>0</v>
      </c>
      <c r="E46" s="10">
        <f t="shared" si="39"/>
        <v>0</v>
      </c>
      <c r="F46" s="20">
        <f t="shared" si="31"/>
        <v>275915.48000471742</v>
      </c>
      <c r="G46" s="21">
        <f t="shared" si="40"/>
        <v>12000</v>
      </c>
      <c r="H46" s="10">
        <f t="shared" si="41"/>
        <v>240</v>
      </c>
      <c r="I46" s="10">
        <f t="shared" si="42"/>
        <v>0</v>
      </c>
      <c r="J46" s="16">
        <f t="shared" si="32"/>
        <v>281433.78960481175</v>
      </c>
      <c r="K46" s="27">
        <f t="shared" si="33"/>
        <v>281433.78960481175</v>
      </c>
      <c r="L46" s="27">
        <f t="shared" si="34"/>
        <v>275915.48000471742</v>
      </c>
      <c r="M46" s="32">
        <f t="shared" si="7"/>
        <v>0</v>
      </c>
      <c r="N46" s="20">
        <f t="shared" si="8"/>
        <v>281433.78960481175</v>
      </c>
      <c r="P46" s="106">
        <f t="shared" si="43"/>
        <v>12000</v>
      </c>
      <c r="Q46" s="107">
        <f t="shared" si="44"/>
        <v>277303.34615838365</v>
      </c>
      <c r="R46" s="104">
        <f t="shared" si="45"/>
        <v>0</v>
      </c>
      <c r="S46" s="104">
        <f t="shared" si="46"/>
        <v>0</v>
      </c>
      <c r="T46" s="104">
        <f t="shared" si="47"/>
        <v>0</v>
      </c>
      <c r="U46" s="104">
        <f t="shared" si="48"/>
        <v>0</v>
      </c>
      <c r="V46" s="110">
        <f t="shared" si="49"/>
        <v>0</v>
      </c>
      <c r="W46" s="110">
        <f t="shared" si="50"/>
        <v>0</v>
      </c>
      <c r="X46" s="110">
        <f t="shared" si="51"/>
        <v>0</v>
      </c>
      <c r="Y46" s="110">
        <f t="shared" si="52"/>
        <v>0</v>
      </c>
      <c r="Z46" s="110">
        <f t="shared" si="53"/>
        <v>0</v>
      </c>
      <c r="AA46" s="110">
        <f t="shared" si="54"/>
        <v>0</v>
      </c>
      <c r="AB46" s="110">
        <f t="shared" si="55"/>
        <v>0</v>
      </c>
      <c r="AC46" s="110">
        <f t="shared" si="56"/>
        <v>0</v>
      </c>
      <c r="AD46" s="112">
        <f t="shared" si="57"/>
        <v>0</v>
      </c>
      <c r="AE46" s="113">
        <f t="shared" si="58"/>
        <v>0</v>
      </c>
      <c r="AF46" s="116">
        <f t="shared" si="29"/>
        <v>277303.34615838365</v>
      </c>
    </row>
    <row r="47" spans="1:32" x14ac:dyDescent="0.35">
      <c r="A47" s="9">
        <f t="shared" si="35"/>
        <v>37</v>
      </c>
      <c r="B47" s="14">
        <f t="shared" si="36"/>
        <v>67</v>
      </c>
      <c r="C47" s="21">
        <f t="shared" si="37"/>
        <v>12000</v>
      </c>
      <c r="D47" s="10">
        <f t="shared" si="38"/>
        <v>0</v>
      </c>
      <c r="E47" s="10">
        <f t="shared" si="39"/>
        <v>0</v>
      </c>
      <c r="F47" s="20">
        <f t="shared" si="31"/>
        <v>274472.09920490615</v>
      </c>
      <c r="G47" s="21">
        <f t="shared" si="40"/>
        <v>12000</v>
      </c>
      <c r="H47" s="10">
        <f t="shared" si="41"/>
        <v>240</v>
      </c>
      <c r="I47" s="10">
        <f t="shared" si="42"/>
        <v>0</v>
      </c>
      <c r="J47" s="16">
        <f t="shared" si="32"/>
        <v>279961.54118900426</v>
      </c>
      <c r="K47" s="27">
        <f t="shared" si="33"/>
        <v>279961.54118900426</v>
      </c>
      <c r="L47" s="27">
        <f t="shared" si="34"/>
        <v>274472.09920490615</v>
      </c>
      <c r="M47" s="32">
        <f t="shared" si="7"/>
        <v>0</v>
      </c>
      <c r="N47" s="20">
        <f t="shared" si="8"/>
        <v>279961.54118900426</v>
      </c>
      <c r="P47" s="106">
        <f t="shared" si="43"/>
        <v>12000</v>
      </c>
      <c r="Q47" s="107">
        <f t="shared" si="44"/>
        <v>275915.48000471923</v>
      </c>
      <c r="R47" s="104">
        <f t="shared" si="45"/>
        <v>0</v>
      </c>
      <c r="S47" s="104">
        <f t="shared" si="46"/>
        <v>0</v>
      </c>
      <c r="T47" s="104">
        <f t="shared" si="47"/>
        <v>0</v>
      </c>
      <c r="U47" s="104">
        <f t="shared" si="48"/>
        <v>0</v>
      </c>
      <c r="V47" s="110">
        <f t="shared" si="49"/>
        <v>0</v>
      </c>
      <c r="W47" s="110">
        <f t="shared" si="50"/>
        <v>0</v>
      </c>
      <c r="X47" s="110">
        <f t="shared" si="51"/>
        <v>0</v>
      </c>
      <c r="Y47" s="110">
        <f t="shared" si="52"/>
        <v>0</v>
      </c>
      <c r="Z47" s="110">
        <f t="shared" si="53"/>
        <v>0</v>
      </c>
      <c r="AA47" s="110">
        <f t="shared" si="54"/>
        <v>0</v>
      </c>
      <c r="AB47" s="110">
        <f t="shared" si="55"/>
        <v>0</v>
      </c>
      <c r="AC47" s="110">
        <f t="shared" si="56"/>
        <v>0</v>
      </c>
      <c r="AD47" s="112">
        <f t="shared" si="57"/>
        <v>0</v>
      </c>
      <c r="AE47" s="113">
        <f t="shared" si="58"/>
        <v>0</v>
      </c>
      <c r="AF47" s="116">
        <f t="shared" si="29"/>
        <v>275915.48000471923</v>
      </c>
    </row>
    <row r="48" spans="1:32" x14ac:dyDescent="0.35">
      <c r="A48" s="9">
        <f t="shared" si="35"/>
        <v>38</v>
      </c>
      <c r="B48" s="14">
        <f t="shared" si="36"/>
        <v>68</v>
      </c>
      <c r="C48" s="21">
        <f t="shared" si="37"/>
        <v>12000</v>
      </c>
      <c r="D48" s="10">
        <f t="shared" si="38"/>
        <v>0</v>
      </c>
      <c r="E48" s="10">
        <f t="shared" si="39"/>
        <v>0</v>
      </c>
      <c r="F48" s="20">
        <f t="shared" si="31"/>
        <v>272970.98317310243</v>
      </c>
      <c r="G48" s="21">
        <f t="shared" si="40"/>
        <v>12000</v>
      </c>
      <c r="H48" s="10">
        <f t="shared" si="41"/>
        <v>240</v>
      </c>
      <c r="I48" s="10">
        <f t="shared" si="42"/>
        <v>0</v>
      </c>
      <c r="J48" s="16">
        <f t="shared" si="32"/>
        <v>278430.40283656446</v>
      </c>
      <c r="K48" s="27">
        <f t="shared" si="33"/>
        <v>278430.40283656446</v>
      </c>
      <c r="L48" s="27">
        <f t="shared" si="34"/>
        <v>272970.98317310243</v>
      </c>
      <c r="M48" s="32">
        <f t="shared" si="7"/>
        <v>0</v>
      </c>
      <c r="N48" s="20">
        <f t="shared" si="8"/>
        <v>278430.40283656446</v>
      </c>
      <c r="P48" s="106">
        <f t="shared" si="43"/>
        <v>12000</v>
      </c>
      <c r="Q48" s="107">
        <f t="shared" si="44"/>
        <v>274472.09920490766</v>
      </c>
      <c r="R48" s="104">
        <f t="shared" si="45"/>
        <v>0</v>
      </c>
      <c r="S48" s="104">
        <f t="shared" si="46"/>
        <v>0</v>
      </c>
      <c r="T48" s="104">
        <f t="shared" si="47"/>
        <v>0</v>
      </c>
      <c r="U48" s="104">
        <f t="shared" si="48"/>
        <v>0</v>
      </c>
      <c r="V48" s="110">
        <f t="shared" si="49"/>
        <v>0</v>
      </c>
      <c r="W48" s="110">
        <f t="shared" si="50"/>
        <v>0</v>
      </c>
      <c r="X48" s="110">
        <f t="shared" si="51"/>
        <v>0</v>
      </c>
      <c r="Y48" s="110">
        <f t="shared" si="52"/>
        <v>0</v>
      </c>
      <c r="Z48" s="110">
        <f t="shared" si="53"/>
        <v>0</v>
      </c>
      <c r="AA48" s="110">
        <f t="shared" si="54"/>
        <v>0</v>
      </c>
      <c r="AB48" s="110">
        <f t="shared" si="55"/>
        <v>0</v>
      </c>
      <c r="AC48" s="110">
        <f t="shared" si="56"/>
        <v>0</v>
      </c>
      <c r="AD48" s="112">
        <f t="shared" si="57"/>
        <v>0</v>
      </c>
      <c r="AE48" s="113">
        <f t="shared" si="58"/>
        <v>0</v>
      </c>
      <c r="AF48" s="116">
        <f t="shared" si="29"/>
        <v>274472.09920490766</v>
      </c>
    </row>
    <row r="49" spans="1:32" x14ac:dyDescent="0.35">
      <c r="A49" s="9">
        <f t="shared" si="35"/>
        <v>39</v>
      </c>
      <c r="B49" s="14">
        <f t="shared" si="36"/>
        <v>69</v>
      </c>
      <c r="C49" s="21">
        <f t="shared" si="37"/>
        <v>12000</v>
      </c>
      <c r="D49" s="10">
        <f t="shared" si="38"/>
        <v>0</v>
      </c>
      <c r="E49" s="10">
        <f t="shared" si="39"/>
        <v>0</v>
      </c>
      <c r="F49" s="20">
        <f t="shared" si="31"/>
        <v>271409.82250002655</v>
      </c>
      <c r="G49" s="21">
        <f t="shared" si="40"/>
        <v>12000</v>
      </c>
      <c r="H49" s="10">
        <f t="shared" si="41"/>
        <v>240</v>
      </c>
      <c r="I49" s="10">
        <f t="shared" si="42"/>
        <v>0</v>
      </c>
      <c r="J49" s="16">
        <f t="shared" si="32"/>
        <v>276838.01895002706</v>
      </c>
      <c r="K49" s="27">
        <f t="shared" si="33"/>
        <v>276838.01895002706</v>
      </c>
      <c r="L49" s="27">
        <f t="shared" si="34"/>
        <v>271409.82250002655</v>
      </c>
      <c r="M49" s="32">
        <f t="shared" si="7"/>
        <v>0</v>
      </c>
      <c r="N49" s="20">
        <f t="shared" si="8"/>
        <v>276838.01895002706</v>
      </c>
      <c r="P49" s="106">
        <f t="shared" si="43"/>
        <v>12000</v>
      </c>
      <c r="Q49" s="107">
        <f t="shared" si="44"/>
        <v>272970.98317310383</v>
      </c>
      <c r="R49" s="104">
        <f t="shared" si="45"/>
        <v>0</v>
      </c>
      <c r="S49" s="104">
        <f t="shared" si="46"/>
        <v>0</v>
      </c>
      <c r="T49" s="104">
        <f t="shared" si="47"/>
        <v>0</v>
      </c>
      <c r="U49" s="104">
        <f t="shared" si="48"/>
        <v>0</v>
      </c>
      <c r="V49" s="110">
        <f t="shared" si="49"/>
        <v>0</v>
      </c>
      <c r="W49" s="110">
        <f t="shared" si="50"/>
        <v>0</v>
      </c>
      <c r="X49" s="110">
        <f t="shared" si="51"/>
        <v>0</v>
      </c>
      <c r="Y49" s="110">
        <f t="shared" si="52"/>
        <v>0</v>
      </c>
      <c r="Z49" s="110">
        <f t="shared" si="53"/>
        <v>0</v>
      </c>
      <c r="AA49" s="110">
        <f t="shared" si="54"/>
        <v>0</v>
      </c>
      <c r="AB49" s="110">
        <f t="shared" si="55"/>
        <v>0</v>
      </c>
      <c r="AC49" s="110">
        <f t="shared" si="56"/>
        <v>0</v>
      </c>
      <c r="AD49" s="112">
        <f t="shared" si="57"/>
        <v>0</v>
      </c>
      <c r="AE49" s="113">
        <f t="shared" si="58"/>
        <v>0</v>
      </c>
      <c r="AF49" s="116">
        <f t="shared" si="29"/>
        <v>272970.98317310383</v>
      </c>
    </row>
    <row r="50" spans="1:32" x14ac:dyDescent="0.35">
      <c r="A50" s="9">
        <f t="shared" si="35"/>
        <v>40</v>
      </c>
      <c r="B50" s="14">
        <f t="shared" si="36"/>
        <v>70</v>
      </c>
      <c r="C50" s="21">
        <f t="shared" si="37"/>
        <v>12000</v>
      </c>
      <c r="D50" s="10">
        <f t="shared" si="38"/>
        <v>0</v>
      </c>
      <c r="E50" s="10">
        <f t="shared" si="39"/>
        <v>0</v>
      </c>
      <c r="F50" s="20">
        <f t="shared" si="31"/>
        <v>269786.21540002764</v>
      </c>
      <c r="G50" s="21">
        <f t="shared" si="40"/>
        <v>12000</v>
      </c>
      <c r="H50" s="10">
        <f t="shared" si="41"/>
        <v>240</v>
      </c>
      <c r="I50" s="10">
        <f t="shared" si="42"/>
        <v>0</v>
      </c>
      <c r="J50" s="16">
        <f t="shared" si="32"/>
        <v>275181.93970802822</v>
      </c>
      <c r="K50" s="27">
        <f t="shared" si="33"/>
        <v>275181.93970802822</v>
      </c>
      <c r="L50" s="27">
        <f t="shared" si="34"/>
        <v>269786.21540002764</v>
      </c>
      <c r="M50" s="32">
        <f t="shared" si="7"/>
        <v>0</v>
      </c>
      <c r="N50" s="20">
        <f t="shared" si="8"/>
        <v>275181.93970802822</v>
      </c>
      <c r="P50" s="106">
        <f t="shared" si="43"/>
        <v>12000</v>
      </c>
      <c r="Q50" s="107">
        <f t="shared" si="44"/>
        <v>271409.82250002783</v>
      </c>
      <c r="R50" s="104">
        <f t="shared" si="45"/>
        <v>0</v>
      </c>
      <c r="S50" s="104">
        <f t="shared" si="46"/>
        <v>0</v>
      </c>
      <c r="T50" s="104">
        <f t="shared" si="47"/>
        <v>0</v>
      </c>
      <c r="U50" s="104">
        <f t="shared" si="48"/>
        <v>0</v>
      </c>
      <c r="V50" s="110">
        <f t="shared" si="49"/>
        <v>0</v>
      </c>
      <c r="W50" s="110">
        <f t="shared" si="50"/>
        <v>0</v>
      </c>
      <c r="X50" s="110">
        <f t="shared" si="51"/>
        <v>0</v>
      </c>
      <c r="Y50" s="110">
        <f t="shared" si="52"/>
        <v>0</v>
      </c>
      <c r="Z50" s="110">
        <f t="shared" si="53"/>
        <v>0</v>
      </c>
      <c r="AA50" s="110">
        <f t="shared" si="54"/>
        <v>0</v>
      </c>
      <c r="AB50" s="110">
        <f t="shared" si="55"/>
        <v>0</v>
      </c>
      <c r="AC50" s="110">
        <f t="shared" si="56"/>
        <v>0</v>
      </c>
      <c r="AD50" s="112">
        <f t="shared" si="57"/>
        <v>0</v>
      </c>
      <c r="AE50" s="113">
        <f t="shared" si="58"/>
        <v>0</v>
      </c>
      <c r="AF50" s="116">
        <f t="shared" si="29"/>
        <v>271409.82250002783</v>
      </c>
    </row>
    <row r="51" spans="1:32" x14ac:dyDescent="0.35">
      <c r="A51" s="9">
        <f t="shared" si="35"/>
        <v>41</v>
      </c>
      <c r="B51" s="14">
        <f t="shared" si="36"/>
        <v>71</v>
      </c>
      <c r="C51" s="21">
        <f t="shared" si="37"/>
        <v>12000</v>
      </c>
      <c r="D51" s="10">
        <f t="shared" si="38"/>
        <v>0</v>
      </c>
      <c r="E51" s="10">
        <f t="shared" si="39"/>
        <v>0</v>
      </c>
      <c r="F51" s="20">
        <f t="shared" si="31"/>
        <v>268097.66401602875</v>
      </c>
      <c r="G51" s="21">
        <f t="shared" si="40"/>
        <v>12000</v>
      </c>
      <c r="H51" s="10">
        <f t="shared" si="41"/>
        <v>240</v>
      </c>
      <c r="I51" s="10">
        <f t="shared" si="42"/>
        <v>0</v>
      </c>
      <c r="J51" s="16">
        <f t="shared" si="32"/>
        <v>273459.61729634937</v>
      </c>
      <c r="K51" s="27">
        <f t="shared" si="33"/>
        <v>273459.61729634937</v>
      </c>
      <c r="L51" s="27">
        <f t="shared" si="34"/>
        <v>268097.66401602875</v>
      </c>
      <c r="M51" s="32">
        <f t="shared" si="7"/>
        <v>0</v>
      </c>
      <c r="N51" s="20">
        <f t="shared" si="8"/>
        <v>273459.61729634937</v>
      </c>
      <c r="P51" s="106">
        <f t="shared" si="43"/>
        <v>12000</v>
      </c>
      <c r="Q51" s="107">
        <f t="shared" si="44"/>
        <v>269786.2154000288</v>
      </c>
      <c r="R51" s="104">
        <f t="shared" si="45"/>
        <v>0</v>
      </c>
      <c r="S51" s="104">
        <f t="shared" si="46"/>
        <v>0</v>
      </c>
      <c r="T51" s="104">
        <f t="shared" si="47"/>
        <v>0</v>
      </c>
      <c r="U51" s="104">
        <f t="shared" si="48"/>
        <v>0</v>
      </c>
      <c r="V51" s="110">
        <f t="shared" si="49"/>
        <v>0</v>
      </c>
      <c r="W51" s="110">
        <f t="shared" si="50"/>
        <v>0</v>
      </c>
      <c r="X51" s="110">
        <f t="shared" si="51"/>
        <v>0</v>
      </c>
      <c r="Y51" s="110">
        <f t="shared" si="52"/>
        <v>0</v>
      </c>
      <c r="Z51" s="110">
        <f t="shared" si="53"/>
        <v>0</v>
      </c>
      <c r="AA51" s="110">
        <f t="shared" si="54"/>
        <v>0</v>
      </c>
      <c r="AB51" s="110">
        <f t="shared" si="55"/>
        <v>0</v>
      </c>
      <c r="AC51" s="110">
        <f t="shared" si="56"/>
        <v>0</v>
      </c>
      <c r="AD51" s="112">
        <f t="shared" si="57"/>
        <v>0</v>
      </c>
      <c r="AE51" s="113">
        <f t="shared" si="58"/>
        <v>0</v>
      </c>
      <c r="AF51" s="116">
        <f t="shared" si="29"/>
        <v>269786.2154000288</v>
      </c>
    </row>
    <row r="52" spans="1:32" x14ac:dyDescent="0.35">
      <c r="A52" s="9">
        <f t="shared" si="35"/>
        <v>42</v>
      </c>
      <c r="B52" s="14">
        <f t="shared" si="36"/>
        <v>72</v>
      </c>
      <c r="C52" s="21">
        <f t="shared" si="37"/>
        <v>12000</v>
      </c>
      <c r="D52" s="10">
        <f t="shared" si="38"/>
        <v>0</v>
      </c>
      <c r="E52" s="10">
        <f t="shared" si="39"/>
        <v>0</v>
      </c>
      <c r="F52" s="20">
        <f t="shared" si="31"/>
        <v>266341.57057666994</v>
      </c>
      <c r="G52" s="21">
        <f t="shared" si="40"/>
        <v>12000</v>
      </c>
      <c r="H52" s="10">
        <f t="shared" si="41"/>
        <v>240</v>
      </c>
      <c r="I52" s="10">
        <f t="shared" si="42"/>
        <v>0</v>
      </c>
      <c r="J52" s="16">
        <f t="shared" si="32"/>
        <v>271668.40198820335</v>
      </c>
      <c r="K52" s="27">
        <f t="shared" si="33"/>
        <v>271668.40198820335</v>
      </c>
      <c r="L52" s="27">
        <f t="shared" si="34"/>
        <v>266341.57057666994</v>
      </c>
      <c r="M52" s="32">
        <f t="shared" si="7"/>
        <v>0</v>
      </c>
      <c r="N52" s="20">
        <f t="shared" si="8"/>
        <v>271668.40198820335</v>
      </c>
      <c r="P52" s="106">
        <f t="shared" si="43"/>
        <v>12000</v>
      </c>
      <c r="Q52" s="107">
        <f t="shared" si="44"/>
        <v>268097.6640160298</v>
      </c>
      <c r="R52" s="104">
        <f t="shared" si="45"/>
        <v>0</v>
      </c>
      <c r="S52" s="104">
        <f t="shared" si="46"/>
        <v>0</v>
      </c>
      <c r="T52" s="104">
        <f t="shared" si="47"/>
        <v>0</v>
      </c>
      <c r="U52" s="104">
        <f t="shared" si="48"/>
        <v>0</v>
      </c>
      <c r="V52" s="110">
        <f t="shared" si="49"/>
        <v>0</v>
      </c>
      <c r="W52" s="110">
        <f t="shared" si="50"/>
        <v>0</v>
      </c>
      <c r="X52" s="110">
        <f t="shared" si="51"/>
        <v>0</v>
      </c>
      <c r="Y52" s="110">
        <f t="shared" si="52"/>
        <v>0</v>
      </c>
      <c r="Z52" s="110">
        <f t="shared" si="53"/>
        <v>0</v>
      </c>
      <c r="AA52" s="110">
        <f t="shared" si="54"/>
        <v>0</v>
      </c>
      <c r="AB52" s="110">
        <f t="shared" si="55"/>
        <v>0</v>
      </c>
      <c r="AC52" s="110">
        <f t="shared" si="56"/>
        <v>0</v>
      </c>
      <c r="AD52" s="112">
        <f t="shared" si="57"/>
        <v>0</v>
      </c>
      <c r="AE52" s="113">
        <f t="shared" si="58"/>
        <v>0</v>
      </c>
      <c r="AF52" s="116">
        <f t="shared" si="29"/>
        <v>268097.6640160298</v>
      </c>
    </row>
    <row r="53" spans="1:32" x14ac:dyDescent="0.35">
      <c r="A53" s="9">
        <f t="shared" si="35"/>
        <v>43</v>
      </c>
      <c r="B53" s="14">
        <f t="shared" si="36"/>
        <v>73</v>
      </c>
      <c r="C53" s="21">
        <f t="shared" si="37"/>
        <v>12000</v>
      </c>
      <c r="D53" s="10">
        <f t="shared" si="38"/>
        <v>0</v>
      </c>
      <c r="E53" s="10">
        <f t="shared" si="39"/>
        <v>0</v>
      </c>
      <c r="F53" s="20">
        <f t="shared" si="31"/>
        <v>264515.23339973681</v>
      </c>
      <c r="G53" s="21">
        <f t="shared" si="40"/>
        <v>12000</v>
      </c>
      <c r="H53" s="10">
        <f t="shared" si="41"/>
        <v>240</v>
      </c>
      <c r="I53" s="10">
        <f t="shared" si="42"/>
        <v>0</v>
      </c>
      <c r="J53" s="16">
        <f t="shared" si="32"/>
        <v>269805.53806773154</v>
      </c>
      <c r="K53" s="27">
        <f t="shared" si="33"/>
        <v>269805.53806773154</v>
      </c>
      <c r="L53" s="27">
        <f t="shared" si="34"/>
        <v>264515.23339973681</v>
      </c>
      <c r="M53" s="32">
        <f t="shared" si="7"/>
        <v>0</v>
      </c>
      <c r="N53" s="20">
        <f t="shared" si="8"/>
        <v>269805.53806773154</v>
      </c>
      <c r="P53" s="106">
        <f t="shared" si="43"/>
        <v>12000</v>
      </c>
      <c r="Q53" s="107">
        <f t="shared" si="44"/>
        <v>266341.5705766711</v>
      </c>
      <c r="R53" s="104">
        <f t="shared" si="45"/>
        <v>0</v>
      </c>
      <c r="S53" s="104">
        <f t="shared" si="46"/>
        <v>0</v>
      </c>
      <c r="T53" s="104">
        <f t="shared" si="47"/>
        <v>0</v>
      </c>
      <c r="U53" s="104">
        <f t="shared" si="48"/>
        <v>0</v>
      </c>
      <c r="V53" s="110">
        <f t="shared" si="49"/>
        <v>0</v>
      </c>
      <c r="W53" s="110">
        <f t="shared" si="50"/>
        <v>0</v>
      </c>
      <c r="X53" s="110">
        <f t="shared" si="51"/>
        <v>0</v>
      </c>
      <c r="Y53" s="110">
        <f t="shared" si="52"/>
        <v>0</v>
      </c>
      <c r="Z53" s="110">
        <f t="shared" si="53"/>
        <v>0</v>
      </c>
      <c r="AA53" s="110">
        <f t="shared" si="54"/>
        <v>0</v>
      </c>
      <c r="AB53" s="110">
        <f t="shared" si="55"/>
        <v>0</v>
      </c>
      <c r="AC53" s="110">
        <f t="shared" si="56"/>
        <v>0</v>
      </c>
      <c r="AD53" s="112">
        <f t="shared" si="57"/>
        <v>0</v>
      </c>
      <c r="AE53" s="113">
        <f t="shared" si="58"/>
        <v>0</v>
      </c>
      <c r="AF53" s="116">
        <f t="shared" si="29"/>
        <v>266341.5705766711</v>
      </c>
    </row>
    <row r="54" spans="1:32" x14ac:dyDescent="0.35">
      <c r="A54" s="9">
        <f t="shared" si="35"/>
        <v>44</v>
      </c>
      <c r="B54" s="14">
        <f t="shared" si="36"/>
        <v>74</v>
      </c>
      <c r="C54" s="21">
        <f t="shared" si="37"/>
        <v>12000</v>
      </c>
      <c r="D54" s="10">
        <f t="shared" si="38"/>
        <v>0</v>
      </c>
      <c r="E54" s="10">
        <f t="shared" si="39"/>
        <v>0</v>
      </c>
      <c r="F54" s="20">
        <f t="shared" si="31"/>
        <v>262615.84273572633</v>
      </c>
      <c r="G54" s="21">
        <f t="shared" si="40"/>
        <v>12000</v>
      </c>
      <c r="H54" s="10">
        <f t="shared" si="41"/>
        <v>240</v>
      </c>
      <c r="I54" s="10">
        <f t="shared" si="42"/>
        <v>0</v>
      </c>
      <c r="J54" s="16">
        <f t="shared" si="32"/>
        <v>267868.1595904408</v>
      </c>
      <c r="K54" s="27">
        <f t="shared" si="33"/>
        <v>267868.1595904408</v>
      </c>
      <c r="L54" s="27">
        <f t="shared" si="34"/>
        <v>262615.84273572633</v>
      </c>
      <c r="M54" s="32">
        <f t="shared" si="7"/>
        <v>0</v>
      </c>
      <c r="N54" s="20">
        <f t="shared" si="8"/>
        <v>267868.1595904408</v>
      </c>
      <c r="P54" s="106">
        <f t="shared" si="43"/>
        <v>12000</v>
      </c>
      <c r="Q54" s="107">
        <f t="shared" si="44"/>
        <v>264515.23339973751</v>
      </c>
      <c r="R54" s="104">
        <f t="shared" si="45"/>
        <v>0</v>
      </c>
      <c r="S54" s="104">
        <f t="shared" si="46"/>
        <v>0</v>
      </c>
      <c r="T54" s="104">
        <f t="shared" si="47"/>
        <v>0</v>
      </c>
      <c r="U54" s="104">
        <f t="shared" si="48"/>
        <v>0</v>
      </c>
      <c r="V54" s="110">
        <f t="shared" si="49"/>
        <v>0</v>
      </c>
      <c r="W54" s="110">
        <f t="shared" si="50"/>
        <v>0</v>
      </c>
      <c r="X54" s="110">
        <f t="shared" si="51"/>
        <v>0</v>
      </c>
      <c r="Y54" s="110">
        <f t="shared" si="52"/>
        <v>0</v>
      </c>
      <c r="Z54" s="110">
        <f t="shared" si="53"/>
        <v>0</v>
      </c>
      <c r="AA54" s="110">
        <f t="shared" si="54"/>
        <v>0</v>
      </c>
      <c r="AB54" s="110">
        <f t="shared" si="55"/>
        <v>0</v>
      </c>
      <c r="AC54" s="110">
        <f t="shared" si="56"/>
        <v>0</v>
      </c>
      <c r="AD54" s="112">
        <f t="shared" si="57"/>
        <v>0</v>
      </c>
      <c r="AE54" s="113">
        <f t="shared" si="58"/>
        <v>0</v>
      </c>
      <c r="AF54" s="116">
        <f t="shared" si="29"/>
        <v>264515.23339973751</v>
      </c>
    </row>
    <row r="55" spans="1:32" x14ac:dyDescent="0.35">
      <c r="A55" s="9">
        <f t="shared" si="35"/>
        <v>45</v>
      </c>
      <c r="B55" s="14">
        <f t="shared" si="36"/>
        <v>75</v>
      </c>
      <c r="C55" s="21">
        <f t="shared" si="37"/>
        <v>12000</v>
      </c>
      <c r="D55" s="10">
        <f t="shared" si="38"/>
        <v>0</v>
      </c>
      <c r="E55" s="10">
        <f t="shared" si="39"/>
        <v>0</v>
      </c>
      <c r="F55" s="20">
        <f t="shared" si="31"/>
        <v>260640.47644515545</v>
      </c>
      <c r="G55" s="21">
        <f t="shared" si="40"/>
        <v>12000</v>
      </c>
      <c r="H55" s="10">
        <f t="shared" si="41"/>
        <v>240</v>
      </c>
      <c r="I55" s="10">
        <f t="shared" si="42"/>
        <v>0</v>
      </c>
      <c r="J55" s="16">
        <f t="shared" si="32"/>
        <v>265853.28597405856</v>
      </c>
      <c r="K55" s="27">
        <f t="shared" si="33"/>
        <v>265853.28597405856</v>
      </c>
      <c r="L55" s="27">
        <f t="shared" si="34"/>
        <v>260640.47644515545</v>
      </c>
      <c r="M55" s="32">
        <f t="shared" si="7"/>
        <v>0</v>
      </c>
      <c r="N55" s="20">
        <f t="shared" si="8"/>
        <v>265853.28597405856</v>
      </c>
      <c r="P55" s="106">
        <f t="shared" si="43"/>
        <v>12000</v>
      </c>
      <c r="Q55" s="107">
        <f t="shared" si="44"/>
        <v>262615.84273572691</v>
      </c>
      <c r="R55" s="104">
        <f t="shared" si="45"/>
        <v>0</v>
      </c>
      <c r="S55" s="104">
        <f t="shared" si="46"/>
        <v>0</v>
      </c>
      <c r="T55" s="104">
        <f t="shared" si="47"/>
        <v>0</v>
      </c>
      <c r="U55" s="104">
        <f t="shared" si="48"/>
        <v>0</v>
      </c>
      <c r="V55" s="110">
        <f t="shared" si="49"/>
        <v>0</v>
      </c>
      <c r="W55" s="110">
        <f t="shared" si="50"/>
        <v>0</v>
      </c>
      <c r="X55" s="110">
        <f t="shared" si="51"/>
        <v>0</v>
      </c>
      <c r="Y55" s="110">
        <f t="shared" si="52"/>
        <v>0</v>
      </c>
      <c r="Z55" s="110">
        <f t="shared" si="53"/>
        <v>0</v>
      </c>
      <c r="AA55" s="110">
        <f t="shared" si="54"/>
        <v>0</v>
      </c>
      <c r="AB55" s="110">
        <f t="shared" si="55"/>
        <v>0</v>
      </c>
      <c r="AC55" s="110">
        <f t="shared" si="56"/>
        <v>0</v>
      </c>
      <c r="AD55" s="112">
        <f t="shared" si="57"/>
        <v>0</v>
      </c>
      <c r="AE55" s="113">
        <f t="shared" si="58"/>
        <v>0</v>
      </c>
      <c r="AF55" s="116">
        <f t="shared" si="29"/>
        <v>262615.84273572691</v>
      </c>
    </row>
    <row r="56" spans="1:32" x14ac:dyDescent="0.35">
      <c r="A56" s="9">
        <f t="shared" si="35"/>
        <v>46</v>
      </c>
      <c r="B56" s="14">
        <f t="shared" si="36"/>
        <v>76</v>
      </c>
      <c r="C56" s="21">
        <f t="shared" si="37"/>
        <v>12000</v>
      </c>
      <c r="D56" s="10">
        <f t="shared" si="38"/>
        <v>0</v>
      </c>
      <c r="E56" s="10">
        <f t="shared" si="39"/>
        <v>0</v>
      </c>
      <c r="F56" s="20">
        <f t="shared" si="31"/>
        <v>258586.09550296166</v>
      </c>
      <c r="G56" s="21">
        <f t="shared" si="40"/>
        <v>12000</v>
      </c>
      <c r="H56" s="10">
        <f t="shared" si="41"/>
        <v>240</v>
      </c>
      <c r="I56" s="10">
        <f t="shared" si="42"/>
        <v>0</v>
      </c>
      <c r="J56" s="16">
        <f t="shared" si="32"/>
        <v>263757.81741302088</v>
      </c>
      <c r="K56" s="27">
        <f t="shared" si="33"/>
        <v>263757.81741302088</v>
      </c>
      <c r="L56" s="27">
        <f t="shared" si="34"/>
        <v>258586.09550296166</v>
      </c>
      <c r="M56" s="32">
        <f t="shared" si="7"/>
        <v>0</v>
      </c>
      <c r="N56" s="20">
        <f t="shared" si="8"/>
        <v>263757.81741302088</v>
      </c>
      <c r="P56" s="106">
        <f t="shared" si="43"/>
        <v>12000</v>
      </c>
      <c r="Q56" s="107">
        <f t="shared" si="44"/>
        <v>260640.47644515574</v>
      </c>
      <c r="R56" s="104">
        <f t="shared" si="45"/>
        <v>0</v>
      </c>
      <c r="S56" s="104">
        <f t="shared" si="46"/>
        <v>0</v>
      </c>
      <c r="T56" s="104">
        <f t="shared" si="47"/>
        <v>0</v>
      </c>
      <c r="U56" s="104">
        <f t="shared" si="48"/>
        <v>0</v>
      </c>
      <c r="V56" s="110">
        <f t="shared" si="49"/>
        <v>0</v>
      </c>
      <c r="W56" s="110">
        <f t="shared" si="50"/>
        <v>0</v>
      </c>
      <c r="X56" s="110">
        <f t="shared" si="51"/>
        <v>0</v>
      </c>
      <c r="Y56" s="110">
        <f t="shared" si="52"/>
        <v>0</v>
      </c>
      <c r="Z56" s="110">
        <f t="shared" si="53"/>
        <v>0</v>
      </c>
      <c r="AA56" s="110">
        <f t="shared" si="54"/>
        <v>0</v>
      </c>
      <c r="AB56" s="110">
        <f t="shared" si="55"/>
        <v>0</v>
      </c>
      <c r="AC56" s="110">
        <f t="shared" si="56"/>
        <v>0</v>
      </c>
      <c r="AD56" s="112">
        <f t="shared" si="57"/>
        <v>0</v>
      </c>
      <c r="AE56" s="113">
        <f t="shared" si="58"/>
        <v>0</v>
      </c>
      <c r="AF56" s="116">
        <f t="shared" si="29"/>
        <v>260640.47644515574</v>
      </c>
    </row>
    <row r="57" spans="1:32" x14ac:dyDescent="0.35">
      <c r="A57" s="9">
        <f t="shared" si="35"/>
        <v>47</v>
      </c>
      <c r="B57" s="14">
        <f t="shared" si="36"/>
        <v>77</v>
      </c>
      <c r="C57" s="21">
        <f t="shared" si="37"/>
        <v>12000</v>
      </c>
      <c r="D57" s="10">
        <f t="shared" si="38"/>
        <v>0</v>
      </c>
      <c r="E57" s="10">
        <f t="shared" si="39"/>
        <v>0</v>
      </c>
      <c r="F57" s="20">
        <f t="shared" si="31"/>
        <v>256449.53932308016</v>
      </c>
      <c r="G57" s="21">
        <f t="shared" si="40"/>
        <v>12000</v>
      </c>
      <c r="H57" s="10">
        <f t="shared" si="41"/>
        <v>240</v>
      </c>
      <c r="I57" s="10">
        <f t="shared" si="42"/>
        <v>0</v>
      </c>
      <c r="J57" s="16">
        <f t="shared" si="32"/>
        <v>261578.53010954175</v>
      </c>
      <c r="K57" s="27">
        <f t="shared" si="33"/>
        <v>261578.53010954175</v>
      </c>
      <c r="L57" s="27">
        <f t="shared" si="34"/>
        <v>256449.53932308016</v>
      </c>
      <c r="M57" s="32">
        <f t="shared" si="7"/>
        <v>0</v>
      </c>
      <c r="N57" s="20">
        <f t="shared" si="8"/>
        <v>261578.53010954175</v>
      </c>
      <c r="P57" s="106">
        <f t="shared" si="43"/>
        <v>12000</v>
      </c>
      <c r="Q57" s="107">
        <f t="shared" si="44"/>
        <v>258586.09550296151</v>
      </c>
      <c r="R57" s="104">
        <f t="shared" si="45"/>
        <v>0</v>
      </c>
      <c r="S57" s="104">
        <f t="shared" si="46"/>
        <v>0</v>
      </c>
      <c r="T57" s="104">
        <f t="shared" si="47"/>
        <v>0</v>
      </c>
      <c r="U57" s="104">
        <f t="shared" si="48"/>
        <v>0</v>
      </c>
      <c r="V57" s="110">
        <f t="shared" si="49"/>
        <v>0</v>
      </c>
      <c r="W57" s="110">
        <f t="shared" si="50"/>
        <v>0</v>
      </c>
      <c r="X57" s="110">
        <f t="shared" si="51"/>
        <v>0</v>
      </c>
      <c r="Y57" s="110">
        <f t="shared" si="52"/>
        <v>0</v>
      </c>
      <c r="Z57" s="110">
        <f t="shared" si="53"/>
        <v>0</v>
      </c>
      <c r="AA57" s="110">
        <f t="shared" si="54"/>
        <v>0</v>
      </c>
      <c r="AB57" s="110">
        <f t="shared" si="55"/>
        <v>0</v>
      </c>
      <c r="AC57" s="110">
        <f t="shared" si="56"/>
        <v>0</v>
      </c>
      <c r="AD57" s="112">
        <f t="shared" si="57"/>
        <v>0</v>
      </c>
      <c r="AE57" s="113">
        <f t="shared" si="58"/>
        <v>0</v>
      </c>
      <c r="AF57" s="116">
        <f t="shared" si="29"/>
        <v>258586.09550296151</v>
      </c>
    </row>
    <row r="58" spans="1:32" x14ac:dyDescent="0.35">
      <c r="A58" s="9">
        <f t="shared" si="35"/>
        <v>48</v>
      </c>
      <c r="B58" s="14">
        <f t="shared" si="36"/>
        <v>78</v>
      </c>
      <c r="C58" s="21">
        <f t="shared" si="37"/>
        <v>12000</v>
      </c>
      <c r="D58" s="10">
        <f t="shared" si="38"/>
        <v>0</v>
      </c>
      <c r="E58" s="10">
        <f t="shared" si="39"/>
        <v>0</v>
      </c>
      <c r="F58" s="20">
        <f t="shared" si="31"/>
        <v>254227.52089600338</v>
      </c>
      <c r="G58" s="21">
        <f t="shared" si="40"/>
        <v>12000</v>
      </c>
      <c r="H58" s="10">
        <f t="shared" si="41"/>
        <v>240</v>
      </c>
      <c r="I58" s="10">
        <f t="shared" si="42"/>
        <v>0</v>
      </c>
      <c r="J58" s="16">
        <f t="shared" si="32"/>
        <v>259312.07131392343</v>
      </c>
      <c r="K58" s="27">
        <f t="shared" si="33"/>
        <v>259312.07131392343</v>
      </c>
      <c r="L58" s="27">
        <f t="shared" si="34"/>
        <v>254227.52089600338</v>
      </c>
      <c r="M58" s="32">
        <f t="shared" si="7"/>
        <v>0</v>
      </c>
      <c r="N58" s="20">
        <f t="shared" si="8"/>
        <v>259312.07131392343</v>
      </c>
      <c r="P58" s="106">
        <f t="shared" si="43"/>
        <v>12000</v>
      </c>
      <c r="Q58" s="107">
        <f t="shared" si="44"/>
        <v>256449.53932307978</v>
      </c>
      <c r="R58" s="104">
        <f t="shared" si="45"/>
        <v>0</v>
      </c>
      <c r="S58" s="104">
        <f t="shared" si="46"/>
        <v>0</v>
      </c>
      <c r="T58" s="104">
        <f t="shared" si="47"/>
        <v>0</v>
      </c>
      <c r="U58" s="104">
        <f t="shared" si="48"/>
        <v>0</v>
      </c>
      <c r="V58" s="110">
        <f t="shared" si="49"/>
        <v>0</v>
      </c>
      <c r="W58" s="110">
        <f t="shared" si="50"/>
        <v>0</v>
      </c>
      <c r="X58" s="110">
        <f t="shared" si="51"/>
        <v>0</v>
      </c>
      <c r="Y58" s="110">
        <f t="shared" si="52"/>
        <v>0</v>
      </c>
      <c r="Z58" s="110">
        <f t="shared" si="53"/>
        <v>0</v>
      </c>
      <c r="AA58" s="110">
        <f t="shared" si="54"/>
        <v>0</v>
      </c>
      <c r="AB58" s="110">
        <f t="shared" si="55"/>
        <v>0</v>
      </c>
      <c r="AC58" s="110">
        <f t="shared" si="56"/>
        <v>0</v>
      </c>
      <c r="AD58" s="112">
        <f t="shared" si="57"/>
        <v>0</v>
      </c>
      <c r="AE58" s="113">
        <f t="shared" si="58"/>
        <v>0</v>
      </c>
      <c r="AF58" s="116">
        <f t="shared" si="29"/>
        <v>256449.53932307978</v>
      </c>
    </row>
    <row r="59" spans="1:32" x14ac:dyDescent="0.35">
      <c r="A59" s="9">
        <f t="shared" si="35"/>
        <v>49</v>
      </c>
      <c r="B59" s="14">
        <f t="shared" si="36"/>
        <v>79</v>
      </c>
      <c r="C59" s="21">
        <f t="shared" si="37"/>
        <v>12000</v>
      </c>
      <c r="D59" s="10">
        <f t="shared" si="38"/>
        <v>0</v>
      </c>
      <c r="E59" s="10">
        <f t="shared" si="39"/>
        <v>0</v>
      </c>
      <c r="F59" s="20">
        <f t="shared" si="31"/>
        <v>251916.62173184351</v>
      </c>
      <c r="G59" s="21">
        <f t="shared" si="40"/>
        <v>12000</v>
      </c>
      <c r="H59" s="10">
        <f t="shared" si="41"/>
        <v>240</v>
      </c>
      <c r="I59" s="10">
        <f t="shared" si="42"/>
        <v>0</v>
      </c>
      <c r="J59" s="16">
        <f t="shared" si="32"/>
        <v>256954.95416648037</v>
      </c>
      <c r="K59" s="27">
        <f t="shared" si="33"/>
        <v>256954.95416648037</v>
      </c>
      <c r="L59" s="27">
        <f t="shared" si="34"/>
        <v>251916.62173184351</v>
      </c>
      <c r="M59" s="32">
        <f t="shared" si="7"/>
        <v>0</v>
      </c>
      <c r="N59" s="20">
        <f t="shared" si="8"/>
        <v>256954.95416648037</v>
      </c>
      <c r="P59" s="106">
        <f t="shared" si="43"/>
        <v>12000</v>
      </c>
      <c r="Q59" s="107">
        <f t="shared" si="44"/>
        <v>254227.52089600288</v>
      </c>
      <c r="R59" s="104">
        <f t="shared" si="45"/>
        <v>0</v>
      </c>
      <c r="S59" s="104">
        <f t="shared" si="46"/>
        <v>0</v>
      </c>
      <c r="T59" s="104">
        <f t="shared" si="47"/>
        <v>0</v>
      </c>
      <c r="U59" s="104">
        <f t="shared" si="48"/>
        <v>0</v>
      </c>
      <c r="V59" s="110">
        <f t="shared" si="49"/>
        <v>0</v>
      </c>
      <c r="W59" s="110">
        <f t="shared" si="50"/>
        <v>0</v>
      </c>
      <c r="X59" s="110">
        <f t="shared" si="51"/>
        <v>0</v>
      </c>
      <c r="Y59" s="110">
        <f t="shared" si="52"/>
        <v>0</v>
      </c>
      <c r="Z59" s="110">
        <f t="shared" si="53"/>
        <v>0</v>
      </c>
      <c r="AA59" s="110">
        <f t="shared" si="54"/>
        <v>0</v>
      </c>
      <c r="AB59" s="110">
        <f t="shared" si="55"/>
        <v>0</v>
      </c>
      <c r="AC59" s="110">
        <f t="shared" si="56"/>
        <v>0</v>
      </c>
      <c r="AD59" s="112">
        <f t="shared" si="57"/>
        <v>0</v>
      </c>
      <c r="AE59" s="113">
        <f t="shared" si="58"/>
        <v>0</v>
      </c>
      <c r="AF59" s="116">
        <f t="shared" si="29"/>
        <v>254227.52089600288</v>
      </c>
    </row>
    <row r="60" spans="1:32" x14ac:dyDescent="0.35">
      <c r="A60" s="9">
        <f t="shared" si="35"/>
        <v>50</v>
      </c>
      <c r="B60" s="14">
        <f t="shared" si="36"/>
        <v>80</v>
      </c>
      <c r="C60" s="21">
        <f t="shared" si="37"/>
        <v>12000</v>
      </c>
      <c r="D60" s="10">
        <f t="shared" si="38"/>
        <v>0</v>
      </c>
      <c r="E60" s="10">
        <f t="shared" si="39"/>
        <v>0</v>
      </c>
      <c r="F60" s="20">
        <f t="shared" si="31"/>
        <v>249513.28660111726</v>
      </c>
      <c r="G60" s="21">
        <f t="shared" si="40"/>
        <v>12000</v>
      </c>
      <c r="H60" s="10">
        <f t="shared" si="41"/>
        <v>240</v>
      </c>
      <c r="I60" s="10">
        <f t="shared" si="42"/>
        <v>0</v>
      </c>
      <c r="J60" s="16">
        <f t="shared" si="32"/>
        <v>254503.55233313961</v>
      </c>
      <c r="K60" s="27">
        <f t="shared" si="33"/>
        <v>254503.55233313961</v>
      </c>
      <c r="L60" s="27">
        <f t="shared" si="34"/>
        <v>249513.28660111726</v>
      </c>
      <c r="M60" s="32">
        <f t="shared" si="7"/>
        <v>0</v>
      </c>
      <c r="N60" s="20">
        <f t="shared" si="8"/>
        <v>254503.55233313961</v>
      </c>
      <c r="P60" s="106">
        <f t="shared" si="43"/>
        <v>12000</v>
      </c>
      <c r="Q60" s="107">
        <f t="shared" si="44"/>
        <v>251916.62173184325</v>
      </c>
      <c r="R60" s="104">
        <f t="shared" si="45"/>
        <v>0</v>
      </c>
      <c r="S60" s="104">
        <f t="shared" si="46"/>
        <v>0</v>
      </c>
      <c r="T60" s="104">
        <f t="shared" si="47"/>
        <v>0</v>
      </c>
      <c r="U60" s="104">
        <f t="shared" si="48"/>
        <v>0</v>
      </c>
      <c r="V60" s="110">
        <f t="shared" si="49"/>
        <v>0</v>
      </c>
      <c r="W60" s="110">
        <f t="shared" si="50"/>
        <v>0</v>
      </c>
      <c r="X60" s="110">
        <f t="shared" si="51"/>
        <v>0</v>
      </c>
      <c r="Y60" s="110">
        <f t="shared" si="52"/>
        <v>0</v>
      </c>
      <c r="Z60" s="110">
        <f t="shared" si="53"/>
        <v>0</v>
      </c>
      <c r="AA60" s="110">
        <f t="shared" si="54"/>
        <v>0</v>
      </c>
      <c r="AB60" s="110">
        <f t="shared" si="55"/>
        <v>0</v>
      </c>
      <c r="AC60" s="110">
        <f t="shared" si="56"/>
        <v>0</v>
      </c>
      <c r="AD60" s="112">
        <f t="shared" si="57"/>
        <v>0</v>
      </c>
      <c r="AE60" s="113">
        <f t="shared" si="58"/>
        <v>0</v>
      </c>
      <c r="AF60" s="116">
        <f t="shared" si="29"/>
        <v>251916.62173184325</v>
      </c>
    </row>
    <row r="61" spans="1:32" x14ac:dyDescent="0.35">
      <c r="A61" s="9">
        <f t="shared" si="35"/>
        <v>51</v>
      </c>
      <c r="B61" s="14">
        <f t="shared" si="36"/>
        <v>81</v>
      </c>
      <c r="C61" s="21">
        <f t="shared" si="37"/>
        <v>12000</v>
      </c>
      <c r="D61" s="10">
        <f t="shared" si="38"/>
        <v>0</v>
      </c>
      <c r="E61" s="10">
        <f t="shared" si="39"/>
        <v>0</v>
      </c>
      <c r="F61" s="20">
        <f t="shared" si="31"/>
        <v>247013.81806516196</v>
      </c>
      <c r="G61" s="21">
        <f t="shared" si="40"/>
        <v>12000</v>
      </c>
      <c r="H61" s="10">
        <f t="shared" si="41"/>
        <v>240</v>
      </c>
      <c r="I61" s="10">
        <f t="shared" si="42"/>
        <v>0</v>
      </c>
      <c r="J61" s="16">
        <f t="shared" si="32"/>
        <v>251954.09442646522</v>
      </c>
      <c r="K61" s="27">
        <f t="shared" si="33"/>
        <v>251954.09442646522</v>
      </c>
      <c r="L61" s="27">
        <f t="shared" si="34"/>
        <v>247013.81806516196</v>
      </c>
      <c r="M61" s="32">
        <f t="shared" si="7"/>
        <v>0</v>
      </c>
      <c r="N61" s="20">
        <f t="shared" si="8"/>
        <v>251954.09442646522</v>
      </c>
      <c r="P61" s="106">
        <f t="shared" si="43"/>
        <v>12000</v>
      </c>
      <c r="Q61" s="107">
        <f t="shared" si="44"/>
        <v>249513.28660111729</v>
      </c>
      <c r="R61" s="104">
        <f t="shared" si="45"/>
        <v>0</v>
      </c>
      <c r="S61" s="104">
        <f t="shared" si="46"/>
        <v>0</v>
      </c>
      <c r="T61" s="104">
        <f t="shared" si="47"/>
        <v>0</v>
      </c>
      <c r="U61" s="104">
        <f t="shared" si="48"/>
        <v>0</v>
      </c>
      <c r="V61" s="110">
        <f t="shared" si="49"/>
        <v>0</v>
      </c>
      <c r="W61" s="110">
        <f t="shared" si="50"/>
        <v>0</v>
      </c>
      <c r="X61" s="110">
        <f t="shared" si="51"/>
        <v>0</v>
      </c>
      <c r="Y61" s="110">
        <f t="shared" si="52"/>
        <v>0</v>
      </c>
      <c r="Z61" s="110">
        <f t="shared" si="53"/>
        <v>0</v>
      </c>
      <c r="AA61" s="110">
        <f t="shared" si="54"/>
        <v>0</v>
      </c>
      <c r="AB61" s="110">
        <f t="shared" si="55"/>
        <v>0</v>
      </c>
      <c r="AC61" s="110">
        <f t="shared" si="56"/>
        <v>0</v>
      </c>
      <c r="AD61" s="112">
        <f t="shared" si="57"/>
        <v>0</v>
      </c>
      <c r="AE61" s="113">
        <f t="shared" si="58"/>
        <v>0</v>
      </c>
      <c r="AF61" s="116">
        <f t="shared" si="29"/>
        <v>249513.28660111729</v>
      </c>
    </row>
    <row r="62" spans="1:32" x14ac:dyDescent="0.35">
      <c r="A62" s="9">
        <f t="shared" si="35"/>
        <v>52</v>
      </c>
      <c r="B62" s="14">
        <f t="shared" si="36"/>
        <v>82</v>
      </c>
      <c r="C62" s="21">
        <f t="shared" si="37"/>
        <v>12000</v>
      </c>
      <c r="D62" s="10">
        <f t="shared" si="38"/>
        <v>0</v>
      </c>
      <c r="E62" s="10">
        <f t="shared" si="39"/>
        <v>0</v>
      </c>
      <c r="F62" s="20">
        <f t="shared" si="31"/>
        <v>244414.37078776839</v>
      </c>
      <c r="G62" s="21">
        <f t="shared" si="40"/>
        <v>12000</v>
      </c>
      <c r="H62" s="10">
        <f t="shared" si="41"/>
        <v>240</v>
      </c>
      <c r="I62" s="10">
        <f t="shared" si="42"/>
        <v>0</v>
      </c>
      <c r="J62" s="16">
        <f t="shared" si="32"/>
        <v>249302.65820352378</v>
      </c>
      <c r="K62" s="27">
        <f t="shared" si="33"/>
        <v>249302.65820352378</v>
      </c>
      <c r="L62" s="27">
        <f t="shared" si="34"/>
        <v>244414.37078776839</v>
      </c>
      <c r="M62" s="32">
        <f t="shared" si="7"/>
        <v>0</v>
      </c>
      <c r="N62" s="20">
        <f t="shared" si="8"/>
        <v>249302.65820352378</v>
      </c>
      <c r="P62" s="106">
        <f t="shared" si="43"/>
        <v>12000</v>
      </c>
      <c r="Q62" s="107">
        <f t="shared" si="44"/>
        <v>247013.81806516249</v>
      </c>
      <c r="R62" s="104">
        <f t="shared" si="45"/>
        <v>0</v>
      </c>
      <c r="S62" s="104">
        <f t="shared" si="46"/>
        <v>0</v>
      </c>
      <c r="T62" s="104">
        <f t="shared" si="47"/>
        <v>0</v>
      </c>
      <c r="U62" s="104">
        <f t="shared" si="48"/>
        <v>0</v>
      </c>
      <c r="V62" s="110">
        <f t="shared" si="49"/>
        <v>0</v>
      </c>
      <c r="W62" s="110">
        <f t="shared" si="50"/>
        <v>0</v>
      </c>
      <c r="X62" s="110">
        <f t="shared" si="51"/>
        <v>0</v>
      </c>
      <c r="Y62" s="110">
        <f t="shared" si="52"/>
        <v>0</v>
      </c>
      <c r="Z62" s="110">
        <f t="shared" si="53"/>
        <v>0</v>
      </c>
      <c r="AA62" s="110">
        <f t="shared" si="54"/>
        <v>0</v>
      </c>
      <c r="AB62" s="110">
        <f t="shared" si="55"/>
        <v>0</v>
      </c>
      <c r="AC62" s="110">
        <f t="shared" si="56"/>
        <v>0</v>
      </c>
      <c r="AD62" s="112">
        <f t="shared" si="57"/>
        <v>0</v>
      </c>
      <c r="AE62" s="113">
        <f t="shared" si="58"/>
        <v>0</v>
      </c>
      <c r="AF62" s="116">
        <f t="shared" si="29"/>
        <v>247013.81806516249</v>
      </c>
    </row>
    <row r="63" spans="1:32" x14ac:dyDescent="0.35">
      <c r="A63" s="9">
        <f t="shared" si="35"/>
        <v>53</v>
      </c>
      <c r="B63" s="14">
        <f t="shared" si="36"/>
        <v>83</v>
      </c>
      <c r="C63" s="21">
        <f t="shared" si="37"/>
        <v>12000</v>
      </c>
      <c r="D63" s="10">
        <f t="shared" si="38"/>
        <v>0</v>
      </c>
      <c r="E63" s="10">
        <f t="shared" si="39"/>
        <v>0</v>
      </c>
      <c r="F63" s="20">
        <f t="shared" si="31"/>
        <v>241710.94561927926</v>
      </c>
      <c r="G63" s="21">
        <f t="shared" si="40"/>
        <v>12000</v>
      </c>
      <c r="H63" s="10">
        <f t="shared" si="41"/>
        <v>240</v>
      </c>
      <c r="I63" s="10">
        <f t="shared" si="42"/>
        <v>0</v>
      </c>
      <c r="J63" s="16">
        <f t="shared" si="32"/>
        <v>246545.16453166484</v>
      </c>
      <c r="K63" s="27">
        <f t="shared" si="33"/>
        <v>246545.16453166484</v>
      </c>
      <c r="L63" s="27">
        <f t="shared" si="34"/>
        <v>241710.94561927926</v>
      </c>
      <c r="M63" s="32">
        <f t="shared" si="7"/>
        <v>0</v>
      </c>
      <c r="N63" s="20">
        <f t="shared" si="8"/>
        <v>246545.16453166484</v>
      </c>
      <c r="P63" s="106">
        <f t="shared" si="43"/>
        <v>12000</v>
      </c>
      <c r="Q63" s="107">
        <f t="shared" si="44"/>
        <v>244414.37078776924</v>
      </c>
      <c r="R63" s="104">
        <f t="shared" si="45"/>
        <v>0</v>
      </c>
      <c r="S63" s="104">
        <f t="shared" si="46"/>
        <v>0</v>
      </c>
      <c r="T63" s="104">
        <f t="shared" si="47"/>
        <v>0</v>
      </c>
      <c r="U63" s="104">
        <f t="shared" si="48"/>
        <v>0</v>
      </c>
      <c r="V63" s="110">
        <f t="shared" si="49"/>
        <v>0</v>
      </c>
      <c r="W63" s="110">
        <f t="shared" si="50"/>
        <v>0</v>
      </c>
      <c r="X63" s="110">
        <f t="shared" si="51"/>
        <v>0</v>
      </c>
      <c r="Y63" s="110">
        <f t="shared" si="52"/>
        <v>0</v>
      </c>
      <c r="Z63" s="110">
        <f t="shared" si="53"/>
        <v>0</v>
      </c>
      <c r="AA63" s="110">
        <f t="shared" si="54"/>
        <v>0</v>
      </c>
      <c r="AB63" s="110">
        <f t="shared" si="55"/>
        <v>0</v>
      </c>
      <c r="AC63" s="110">
        <f t="shared" si="56"/>
        <v>0</v>
      </c>
      <c r="AD63" s="112">
        <f t="shared" si="57"/>
        <v>0</v>
      </c>
      <c r="AE63" s="113">
        <f t="shared" si="58"/>
        <v>0</v>
      </c>
      <c r="AF63" s="116">
        <f t="shared" si="29"/>
        <v>244414.37078776924</v>
      </c>
    </row>
    <row r="64" spans="1:32" x14ac:dyDescent="0.35">
      <c r="A64" s="9">
        <f t="shared" si="35"/>
        <v>54</v>
      </c>
      <c r="B64" s="14">
        <f t="shared" si="36"/>
        <v>84</v>
      </c>
      <c r="C64" s="21">
        <f t="shared" si="37"/>
        <v>12000</v>
      </c>
      <c r="D64" s="10">
        <f t="shared" si="38"/>
        <v>0</v>
      </c>
      <c r="E64" s="10">
        <f t="shared" si="39"/>
        <v>0</v>
      </c>
      <c r="F64" s="20">
        <f t="shared" si="31"/>
        <v>238899.38344405041</v>
      </c>
      <c r="G64" s="21">
        <f t="shared" si="40"/>
        <v>12000</v>
      </c>
      <c r="H64" s="10">
        <f t="shared" si="41"/>
        <v>240</v>
      </c>
      <c r="I64" s="10">
        <f t="shared" si="42"/>
        <v>0</v>
      </c>
      <c r="J64" s="16">
        <f t="shared" si="32"/>
        <v>243677.37111293143</v>
      </c>
      <c r="K64" s="27">
        <f t="shared" si="33"/>
        <v>243677.37111293143</v>
      </c>
      <c r="L64" s="27">
        <f t="shared" si="34"/>
        <v>238899.38344405041</v>
      </c>
      <c r="M64" s="32">
        <f t="shared" si="7"/>
        <v>0</v>
      </c>
      <c r="N64" s="20">
        <f t="shared" si="8"/>
        <v>243677.37111293143</v>
      </c>
      <c r="P64" s="106">
        <f t="shared" si="43"/>
        <v>12000</v>
      </c>
      <c r="Q64" s="107">
        <f t="shared" si="44"/>
        <v>241710.94561927978</v>
      </c>
      <c r="R64" s="104">
        <f t="shared" si="45"/>
        <v>0</v>
      </c>
      <c r="S64" s="104">
        <f t="shared" si="46"/>
        <v>0</v>
      </c>
      <c r="T64" s="104">
        <f t="shared" si="47"/>
        <v>0</v>
      </c>
      <c r="U64" s="104">
        <f t="shared" si="48"/>
        <v>0</v>
      </c>
      <c r="V64" s="110">
        <f t="shared" si="49"/>
        <v>0</v>
      </c>
      <c r="W64" s="110">
        <f t="shared" si="50"/>
        <v>0</v>
      </c>
      <c r="X64" s="110">
        <f t="shared" si="51"/>
        <v>0</v>
      </c>
      <c r="Y64" s="110">
        <f t="shared" si="52"/>
        <v>0</v>
      </c>
      <c r="Z64" s="110">
        <f t="shared" si="53"/>
        <v>0</v>
      </c>
      <c r="AA64" s="110">
        <f t="shared" si="54"/>
        <v>0</v>
      </c>
      <c r="AB64" s="110">
        <f t="shared" si="55"/>
        <v>0</v>
      </c>
      <c r="AC64" s="110">
        <f t="shared" si="56"/>
        <v>0</v>
      </c>
      <c r="AD64" s="112">
        <f t="shared" si="57"/>
        <v>0</v>
      </c>
      <c r="AE64" s="113">
        <f t="shared" si="58"/>
        <v>0</v>
      </c>
      <c r="AF64" s="116">
        <f t="shared" si="29"/>
        <v>241710.94561927978</v>
      </c>
    </row>
    <row r="65" spans="1:32" x14ac:dyDescent="0.35">
      <c r="A65" s="9">
        <f t="shared" si="35"/>
        <v>55</v>
      </c>
      <c r="B65" s="14">
        <f t="shared" si="36"/>
        <v>85</v>
      </c>
      <c r="C65" s="21">
        <f t="shared" si="37"/>
        <v>12000</v>
      </c>
      <c r="D65" s="10">
        <f t="shared" si="38"/>
        <v>0</v>
      </c>
      <c r="E65" s="10">
        <f t="shared" si="39"/>
        <v>0</v>
      </c>
      <c r="F65" s="20">
        <f t="shared" si="31"/>
        <v>235975.35878181245</v>
      </c>
      <c r="G65" s="21">
        <f t="shared" si="40"/>
        <v>12000</v>
      </c>
      <c r="H65" s="10">
        <f t="shared" si="41"/>
        <v>240</v>
      </c>
      <c r="I65" s="10">
        <f t="shared" si="42"/>
        <v>0</v>
      </c>
      <c r="J65" s="16">
        <f t="shared" si="32"/>
        <v>240694.8659574487</v>
      </c>
      <c r="K65" s="27">
        <f t="shared" si="33"/>
        <v>240694.8659574487</v>
      </c>
      <c r="L65" s="27">
        <f t="shared" si="34"/>
        <v>235975.35878181245</v>
      </c>
      <c r="M65" s="32">
        <f t="shared" si="7"/>
        <v>0</v>
      </c>
      <c r="N65" s="20">
        <f t="shared" si="8"/>
        <v>240694.8659574487</v>
      </c>
      <c r="P65" s="106">
        <f t="shared" si="43"/>
        <v>12000</v>
      </c>
      <c r="Q65" s="107">
        <f t="shared" si="44"/>
        <v>238899.38344405094</v>
      </c>
      <c r="R65" s="104">
        <f t="shared" si="45"/>
        <v>0</v>
      </c>
      <c r="S65" s="104">
        <f t="shared" si="46"/>
        <v>0</v>
      </c>
      <c r="T65" s="104">
        <f t="shared" si="47"/>
        <v>0</v>
      </c>
      <c r="U65" s="104">
        <f t="shared" si="48"/>
        <v>0</v>
      </c>
      <c r="V65" s="110">
        <f t="shared" si="49"/>
        <v>0</v>
      </c>
      <c r="W65" s="110">
        <f t="shared" si="50"/>
        <v>0</v>
      </c>
      <c r="X65" s="110">
        <f t="shared" si="51"/>
        <v>0</v>
      </c>
      <c r="Y65" s="110">
        <f t="shared" si="52"/>
        <v>0</v>
      </c>
      <c r="Z65" s="110">
        <f t="shared" si="53"/>
        <v>0</v>
      </c>
      <c r="AA65" s="110">
        <f t="shared" si="54"/>
        <v>0</v>
      </c>
      <c r="AB65" s="110">
        <f t="shared" si="55"/>
        <v>0</v>
      </c>
      <c r="AC65" s="110">
        <f t="shared" si="56"/>
        <v>0</v>
      </c>
      <c r="AD65" s="112">
        <f t="shared" si="57"/>
        <v>0</v>
      </c>
      <c r="AE65" s="113">
        <f t="shared" si="58"/>
        <v>0</v>
      </c>
      <c r="AF65" s="116">
        <f t="shared" si="29"/>
        <v>238899.38344405094</v>
      </c>
    </row>
    <row r="66" spans="1:32" x14ac:dyDescent="0.35">
      <c r="A66" s="9">
        <f t="shared" si="35"/>
        <v>56</v>
      </c>
      <c r="B66" s="14">
        <f t="shared" si="36"/>
        <v>86</v>
      </c>
      <c r="C66" s="21">
        <f t="shared" si="37"/>
        <v>12000</v>
      </c>
      <c r="D66" s="10">
        <f t="shared" si="38"/>
        <v>0</v>
      </c>
      <c r="E66" s="10">
        <f t="shared" si="39"/>
        <v>0</v>
      </c>
      <c r="F66" s="20">
        <f t="shared" si="31"/>
        <v>232934.37313308491</v>
      </c>
      <c r="G66" s="21">
        <f t="shared" si="40"/>
        <v>12000</v>
      </c>
      <c r="H66" s="10">
        <f t="shared" si="41"/>
        <v>240</v>
      </c>
      <c r="I66" s="10">
        <f t="shared" si="42"/>
        <v>0</v>
      </c>
      <c r="J66" s="16">
        <f t="shared" si="32"/>
        <v>237593.06059574662</v>
      </c>
      <c r="K66" s="27">
        <f t="shared" si="33"/>
        <v>237593.06059574662</v>
      </c>
      <c r="L66" s="27">
        <f t="shared" si="34"/>
        <v>232934.37313308491</v>
      </c>
      <c r="M66" s="32">
        <f t="shared" si="7"/>
        <v>0</v>
      </c>
      <c r="N66" s="20">
        <f t="shared" si="8"/>
        <v>237593.06059574662</v>
      </c>
      <c r="P66" s="106">
        <f t="shared" si="43"/>
        <v>12000</v>
      </c>
      <c r="Q66" s="107">
        <f t="shared" si="44"/>
        <v>235975.35878181344</v>
      </c>
      <c r="R66" s="104">
        <f t="shared" si="45"/>
        <v>0</v>
      </c>
      <c r="S66" s="104">
        <f t="shared" si="46"/>
        <v>0</v>
      </c>
      <c r="T66" s="104">
        <f t="shared" si="47"/>
        <v>0</v>
      </c>
      <c r="U66" s="104">
        <f t="shared" si="48"/>
        <v>0</v>
      </c>
      <c r="V66" s="110">
        <f t="shared" si="49"/>
        <v>0</v>
      </c>
      <c r="W66" s="110">
        <f t="shared" si="50"/>
        <v>0</v>
      </c>
      <c r="X66" s="110">
        <f t="shared" si="51"/>
        <v>0</v>
      </c>
      <c r="Y66" s="110">
        <f t="shared" si="52"/>
        <v>0</v>
      </c>
      <c r="Z66" s="110">
        <f t="shared" si="53"/>
        <v>0</v>
      </c>
      <c r="AA66" s="110">
        <f t="shared" si="54"/>
        <v>0</v>
      </c>
      <c r="AB66" s="110">
        <f t="shared" si="55"/>
        <v>0</v>
      </c>
      <c r="AC66" s="110">
        <f t="shared" si="56"/>
        <v>0</v>
      </c>
      <c r="AD66" s="112">
        <f t="shared" si="57"/>
        <v>0</v>
      </c>
      <c r="AE66" s="113">
        <f t="shared" si="58"/>
        <v>0</v>
      </c>
      <c r="AF66" s="116">
        <f t="shared" si="29"/>
        <v>235975.35878181344</v>
      </c>
    </row>
    <row r="67" spans="1:32" x14ac:dyDescent="0.35">
      <c r="A67" s="9">
        <f t="shared" si="35"/>
        <v>57</v>
      </c>
      <c r="B67" s="14">
        <f t="shared" si="36"/>
        <v>87</v>
      </c>
      <c r="C67" s="21">
        <f t="shared" si="37"/>
        <v>12000</v>
      </c>
      <c r="D67" s="10">
        <f t="shared" si="38"/>
        <v>0</v>
      </c>
      <c r="E67" s="10">
        <f t="shared" si="39"/>
        <v>0</v>
      </c>
      <c r="F67" s="20">
        <f t="shared" si="31"/>
        <v>229771.74805840835</v>
      </c>
      <c r="G67" s="21">
        <f t="shared" si="40"/>
        <v>12000</v>
      </c>
      <c r="H67" s="10">
        <f t="shared" si="41"/>
        <v>240</v>
      </c>
      <c r="I67" s="10">
        <f t="shared" si="42"/>
        <v>0</v>
      </c>
      <c r="J67" s="16">
        <f t="shared" si="32"/>
        <v>234367.18301957651</v>
      </c>
      <c r="K67" s="27">
        <f t="shared" si="33"/>
        <v>234367.18301957651</v>
      </c>
      <c r="L67" s="27">
        <f t="shared" si="34"/>
        <v>229771.74805840835</v>
      </c>
      <c r="M67" s="32">
        <f t="shared" si="7"/>
        <v>0</v>
      </c>
      <c r="N67" s="20">
        <f t="shared" si="8"/>
        <v>234367.18301957651</v>
      </c>
      <c r="P67" s="106">
        <f t="shared" si="43"/>
        <v>12000</v>
      </c>
      <c r="Q67" s="107">
        <f t="shared" si="44"/>
        <v>232934.37313308555</v>
      </c>
      <c r="R67" s="104">
        <f t="shared" si="45"/>
        <v>0</v>
      </c>
      <c r="S67" s="104">
        <f t="shared" si="46"/>
        <v>0</v>
      </c>
      <c r="T67" s="104">
        <f t="shared" si="47"/>
        <v>0</v>
      </c>
      <c r="U67" s="104">
        <f t="shared" si="48"/>
        <v>0</v>
      </c>
      <c r="V67" s="110">
        <f t="shared" si="49"/>
        <v>0</v>
      </c>
      <c r="W67" s="110">
        <f t="shared" si="50"/>
        <v>0</v>
      </c>
      <c r="X67" s="110">
        <f t="shared" si="51"/>
        <v>0</v>
      </c>
      <c r="Y67" s="110">
        <f t="shared" si="52"/>
        <v>0</v>
      </c>
      <c r="Z67" s="110">
        <f t="shared" si="53"/>
        <v>0</v>
      </c>
      <c r="AA67" s="110">
        <f t="shared" si="54"/>
        <v>0</v>
      </c>
      <c r="AB67" s="110">
        <f t="shared" si="55"/>
        <v>0</v>
      </c>
      <c r="AC67" s="110">
        <f t="shared" si="56"/>
        <v>0</v>
      </c>
      <c r="AD67" s="112">
        <f t="shared" si="57"/>
        <v>0</v>
      </c>
      <c r="AE67" s="113">
        <f t="shared" si="58"/>
        <v>0</v>
      </c>
      <c r="AF67" s="116">
        <f t="shared" si="29"/>
        <v>232934.37313308555</v>
      </c>
    </row>
    <row r="68" spans="1:32" x14ac:dyDescent="0.35">
      <c r="A68" s="9">
        <f t="shared" si="35"/>
        <v>58</v>
      </c>
      <c r="B68" s="14">
        <f t="shared" si="36"/>
        <v>88</v>
      </c>
      <c r="C68" s="21">
        <f t="shared" si="37"/>
        <v>12000</v>
      </c>
      <c r="D68" s="10">
        <f t="shared" si="38"/>
        <v>0</v>
      </c>
      <c r="E68" s="10">
        <f t="shared" si="39"/>
        <v>0</v>
      </c>
      <c r="F68" s="20">
        <f t="shared" si="31"/>
        <v>226482.61798074469</v>
      </c>
      <c r="G68" s="21">
        <f t="shared" si="40"/>
        <v>12000</v>
      </c>
      <c r="H68" s="10">
        <f t="shared" si="41"/>
        <v>240</v>
      </c>
      <c r="I68" s="10">
        <f t="shared" si="42"/>
        <v>0</v>
      </c>
      <c r="J68" s="16">
        <f t="shared" si="32"/>
        <v>231012.27034035957</v>
      </c>
      <c r="K68" s="27">
        <f t="shared" si="33"/>
        <v>231012.27034035957</v>
      </c>
      <c r="L68" s="27">
        <f t="shared" si="34"/>
        <v>226482.61798074469</v>
      </c>
      <c r="M68" s="32">
        <f t="shared" si="7"/>
        <v>0</v>
      </c>
      <c r="N68" s="20">
        <f t="shared" si="8"/>
        <v>231012.27034035957</v>
      </c>
      <c r="P68" s="106">
        <f t="shared" si="43"/>
        <v>12000</v>
      </c>
      <c r="Q68" s="107">
        <f t="shared" si="44"/>
        <v>229771.74805840864</v>
      </c>
      <c r="R68" s="104">
        <f t="shared" si="45"/>
        <v>0</v>
      </c>
      <c r="S68" s="104">
        <f t="shared" si="46"/>
        <v>0</v>
      </c>
      <c r="T68" s="104">
        <f t="shared" si="47"/>
        <v>0</v>
      </c>
      <c r="U68" s="104">
        <f t="shared" si="48"/>
        <v>0</v>
      </c>
      <c r="V68" s="110">
        <f t="shared" si="49"/>
        <v>0</v>
      </c>
      <c r="W68" s="110">
        <f t="shared" si="50"/>
        <v>0</v>
      </c>
      <c r="X68" s="110">
        <f t="shared" si="51"/>
        <v>0</v>
      </c>
      <c r="Y68" s="110">
        <f t="shared" si="52"/>
        <v>0</v>
      </c>
      <c r="Z68" s="110">
        <f t="shared" si="53"/>
        <v>0</v>
      </c>
      <c r="AA68" s="110">
        <f t="shared" si="54"/>
        <v>0</v>
      </c>
      <c r="AB68" s="110">
        <f t="shared" si="55"/>
        <v>0</v>
      </c>
      <c r="AC68" s="110">
        <f t="shared" si="56"/>
        <v>0</v>
      </c>
      <c r="AD68" s="112">
        <f t="shared" si="57"/>
        <v>0</v>
      </c>
      <c r="AE68" s="113">
        <f t="shared" si="58"/>
        <v>0</v>
      </c>
      <c r="AF68" s="116">
        <f t="shared" si="29"/>
        <v>229771.74805840864</v>
      </c>
    </row>
    <row r="69" spans="1:32" x14ac:dyDescent="0.35">
      <c r="A69" s="9">
        <f t="shared" si="35"/>
        <v>59</v>
      </c>
      <c r="B69" s="14">
        <f t="shared" si="36"/>
        <v>89</v>
      </c>
      <c r="C69" s="21">
        <f t="shared" si="37"/>
        <v>12000</v>
      </c>
      <c r="D69" s="10">
        <f t="shared" si="38"/>
        <v>0</v>
      </c>
      <c r="E69" s="10">
        <f t="shared" si="39"/>
        <v>0</v>
      </c>
      <c r="F69" s="20">
        <f t="shared" si="31"/>
        <v>223061.9226999745</v>
      </c>
      <c r="G69" s="21">
        <f t="shared" si="40"/>
        <v>12000</v>
      </c>
      <c r="H69" s="10">
        <f t="shared" si="41"/>
        <v>240</v>
      </c>
      <c r="I69" s="10">
        <f t="shared" si="42"/>
        <v>0</v>
      </c>
      <c r="J69" s="16">
        <f t="shared" si="32"/>
        <v>227523.16115397398</v>
      </c>
      <c r="K69" s="27">
        <f t="shared" si="33"/>
        <v>227523.16115397398</v>
      </c>
      <c r="L69" s="27">
        <f t="shared" si="34"/>
        <v>223061.9226999745</v>
      </c>
      <c r="M69" s="32">
        <f t="shared" si="7"/>
        <v>0</v>
      </c>
      <c r="N69" s="20">
        <f t="shared" si="8"/>
        <v>227523.16115397398</v>
      </c>
      <c r="P69" s="106">
        <f t="shared" si="43"/>
        <v>12000</v>
      </c>
      <c r="Q69" s="107">
        <f t="shared" si="44"/>
        <v>226482.61798074516</v>
      </c>
      <c r="R69" s="104">
        <f t="shared" si="45"/>
        <v>0</v>
      </c>
      <c r="S69" s="104">
        <f t="shared" si="46"/>
        <v>0</v>
      </c>
      <c r="T69" s="104">
        <f t="shared" si="47"/>
        <v>0</v>
      </c>
      <c r="U69" s="104">
        <f t="shared" si="48"/>
        <v>0</v>
      </c>
      <c r="V69" s="110">
        <f t="shared" si="49"/>
        <v>0</v>
      </c>
      <c r="W69" s="110">
        <f t="shared" si="50"/>
        <v>0</v>
      </c>
      <c r="X69" s="110">
        <f t="shared" si="51"/>
        <v>0</v>
      </c>
      <c r="Y69" s="110">
        <f t="shared" si="52"/>
        <v>0</v>
      </c>
      <c r="Z69" s="110">
        <f t="shared" si="53"/>
        <v>0</v>
      </c>
      <c r="AA69" s="110">
        <f t="shared" si="54"/>
        <v>0</v>
      </c>
      <c r="AB69" s="110">
        <f t="shared" si="55"/>
        <v>0</v>
      </c>
      <c r="AC69" s="110">
        <f t="shared" si="56"/>
        <v>0</v>
      </c>
      <c r="AD69" s="112">
        <f t="shared" si="57"/>
        <v>0</v>
      </c>
      <c r="AE69" s="113">
        <f t="shared" si="58"/>
        <v>0</v>
      </c>
      <c r="AF69" s="116">
        <f t="shared" si="29"/>
        <v>226482.61798074516</v>
      </c>
    </row>
    <row r="70" spans="1:32" x14ac:dyDescent="0.35">
      <c r="A70" s="9">
        <f t="shared" si="35"/>
        <v>60</v>
      </c>
      <c r="B70" s="14">
        <f t="shared" si="36"/>
        <v>90</v>
      </c>
      <c r="C70" s="21">
        <f t="shared" si="37"/>
        <v>12000</v>
      </c>
      <c r="D70" s="10">
        <f t="shared" si="38"/>
        <v>0</v>
      </c>
      <c r="E70" s="10">
        <f t="shared" si="39"/>
        <v>0</v>
      </c>
      <c r="F70" s="20">
        <f t="shared" si="31"/>
        <v>219504.39960797349</v>
      </c>
      <c r="G70" s="21">
        <f t="shared" si="40"/>
        <v>12000</v>
      </c>
      <c r="H70" s="10">
        <f t="shared" si="41"/>
        <v>240</v>
      </c>
      <c r="I70" s="10">
        <f t="shared" si="42"/>
        <v>0</v>
      </c>
      <c r="J70" s="16">
        <f t="shared" si="32"/>
        <v>223894.48760013294</v>
      </c>
      <c r="K70" s="27">
        <f t="shared" si="33"/>
        <v>223894.48760013294</v>
      </c>
      <c r="L70" s="27">
        <f t="shared" si="34"/>
        <v>219504.39960797349</v>
      </c>
      <c r="M70" s="32">
        <f t="shared" si="7"/>
        <v>0</v>
      </c>
      <c r="N70" s="20">
        <f t="shared" si="8"/>
        <v>223894.48760013294</v>
      </c>
      <c r="P70" s="106">
        <f t="shared" si="43"/>
        <v>12000</v>
      </c>
      <c r="Q70" s="107">
        <f t="shared" si="44"/>
        <v>223061.92269997497</v>
      </c>
      <c r="R70" s="104">
        <f t="shared" si="45"/>
        <v>0</v>
      </c>
      <c r="S70" s="104">
        <f t="shared" si="46"/>
        <v>0</v>
      </c>
      <c r="T70" s="104">
        <f t="shared" si="47"/>
        <v>0</v>
      </c>
      <c r="U70" s="104">
        <f t="shared" si="48"/>
        <v>0</v>
      </c>
      <c r="V70" s="110">
        <f t="shared" si="49"/>
        <v>0</v>
      </c>
      <c r="W70" s="110">
        <f t="shared" si="50"/>
        <v>0</v>
      </c>
      <c r="X70" s="110">
        <f t="shared" si="51"/>
        <v>0</v>
      </c>
      <c r="Y70" s="110">
        <f t="shared" si="52"/>
        <v>0</v>
      </c>
      <c r="Z70" s="110">
        <f t="shared" si="53"/>
        <v>0</v>
      </c>
      <c r="AA70" s="110">
        <f t="shared" si="54"/>
        <v>0</v>
      </c>
      <c r="AB70" s="110">
        <f t="shared" si="55"/>
        <v>0</v>
      </c>
      <c r="AC70" s="110">
        <f t="shared" si="56"/>
        <v>0</v>
      </c>
      <c r="AD70" s="112">
        <f t="shared" si="57"/>
        <v>0</v>
      </c>
      <c r="AE70" s="113">
        <f t="shared" si="58"/>
        <v>0</v>
      </c>
      <c r="AF70" s="116">
        <f t="shared" si="29"/>
        <v>223061.92269997497</v>
      </c>
    </row>
    <row r="71" spans="1:32" x14ac:dyDescent="0.35">
      <c r="A71" s="9">
        <f t="shared" si="35"/>
        <v>61</v>
      </c>
      <c r="B71" s="14">
        <f t="shared" si="36"/>
        <v>91</v>
      </c>
      <c r="C71" s="21">
        <f t="shared" si="37"/>
        <v>12000</v>
      </c>
      <c r="D71" s="10">
        <f t="shared" si="38"/>
        <v>0</v>
      </c>
      <c r="E71" s="10">
        <f t="shared" si="39"/>
        <v>0</v>
      </c>
      <c r="F71" s="20">
        <f t="shared" si="31"/>
        <v>215804.57559229253</v>
      </c>
      <c r="G71" s="21">
        <f t="shared" si="40"/>
        <v>12000</v>
      </c>
      <c r="H71" s="10">
        <f t="shared" si="41"/>
        <v>240</v>
      </c>
      <c r="I71" s="10">
        <f t="shared" si="42"/>
        <v>0</v>
      </c>
      <c r="J71" s="16">
        <f t="shared" si="32"/>
        <v>220120.66710413838</v>
      </c>
      <c r="K71" s="27">
        <f t="shared" si="33"/>
        <v>220120.66710413838</v>
      </c>
      <c r="L71" s="27">
        <f t="shared" si="34"/>
        <v>215804.57559229253</v>
      </c>
      <c r="M71" s="32">
        <f t="shared" si="7"/>
        <v>0</v>
      </c>
      <c r="N71" s="20">
        <f t="shared" si="8"/>
        <v>220120.66710413838</v>
      </c>
      <c r="P71" s="106">
        <f t="shared" si="43"/>
        <v>12000</v>
      </c>
      <c r="Q71" s="107">
        <f t="shared" si="44"/>
        <v>219504.39960797402</v>
      </c>
      <c r="R71" s="104">
        <f t="shared" si="45"/>
        <v>0</v>
      </c>
      <c r="S71" s="104">
        <f t="shared" si="46"/>
        <v>0</v>
      </c>
      <c r="T71" s="104">
        <f t="shared" si="47"/>
        <v>0</v>
      </c>
      <c r="U71" s="104">
        <f t="shared" si="48"/>
        <v>0</v>
      </c>
      <c r="V71" s="110">
        <f t="shared" si="49"/>
        <v>0</v>
      </c>
      <c r="W71" s="110">
        <f t="shared" si="50"/>
        <v>0</v>
      </c>
      <c r="X71" s="110">
        <f t="shared" si="51"/>
        <v>0</v>
      </c>
      <c r="Y71" s="110">
        <f t="shared" si="52"/>
        <v>0</v>
      </c>
      <c r="Z71" s="110">
        <f t="shared" si="53"/>
        <v>0</v>
      </c>
      <c r="AA71" s="110">
        <f t="shared" si="54"/>
        <v>0</v>
      </c>
      <c r="AB71" s="110">
        <f t="shared" si="55"/>
        <v>0</v>
      </c>
      <c r="AC71" s="110">
        <f t="shared" si="56"/>
        <v>0</v>
      </c>
      <c r="AD71" s="112">
        <f t="shared" si="57"/>
        <v>0</v>
      </c>
      <c r="AE71" s="113">
        <f t="shared" si="58"/>
        <v>0</v>
      </c>
      <c r="AF71" s="116">
        <f t="shared" si="29"/>
        <v>219504.39960797402</v>
      </c>
    </row>
    <row r="72" spans="1:32" x14ac:dyDescent="0.35">
      <c r="A72" s="9">
        <f t="shared" si="35"/>
        <v>62</v>
      </c>
      <c r="B72" s="14">
        <f t="shared" si="36"/>
        <v>92</v>
      </c>
      <c r="C72" s="21">
        <f t="shared" si="37"/>
        <v>12000</v>
      </c>
      <c r="D72" s="10">
        <f t="shared" si="38"/>
        <v>0</v>
      </c>
      <c r="E72" s="10">
        <f t="shared" si="39"/>
        <v>0</v>
      </c>
      <c r="F72" s="20">
        <f t="shared" si="31"/>
        <v>211956.75861598423</v>
      </c>
      <c r="G72" s="21">
        <f t="shared" si="40"/>
        <v>12000</v>
      </c>
      <c r="H72" s="10">
        <f t="shared" si="41"/>
        <v>240</v>
      </c>
      <c r="I72" s="10">
        <f t="shared" si="42"/>
        <v>0</v>
      </c>
      <c r="J72" s="16">
        <f t="shared" si="32"/>
        <v>216195.89378830392</v>
      </c>
      <c r="K72" s="27">
        <f t="shared" si="33"/>
        <v>216195.89378830392</v>
      </c>
      <c r="L72" s="27">
        <f t="shared" si="34"/>
        <v>211956.75861598423</v>
      </c>
      <c r="M72" s="32">
        <f t="shared" si="7"/>
        <v>0</v>
      </c>
      <c r="N72" s="20">
        <f t="shared" si="8"/>
        <v>216195.89378830392</v>
      </c>
      <c r="P72" s="106">
        <f t="shared" si="43"/>
        <v>12000</v>
      </c>
      <c r="Q72" s="107">
        <f t="shared" si="44"/>
        <v>215804.57559229323</v>
      </c>
      <c r="R72" s="104">
        <f t="shared" si="45"/>
        <v>0</v>
      </c>
      <c r="S72" s="104">
        <f t="shared" si="46"/>
        <v>0</v>
      </c>
      <c r="T72" s="104">
        <f t="shared" si="47"/>
        <v>0</v>
      </c>
      <c r="U72" s="104">
        <f t="shared" si="48"/>
        <v>0</v>
      </c>
      <c r="V72" s="110">
        <f t="shared" si="49"/>
        <v>0</v>
      </c>
      <c r="W72" s="110">
        <f t="shared" si="50"/>
        <v>0</v>
      </c>
      <c r="X72" s="110">
        <f t="shared" si="51"/>
        <v>0</v>
      </c>
      <c r="Y72" s="110">
        <f t="shared" si="52"/>
        <v>0</v>
      </c>
      <c r="Z72" s="110">
        <f t="shared" si="53"/>
        <v>0</v>
      </c>
      <c r="AA72" s="110">
        <f t="shared" si="54"/>
        <v>0</v>
      </c>
      <c r="AB72" s="110">
        <f t="shared" si="55"/>
        <v>0</v>
      </c>
      <c r="AC72" s="110">
        <f t="shared" si="56"/>
        <v>0</v>
      </c>
      <c r="AD72" s="112">
        <f t="shared" si="57"/>
        <v>0</v>
      </c>
      <c r="AE72" s="113">
        <f t="shared" si="58"/>
        <v>0</v>
      </c>
      <c r="AF72" s="116">
        <f t="shared" si="29"/>
        <v>215804.57559229323</v>
      </c>
    </row>
    <row r="73" spans="1:32" x14ac:dyDescent="0.35">
      <c r="A73" s="9">
        <f t="shared" si="35"/>
        <v>63</v>
      </c>
      <c r="B73" s="14">
        <f t="shared" si="36"/>
        <v>93</v>
      </c>
      <c r="C73" s="21">
        <f t="shared" si="37"/>
        <v>12000</v>
      </c>
      <c r="D73" s="10">
        <f t="shared" si="38"/>
        <v>0</v>
      </c>
      <c r="E73" s="10">
        <f t="shared" si="39"/>
        <v>0</v>
      </c>
      <c r="F73" s="20">
        <f t="shared" ref="F73:F104" si="59">IF( $A74 &lt;&gt; "",
      ( 1 + gamma_2_PK) * Rente * INDEX( n_ae_x_PK, x + $A74 + 1, 1)
         + ( beta_PK + t * gamma_1_PK + alpha_g_PK) * Beitrag_PK * INDEX( ae_xt_PK, x + $A74 + 1, 1)
         + t * gamma_3_PK * Beitrag_PK * (INDEX( ae_xn_PK, x + $A74 + 1, 1) - INDEX( ae_xt_PK, x + $A74 + 1, 1))
         - Beitrag_PK * INDEX( ae_xt_PK, x + $A74 + 1, 1),
     "")</f>
        <v>207955.02896062366</v>
      </c>
      <c r="G73" s="21">
        <f t="shared" si="40"/>
        <v>12000</v>
      </c>
      <c r="H73" s="10">
        <f t="shared" si="41"/>
        <v>240</v>
      </c>
      <c r="I73" s="10">
        <f t="shared" si="42"/>
        <v>0</v>
      </c>
      <c r="J73" s="16">
        <f t="shared" ref="J73:J104" si="60">IF( $A74 &lt;&gt; "",
      ( 1 + gamma_2_DR) * Rente * INDEX( n_ae_x_DR, x + $A74 + 1, 1)
         + ( beta_DR + t * gamma_1_DR + alpha_g_DR) * Beitrag_DR * INDEX( ae_xt_DR, x + $A74 + 1, 1)
         + t * gamma_3_DR * Beitrag_DR * (INDEX( ae_xn_DR, x + $A74 + 1, 1) - INDEX( ae_xt_DR, x + $A74 + 1, 1))
         - Beitrag_DR * INDEX( ae_xt_DR, x + $A74 + 1, 1),
     "")</f>
        <v>212114.12953983614</v>
      </c>
      <c r="K73" s="27">
        <f t="shared" ref="K73:K104" si="61">IF( $A74 &lt;&gt; "",
      ( 1 + gamma_2_DR) * Rente * INDEX( n_ae_x_DR, x + $A74 + 1, 1)
         + ( beta_DR + t * gamma_1_DR + alpha_g_DR) * Beitrag_DR * INDEX( ae_xt_DR, x + $A74 + 1, 1)
         + t * gamma_3_DR * Beitrag_DR * (INDEX( ae_xn_DR, x + $A74 + 1, 1) - INDEX( ae_xt_DR, x + $A74 + 1, 1))
         - MIN( Beitrag_PK, Beitrag_DR) * INDEX( ae_xt_DR, x + $A74 + 1, 1),
     "")</f>
        <v>212114.12953983614</v>
      </c>
      <c r="L73" s="27">
        <f t="shared" ref="L73:L104" si="62">IF( $A74 &lt;&gt; "",
      IF( RKW = "BGH-Urteil",
          MAX( $F73, 0.5 * (Tarifreserve + alpha_z_PK * Beitrag_PK * t * INDEX( ae_xt_PK, x + $A74 + 1, 1) / INDEX( ae_xt_PK, x + 1, 1))),
          IF( RKW = "VVG-Reform",
              Tarifreserve + alpha_z_PK * Beitrag_PK * t * INDEX( ae_x5_PK, x + $A74 + 1, 1) / INDEX( ae_x5_PK, x + 1, 1),
              MAX( 0, INDEX( Tarifreserve, $A74 + 1, 1)))),
      "")</f>
        <v>207955.02896062366</v>
      </c>
      <c r="M73" s="32">
        <f t="shared" si="7"/>
        <v>0</v>
      </c>
      <c r="N73" s="20">
        <f t="shared" si="8"/>
        <v>212114.12953983614</v>
      </c>
      <c r="P73" s="106">
        <f t="shared" si="43"/>
        <v>12000</v>
      </c>
      <c r="Q73" s="107">
        <f t="shared" si="44"/>
        <v>211956.75861598461</v>
      </c>
      <c r="R73" s="104">
        <f t="shared" si="45"/>
        <v>0</v>
      </c>
      <c r="S73" s="104">
        <f t="shared" si="46"/>
        <v>0</v>
      </c>
      <c r="T73" s="104">
        <f t="shared" si="47"/>
        <v>0</v>
      </c>
      <c r="U73" s="104">
        <f t="shared" si="48"/>
        <v>0</v>
      </c>
      <c r="V73" s="110">
        <f t="shared" si="49"/>
        <v>0</v>
      </c>
      <c r="W73" s="110">
        <f t="shared" si="50"/>
        <v>0</v>
      </c>
      <c r="X73" s="110">
        <f t="shared" si="51"/>
        <v>0</v>
      </c>
      <c r="Y73" s="110">
        <f t="shared" si="52"/>
        <v>0</v>
      </c>
      <c r="Z73" s="110">
        <f t="shared" si="53"/>
        <v>0</v>
      </c>
      <c r="AA73" s="110">
        <f t="shared" si="54"/>
        <v>0</v>
      </c>
      <c r="AB73" s="110">
        <f t="shared" si="55"/>
        <v>0</v>
      </c>
      <c r="AC73" s="110">
        <f t="shared" si="56"/>
        <v>0</v>
      </c>
      <c r="AD73" s="112">
        <f t="shared" si="57"/>
        <v>0</v>
      </c>
      <c r="AE73" s="113">
        <f t="shared" si="58"/>
        <v>0</v>
      </c>
      <c r="AF73" s="116">
        <f t="shared" si="29"/>
        <v>211956.75861598461</v>
      </c>
    </row>
    <row r="74" spans="1:32" x14ac:dyDescent="0.35">
      <c r="A74" s="9">
        <f t="shared" ref="A74:A105" si="63">IF( 121 - x &gt;= ROW() - ROW($A$10), ROW() - ROW($A$10), "")</f>
        <v>64</v>
      </c>
      <c r="B74" s="14">
        <f t="shared" ref="B74:B105" si="64">IF( m &lt;&gt; "", x + $A74, "")</f>
        <v>94</v>
      </c>
      <c r="C74" s="21">
        <f t="shared" ref="C74:C105" si="65">IF( m &lt;&gt; "",
      IF( m &gt;= n,
          Rente,
          0),
       "")</f>
        <v>12000</v>
      </c>
      <c r="D74" s="10">
        <f t="shared" ref="D74:D105" si="66">IF( m &lt;&gt; "",
      IF( m &lt; t,
          (beta_PK + alpha_g_PK + gamma_1_PK * t) * Beitrag_PK,
          IF( m &lt; n,
              gamma_3_PK * t * Beitrag_PK,
              gamma_2_PK * Rente)),
      "")</f>
        <v>0</v>
      </c>
      <c r="E74" s="10">
        <f t="shared" ref="E74:E105" si="67">IF( $A74 &lt;&gt; "", IF( $A74 &lt; t, -Beitrag_PK, 0), "")</f>
        <v>0</v>
      </c>
      <c r="F74" s="20">
        <f t="shared" si="59"/>
        <v>203793.23011904859</v>
      </c>
      <c r="G74" s="21">
        <f t="shared" ref="G74:G105" si="68">IF( m &lt;&gt; "",
      IF( m &gt;= n,
          Rente,
          0),
       "")</f>
        <v>12000</v>
      </c>
      <c r="H74" s="10">
        <f t="shared" ref="H74:H105" si="69">IF( m &lt;&gt; "",
      IF( m &lt; t,
          (beta_DR + alpha_g_DR + gamma_1_DR * t) * Beitrag_DR,
          IF( m &lt; n,
              gamma_3_DR * t * Beitrag_DR,
              gamma_2_DR * Rente)),
      "")</f>
        <v>240</v>
      </c>
      <c r="I74" s="10">
        <f t="shared" ref="I74:I105" si="70">IF( $A74 &lt;&gt; "", IF( $A74 &lt; t, -Beitrag_DR, 0), "")</f>
        <v>0</v>
      </c>
      <c r="J74" s="16">
        <f t="shared" si="60"/>
        <v>207869.09472142954</v>
      </c>
      <c r="K74" s="27">
        <f t="shared" si="61"/>
        <v>207869.09472142954</v>
      </c>
      <c r="L74" s="27">
        <f t="shared" si="62"/>
        <v>203793.23011904859</v>
      </c>
      <c r="M74" s="32">
        <f t="shared" ref="M74:M132" si="71">IF( $A75 &lt;&gt; "",
      MAX( 0, L74 - K74),
      "")</f>
        <v>0</v>
      </c>
      <c r="N74" s="20">
        <f t="shared" ref="N74:N132" si="72">IF( $A75 &lt;&gt; "",
      MAX( K74, L74),
      "")</f>
        <v>207869.09472142954</v>
      </c>
      <c r="P74" s="106">
        <f t="shared" ref="P74:P105" si="73">IF( m &lt;&gt; "",
      IF( m &gt;= n,
          Rente,
          0),
       "")</f>
        <v>12000</v>
      </c>
      <c r="Q74" s="107">
        <f t="shared" ref="Q74:Q105" si="74">IF( m &lt;&gt; "", P74 + _xlfn.NUMBERVALUE( Q75) * v_PK * ( 1 - INDEX( qx_PK, $B74 + 1)), "")</f>
        <v>207955.02896062401</v>
      </c>
      <c r="R74" s="104">
        <f t="shared" ref="R74:R105" si="75">IF( m &lt;&gt; "", IF( m = 0, alpha_z_PK * Beitrag_PK * t, 0), "")</f>
        <v>0</v>
      </c>
      <c r="S74" s="104">
        <f t="shared" ref="S74:S105" si="76">IF( m &lt;&gt; "", R74 + _xlfn.NUMBERVALUE( S75) * v_PK * ( 1 - INDEX( qx_PK, $B74 + 1)), "")</f>
        <v>0</v>
      </c>
      <c r="T74" s="104">
        <f t="shared" ref="T74:T105" si="77">IF( m &lt;&gt; "",
      IF( m &lt; t,
          alpha_g_PK * Beitrag_PK,
          0),
      "")</f>
        <v>0</v>
      </c>
      <c r="U74" s="104">
        <f t="shared" ref="U74:U105" si="78">IF( m &lt;&gt; "", T74 + _xlfn.NUMBERVALUE( U75) * v_PK * ( 1 - INDEX( qx_PK, $B74 + 1)), "")</f>
        <v>0</v>
      </c>
      <c r="V74" s="110">
        <f t="shared" ref="V74:V105" si="79">IF( m &lt;&gt; "",
      IF( m &lt; t,
          beta_PK * Beitrag_PK,
          0),
      "")</f>
        <v>0</v>
      </c>
      <c r="W74" s="110">
        <f t="shared" ref="W74:W105" si="80">IF( m &lt;&gt; "", V74 + _xlfn.NUMBERVALUE( W75) * v_PK * ( 1 - INDEX( qx_PK, $B74 + 1)), "")</f>
        <v>0</v>
      </c>
      <c r="X74" s="110">
        <f t="shared" ref="X74:X105" si="81">IF( m &lt;&gt; "",
      IF( m &lt; t,
          gamma_1_PK * t * Beitrag_PK,
          0),
      "")</f>
        <v>0</v>
      </c>
      <c r="Y74" s="110">
        <f t="shared" ref="Y74:Y105" si="82">IF( m &lt;&gt; "", X74 + _xlfn.NUMBERVALUE( Y75) * v_PK * ( 1 - INDEX( qx_PK, $B74 + 1)), "")</f>
        <v>0</v>
      </c>
      <c r="Z74" s="110">
        <f t="shared" ref="Z74:Z105" si="83">IF( m &lt;&gt; "",
      IF( m &lt; t,
          0,
          IF( m &lt; n,
              gamma_3_PK * t * Beitrag_PK,
              0)),
      "")</f>
        <v>0</v>
      </c>
      <c r="AA74" s="110">
        <f t="shared" ref="AA74:AA105" si="84">IF( m &lt;&gt; "", Z74 + _xlfn.NUMBERVALUE( AA75) * v_PK * ( 1 - INDEX( qx_PK, $B74 + 1)), "")</f>
        <v>0</v>
      </c>
      <c r="AB74" s="110">
        <f t="shared" ref="AB74:AB105" si="85">IF( m &lt;&gt; "",
      IF( m &lt; n,
           0,
           gamma_2_PK * Rente),
      "")</f>
        <v>0</v>
      </c>
      <c r="AC74" s="110">
        <f t="shared" ref="AC74:AC105" si="86">IF( m &lt;&gt; "", AB74 + _xlfn.NUMBERVALUE( AC75) * v_PK * ( 1 - INDEX( qx_PK, $B74 + 1)), "")</f>
        <v>0</v>
      </c>
      <c r="AD74" s="112">
        <f t="shared" ref="AD74:AD105" si="87">IF( m &lt;&gt; "",
      IF( m &lt; t, -Beitrag_PK, 0),
      "")</f>
        <v>0</v>
      </c>
      <c r="AE74" s="113">
        <f t="shared" ref="AE74:AE105" si="88">IF( m &lt;&gt; "", AD74 + _xlfn.NUMBERVALUE( AE75) * v_PK * ( 1 - INDEX( qx_PK, $B74 + 1)), "")</f>
        <v>0</v>
      </c>
      <c r="AF74" s="116">
        <f t="shared" si="29"/>
        <v>207955.02896062401</v>
      </c>
    </row>
    <row r="75" spans="1:32" x14ac:dyDescent="0.35">
      <c r="A75" s="9">
        <f t="shared" si="63"/>
        <v>65</v>
      </c>
      <c r="B75" s="14">
        <f t="shared" si="64"/>
        <v>95</v>
      </c>
      <c r="C75" s="21">
        <f t="shared" si="65"/>
        <v>12000</v>
      </c>
      <c r="D75" s="10">
        <f t="shared" si="66"/>
        <v>0</v>
      </c>
      <c r="E75" s="10">
        <f t="shared" si="67"/>
        <v>0</v>
      </c>
      <c r="F75" s="20">
        <f t="shared" si="59"/>
        <v>199464.95932381059</v>
      </c>
      <c r="G75" s="21">
        <f t="shared" si="68"/>
        <v>12000</v>
      </c>
      <c r="H75" s="10">
        <f t="shared" si="69"/>
        <v>240</v>
      </c>
      <c r="I75" s="10">
        <f t="shared" si="70"/>
        <v>0</v>
      </c>
      <c r="J75" s="16">
        <f t="shared" si="60"/>
        <v>203454.25851028677</v>
      </c>
      <c r="K75" s="27">
        <f t="shared" si="61"/>
        <v>203454.25851028677</v>
      </c>
      <c r="L75" s="27">
        <f t="shared" si="62"/>
        <v>199464.95932381059</v>
      </c>
      <c r="M75" s="32">
        <f t="shared" si="71"/>
        <v>0</v>
      </c>
      <c r="N75" s="20">
        <f t="shared" si="72"/>
        <v>203454.25851028677</v>
      </c>
      <c r="P75" s="106">
        <f t="shared" si="73"/>
        <v>12000</v>
      </c>
      <c r="Q75" s="107">
        <f t="shared" si="74"/>
        <v>203793.23011904903</v>
      </c>
      <c r="R75" s="104">
        <f t="shared" si="75"/>
        <v>0</v>
      </c>
      <c r="S75" s="104">
        <f t="shared" si="76"/>
        <v>0</v>
      </c>
      <c r="T75" s="104">
        <f t="shared" si="77"/>
        <v>0</v>
      </c>
      <c r="U75" s="104">
        <f t="shared" si="78"/>
        <v>0</v>
      </c>
      <c r="V75" s="110">
        <f t="shared" si="79"/>
        <v>0</v>
      </c>
      <c r="W75" s="110">
        <f t="shared" si="80"/>
        <v>0</v>
      </c>
      <c r="X75" s="110">
        <f t="shared" si="81"/>
        <v>0</v>
      </c>
      <c r="Y75" s="110">
        <f t="shared" si="82"/>
        <v>0</v>
      </c>
      <c r="Z75" s="110">
        <f t="shared" si="83"/>
        <v>0</v>
      </c>
      <c r="AA75" s="110">
        <f t="shared" si="84"/>
        <v>0</v>
      </c>
      <c r="AB75" s="110">
        <f t="shared" si="85"/>
        <v>0</v>
      </c>
      <c r="AC75" s="110">
        <f t="shared" si="86"/>
        <v>0</v>
      </c>
      <c r="AD75" s="112">
        <f t="shared" si="87"/>
        <v>0</v>
      </c>
      <c r="AE75" s="113">
        <f t="shared" si="88"/>
        <v>0</v>
      </c>
      <c r="AF75" s="116">
        <f t="shared" ref="AF75:AF132" si="89">SUM(Q75,U75,W75,Y75,AA75,AC75,AE75)</f>
        <v>203793.23011904903</v>
      </c>
    </row>
    <row r="76" spans="1:32" x14ac:dyDescent="0.35">
      <c r="A76" s="9">
        <f t="shared" si="63"/>
        <v>66</v>
      </c>
      <c r="B76" s="14">
        <f t="shared" si="64"/>
        <v>96</v>
      </c>
      <c r="C76" s="21">
        <f t="shared" si="65"/>
        <v>12000</v>
      </c>
      <c r="D76" s="10">
        <f t="shared" si="66"/>
        <v>0</v>
      </c>
      <c r="E76" s="10">
        <f t="shared" si="67"/>
        <v>0</v>
      </c>
      <c r="F76" s="20">
        <f t="shared" si="59"/>
        <v>194963.55769676299</v>
      </c>
      <c r="G76" s="21">
        <f t="shared" si="68"/>
        <v>12000</v>
      </c>
      <c r="H76" s="10">
        <f t="shared" si="69"/>
        <v>240</v>
      </c>
      <c r="I76" s="10">
        <f t="shared" si="70"/>
        <v>0</v>
      </c>
      <c r="J76" s="16">
        <f t="shared" si="60"/>
        <v>198862.82885069825</v>
      </c>
      <c r="K76" s="27">
        <f t="shared" si="61"/>
        <v>198862.82885069825</v>
      </c>
      <c r="L76" s="27">
        <f t="shared" si="62"/>
        <v>194963.55769676299</v>
      </c>
      <c r="M76" s="32">
        <f t="shared" si="71"/>
        <v>0</v>
      </c>
      <c r="N76" s="20">
        <f t="shared" si="72"/>
        <v>198862.82885069825</v>
      </c>
      <c r="P76" s="106">
        <f t="shared" si="73"/>
        <v>12000</v>
      </c>
      <c r="Q76" s="107">
        <f t="shared" si="74"/>
        <v>199464.95932381056</v>
      </c>
      <c r="R76" s="104">
        <f t="shared" si="75"/>
        <v>0</v>
      </c>
      <c r="S76" s="104">
        <f t="shared" si="76"/>
        <v>0</v>
      </c>
      <c r="T76" s="104">
        <f t="shared" si="77"/>
        <v>0</v>
      </c>
      <c r="U76" s="104">
        <f t="shared" si="78"/>
        <v>0</v>
      </c>
      <c r="V76" s="110">
        <f t="shared" si="79"/>
        <v>0</v>
      </c>
      <c r="W76" s="110">
        <f t="shared" si="80"/>
        <v>0</v>
      </c>
      <c r="X76" s="110">
        <f t="shared" si="81"/>
        <v>0</v>
      </c>
      <c r="Y76" s="110">
        <f t="shared" si="82"/>
        <v>0</v>
      </c>
      <c r="Z76" s="110">
        <f t="shared" si="83"/>
        <v>0</v>
      </c>
      <c r="AA76" s="110">
        <f t="shared" si="84"/>
        <v>0</v>
      </c>
      <c r="AB76" s="110">
        <f t="shared" si="85"/>
        <v>0</v>
      </c>
      <c r="AC76" s="110">
        <f t="shared" si="86"/>
        <v>0</v>
      </c>
      <c r="AD76" s="112">
        <f t="shared" si="87"/>
        <v>0</v>
      </c>
      <c r="AE76" s="113">
        <f t="shared" si="88"/>
        <v>0</v>
      </c>
      <c r="AF76" s="116">
        <f t="shared" si="89"/>
        <v>199464.95932381056</v>
      </c>
    </row>
    <row r="77" spans="1:32" x14ac:dyDescent="0.35">
      <c r="A77" s="9">
        <f t="shared" si="63"/>
        <v>67</v>
      </c>
      <c r="B77" s="14">
        <f t="shared" si="64"/>
        <v>97</v>
      </c>
      <c r="C77" s="21">
        <f t="shared" si="65"/>
        <v>12000</v>
      </c>
      <c r="D77" s="10">
        <f t="shared" si="66"/>
        <v>0</v>
      </c>
      <c r="E77" s="10">
        <f t="shared" si="67"/>
        <v>0</v>
      </c>
      <c r="F77" s="20">
        <f t="shared" si="59"/>
        <v>190282.10000463351</v>
      </c>
      <c r="G77" s="21">
        <f t="shared" si="68"/>
        <v>12000</v>
      </c>
      <c r="H77" s="10">
        <f t="shared" si="69"/>
        <v>240</v>
      </c>
      <c r="I77" s="10">
        <f t="shared" si="70"/>
        <v>0</v>
      </c>
      <c r="J77" s="16">
        <f t="shared" si="60"/>
        <v>194087.74200472617</v>
      </c>
      <c r="K77" s="27">
        <f t="shared" si="61"/>
        <v>194087.74200472617</v>
      </c>
      <c r="L77" s="27">
        <f t="shared" si="62"/>
        <v>190282.10000463351</v>
      </c>
      <c r="M77" s="32">
        <f t="shared" si="71"/>
        <v>0</v>
      </c>
      <c r="N77" s="20">
        <f t="shared" si="72"/>
        <v>194087.74200472617</v>
      </c>
      <c r="P77" s="106">
        <f t="shared" si="73"/>
        <v>12000</v>
      </c>
      <c r="Q77" s="107">
        <f t="shared" si="74"/>
        <v>194963.55769676346</v>
      </c>
      <c r="R77" s="104">
        <f t="shared" si="75"/>
        <v>0</v>
      </c>
      <c r="S77" s="104">
        <f t="shared" si="76"/>
        <v>0</v>
      </c>
      <c r="T77" s="104">
        <f t="shared" si="77"/>
        <v>0</v>
      </c>
      <c r="U77" s="104">
        <f t="shared" si="78"/>
        <v>0</v>
      </c>
      <c r="V77" s="110">
        <f t="shared" si="79"/>
        <v>0</v>
      </c>
      <c r="W77" s="110">
        <f t="shared" si="80"/>
        <v>0</v>
      </c>
      <c r="X77" s="110">
        <f t="shared" si="81"/>
        <v>0</v>
      </c>
      <c r="Y77" s="110">
        <f t="shared" si="82"/>
        <v>0</v>
      </c>
      <c r="Z77" s="110">
        <f t="shared" si="83"/>
        <v>0</v>
      </c>
      <c r="AA77" s="110">
        <f t="shared" si="84"/>
        <v>0</v>
      </c>
      <c r="AB77" s="110">
        <f t="shared" si="85"/>
        <v>0</v>
      </c>
      <c r="AC77" s="110">
        <f t="shared" si="86"/>
        <v>0</v>
      </c>
      <c r="AD77" s="112">
        <f t="shared" si="87"/>
        <v>0</v>
      </c>
      <c r="AE77" s="113">
        <f t="shared" si="88"/>
        <v>0</v>
      </c>
      <c r="AF77" s="116">
        <f t="shared" si="89"/>
        <v>194963.55769676346</v>
      </c>
    </row>
    <row r="78" spans="1:32" x14ac:dyDescent="0.35">
      <c r="A78" s="9">
        <f t="shared" si="63"/>
        <v>68</v>
      </c>
      <c r="B78" s="14">
        <f t="shared" si="64"/>
        <v>98</v>
      </c>
      <c r="C78" s="21">
        <f t="shared" si="65"/>
        <v>12000</v>
      </c>
      <c r="D78" s="10">
        <f t="shared" si="66"/>
        <v>0</v>
      </c>
      <c r="E78" s="10">
        <f t="shared" si="67"/>
        <v>0</v>
      </c>
      <c r="F78" s="20">
        <f t="shared" si="59"/>
        <v>185413.38400481886</v>
      </c>
      <c r="G78" s="21">
        <f t="shared" si="68"/>
        <v>12000</v>
      </c>
      <c r="H78" s="10">
        <f t="shared" si="69"/>
        <v>240</v>
      </c>
      <c r="I78" s="10">
        <f t="shared" si="70"/>
        <v>0</v>
      </c>
      <c r="J78" s="16">
        <f t="shared" si="60"/>
        <v>189121.65168491524</v>
      </c>
      <c r="K78" s="27">
        <f t="shared" si="61"/>
        <v>189121.65168491524</v>
      </c>
      <c r="L78" s="27">
        <f t="shared" si="62"/>
        <v>185413.38400481886</v>
      </c>
      <c r="M78" s="32">
        <f t="shared" si="71"/>
        <v>0</v>
      </c>
      <c r="N78" s="20">
        <f t="shared" si="72"/>
        <v>189121.65168491524</v>
      </c>
      <c r="P78" s="106">
        <f t="shared" si="73"/>
        <v>12000</v>
      </c>
      <c r="Q78" s="107">
        <f t="shared" si="74"/>
        <v>190282.10000463363</v>
      </c>
      <c r="R78" s="104">
        <f t="shared" si="75"/>
        <v>0</v>
      </c>
      <c r="S78" s="104">
        <f t="shared" si="76"/>
        <v>0</v>
      </c>
      <c r="T78" s="104">
        <f t="shared" si="77"/>
        <v>0</v>
      </c>
      <c r="U78" s="104">
        <f t="shared" si="78"/>
        <v>0</v>
      </c>
      <c r="V78" s="110">
        <f t="shared" si="79"/>
        <v>0</v>
      </c>
      <c r="W78" s="110">
        <f t="shared" si="80"/>
        <v>0</v>
      </c>
      <c r="X78" s="110">
        <f t="shared" si="81"/>
        <v>0</v>
      </c>
      <c r="Y78" s="110">
        <f t="shared" si="82"/>
        <v>0</v>
      </c>
      <c r="Z78" s="110">
        <f t="shared" si="83"/>
        <v>0</v>
      </c>
      <c r="AA78" s="110">
        <f t="shared" si="84"/>
        <v>0</v>
      </c>
      <c r="AB78" s="110">
        <f t="shared" si="85"/>
        <v>0</v>
      </c>
      <c r="AC78" s="110">
        <f t="shared" si="86"/>
        <v>0</v>
      </c>
      <c r="AD78" s="112">
        <f t="shared" si="87"/>
        <v>0</v>
      </c>
      <c r="AE78" s="113">
        <f t="shared" si="88"/>
        <v>0</v>
      </c>
      <c r="AF78" s="116">
        <f t="shared" si="89"/>
        <v>190282.10000463363</v>
      </c>
    </row>
    <row r="79" spans="1:32" x14ac:dyDescent="0.35">
      <c r="A79" s="9">
        <f t="shared" si="63"/>
        <v>69</v>
      </c>
      <c r="B79" s="14">
        <f t="shared" si="64"/>
        <v>99</v>
      </c>
      <c r="C79" s="21">
        <f t="shared" si="65"/>
        <v>12000</v>
      </c>
      <c r="D79" s="10">
        <f t="shared" si="66"/>
        <v>0</v>
      </c>
      <c r="E79" s="10">
        <f t="shared" si="67"/>
        <v>0</v>
      </c>
      <c r="F79" s="20">
        <f t="shared" si="59"/>
        <v>180349.91936501162</v>
      </c>
      <c r="G79" s="21">
        <f t="shared" si="68"/>
        <v>12000</v>
      </c>
      <c r="H79" s="10">
        <f t="shared" si="69"/>
        <v>240</v>
      </c>
      <c r="I79" s="10">
        <f t="shared" si="70"/>
        <v>0</v>
      </c>
      <c r="J79" s="16">
        <f t="shared" si="60"/>
        <v>183956.91775231186</v>
      </c>
      <c r="K79" s="27">
        <f t="shared" si="61"/>
        <v>183956.91775231186</v>
      </c>
      <c r="L79" s="27">
        <f t="shared" si="62"/>
        <v>180349.91936501162</v>
      </c>
      <c r="M79" s="32">
        <f t="shared" si="71"/>
        <v>0</v>
      </c>
      <c r="N79" s="20">
        <f t="shared" si="72"/>
        <v>183956.91775231186</v>
      </c>
      <c r="P79" s="106">
        <f t="shared" si="73"/>
        <v>12000</v>
      </c>
      <c r="Q79" s="107">
        <f t="shared" si="74"/>
        <v>185413.38400481921</v>
      </c>
      <c r="R79" s="104">
        <f t="shared" si="75"/>
        <v>0</v>
      </c>
      <c r="S79" s="104">
        <f t="shared" si="76"/>
        <v>0</v>
      </c>
      <c r="T79" s="104">
        <f t="shared" si="77"/>
        <v>0</v>
      </c>
      <c r="U79" s="104">
        <f t="shared" si="78"/>
        <v>0</v>
      </c>
      <c r="V79" s="110">
        <f t="shared" si="79"/>
        <v>0</v>
      </c>
      <c r="W79" s="110">
        <f t="shared" si="80"/>
        <v>0</v>
      </c>
      <c r="X79" s="110">
        <f t="shared" si="81"/>
        <v>0</v>
      </c>
      <c r="Y79" s="110">
        <f t="shared" si="82"/>
        <v>0</v>
      </c>
      <c r="Z79" s="110">
        <f t="shared" si="83"/>
        <v>0</v>
      </c>
      <c r="AA79" s="110">
        <f t="shared" si="84"/>
        <v>0</v>
      </c>
      <c r="AB79" s="110">
        <f t="shared" si="85"/>
        <v>0</v>
      </c>
      <c r="AC79" s="110">
        <f t="shared" si="86"/>
        <v>0</v>
      </c>
      <c r="AD79" s="112">
        <f t="shared" si="87"/>
        <v>0</v>
      </c>
      <c r="AE79" s="113">
        <f t="shared" si="88"/>
        <v>0</v>
      </c>
      <c r="AF79" s="116">
        <f t="shared" si="89"/>
        <v>185413.38400481921</v>
      </c>
    </row>
    <row r="80" spans="1:32" x14ac:dyDescent="0.35">
      <c r="A80" s="9">
        <f t="shared" si="63"/>
        <v>70</v>
      </c>
      <c r="B80" s="14">
        <f t="shared" si="64"/>
        <v>100</v>
      </c>
      <c r="C80" s="21">
        <f t="shared" si="65"/>
        <v>12000</v>
      </c>
      <c r="D80" s="10">
        <f t="shared" si="66"/>
        <v>0</v>
      </c>
      <c r="E80" s="10">
        <f t="shared" si="67"/>
        <v>0</v>
      </c>
      <c r="F80" s="20">
        <f t="shared" si="59"/>
        <v>175083.91613961212</v>
      </c>
      <c r="G80" s="21">
        <f t="shared" si="68"/>
        <v>12000</v>
      </c>
      <c r="H80" s="10">
        <f t="shared" si="69"/>
        <v>240</v>
      </c>
      <c r="I80" s="10">
        <f t="shared" si="70"/>
        <v>0</v>
      </c>
      <c r="J80" s="16">
        <f t="shared" si="60"/>
        <v>178585.59446240438</v>
      </c>
      <c r="K80" s="27">
        <f t="shared" si="61"/>
        <v>178585.59446240438</v>
      </c>
      <c r="L80" s="27">
        <f t="shared" si="62"/>
        <v>175083.91613961212</v>
      </c>
      <c r="M80" s="32">
        <f t="shared" si="71"/>
        <v>0</v>
      </c>
      <c r="N80" s="20">
        <f t="shared" si="72"/>
        <v>178585.59446240438</v>
      </c>
      <c r="P80" s="106">
        <f t="shared" si="73"/>
        <v>12000</v>
      </c>
      <c r="Q80" s="107">
        <f t="shared" si="74"/>
        <v>180349.91936501153</v>
      </c>
      <c r="R80" s="104">
        <f t="shared" si="75"/>
        <v>0</v>
      </c>
      <c r="S80" s="104">
        <f t="shared" si="76"/>
        <v>0</v>
      </c>
      <c r="T80" s="104">
        <f t="shared" si="77"/>
        <v>0</v>
      </c>
      <c r="U80" s="104">
        <f t="shared" si="78"/>
        <v>0</v>
      </c>
      <c r="V80" s="110">
        <f t="shared" si="79"/>
        <v>0</v>
      </c>
      <c r="W80" s="110">
        <f t="shared" si="80"/>
        <v>0</v>
      </c>
      <c r="X80" s="110">
        <f t="shared" si="81"/>
        <v>0</v>
      </c>
      <c r="Y80" s="110">
        <f t="shared" si="82"/>
        <v>0</v>
      </c>
      <c r="Z80" s="110">
        <f t="shared" si="83"/>
        <v>0</v>
      </c>
      <c r="AA80" s="110">
        <f t="shared" si="84"/>
        <v>0</v>
      </c>
      <c r="AB80" s="110">
        <f t="shared" si="85"/>
        <v>0</v>
      </c>
      <c r="AC80" s="110">
        <f t="shared" si="86"/>
        <v>0</v>
      </c>
      <c r="AD80" s="112">
        <f t="shared" si="87"/>
        <v>0</v>
      </c>
      <c r="AE80" s="113">
        <f t="shared" si="88"/>
        <v>0</v>
      </c>
      <c r="AF80" s="116">
        <f t="shared" si="89"/>
        <v>180349.91936501153</v>
      </c>
    </row>
    <row r="81" spans="1:32" x14ac:dyDescent="0.35">
      <c r="A81" s="9">
        <f t="shared" si="63"/>
        <v>71</v>
      </c>
      <c r="B81" s="14">
        <f t="shared" si="64"/>
        <v>101</v>
      </c>
      <c r="C81" s="21">
        <f t="shared" si="65"/>
        <v>12000</v>
      </c>
      <c r="D81" s="10">
        <f t="shared" si="66"/>
        <v>0</v>
      </c>
      <c r="E81" s="10">
        <f t="shared" si="67"/>
        <v>0</v>
      </c>
      <c r="F81" s="20">
        <f t="shared" si="59"/>
        <v>169607.2727851966</v>
      </c>
      <c r="G81" s="21">
        <f t="shared" si="68"/>
        <v>12000</v>
      </c>
      <c r="H81" s="10">
        <f t="shared" si="69"/>
        <v>240</v>
      </c>
      <c r="I81" s="10">
        <f t="shared" si="70"/>
        <v>0</v>
      </c>
      <c r="J81" s="16">
        <f t="shared" si="60"/>
        <v>172999.41824090053</v>
      </c>
      <c r="K81" s="27">
        <f t="shared" si="61"/>
        <v>172999.41824090053</v>
      </c>
      <c r="L81" s="27">
        <f t="shared" si="62"/>
        <v>169607.2727851966</v>
      </c>
      <c r="M81" s="32">
        <f t="shared" si="71"/>
        <v>0</v>
      </c>
      <c r="N81" s="20">
        <f t="shared" si="72"/>
        <v>172999.41824090053</v>
      </c>
      <c r="P81" s="106">
        <f t="shared" si="73"/>
        <v>12000</v>
      </c>
      <c r="Q81" s="107">
        <f t="shared" si="74"/>
        <v>175083.9161396125</v>
      </c>
      <c r="R81" s="104">
        <f t="shared" si="75"/>
        <v>0</v>
      </c>
      <c r="S81" s="104">
        <f t="shared" si="76"/>
        <v>0</v>
      </c>
      <c r="T81" s="104">
        <f t="shared" si="77"/>
        <v>0</v>
      </c>
      <c r="U81" s="104">
        <f t="shared" si="78"/>
        <v>0</v>
      </c>
      <c r="V81" s="110">
        <f t="shared" si="79"/>
        <v>0</v>
      </c>
      <c r="W81" s="110">
        <f t="shared" si="80"/>
        <v>0</v>
      </c>
      <c r="X81" s="110">
        <f t="shared" si="81"/>
        <v>0</v>
      </c>
      <c r="Y81" s="110">
        <f t="shared" si="82"/>
        <v>0</v>
      </c>
      <c r="Z81" s="110">
        <f t="shared" si="83"/>
        <v>0</v>
      </c>
      <c r="AA81" s="110">
        <f t="shared" si="84"/>
        <v>0</v>
      </c>
      <c r="AB81" s="110">
        <f t="shared" si="85"/>
        <v>0</v>
      </c>
      <c r="AC81" s="110">
        <f t="shared" si="86"/>
        <v>0</v>
      </c>
      <c r="AD81" s="112">
        <f t="shared" si="87"/>
        <v>0</v>
      </c>
      <c r="AE81" s="113">
        <f t="shared" si="88"/>
        <v>0</v>
      </c>
      <c r="AF81" s="116">
        <f t="shared" si="89"/>
        <v>175083.9161396125</v>
      </c>
    </row>
    <row r="82" spans="1:32" x14ac:dyDescent="0.35">
      <c r="A82" s="9">
        <f t="shared" si="63"/>
        <v>72</v>
      </c>
      <c r="B82" s="14">
        <f t="shared" si="64"/>
        <v>102</v>
      </c>
      <c r="C82" s="21">
        <f t="shared" si="65"/>
        <v>12000</v>
      </c>
      <c r="D82" s="10">
        <f t="shared" si="66"/>
        <v>0</v>
      </c>
      <c r="E82" s="10">
        <f t="shared" si="67"/>
        <v>0</v>
      </c>
      <c r="F82" s="20">
        <f t="shared" si="59"/>
        <v>163911.56369660445</v>
      </c>
      <c r="G82" s="21">
        <f t="shared" si="68"/>
        <v>12000</v>
      </c>
      <c r="H82" s="10">
        <f t="shared" si="69"/>
        <v>240</v>
      </c>
      <c r="I82" s="10">
        <f t="shared" si="70"/>
        <v>0</v>
      </c>
      <c r="J82" s="16">
        <f t="shared" si="60"/>
        <v>167189.79497053655</v>
      </c>
      <c r="K82" s="27">
        <f t="shared" si="61"/>
        <v>167189.79497053655</v>
      </c>
      <c r="L82" s="27">
        <f t="shared" si="62"/>
        <v>163911.56369660445</v>
      </c>
      <c r="M82" s="32">
        <f t="shared" si="71"/>
        <v>0</v>
      </c>
      <c r="N82" s="20">
        <f t="shared" si="72"/>
        <v>167189.79497053655</v>
      </c>
      <c r="P82" s="106">
        <f t="shared" si="73"/>
        <v>12000</v>
      </c>
      <c r="Q82" s="107">
        <f t="shared" si="74"/>
        <v>169607.2727851971</v>
      </c>
      <c r="R82" s="104">
        <f t="shared" si="75"/>
        <v>0</v>
      </c>
      <c r="S82" s="104">
        <f t="shared" si="76"/>
        <v>0</v>
      </c>
      <c r="T82" s="104">
        <f t="shared" si="77"/>
        <v>0</v>
      </c>
      <c r="U82" s="104">
        <f t="shared" si="78"/>
        <v>0</v>
      </c>
      <c r="V82" s="110">
        <f t="shared" si="79"/>
        <v>0</v>
      </c>
      <c r="W82" s="110">
        <f t="shared" si="80"/>
        <v>0</v>
      </c>
      <c r="X82" s="110">
        <f t="shared" si="81"/>
        <v>0</v>
      </c>
      <c r="Y82" s="110">
        <f t="shared" si="82"/>
        <v>0</v>
      </c>
      <c r="Z82" s="110">
        <f t="shared" si="83"/>
        <v>0</v>
      </c>
      <c r="AA82" s="110">
        <f t="shared" si="84"/>
        <v>0</v>
      </c>
      <c r="AB82" s="110">
        <f t="shared" si="85"/>
        <v>0</v>
      </c>
      <c r="AC82" s="110">
        <f t="shared" si="86"/>
        <v>0</v>
      </c>
      <c r="AD82" s="112">
        <f t="shared" si="87"/>
        <v>0</v>
      </c>
      <c r="AE82" s="113">
        <f t="shared" si="88"/>
        <v>0</v>
      </c>
      <c r="AF82" s="116">
        <f t="shared" si="89"/>
        <v>169607.2727851971</v>
      </c>
    </row>
    <row r="83" spans="1:32" x14ac:dyDescent="0.35">
      <c r="A83" s="9">
        <f t="shared" si="63"/>
        <v>73</v>
      </c>
      <c r="B83" s="14">
        <f t="shared" si="64"/>
        <v>103</v>
      </c>
      <c r="C83" s="21">
        <f t="shared" si="65"/>
        <v>12000</v>
      </c>
      <c r="D83" s="10">
        <f t="shared" si="66"/>
        <v>0</v>
      </c>
      <c r="E83" s="10">
        <f t="shared" si="67"/>
        <v>0</v>
      </c>
      <c r="F83" s="20">
        <f t="shared" si="59"/>
        <v>157988.0262444687</v>
      </c>
      <c r="G83" s="21">
        <f t="shared" si="68"/>
        <v>12000</v>
      </c>
      <c r="H83" s="10">
        <f t="shared" si="69"/>
        <v>240</v>
      </c>
      <c r="I83" s="10">
        <f t="shared" si="70"/>
        <v>0</v>
      </c>
      <c r="J83" s="16">
        <f t="shared" si="60"/>
        <v>161147.78676935806</v>
      </c>
      <c r="K83" s="27">
        <f t="shared" si="61"/>
        <v>161147.78676935806</v>
      </c>
      <c r="L83" s="27">
        <f t="shared" si="62"/>
        <v>157988.0262444687</v>
      </c>
      <c r="M83" s="32">
        <f t="shared" si="71"/>
        <v>0</v>
      </c>
      <c r="N83" s="20">
        <f t="shared" si="72"/>
        <v>161147.78676935806</v>
      </c>
      <c r="P83" s="106">
        <f t="shared" si="73"/>
        <v>12000</v>
      </c>
      <c r="Q83" s="107">
        <f t="shared" si="74"/>
        <v>163911.56369660478</v>
      </c>
      <c r="R83" s="104">
        <f t="shared" si="75"/>
        <v>0</v>
      </c>
      <c r="S83" s="104">
        <f t="shared" si="76"/>
        <v>0</v>
      </c>
      <c r="T83" s="104">
        <f t="shared" si="77"/>
        <v>0</v>
      </c>
      <c r="U83" s="104">
        <f t="shared" si="78"/>
        <v>0</v>
      </c>
      <c r="V83" s="110">
        <f t="shared" si="79"/>
        <v>0</v>
      </c>
      <c r="W83" s="110">
        <f t="shared" si="80"/>
        <v>0</v>
      </c>
      <c r="X83" s="110">
        <f t="shared" si="81"/>
        <v>0</v>
      </c>
      <c r="Y83" s="110">
        <f t="shared" si="82"/>
        <v>0</v>
      </c>
      <c r="Z83" s="110">
        <f t="shared" si="83"/>
        <v>0</v>
      </c>
      <c r="AA83" s="110">
        <f t="shared" si="84"/>
        <v>0</v>
      </c>
      <c r="AB83" s="110">
        <f t="shared" si="85"/>
        <v>0</v>
      </c>
      <c r="AC83" s="110">
        <f t="shared" si="86"/>
        <v>0</v>
      </c>
      <c r="AD83" s="112">
        <f t="shared" si="87"/>
        <v>0</v>
      </c>
      <c r="AE83" s="113">
        <f t="shared" si="88"/>
        <v>0</v>
      </c>
      <c r="AF83" s="116">
        <f t="shared" si="89"/>
        <v>163911.56369660478</v>
      </c>
    </row>
    <row r="84" spans="1:32" x14ac:dyDescent="0.35">
      <c r="A84" s="9">
        <f t="shared" si="63"/>
        <v>74</v>
      </c>
      <c r="B84" s="14">
        <f t="shared" si="64"/>
        <v>104</v>
      </c>
      <c r="C84" s="21">
        <f t="shared" si="65"/>
        <v>12000</v>
      </c>
      <c r="D84" s="10">
        <f t="shared" si="66"/>
        <v>0</v>
      </c>
      <c r="E84" s="10">
        <f t="shared" si="67"/>
        <v>0</v>
      </c>
      <c r="F84" s="20">
        <f t="shared" si="59"/>
        <v>151827.5472942474</v>
      </c>
      <c r="G84" s="21">
        <f t="shared" si="68"/>
        <v>12000</v>
      </c>
      <c r="H84" s="10">
        <f t="shared" si="69"/>
        <v>240</v>
      </c>
      <c r="I84" s="10">
        <f t="shared" si="70"/>
        <v>0</v>
      </c>
      <c r="J84" s="16">
        <f t="shared" si="60"/>
        <v>154864.09824013236</v>
      </c>
      <c r="K84" s="27">
        <f t="shared" si="61"/>
        <v>154864.09824013236</v>
      </c>
      <c r="L84" s="27">
        <f t="shared" si="62"/>
        <v>151827.5472942474</v>
      </c>
      <c r="M84" s="32">
        <f t="shared" si="71"/>
        <v>0</v>
      </c>
      <c r="N84" s="20">
        <f t="shared" si="72"/>
        <v>154864.09824013236</v>
      </c>
      <c r="P84" s="106">
        <f t="shared" si="73"/>
        <v>12000</v>
      </c>
      <c r="Q84" s="107">
        <f t="shared" si="74"/>
        <v>157988.02624446922</v>
      </c>
      <c r="R84" s="104">
        <f t="shared" si="75"/>
        <v>0</v>
      </c>
      <c r="S84" s="104">
        <f t="shared" si="76"/>
        <v>0</v>
      </c>
      <c r="T84" s="104">
        <f t="shared" si="77"/>
        <v>0</v>
      </c>
      <c r="U84" s="104">
        <f t="shared" si="78"/>
        <v>0</v>
      </c>
      <c r="V84" s="110">
        <f t="shared" si="79"/>
        <v>0</v>
      </c>
      <c r="W84" s="110">
        <f t="shared" si="80"/>
        <v>0</v>
      </c>
      <c r="X84" s="110">
        <f t="shared" si="81"/>
        <v>0</v>
      </c>
      <c r="Y84" s="110">
        <f t="shared" si="82"/>
        <v>0</v>
      </c>
      <c r="Z84" s="110">
        <f t="shared" si="83"/>
        <v>0</v>
      </c>
      <c r="AA84" s="110">
        <f t="shared" si="84"/>
        <v>0</v>
      </c>
      <c r="AB84" s="110">
        <f t="shared" si="85"/>
        <v>0</v>
      </c>
      <c r="AC84" s="110">
        <f t="shared" si="86"/>
        <v>0</v>
      </c>
      <c r="AD84" s="112">
        <f t="shared" si="87"/>
        <v>0</v>
      </c>
      <c r="AE84" s="113">
        <f t="shared" si="88"/>
        <v>0</v>
      </c>
      <c r="AF84" s="116">
        <f t="shared" si="89"/>
        <v>157988.02624446922</v>
      </c>
    </row>
    <row r="85" spans="1:32" x14ac:dyDescent="0.35">
      <c r="A85" s="9">
        <f t="shared" si="63"/>
        <v>75</v>
      </c>
      <c r="B85" s="14">
        <f t="shared" si="64"/>
        <v>105</v>
      </c>
      <c r="C85" s="21">
        <f t="shared" si="65"/>
        <v>12000</v>
      </c>
      <c r="D85" s="10">
        <f t="shared" si="66"/>
        <v>0</v>
      </c>
      <c r="E85" s="10">
        <f t="shared" si="67"/>
        <v>0</v>
      </c>
      <c r="F85" s="20">
        <f t="shared" si="59"/>
        <v>145420.64918601737</v>
      </c>
      <c r="G85" s="21">
        <f t="shared" si="68"/>
        <v>12000</v>
      </c>
      <c r="H85" s="10">
        <f t="shared" si="69"/>
        <v>240</v>
      </c>
      <c r="I85" s="10">
        <f t="shared" si="70"/>
        <v>0</v>
      </c>
      <c r="J85" s="16">
        <f t="shared" si="60"/>
        <v>148329.06216973774</v>
      </c>
      <c r="K85" s="27">
        <f t="shared" si="61"/>
        <v>148329.06216973774</v>
      </c>
      <c r="L85" s="27">
        <f t="shared" si="62"/>
        <v>145420.64918601737</v>
      </c>
      <c r="M85" s="32">
        <f t="shared" si="71"/>
        <v>0</v>
      </c>
      <c r="N85" s="20">
        <f t="shared" si="72"/>
        <v>148329.06216973774</v>
      </c>
      <c r="P85" s="106">
        <f t="shared" si="73"/>
        <v>12000</v>
      </c>
      <c r="Q85" s="107">
        <f t="shared" si="74"/>
        <v>151827.54729424807</v>
      </c>
      <c r="R85" s="104">
        <f t="shared" si="75"/>
        <v>0</v>
      </c>
      <c r="S85" s="104">
        <f t="shared" si="76"/>
        <v>0</v>
      </c>
      <c r="T85" s="104">
        <f t="shared" si="77"/>
        <v>0</v>
      </c>
      <c r="U85" s="104">
        <f t="shared" si="78"/>
        <v>0</v>
      </c>
      <c r="V85" s="110">
        <f t="shared" si="79"/>
        <v>0</v>
      </c>
      <c r="W85" s="110">
        <f t="shared" si="80"/>
        <v>0</v>
      </c>
      <c r="X85" s="110">
        <f t="shared" si="81"/>
        <v>0</v>
      </c>
      <c r="Y85" s="110">
        <f t="shared" si="82"/>
        <v>0</v>
      </c>
      <c r="Z85" s="110">
        <f t="shared" si="83"/>
        <v>0</v>
      </c>
      <c r="AA85" s="110">
        <f t="shared" si="84"/>
        <v>0</v>
      </c>
      <c r="AB85" s="110">
        <f t="shared" si="85"/>
        <v>0</v>
      </c>
      <c r="AC85" s="110">
        <f t="shared" si="86"/>
        <v>0</v>
      </c>
      <c r="AD85" s="112">
        <f t="shared" si="87"/>
        <v>0</v>
      </c>
      <c r="AE85" s="113">
        <f t="shared" si="88"/>
        <v>0</v>
      </c>
      <c r="AF85" s="116">
        <f t="shared" si="89"/>
        <v>151827.54729424807</v>
      </c>
    </row>
    <row r="86" spans="1:32" x14ac:dyDescent="0.35">
      <c r="A86" s="9">
        <f t="shared" si="63"/>
        <v>76</v>
      </c>
      <c r="B86" s="14">
        <f t="shared" si="64"/>
        <v>106</v>
      </c>
      <c r="C86" s="21">
        <f t="shared" si="65"/>
        <v>12000</v>
      </c>
      <c r="D86" s="10">
        <f t="shared" si="66"/>
        <v>0</v>
      </c>
      <c r="E86" s="10">
        <f t="shared" si="67"/>
        <v>0</v>
      </c>
      <c r="F86" s="20">
        <f t="shared" si="59"/>
        <v>138757.47515345807</v>
      </c>
      <c r="G86" s="21">
        <f t="shared" si="68"/>
        <v>12000</v>
      </c>
      <c r="H86" s="10">
        <f t="shared" si="69"/>
        <v>240</v>
      </c>
      <c r="I86" s="10">
        <f t="shared" si="70"/>
        <v>0</v>
      </c>
      <c r="J86" s="16">
        <f t="shared" si="60"/>
        <v>141532.62465652724</v>
      </c>
      <c r="K86" s="27">
        <f t="shared" si="61"/>
        <v>141532.62465652724</v>
      </c>
      <c r="L86" s="27">
        <f t="shared" si="62"/>
        <v>138757.47515345807</v>
      </c>
      <c r="M86" s="32">
        <f t="shared" si="71"/>
        <v>0</v>
      </c>
      <c r="N86" s="20">
        <f t="shared" si="72"/>
        <v>141532.62465652724</v>
      </c>
      <c r="P86" s="106">
        <f t="shared" si="73"/>
        <v>12000</v>
      </c>
      <c r="Q86" s="107">
        <f t="shared" si="74"/>
        <v>145420.64918601827</v>
      </c>
      <c r="R86" s="104">
        <f t="shared" si="75"/>
        <v>0</v>
      </c>
      <c r="S86" s="104">
        <f t="shared" si="76"/>
        <v>0</v>
      </c>
      <c r="T86" s="104">
        <f t="shared" si="77"/>
        <v>0</v>
      </c>
      <c r="U86" s="104">
        <f t="shared" si="78"/>
        <v>0</v>
      </c>
      <c r="V86" s="110">
        <f t="shared" si="79"/>
        <v>0</v>
      </c>
      <c r="W86" s="110">
        <f t="shared" si="80"/>
        <v>0</v>
      </c>
      <c r="X86" s="110">
        <f t="shared" si="81"/>
        <v>0</v>
      </c>
      <c r="Y86" s="110">
        <f t="shared" si="82"/>
        <v>0</v>
      </c>
      <c r="Z86" s="110">
        <f t="shared" si="83"/>
        <v>0</v>
      </c>
      <c r="AA86" s="110">
        <f t="shared" si="84"/>
        <v>0</v>
      </c>
      <c r="AB86" s="110">
        <f t="shared" si="85"/>
        <v>0</v>
      </c>
      <c r="AC86" s="110">
        <f t="shared" si="86"/>
        <v>0</v>
      </c>
      <c r="AD86" s="112">
        <f t="shared" si="87"/>
        <v>0</v>
      </c>
      <c r="AE86" s="113">
        <f t="shared" si="88"/>
        <v>0</v>
      </c>
      <c r="AF86" s="116">
        <f t="shared" si="89"/>
        <v>145420.64918601827</v>
      </c>
    </row>
    <row r="87" spans="1:32" x14ac:dyDescent="0.35">
      <c r="A87" s="9">
        <f t="shared" si="63"/>
        <v>77</v>
      </c>
      <c r="B87" s="14">
        <f t="shared" si="64"/>
        <v>107</v>
      </c>
      <c r="C87" s="21">
        <f t="shared" si="65"/>
        <v>12000</v>
      </c>
      <c r="D87" s="10">
        <f t="shared" si="66"/>
        <v>0</v>
      </c>
      <c r="E87" s="10">
        <f t="shared" si="67"/>
        <v>0</v>
      </c>
      <c r="F87" s="20">
        <f t="shared" si="59"/>
        <v>131827.77415959639</v>
      </c>
      <c r="G87" s="21">
        <f t="shared" si="68"/>
        <v>12000</v>
      </c>
      <c r="H87" s="10">
        <f t="shared" si="69"/>
        <v>240</v>
      </c>
      <c r="I87" s="10">
        <f t="shared" si="70"/>
        <v>0</v>
      </c>
      <c r="J87" s="16">
        <f t="shared" si="60"/>
        <v>134464.3296427883</v>
      </c>
      <c r="K87" s="27">
        <f t="shared" si="61"/>
        <v>134464.3296427883</v>
      </c>
      <c r="L87" s="27">
        <f t="shared" si="62"/>
        <v>131827.77415959639</v>
      </c>
      <c r="M87" s="32">
        <f t="shared" si="71"/>
        <v>0</v>
      </c>
      <c r="N87" s="20">
        <f t="shared" si="72"/>
        <v>134464.3296427883</v>
      </c>
      <c r="P87" s="106">
        <f t="shared" si="73"/>
        <v>12000</v>
      </c>
      <c r="Q87" s="107">
        <f t="shared" si="74"/>
        <v>138757.47515345865</v>
      </c>
      <c r="R87" s="104">
        <f t="shared" si="75"/>
        <v>0</v>
      </c>
      <c r="S87" s="104">
        <f t="shared" si="76"/>
        <v>0</v>
      </c>
      <c r="T87" s="104">
        <f t="shared" si="77"/>
        <v>0</v>
      </c>
      <c r="U87" s="104">
        <f t="shared" si="78"/>
        <v>0</v>
      </c>
      <c r="V87" s="110">
        <f t="shared" si="79"/>
        <v>0</v>
      </c>
      <c r="W87" s="110">
        <f t="shared" si="80"/>
        <v>0</v>
      </c>
      <c r="X87" s="110">
        <f t="shared" si="81"/>
        <v>0</v>
      </c>
      <c r="Y87" s="110">
        <f t="shared" si="82"/>
        <v>0</v>
      </c>
      <c r="Z87" s="110">
        <f t="shared" si="83"/>
        <v>0</v>
      </c>
      <c r="AA87" s="110">
        <f t="shared" si="84"/>
        <v>0</v>
      </c>
      <c r="AB87" s="110">
        <f t="shared" si="85"/>
        <v>0</v>
      </c>
      <c r="AC87" s="110">
        <f t="shared" si="86"/>
        <v>0</v>
      </c>
      <c r="AD87" s="112">
        <f t="shared" si="87"/>
        <v>0</v>
      </c>
      <c r="AE87" s="113">
        <f t="shared" si="88"/>
        <v>0</v>
      </c>
      <c r="AF87" s="116">
        <f t="shared" si="89"/>
        <v>138757.47515345865</v>
      </c>
    </row>
    <row r="88" spans="1:32" x14ac:dyDescent="0.35">
      <c r="A88" s="9">
        <f t="shared" si="63"/>
        <v>78</v>
      </c>
      <c r="B88" s="14">
        <f t="shared" si="64"/>
        <v>108</v>
      </c>
      <c r="C88" s="21">
        <f t="shared" si="65"/>
        <v>12000</v>
      </c>
      <c r="D88" s="10">
        <f t="shared" si="66"/>
        <v>0</v>
      </c>
      <c r="E88" s="10">
        <f t="shared" si="67"/>
        <v>0</v>
      </c>
      <c r="F88" s="20">
        <f t="shared" si="59"/>
        <v>124620.88512598028</v>
      </c>
      <c r="G88" s="21">
        <f t="shared" si="68"/>
        <v>12000</v>
      </c>
      <c r="H88" s="10">
        <f t="shared" si="69"/>
        <v>240</v>
      </c>
      <c r="I88" s="10">
        <f t="shared" si="70"/>
        <v>0</v>
      </c>
      <c r="J88" s="16">
        <f t="shared" si="60"/>
        <v>127113.30282849987</v>
      </c>
      <c r="K88" s="27">
        <f t="shared" si="61"/>
        <v>127113.30282849987</v>
      </c>
      <c r="L88" s="27">
        <f t="shared" si="62"/>
        <v>124620.88512598028</v>
      </c>
      <c r="M88" s="32">
        <f t="shared" si="71"/>
        <v>0</v>
      </c>
      <c r="N88" s="20">
        <f t="shared" si="72"/>
        <v>127113.30282849987</v>
      </c>
      <c r="P88" s="106">
        <f t="shared" si="73"/>
        <v>12000</v>
      </c>
      <c r="Q88" s="107">
        <f t="shared" si="74"/>
        <v>131827.77415959712</v>
      </c>
      <c r="R88" s="104">
        <f t="shared" si="75"/>
        <v>0</v>
      </c>
      <c r="S88" s="104">
        <f t="shared" si="76"/>
        <v>0</v>
      </c>
      <c r="T88" s="104">
        <f t="shared" si="77"/>
        <v>0</v>
      </c>
      <c r="U88" s="104">
        <f t="shared" si="78"/>
        <v>0</v>
      </c>
      <c r="V88" s="110">
        <f t="shared" si="79"/>
        <v>0</v>
      </c>
      <c r="W88" s="110">
        <f t="shared" si="80"/>
        <v>0</v>
      </c>
      <c r="X88" s="110">
        <f t="shared" si="81"/>
        <v>0</v>
      </c>
      <c r="Y88" s="110">
        <f t="shared" si="82"/>
        <v>0</v>
      </c>
      <c r="Z88" s="110">
        <f t="shared" si="83"/>
        <v>0</v>
      </c>
      <c r="AA88" s="110">
        <f t="shared" si="84"/>
        <v>0</v>
      </c>
      <c r="AB88" s="110">
        <f t="shared" si="85"/>
        <v>0</v>
      </c>
      <c r="AC88" s="110">
        <f t="shared" si="86"/>
        <v>0</v>
      </c>
      <c r="AD88" s="112">
        <f t="shared" si="87"/>
        <v>0</v>
      </c>
      <c r="AE88" s="113">
        <f t="shared" si="88"/>
        <v>0</v>
      </c>
      <c r="AF88" s="116">
        <f t="shared" si="89"/>
        <v>131827.77415959712</v>
      </c>
    </row>
    <row r="89" spans="1:32" x14ac:dyDescent="0.35">
      <c r="A89" s="9">
        <f t="shared" si="63"/>
        <v>79</v>
      </c>
      <c r="B89" s="14">
        <f t="shared" si="64"/>
        <v>109</v>
      </c>
      <c r="C89" s="21">
        <f t="shared" si="65"/>
        <v>12000</v>
      </c>
      <c r="D89" s="10">
        <f t="shared" si="66"/>
        <v>0</v>
      </c>
      <c r="E89" s="10">
        <f t="shared" si="67"/>
        <v>0</v>
      </c>
      <c r="F89" s="20">
        <f t="shared" si="59"/>
        <v>117125.72053101953</v>
      </c>
      <c r="G89" s="21">
        <f t="shared" si="68"/>
        <v>12000</v>
      </c>
      <c r="H89" s="10">
        <f t="shared" si="69"/>
        <v>240</v>
      </c>
      <c r="I89" s="10">
        <f t="shared" si="70"/>
        <v>0</v>
      </c>
      <c r="J89" s="16">
        <f t="shared" si="60"/>
        <v>119468.23494163991</v>
      </c>
      <c r="K89" s="27">
        <f t="shared" si="61"/>
        <v>119468.23494163991</v>
      </c>
      <c r="L89" s="27">
        <f t="shared" si="62"/>
        <v>117125.72053101953</v>
      </c>
      <c r="M89" s="32">
        <f t="shared" si="71"/>
        <v>0</v>
      </c>
      <c r="N89" s="20">
        <f t="shared" si="72"/>
        <v>119468.23494163991</v>
      </c>
      <c r="P89" s="106">
        <f t="shared" si="73"/>
        <v>12000</v>
      </c>
      <c r="Q89" s="107">
        <f t="shared" si="74"/>
        <v>124620.88512598076</v>
      </c>
      <c r="R89" s="104">
        <f t="shared" si="75"/>
        <v>0</v>
      </c>
      <c r="S89" s="104">
        <f t="shared" si="76"/>
        <v>0</v>
      </c>
      <c r="T89" s="104">
        <f t="shared" si="77"/>
        <v>0</v>
      </c>
      <c r="U89" s="104">
        <f t="shared" si="78"/>
        <v>0</v>
      </c>
      <c r="V89" s="110">
        <f t="shared" si="79"/>
        <v>0</v>
      </c>
      <c r="W89" s="110">
        <f t="shared" si="80"/>
        <v>0</v>
      </c>
      <c r="X89" s="110">
        <f t="shared" si="81"/>
        <v>0</v>
      </c>
      <c r="Y89" s="110">
        <f t="shared" si="82"/>
        <v>0</v>
      </c>
      <c r="Z89" s="110">
        <f t="shared" si="83"/>
        <v>0</v>
      </c>
      <c r="AA89" s="110">
        <f t="shared" si="84"/>
        <v>0</v>
      </c>
      <c r="AB89" s="110">
        <f t="shared" si="85"/>
        <v>0</v>
      </c>
      <c r="AC89" s="110">
        <f t="shared" si="86"/>
        <v>0</v>
      </c>
      <c r="AD89" s="112">
        <f t="shared" si="87"/>
        <v>0</v>
      </c>
      <c r="AE89" s="113">
        <f t="shared" si="88"/>
        <v>0</v>
      </c>
      <c r="AF89" s="116">
        <f t="shared" si="89"/>
        <v>124620.88512598076</v>
      </c>
    </row>
    <row r="90" spans="1:32" x14ac:dyDescent="0.35">
      <c r="A90" s="9">
        <f t="shared" si="63"/>
        <v>80</v>
      </c>
      <c r="B90" s="14">
        <f t="shared" si="64"/>
        <v>110</v>
      </c>
      <c r="C90" s="21">
        <f t="shared" si="65"/>
        <v>12000</v>
      </c>
      <c r="D90" s="10">
        <f t="shared" si="66"/>
        <v>0</v>
      </c>
      <c r="E90" s="10">
        <f t="shared" si="67"/>
        <v>0</v>
      </c>
      <c r="F90" s="20">
        <f t="shared" si="59"/>
        <v>109330.74935226029</v>
      </c>
      <c r="G90" s="21">
        <f t="shared" si="68"/>
        <v>12000</v>
      </c>
      <c r="H90" s="10">
        <f t="shared" si="69"/>
        <v>240</v>
      </c>
      <c r="I90" s="10">
        <f t="shared" si="70"/>
        <v>0</v>
      </c>
      <c r="J90" s="16">
        <f t="shared" si="60"/>
        <v>111517.3643393055</v>
      </c>
      <c r="K90" s="27">
        <f t="shared" si="61"/>
        <v>111517.3643393055</v>
      </c>
      <c r="L90" s="27">
        <f t="shared" si="62"/>
        <v>109330.74935226029</v>
      </c>
      <c r="M90" s="32">
        <f t="shared" si="71"/>
        <v>0</v>
      </c>
      <c r="N90" s="20">
        <f t="shared" si="72"/>
        <v>111517.3643393055</v>
      </c>
      <c r="P90" s="106">
        <f t="shared" si="73"/>
        <v>12000</v>
      </c>
      <c r="Q90" s="107">
        <f t="shared" si="74"/>
        <v>117125.72053102018</v>
      </c>
      <c r="R90" s="104">
        <f t="shared" si="75"/>
        <v>0</v>
      </c>
      <c r="S90" s="104">
        <f t="shared" si="76"/>
        <v>0</v>
      </c>
      <c r="T90" s="104">
        <f t="shared" si="77"/>
        <v>0</v>
      </c>
      <c r="U90" s="104">
        <f t="shared" si="78"/>
        <v>0</v>
      </c>
      <c r="V90" s="110">
        <f t="shared" si="79"/>
        <v>0</v>
      </c>
      <c r="W90" s="110">
        <f t="shared" si="80"/>
        <v>0</v>
      </c>
      <c r="X90" s="110">
        <f t="shared" si="81"/>
        <v>0</v>
      </c>
      <c r="Y90" s="110">
        <f t="shared" si="82"/>
        <v>0</v>
      </c>
      <c r="Z90" s="110">
        <f t="shared" si="83"/>
        <v>0</v>
      </c>
      <c r="AA90" s="110">
        <f t="shared" si="84"/>
        <v>0</v>
      </c>
      <c r="AB90" s="110">
        <f t="shared" si="85"/>
        <v>0</v>
      </c>
      <c r="AC90" s="110">
        <f t="shared" si="86"/>
        <v>0</v>
      </c>
      <c r="AD90" s="112">
        <f t="shared" si="87"/>
        <v>0</v>
      </c>
      <c r="AE90" s="113">
        <f t="shared" si="88"/>
        <v>0</v>
      </c>
      <c r="AF90" s="116">
        <f t="shared" si="89"/>
        <v>117125.72053102018</v>
      </c>
    </row>
    <row r="91" spans="1:32" x14ac:dyDescent="0.35">
      <c r="A91" s="9">
        <f t="shared" si="63"/>
        <v>81</v>
      </c>
      <c r="B91" s="14">
        <f t="shared" si="64"/>
        <v>111</v>
      </c>
      <c r="C91" s="21">
        <f t="shared" si="65"/>
        <v>12000</v>
      </c>
      <c r="D91" s="10">
        <f t="shared" si="66"/>
        <v>0</v>
      </c>
      <c r="E91" s="10">
        <f t="shared" si="67"/>
        <v>0</v>
      </c>
      <c r="F91" s="20">
        <f t="shared" si="59"/>
        <v>101223.97932635072</v>
      </c>
      <c r="G91" s="21">
        <f t="shared" si="68"/>
        <v>12000</v>
      </c>
      <c r="H91" s="10">
        <f t="shared" si="69"/>
        <v>240</v>
      </c>
      <c r="I91" s="10">
        <f t="shared" si="70"/>
        <v>0</v>
      </c>
      <c r="J91" s="16">
        <f t="shared" si="60"/>
        <v>103248.45891287773</v>
      </c>
      <c r="K91" s="27">
        <f t="shared" si="61"/>
        <v>103248.45891287773</v>
      </c>
      <c r="L91" s="27">
        <f t="shared" si="62"/>
        <v>101223.97932635072</v>
      </c>
      <c r="M91" s="32">
        <f t="shared" si="71"/>
        <v>0</v>
      </c>
      <c r="N91" s="20">
        <f t="shared" si="72"/>
        <v>103248.45891287773</v>
      </c>
      <c r="P91" s="106">
        <f t="shared" si="73"/>
        <v>12000</v>
      </c>
      <c r="Q91" s="107">
        <f t="shared" si="74"/>
        <v>109330.74935226057</v>
      </c>
      <c r="R91" s="104">
        <f t="shared" si="75"/>
        <v>0</v>
      </c>
      <c r="S91" s="104">
        <f t="shared" si="76"/>
        <v>0</v>
      </c>
      <c r="T91" s="104">
        <f t="shared" si="77"/>
        <v>0</v>
      </c>
      <c r="U91" s="104">
        <f t="shared" si="78"/>
        <v>0</v>
      </c>
      <c r="V91" s="110">
        <f t="shared" si="79"/>
        <v>0</v>
      </c>
      <c r="W91" s="110">
        <f t="shared" si="80"/>
        <v>0</v>
      </c>
      <c r="X91" s="110">
        <f t="shared" si="81"/>
        <v>0</v>
      </c>
      <c r="Y91" s="110">
        <f t="shared" si="82"/>
        <v>0</v>
      </c>
      <c r="Z91" s="110">
        <f t="shared" si="83"/>
        <v>0</v>
      </c>
      <c r="AA91" s="110">
        <f t="shared" si="84"/>
        <v>0</v>
      </c>
      <c r="AB91" s="110">
        <f t="shared" si="85"/>
        <v>0</v>
      </c>
      <c r="AC91" s="110">
        <f t="shared" si="86"/>
        <v>0</v>
      </c>
      <c r="AD91" s="112">
        <f t="shared" si="87"/>
        <v>0</v>
      </c>
      <c r="AE91" s="113">
        <f t="shared" si="88"/>
        <v>0</v>
      </c>
      <c r="AF91" s="116">
        <f t="shared" si="89"/>
        <v>109330.74935226057</v>
      </c>
    </row>
    <row r="92" spans="1:32" x14ac:dyDescent="0.35">
      <c r="A92" s="9">
        <f t="shared" si="63"/>
        <v>82</v>
      </c>
      <c r="B92" s="14">
        <f t="shared" si="64"/>
        <v>112</v>
      </c>
      <c r="C92" s="21">
        <f t="shared" si="65"/>
        <v>12000</v>
      </c>
      <c r="D92" s="10">
        <f t="shared" si="66"/>
        <v>0</v>
      </c>
      <c r="E92" s="10">
        <f t="shared" si="67"/>
        <v>0</v>
      </c>
      <c r="F92" s="20">
        <f t="shared" si="59"/>
        <v>92792.938499404729</v>
      </c>
      <c r="G92" s="21">
        <f t="shared" si="68"/>
        <v>12000</v>
      </c>
      <c r="H92" s="10">
        <f t="shared" si="69"/>
        <v>240</v>
      </c>
      <c r="I92" s="10">
        <f t="shared" si="70"/>
        <v>0</v>
      </c>
      <c r="J92" s="16">
        <f t="shared" si="60"/>
        <v>94648.797269392831</v>
      </c>
      <c r="K92" s="27">
        <f t="shared" si="61"/>
        <v>94648.797269392831</v>
      </c>
      <c r="L92" s="27">
        <f t="shared" si="62"/>
        <v>92792.938499404729</v>
      </c>
      <c r="M92" s="32">
        <f t="shared" si="71"/>
        <v>0</v>
      </c>
      <c r="N92" s="20">
        <f t="shared" si="72"/>
        <v>94648.797269392831</v>
      </c>
      <c r="P92" s="106">
        <f t="shared" si="73"/>
        <v>12000</v>
      </c>
      <c r="Q92" s="107">
        <f t="shared" si="74"/>
        <v>101223.97932635066</v>
      </c>
      <c r="R92" s="104">
        <f t="shared" si="75"/>
        <v>0</v>
      </c>
      <c r="S92" s="104">
        <f t="shared" si="76"/>
        <v>0</v>
      </c>
      <c r="T92" s="104">
        <f t="shared" si="77"/>
        <v>0</v>
      </c>
      <c r="U92" s="104">
        <f t="shared" si="78"/>
        <v>0</v>
      </c>
      <c r="V92" s="110">
        <f t="shared" si="79"/>
        <v>0</v>
      </c>
      <c r="W92" s="110">
        <f t="shared" si="80"/>
        <v>0</v>
      </c>
      <c r="X92" s="110">
        <f t="shared" si="81"/>
        <v>0</v>
      </c>
      <c r="Y92" s="110">
        <f t="shared" si="82"/>
        <v>0</v>
      </c>
      <c r="Z92" s="110">
        <f t="shared" si="83"/>
        <v>0</v>
      </c>
      <c r="AA92" s="110">
        <f t="shared" si="84"/>
        <v>0</v>
      </c>
      <c r="AB92" s="110">
        <f t="shared" si="85"/>
        <v>0</v>
      </c>
      <c r="AC92" s="110">
        <f t="shared" si="86"/>
        <v>0</v>
      </c>
      <c r="AD92" s="112">
        <f t="shared" si="87"/>
        <v>0</v>
      </c>
      <c r="AE92" s="113">
        <f t="shared" si="88"/>
        <v>0</v>
      </c>
      <c r="AF92" s="116">
        <f t="shared" si="89"/>
        <v>101223.97932635066</v>
      </c>
    </row>
    <row r="93" spans="1:32" x14ac:dyDescent="0.35">
      <c r="A93" s="9">
        <f t="shared" si="63"/>
        <v>83</v>
      </c>
      <c r="B93" s="14">
        <f t="shared" si="64"/>
        <v>113</v>
      </c>
      <c r="C93" s="21">
        <f t="shared" si="65"/>
        <v>12000</v>
      </c>
      <c r="D93" s="10">
        <f t="shared" si="66"/>
        <v>0</v>
      </c>
      <c r="E93" s="10">
        <f t="shared" si="67"/>
        <v>0</v>
      </c>
      <c r="F93" s="20">
        <f t="shared" si="59"/>
        <v>84024.656039380934</v>
      </c>
      <c r="G93" s="21">
        <f t="shared" si="68"/>
        <v>12000</v>
      </c>
      <c r="H93" s="10">
        <f t="shared" si="69"/>
        <v>240</v>
      </c>
      <c r="I93" s="10">
        <f t="shared" si="70"/>
        <v>0</v>
      </c>
      <c r="J93" s="16">
        <f t="shared" si="60"/>
        <v>85705.149160168556</v>
      </c>
      <c r="K93" s="27">
        <f t="shared" si="61"/>
        <v>85705.149160168556</v>
      </c>
      <c r="L93" s="27">
        <f t="shared" si="62"/>
        <v>84024.656039380934</v>
      </c>
      <c r="M93" s="32">
        <f t="shared" si="71"/>
        <v>0</v>
      </c>
      <c r="N93" s="20">
        <f t="shared" si="72"/>
        <v>85705.149160168556</v>
      </c>
      <c r="P93" s="106">
        <f t="shared" si="73"/>
        <v>12000</v>
      </c>
      <c r="Q93" s="107">
        <f t="shared" si="74"/>
        <v>92792.938499404714</v>
      </c>
      <c r="R93" s="104">
        <f t="shared" si="75"/>
        <v>0</v>
      </c>
      <c r="S93" s="104">
        <f t="shared" si="76"/>
        <v>0</v>
      </c>
      <c r="T93" s="104">
        <f t="shared" si="77"/>
        <v>0</v>
      </c>
      <c r="U93" s="104">
        <f t="shared" si="78"/>
        <v>0</v>
      </c>
      <c r="V93" s="110">
        <f t="shared" si="79"/>
        <v>0</v>
      </c>
      <c r="W93" s="110">
        <f t="shared" si="80"/>
        <v>0</v>
      </c>
      <c r="X93" s="110">
        <f t="shared" si="81"/>
        <v>0</v>
      </c>
      <c r="Y93" s="110">
        <f t="shared" si="82"/>
        <v>0</v>
      </c>
      <c r="Z93" s="110">
        <f t="shared" si="83"/>
        <v>0</v>
      </c>
      <c r="AA93" s="110">
        <f t="shared" si="84"/>
        <v>0</v>
      </c>
      <c r="AB93" s="110">
        <f t="shared" si="85"/>
        <v>0</v>
      </c>
      <c r="AC93" s="110">
        <f t="shared" si="86"/>
        <v>0</v>
      </c>
      <c r="AD93" s="112">
        <f t="shared" si="87"/>
        <v>0</v>
      </c>
      <c r="AE93" s="113">
        <f t="shared" si="88"/>
        <v>0</v>
      </c>
      <c r="AF93" s="116">
        <f t="shared" si="89"/>
        <v>92792.938499404714</v>
      </c>
    </row>
    <row r="94" spans="1:32" x14ac:dyDescent="0.35">
      <c r="A94" s="9">
        <f t="shared" si="63"/>
        <v>84</v>
      </c>
      <c r="B94" s="14">
        <f t="shared" si="64"/>
        <v>114</v>
      </c>
      <c r="C94" s="21">
        <f t="shared" si="65"/>
        <v>12000</v>
      </c>
      <c r="D94" s="10">
        <f t="shared" si="66"/>
        <v>0</v>
      </c>
      <c r="E94" s="10">
        <f t="shared" si="67"/>
        <v>0</v>
      </c>
      <c r="F94" s="20">
        <f t="shared" si="59"/>
        <v>74905.642280956192</v>
      </c>
      <c r="G94" s="21">
        <f t="shared" si="68"/>
        <v>12000</v>
      </c>
      <c r="H94" s="10">
        <f t="shared" si="69"/>
        <v>240</v>
      </c>
      <c r="I94" s="10">
        <f t="shared" si="70"/>
        <v>0</v>
      </c>
      <c r="J94" s="16">
        <f t="shared" si="60"/>
        <v>76403.755126575314</v>
      </c>
      <c r="K94" s="27">
        <f t="shared" si="61"/>
        <v>76403.755126575314</v>
      </c>
      <c r="L94" s="27">
        <f t="shared" si="62"/>
        <v>74905.642280956192</v>
      </c>
      <c r="M94" s="32">
        <f t="shared" si="71"/>
        <v>0</v>
      </c>
      <c r="N94" s="20">
        <f t="shared" si="72"/>
        <v>76403.755126575314</v>
      </c>
      <c r="P94" s="106">
        <f t="shared" si="73"/>
        <v>12000</v>
      </c>
      <c r="Q94" s="107">
        <f t="shared" si="74"/>
        <v>84024.656039380861</v>
      </c>
      <c r="R94" s="104">
        <f t="shared" si="75"/>
        <v>0</v>
      </c>
      <c r="S94" s="104">
        <f t="shared" si="76"/>
        <v>0</v>
      </c>
      <c r="T94" s="104">
        <f t="shared" si="77"/>
        <v>0</v>
      </c>
      <c r="U94" s="104">
        <f t="shared" si="78"/>
        <v>0</v>
      </c>
      <c r="V94" s="110">
        <f t="shared" si="79"/>
        <v>0</v>
      </c>
      <c r="W94" s="110">
        <f t="shared" si="80"/>
        <v>0</v>
      </c>
      <c r="X94" s="110">
        <f t="shared" si="81"/>
        <v>0</v>
      </c>
      <c r="Y94" s="110">
        <f t="shared" si="82"/>
        <v>0</v>
      </c>
      <c r="Z94" s="110">
        <f t="shared" si="83"/>
        <v>0</v>
      </c>
      <c r="AA94" s="110">
        <f t="shared" si="84"/>
        <v>0</v>
      </c>
      <c r="AB94" s="110">
        <f t="shared" si="85"/>
        <v>0</v>
      </c>
      <c r="AC94" s="110">
        <f t="shared" si="86"/>
        <v>0</v>
      </c>
      <c r="AD94" s="112">
        <f t="shared" si="87"/>
        <v>0</v>
      </c>
      <c r="AE94" s="113">
        <f t="shared" si="88"/>
        <v>0</v>
      </c>
      <c r="AF94" s="116">
        <f t="shared" si="89"/>
        <v>84024.656039380861</v>
      </c>
    </row>
    <row r="95" spans="1:32" x14ac:dyDescent="0.35">
      <c r="A95" s="9">
        <f t="shared" si="63"/>
        <v>85</v>
      </c>
      <c r="B95" s="14">
        <f t="shared" si="64"/>
        <v>115</v>
      </c>
      <c r="C95" s="21">
        <f t="shared" si="65"/>
        <v>12000</v>
      </c>
      <c r="D95" s="10">
        <f t="shared" si="66"/>
        <v>0</v>
      </c>
      <c r="E95" s="10">
        <f t="shared" si="67"/>
        <v>0</v>
      </c>
      <c r="F95" s="20">
        <f t="shared" si="59"/>
        <v>65421.867972194457</v>
      </c>
      <c r="G95" s="21">
        <f t="shared" si="68"/>
        <v>12000</v>
      </c>
      <c r="H95" s="10">
        <f t="shared" si="69"/>
        <v>240</v>
      </c>
      <c r="I95" s="10">
        <f t="shared" si="70"/>
        <v>0</v>
      </c>
      <c r="J95" s="16">
        <f t="shared" si="60"/>
        <v>66730.305331638345</v>
      </c>
      <c r="K95" s="27">
        <f t="shared" si="61"/>
        <v>66730.305331638345</v>
      </c>
      <c r="L95" s="27">
        <f t="shared" si="62"/>
        <v>65421.867972194457</v>
      </c>
      <c r="M95" s="32">
        <f t="shared" si="71"/>
        <v>0</v>
      </c>
      <c r="N95" s="20">
        <f t="shared" si="72"/>
        <v>66730.305331638345</v>
      </c>
      <c r="P95" s="106">
        <f t="shared" si="73"/>
        <v>12000</v>
      </c>
      <c r="Q95" s="107">
        <f t="shared" si="74"/>
        <v>74905.642280956148</v>
      </c>
      <c r="R95" s="104">
        <f t="shared" si="75"/>
        <v>0</v>
      </c>
      <c r="S95" s="104">
        <f t="shared" si="76"/>
        <v>0</v>
      </c>
      <c r="T95" s="104">
        <f t="shared" si="77"/>
        <v>0</v>
      </c>
      <c r="U95" s="104">
        <f t="shared" si="78"/>
        <v>0</v>
      </c>
      <c r="V95" s="110">
        <f t="shared" si="79"/>
        <v>0</v>
      </c>
      <c r="W95" s="110">
        <f t="shared" si="80"/>
        <v>0</v>
      </c>
      <c r="X95" s="110">
        <f t="shared" si="81"/>
        <v>0</v>
      </c>
      <c r="Y95" s="110">
        <f t="shared" si="82"/>
        <v>0</v>
      </c>
      <c r="Z95" s="110">
        <f t="shared" si="83"/>
        <v>0</v>
      </c>
      <c r="AA95" s="110">
        <f t="shared" si="84"/>
        <v>0</v>
      </c>
      <c r="AB95" s="110">
        <f t="shared" si="85"/>
        <v>0</v>
      </c>
      <c r="AC95" s="110">
        <f t="shared" si="86"/>
        <v>0</v>
      </c>
      <c r="AD95" s="112">
        <f t="shared" si="87"/>
        <v>0</v>
      </c>
      <c r="AE95" s="113">
        <f t="shared" si="88"/>
        <v>0</v>
      </c>
      <c r="AF95" s="116">
        <f t="shared" si="89"/>
        <v>74905.642280956148</v>
      </c>
    </row>
    <row r="96" spans="1:32" x14ac:dyDescent="0.35">
      <c r="A96" s="9">
        <f t="shared" si="63"/>
        <v>86</v>
      </c>
      <c r="B96" s="14">
        <f t="shared" si="64"/>
        <v>116</v>
      </c>
      <c r="C96" s="21">
        <f t="shared" si="65"/>
        <v>12000</v>
      </c>
      <c r="D96" s="10">
        <f t="shared" si="66"/>
        <v>0</v>
      </c>
      <c r="E96" s="10">
        <f t="shared" si="67"/>
        <v>0</v>
      </c>
      <c r="F96" s="20">
        <f t="shared" si="59"/>
        <v>55558.74269108224</v>
      </c>
      <c r="G96" s="21">
        <f t="shared" si="68"/>
        <v>12000</v>
      </c>
      <c r="H96" s="10">
        <f t="shared" si="69"/>
        <v>240</v>
      </c>
      <c r="I96" s="10">
        <f t="shared" si="70"/>
        <v>0</v>
      </c>
      <c r="J96" s="16">
        <f t="shared" si="60"/>
        <v>56669.917544903888</v>
      </c>
      <c r="K96" s="27">
        <f t="shared" si="61"/>
        <v>56669.917544903888</v>
      </c>
      <c r="L96" s="27">
        <f t="shared" si="62"/>
        <v>55558.74269108224</v>
      </c>
      <c r="M96" s="32">
        <f t="shared" si="71"/>
        <v>0</v>
      </c>
      <c r="N96" s="20">
        <f t="shared" si="72"/>
        <v>56669.917544903888</v>
      </c>
      <c r="P96" s="106">
        <f t="shared" si="73"/>
        <v>12000</v>
      </c>
      <c r="Q96" s="107">
        <f t="shared" si="74"/>
        <v>65421.867972194421</v>
      </c>
      <c r="R96" s="104">
        <f t="shared" si="75"/>
        <v>0</v>
      </c>
      <c r="S96" s="104">
        <f t="shared" si="76"/>
        <v>0</v>
      </c>
      <c r="T96" s="104">
        <f t="shared" si="77"/>
        <v>0</v>
      </c>
      <c r="U96" s="104">
        <f t="shared" si="78"/>
        <v>0</v>
      </c>
      <c r="V96" s="110">
        <f t="shared" si="79"/>
        <v>0</v>
      </c>
      <c r="W96" s="110">
        <f t="shared" si="80"/>
        <v>0</v>
      </c>
      <c r="X96" s="110">
        <f t="shared" si="81"/>
        <v>0</v>
      </c>
      <c r="Y96" s="110">
        <f t="shared" si="82"/>
        <v>0</v>
      </c>
      <c r="Z96" s="110">
        <f t="shared" si="83"/>
        <v>0</v>
      </c>
      <c r="AA96" s="110">
        <f t="shared" si="84"/>
        <v>0</v>
      </c>
      <c r="AB96" s="110">
        <f t="shared" si="85"/>
        <v>0</v>
      </c>
      <c r="AC96" s="110">
        <f t="shared" si="86"/>
        <v>0</v>
      </c>
      <c r="AD96" s="112">
        <f t="shared" si="87"/>
        <v>0</v>
      </c>
      <c r="AE96" s="113">
        <f t="shared" si="88"/>
        <v>0</v>
      </c>
      <c r="AF96" s="116">
        <f t="shared" si="89"/>
        <v>65421.867972194421</v>
      </c>
    </row>
    <row r="97" spans="1:32" x14ac:dyDescent="0.35">
      <c r="A97" s="9">
        <f t="shared" si="63"/>
        <v>87</v>
      </c>
      <c r="B97" s="14">
        <f t="shared" si="64"/>
        <v>117</v>
      </c>
      <c r="C97" s="21">
        <f t="shared" si="65"/>
        <v>12000</v>
      </c>
      <c r="D97" s="10">
        <f t="shared" si="66"/>
        <v>0</v>
      </c>
      <c r="E97" s="10">
        <f t="shared" si="67"/>
        <v>0</v>
      </c>
      <c r="F97" s="20">
        <f t="shared" si="59"/>
        <v>45301.092398725537</v>
      </c>
      <c r="G97" s="21">
        <f t="shared" si="68"/>
        <v>12000</v>
      </c>
      <c r="H97" s="10">
        <f t="shared" si="69"/>
        <v>240</v>
      </c>
      <c r="I97" s="10">
        <f t="shared" si="70"/>
        <v>0</v>
      </c>
      <c r="J97" s="16">
        <f t="shared" si="60"/>
        <v>46207.114246700054</v>
      </c>
      <c r="K97" s="27">
        <f t="shared" si="61"/>
        <v>46207.114246700054</v>
      </c>
      <c r="L97" s="27">
        <f t="shared" si="62"/>
        <v>45301.092398725537</v>
      </c>
      <c r="M97" s="32">
        <f t="shared" si="71"/>
        <v>0</v>
      </c>
      <c r="N97" s="20">
        <f t="shared" si="72"/>
        <v>46207.114246700054</v>
      </c>
      <c r="P97" s="106">
        <f t="shared" si="73"/>
        <v>12000</v>
      </c>
      <c r="Q97" s="107">
        <f t="shared" si="74"/>
        <v>55558.742691082211</v>
      </c>
      <c r="R97" s="104">
        <f t="shared" si="75"/>
        <v>0</v>
      </c>
      <c r="S97" s="104">
        <f t="shared" si="76"/>
        <v>0</v>
      </c>
      <c r="T97" s="104">
        <f t="shared" si="77"/>
        <v>0</v>
      </c>
      <c r="U97" s="104">
        <f t="shared" si="78"/>
        <v>0</v>
      </c>
      <c r="V97" s="110">
        <f t="shared" si="79"/>
        <v>0</v>
      </c>
      <c r="W97" s="110">
        <f t="shared" si="80"/>
        <v>0</v>
      </c>
      <c r="X97" s="110">
        <f t="shared" si="81"/>
        <v>0</v>
      </c>
      <c r="Y97" s="110">
        <f t="shared" si="82"/>
        <v>0</v>
      </c>
      <c r="Z97" s="110">
        <f t="shared" si="83"/>
        <v>0</v>
      </c>
      <c r="AA97" s="110">
        <f t="shared" si="84"/>
        <v>0</v>
      </c>
      <c r="AB97" s="110">
        <f t="shared" si="85"/>
        <v>0</v>
      </c>
      <c r="AC97" s="110">
        <f t="shared" si="86"/>
        <v>0</v>
      </c>
      <c r="AD97" s="112">
        <f t="shared" si="87"/>
        <v>0</v>
      </c>
      <c r="AE97" s="113">
        <f t="shared" si="88"/>
        <v>0</v>
      </c>
      <c r="AF97" s="116">
        <f t="shared" si="89"/>
        <v>55558.742691082211</v>
      </c>
    </row>
    <row r="98" spans="1:32" x14ac:dyDescent="0.35">
      <c r="A98" s="9">
        <f t="shared" si="63"/>
        <v>88</v>
      </c>
      <c r="B98" s="14">
        <f t="shared" si="64"/>
        <v>118</v>
      </c>
      <c r="C98" s="21">
        <f t="shared" si="65"/>
        <v>12000</v>
      </c>
      <c r="D98" s="10">
        <f t="shared" si="66"/>
        <v>0</v>
      </c>
      <c r="E98" s="10">
        <f t="shared" si="67"/>
        <v>0</v>
      </c>
      <c r="F98" s="20">
        <f t="shared" si="59"/>
        <v>34633.136094674555</v>
      </c>
      <c r="G98" s="21">
        <f t="shared" si="68"/>
        <v>12000</v>
      </c>
      <c r="H98" s="10">
        <f t="shared" si="69"/>
        <v>240</v>
      </c>
      <c r="I98" s="10">
        <f t="shared" si="70"/>
        <v>0</v>
      </c>
      <c r="J98" s="16">
        <f t="shared" si="60"/>
        <v>35325.798816568051</v>
      </c>
      <c r="K98" s="27">
        <f t="shared" si="61"/>
        <v>35325.798816568051</v>
      </c>
      <c r="L98" s="27">
        <f t="shared" si="62"/>
        <v>34633.136094674555</v>
      </c>
      <c r="M98" s="32">
        <f t="shared" si="71"/>
        <v>0</v>
      </c>
      <c r="N98" s="20">
        <f t="shared" si="72"/>
        <v>35325.798816568051</v>
      </c>
      <c r="P98" s="106">
        <f t="shared" si="73"/>
        <v>12000</v>
      </c>
      <c r="Q98" s="107">
        <f t="shared" si="74"/>
        <v>45301.092398725472</v>
      </c>
      <c r="R98" s="104">
        <f t="shared" si="75"/>
        <v>0</v>
      </c>
      <c r="S98" s="104">
        <f t="shared" si="76"/>
        <v>0</v>
      </c>
      <c r="T98" s="104">
        <f t="shared" si="77"/>
        <v>0</v>
      </c>
      <c r="U98" s="104">
        <f t="shared" si="78"/>
        <v>0</v>
      </c>
      <c r="V98" s="110">
        <f t="shared" si="79"/>
        <v>0</v>
      </c>
      <c r="W98" s="110">
        <f t="shared" si="80"/>
        <v>0</v>
      </c>
      <c r="X98" s="110">
        <f t="shared" si="81"/>
        <v>0</v>
      </c>
      <c r="Y98" s="110">
        <f t="shared" si="82"/>
        <v>0</v>
      </c>
      <c r="Z98" s="110">
        <f t="shared" si="83"/>
        <v>0</v>
      </c>
      <c r="AA98" s="110">
        <f t="shared" si="84"/>
        <v>0</v>
      </c>
      <c r="AB98" s="110">
        <f t="shared" si="85"/>
        <v>0</v>
      </c>
      <c r="AC98" s="110">
        <f t="shared" si="86"/>
        <v>0</v>
      </c>
      <c r="AD98" s="112">
        <f t="shared" si="87"/>
        <v>0</v>
      </c>
      <c r="AE98" s="113">
        <f t="shared" si="88"/>
        <v>0</v>
      </c>
      <c r="AF98" s="116">
        <f t="shared" si="89"/>
        <v>45301.092398725472</v>
      </c>
    </row>
    <row r="99" spans="1:32" x14ac:dyDescent="0.35">
      <c r="A99" s="9">
        <f t="shared" si="63"/>
        <v>89</v>
      </c>
      <c r="B99" s="14">
        <f t="shared" si="64"/>
        <v>119</v>
      </c>
      <c r="C99" s="21">
        <f t="shared" si="65"/>
        <v>12000</v>
      </c>
      <c r="D99" s="10">
        <f t="shared" si="66"/>
        <v>0</v>
      </c>
      <c r="E99" s="10">
        <f t="shared" si="67"/>
        <v>0</v>
      </c>
      <c r="F99" s="20">
        <f t="shared" si="59"/>
        <v>23538.461538461539</v>
      </c>
      <c r="G99" s="21">
        <f t="shared" si="68"/>
        <v>12000</v>
      </c>
      <c r="H99" s="10">
        <f t="shared" si="69"/>
        <v>240</v>
      </c>
      <c r="I99" s="10">
        <f t="shared" si="70"/>
        <v>0</v>
      </c>
      <c r="J99" s="16">
        <f t="shared" si="60"/>
        <v>24009.23076923077</v>
      </c>
      <c r="K99" s="27">
        <f t="shared" si="61"/>
        <v>24009.23076923077</v>
      </c>
      <c r="L99" s="27">
        <f t="shared" si="62"/>
        <v>23538.461538461539</v>
      </c>
      <c r="M99" s="32">
        <f t="shared" si="71"/>
        <v>0</v>
      </c>
      <c r="N99" s="20">
        <f t="shared" si="72"/>
        <v>24009.23076923077</v>
      </c>
      <c r="P99" s="106">
        <f t="shared" si="73"/>
        <v>12000</v>
      </c>
      <c r="Q99" s="107">
        <f t="shared" si="74"/>
        <v>34633.136094674512</v>
      </c>
      <c r="R99" s="104">
        <f t="shared" si="75"/>
        <v>0</v>
      </c>
      <c r="S99" s="104">
        <f t="shared" si="76"/>
        <v>0</v>
      </c>
      <c r="T99" s="104">
        <f t="shared" si="77"/>
        <v>0</v>
      </c>
      <c r="U99" s="104">
        <f t="shared" si="78"/>
        <v>0</v>
      </c>
      <c r="V99" s="110">
        <f t="shared" si="79"/>
        <v>0</v>
      </c>
      <c r="W99" s="110">
        <f t="shared" si="80"/>
        <v>0</v>
      </c>
      <c r="X99" s="110">
        <f t="shared" si="81"/>
        <v>0</v>
      </c>
      <c r="Y99" s="110">
        <f t="shared" si="82"/>
        <v>0</v>
      </c>
      <c r="Z99" s="110">
        <f t="shared" si="83"/>
        <v>0</v>
      </c>
      <c r="AA99" s="110">
        <f t="shared" si="84"/>
        <v>0</v>
      </c>
      <c r="AB99" s="110">
        <f t="shared" si="85"/>
        <v>0</v>
      </c>
      <c r="AC99" s="110">
        <f t="shared" si="86"/>
        <v>0</v>
      </c>
      <c r="AD99" s="112">
        <f t="shared" si="87"/>
        <v>0</v>
      </c>
      <c r="AE99" s="113">
        <f t="shared" si="88"/>
        <v>0</v>
      </c>
      <c r="AF99" s="116">
        <f t="shared" si="89"/>
        <v>34633.136094674512</v>
      </c>
    </row>
    <row r="100" spans="1:32" x14ac:dyDescent="0.35">
      <c r="A100" s="9">
        <f t="shared" si="63"/>
        <v>90</v>
      </c>
      <c r="B100" s="14">
        <f t="shared" si="64"/>
        <v>120</v>
      </c>
      <c r="C100" s="21">
        <f t="shared" si="65"/>
        <v>12000</v>
      </c>
      <c r="D100" s="10">
        <f t="shared" si="66"/>
        <v>0</v>
      </c>
      <c r="E100" s="10">
        <f t="shared" si="67"/>
        <v>0</v>
      </c>
      <c r="F100" s="20">
        <f t="shared" si="59"/>
        <v>12000</v>
      </c>
      <c r="G100" s="21">
        <f t="shared" si="68"/>
        <v>12000</v>
      </c>
      <c r="H100" s="10">
        <f t="shared" si="69"/>
        <v>240</v>
      </c>
      <c r="I100" s="10">
        <f t="shared" si="70"/>
        <v>0</v>
      </c>
      <c r="J100" s="16">
        <f t="shared" si="60"/>
        <v>12240</v>
      </c>
      <c r="K100" s="27">
        <f t="shared" si="61"/>
        <v>12240</v>
      </c>
      <c r="L100" s="27">
        <f t="shared" si="62"/>
        <v>12000</v>
      </c>
      <c r="M100" s="32">
        <f t="shared" si="71"/>
        <v>0</v>
      </c>
      <c r="N100" s="20">
        <f t="shared" si="72"/>
        <v>12240</v>
      </c>
      <c r="P100" s="106">
        <f t="shared" si="73"/>
        <v>12000</v>
      </c>
      <c r="Q100" s="107">
        <f t="shared" si="74"/>
        <v>23538.461538461539</v>
      </c>
      <c r="R100" s="104">
        <f t="shared" si="75"/>
        <v>0</v>
      </c>
      <c r="S100" s="104">
        <f t="shared" si="76"/>
        <v>0</v>
      </c>
      <c r="T100" s="104">
        <f t="shared" si="77"/>
        <v>0</v>
      </c>
      <c r="U100" s="104">
        <f t="shared" si="78"/>
        <v>0</v>
      </c>
      <c r="V100" s="110">
        <f t="shared" si="79"/>
        <v>0</v>
      </c>
      <c r="W100" s="110">
        <f t="shared" si="80"/>
        <v>0</v>
      </c>
      <c r="X100" s="110">
        <f t="shared" si="81"/>
        <v>0</v>
      </c>
      <c r="Y100" s="110">
        <f t="shared" si="82"/>
        <v>0</v>
      </c>
      <c r="Z100" s="110">
        <f t="shared" si="83"/>
        <v>0</v>
      </c>
      <c r="AA100" s="110">
        <f t="shared" si="84"/>
        <v>0</v>
      </c>
      <c r="AB100" s="110">
        <f t="shared" si="85"/>
        <v>0</v>
      </c>
      <c r="AC100" s="110">
        <f t="shared" si="86"/>
        <v>0</v>
      </c>
      <c r="AD100" s="112">
        <f t="shared" si="87"/>
        <v>0</v>
      </c>
      <c r="AE100" s="113">
        <f t="shared" si="88"/>
        <v>0</v>
      </c>
      <c r="AF100" s="116">
        <f t="shared" si="89"/>
        <v>23538.461538461539</v>
      </c>
    </row>
    <row r="101" spans="1:32" x14ac:dyDescent="0.35">
      <c r="A101" s="9">
        <f t="shared" si="63"/>
        <v>91</v>
      </c>
      <c r="B101" s="14">
        <f t="shared" si="64"/>
        <v>121</v>
      </c>
      <c r="C101" s="21">
        <f t="shared" si="65"/>
        <v>12000</v>
      </c>
      <c r="D101" s="10">
        <f t="shared" si="66"/>
        <v>0</v>
      </c>
      <c r="E101" s="10">
        <f t="shared" si="67"/>
        <v>0</v>
      </c>
      <c r="F101" s="20" t="str">
        <f t="shared" si="59"/>
        <v/>
      </c>
      <c r="G101" s="21">
        <f t="shared" si="68"/>
        <v>12000</v>
      </c>
      <c r="H101" s="10">
        <f t="shared" si="69"/>
        <v>240</v>
      </c>
      <c r="I101" s="10">
        <f t="shared" si="70"/>
        <v>0</v>
      </c>
      <c r="J101" s="16" t="str">
        <f t="shared" si="60"/>
        <v/>
      </c>
      <c r="K101" s="27" t="str">
        <f t="shared" si="61"/>
        <v/>
      </c>
      <c r="L101" s="27" t="str">
        <f t="shared" si="62"/>
        <v/>
      </c>
      <c r="M101" s="32" t="str">
        <f t="shared" si="71"/>
        <v/>
      </c>
      <c r="N101" s="20" t="str">
        <f t="shared" si="72"/>
        <v/>
      </c>
      <c r="P101" s="106">
        <f t="shared" si="73"/>
        <v>12000</v>
      </c>
      <c r="Q101" s="107">
        <f t="shared" si="74"/>
        <v>12000</v>
      </c>
      <c r="R101" s="104">
        <f t="shared" si="75"/>
        <v>0</v>
      </c>
      <c r="S101" s="104">
        <f t="shared" si="76"/>
        <v>0</v>
      </c>
      <c r="T101" s="104">
        <f t="shared" si="77"/>
        <v>0</v>
      </c>
      <c r="U101" s="104">
        <f t="shared" si="78"/>
        <v>0</v>
      </c>
      <c r="V101" s="110">
        <f t="shared" si="79"/>
        <v>0</v>
      </c>
      <c r="W101" s="110">
        <f t="shared" si="80"/>
        <v>0</v>
      </c>
      <c r="X101" s="110">
        <f t="shared" si="81"/>
        <v>0</v>
      </c>
      <c r="Y101" s="110">
        <f t="shared" si="82"/>
        <v>0</v>
      </c>
      <c r="Z101" s="110">
        <f t="shared" si="83"/>
        <v>0</v>
      </c>
      <c r="AA101" s="110">
        <f t="shared" si="84"/>
        <v>0</v>
      </c>
      <c r="AB101" s="110">
        <f t="shared" si="85"/>
        <v>0</v>
      </c>
      <c r="AC101" s="110">
        <f t="shared" si="86"/>
        <v>0</v>
      </c>
      <c r="AD101" s="112">
        <f t="shared" si="87"/>
        <v>0</v>
      </c>
      <c r="AE101" s="113">
        <f t="shared" si="88"/>
        <v>0</v>
      </c>
      <c r="AF101" s="116">
        <f t="shared" si="89"/>
        <v>12000</v>
      </c>
    </row>
    <row r="102" spans="1:32" x14ac:dyDescent="0.35">
      <c r="A102" s="9" t="str">
        <f t="shared" si="63"/>
        <v/>
      </c>
      <c r="B102" s="14" t="str">
        <f t="shared" si="64"/>
        <v/>
      </c>
      <c r="C102" s="21" t="str">
        <f t="shared" si="65"/>
        <v/>
      </c>
      <c r="D102" s="10" t="str">
        <f t="shared" si="66"/>
        <v/>
      </c>
      <c r="E102" s="10" t="str">
        <f t="shared" si="67"/>
        <v/>
      </c>
      <c r="F102" s="20" t="str">
        <f t="shared" si="59"/>
        <v/>
      </c>
      <c r="G102" s="21" t="str">
        <f t="shared" si="68"/>
        <v/>
      </c>
      <c r="H102" s="10" t="str">
        <f t="shared" si="69"/>
        <v/>
      </c>
      <c r="I102" s="10" t="str">
        <f t="shared" si="70"/>
        <v/>
      </c>
      <c r="J102" s="16" t="str">
        <f t="shared" si="60"/>
        <v/>
      </c>
      <c r="K102" s="27" t="str">
        <f t="shared" si="61"/>
        <v/>
      </c>
      <c r="L102" s="27" t="str">
        <f t="shared" si="62"/>
        <v/>
      </c>
      <c r="M102" s="32" t="str">
        <f t="shared" si="71"/>
        <v/>
      </c>
      <c r="N102" s="20" t="str">
        <f t="shared" si="72"/>
        <v/>
      </c>
      <c r="P102" s="106" t="str">
        <f t="shared" si="73"/>
        <v/>
      </c>
      <c r="Q102" s="107" t="str">
        <f t="shared" si="74"/>
        <v/>
      </c>
      <c r="R102" s="104" t="str">
        <f t="shared" si="75"/>
        <v/>
      </c>
      <c r="S102" s="104" t="str">
        <f t="shared" si="76"/>
        <v/>
      </c>
      <c r="T102" s="104" t="str">
        <f t="shared" si="77"/>
        <v/>
      </c>
      <c r="U102" s="104" t="str">
        <f t="shared" si="78"/>
        <v/>
      </c>
      <c r="V102" s="110" t="str">
        <f t="shared" si="79"/>
        <v/>
      </c>
      <c r="W102" s="110" t="str">
        <f t="shared" si="80"/>
        <v/>
      </c>
      <c r="X102" s="110" t="str">
        <f t="shared" si="81"/>
        <v/>
      </c>
      <c r="Y102" s="110" t="str">
        <f t="shared" si="82"/>
        <v/>
      </c>
      <c r="Z102" s="110" t="str">
        <f t="shared" si="83"/>
        <v/>
      </c>
      <c r="AA102" s="110" t="str">
        <f t="shared" si="84"/>
        <v/>
      </c>
      <c r="AB102" s="110" t="str">
        <f t="shared" si="85"/>
        <v/>
      </c>
      <c r="AC102" s="110" t="str">
        <f t="shared" si="86"/>
        <v/>
      </c>
      <c r="AD102" s="112" t="str">
        <f t="shared" si="87"/>
        <v/>
      </c>
      <c r="AE102" s="113" t="str">
        <f t="shared" si="88"/>
        <v/>
      </c>
      <c r="AF102" s="116">
        <f t="shared" si="89"/>
        <v>0</v>
      </c>
    </row>
    <row r="103" spans="1:32" x14ac:dyDescent="0.35">
      <c r="A103" s="9" t="str">
        <f t="shared" si="63"/>
        <v/>
      </c>
      <c r="B103" s="14" t="str">
        <f t="shared" si="64"/>
        <v/>
      </c>
      <c r="C103" s="21" t="str">
        <f t="shared" si="65"/>
        <v/>
      </c>
      <c r="D103" s="10" t="str">
        <f t="shared" si="66"/>
        <v/>
      </c>
      <c r="E103" s="10" t="str">
        <f t="shared" si="67"/>
        <v/>
      </c>
      <c r="F103" s="20" t="str">
        <f t="shared" si="59"/>
        <v/>
      </c>
      <c r="G103" s="21" t="str">
        <f t="shared" si="68"/>
        <v/>
      </c>
      <c r="H103" s="10" t="str">
        <f t="shared" si="69"/>
        <v/>
      </c>
      <c r="I103" s="10" t="str">
        <f t="shared" si="70"/>
        <v/>
      </c>
      <c r="J103" s="16" t="str">
        <f t="shared" si="60"/>
        <v/>
      </c>
      <c r="K103" s="27" t="str">
        <f t="shared" si="61"/>
        <v/>
      </c>
      <c r="L103" s="27" t="str">
        <f t="shared" si="62"/>
        <v/>
      </c>
      <c r="M103" s="32" t="str">
        <f t="shared" si="71"/>
        <v/>
      </c>
      <c r="N103" s="20" t="str">
        <f t="shared" si="72"/>
        <v/>
      </c>
      <c r="P103" s="106" t="str">
        <f t="shared" si="73"/>
        <v/>
      </c>
      <c r="Q103" s="107" t="str">
        <f t="shared" si="74"/>
        <v/>
      </c>
      <c r="R103" s="104" t="str">
        <f t="shared" si="75"/>
        <v/>
      </c>
      <c r="S103" s="104" t="str">
        <f t="shared" si="76"/>
        <v/>
      </c>
      <c r="T103" s="104" t="str">
        <f t="shared" si="77"/>
        <v/>
      </c>
      <c r="U103" s="104" t="str">
        <f t="shared" si="78"/>
        <v/>
      </c>
      <c r="V103" s="110" t="str">
        <f t="shared" si="79"/>
        <v/>
      </c>
      <c r="W103" s="110" t="str">
        <f t="shared" si="80"/>
        <v/>
      </c>
      <c r="X103" s="110" t="str">
        <f t="shared" si="81"/>
        <v/>
      </c>
      <c r="Y103" s="110" t="str">
        <f t="shared" si="82"/>
        <v/>
      </c>
      <c r="Z103" s="110" t="str">
        <f t="shared" si="83"/>
        <v/>
      </c>
      <c r="AA103" s="110" t="str">
        <f t="shared" si="84"/>
        <v/>
      </c>
      <c r="AB103" s="110" t="str">
        <f t="shared" si="85"/>
        <v/>
      </c>
      <c r="AC103" s="110" t="str">
        <f t="shared" si="86"/>
        <v/>
      </c>
      <c r="AD103" s="112" t="str">
        <f t="shared" si="87"/>
        <v/>
      </c>
      <c r="AE103" s="113" t="str">
        <f t="shared" si="88"/>
        <v/>
      </c>
      <c r="AF103" s="116">
        <f t="shared" si="89"/>
        <v>0</v>
      </c>
    </row>
    <row r="104" spans="1:32" x14ac:dyDescent="0.35">
      <c r="A104" s="9" t="str">
        <f t="shared" si="63"/>
        <v/>
      </c>
      <c r="B104" s="14" t="str">
        <f t="shared" si="64"/>
        <v/>
      </c>
      <c r="C104" s="21" t="str">
        <f t="shared" si="65"/>
        <v/>
      </c>
      <c r="D104" s="10" t="str">
        <f t="shared" si="66"/>
        <v/>
      </c>
      <c r="E104" s="10" t="str">
        <f t="shared" si="67"/>
        <v/>
      </c>
      <c r="F104" s="20" t="str">
        <f t="shared" si="59"/>
        <v/>
      </c>
      <c r="G104" s="21" t="str">
        <f t="shared" si="68"/>
        <v/>
      </c>
      <c r="H104" s="10" t="str">
        <f t="shared" si="69"/>
        <v/>
      </c>
      <c r="I104" s="10" t="str">
        <f t="shared" si="70"/>
        <v/>
      </c>
      <c r="J104" s="16" t="str">
        <f t="shared" si="60"/>
        <v/>
      </c>
      <c r="K104" s="27" t="str">
        <f t="shared" si="61"/>
        <v/>
      </c>
      <c r="L104" s="27" t="str">
        <f t="shared" si="62"/>
        <v/>
      </c>
      <c r="M104" s="32" t="str">
        <f t="shared" si="71"/>
        <v/>
      </c>
      <c r="N104" s="20" t="str">
        <f t="shared" si="72"/>
        <v/>
      </c>
      <c r="P104" s="106" t="str">
        <f t="shared" si="73"/>
        <v/>
      </c>
      <c r="Q104" s="107" t="str">
        <f t="shared" si="74"/>
        <v/>
      </c>
      <c r="R104" s="104" t="str">
        <f t="shared" si="75"/>
        <v/>
      </c>
      <c r="S104" s="104" t="str">
        <f t="shared" si="76"/>
        <v/>
      </c>
      <c r="T104" s="104" t="str">
        <f t="shared" si="77"/>
        <v/>
      </c>
      <c r="U104" s="104" t="str">
        <f t="shared" si="78"/>
        <v/>
      </c>
      <c r="V104" s="110" t="str">
        <f t="shared" si="79"/>
        <v/>
      </c>
      <c r="W104" s="110" t="str">
        <f t="shared" si="80"/>
        <v/>
      </c>
      <c r="X104" s="110" t="str">
        <f t="shared" si="81"/>
        <v/>
      </c>
      <c r="Y104" s="110" t="str">
        <f t="shared" si="82"/>
        <v/>
      </c>
      <c r="Z104" s="110" t="str">
        <f t="shared" si="83"/>
        <v/>
      </c>
      <c r="AA104" s="110" t="str">
        <f t="shared" si="84"/>
        <v/>
      </c>
      <c r="AB104" s="110" t="str">
        <f t="shared" si="85"/>
        <v/>
      </c>
      <c r="AC104" s="110" t="str">
        <f t="shared" si="86"/>
        <v/>
      </c>
      <c r="AD104" s="112" t="str">
        <f t="shared" si="87"/>
        <v/>
      </c>
      <c r="AE104" s="113" t="str">
        <f t="shared" si="88"/>
        <v/>
      </c>
      <c r="AF104" s="116">
        <f t="shared" si="89"/>
        <v>0</v>
      </c>
    </row>
    <row r="105" spans="1:32" x14ac:dyDescent="0.35">
      <c r="A105" s="9" t="str">
        <f t="shared" si="63"/>
        <v/>
      </c>
      <c r="B105" s="14" t="str">
        <f t="shared" si="64"/>
        <v/>
      </c>
      <c r="C105" s="21" t="str">
        <f t="shared" si="65"/>
        <v/>
      </c>
      <c r="D105" s="10" t="str">
        <f t="shared" si="66"/>
        <v/>
      </c>
      <c r="E105" s="10" t="str">
        <f t="shared" si="67"/>
        <v/>
      </c>
      <c r="F105" s="20" t="str">
        <f t="shared" ref="F105:F132" si="90">IF( $A106 &lt;&gt; "",
      ( 1 + gamma_2_PK) * Rente * INDEX( n_ae_x_PK, x + $A106 + 1, 1)
         + ( beta_PK + t * gamma_1_PK + alpha_g_PK) * Beitrag_PK * INDEX( ae_xt_PK, x + $A106 + 1, 1)
         + t * gamma_3_PK * Beitrag_PK * (INDEX( ae_xn_PK, x + $A106 + 1, 1) - INDEX( ae_xt_PK, x + $A106 + 1, 1))
         - Beitrag_PK * INDEX( ae_xt_PK, x + $A106 + 1, 1),
     "")</f>
        <v/>
      </c>
      <c r="G105" s="21" t="str">
        <f t="shared" si="68"/>
        <v/>
      </c>
      <c r="H105" s="10" t="str">
        <f t="shared" si="69"/>
        <v/>
      </c>
      <c r="I105" s="10" t="str">
        <f t="shared" si="70"/>
        <v/>
      </c>
      <c r="J105" s="16" t="str">
        <f t="shared" ref="J105:J132" si="91">IF( $A106 &lt;&gt; "",
      ( 1 + gamma_2_DR) * Rente * INDEX( n_ae_x_DR, x + $A106 + 1, 1)
         + ( beta_DR + t * gamma_1_DR + alpha_g_DR) * Beitrag_DR * INDEX( ae_xt_DR, x + $A106 + 1, 1)
         + t * gamma_3_DR * Beitrag_DR * (INDEX( ae_xn_DR, x + $A106 + 1, 1) - INDEX( ae_xt_DR, x + $A106 + 1, 1))
         - Beitrag_DR * INDEX( ae_xt_DR, x + $A106 + 1, 1),
     "")</f>
        <v/>
      </c>
      <c r="K105" s="27" t="str">
        <f t="shared" ref="K105:K132" si="92">IF( $A106 &lt;&gt; "",
      ( 1 + gamma_2_DR) * Rente * INDEX( n_ae_x_DR, x + $A106 + 1, 1)
         + ( beta_DR + t * gamma_1_DR + alpha_g_DR) * Beitrag_DR * INDEX( ae_xt_DR, x + $A106 + 1, 1)
         + t * gamma_3_DR * Beitrag_DR * (INDEX( ae_xn_DR, x + $A106 + 1, 1) - INDEX( ae_xt_DR, x + $A106 + 1, 1))
         - MIN( Beitrag_PK, Beitrag_DR) * INDEX( ae_xt_DR, x + $A106 + 1, 1),
     "")</f>
        <v/>
      </c>
      <c r="L105" s="27" t="str">
        <f t="shared" ref="L105:L132" si="93">IF( $A106 &lt;&gt; "",
      IF( RKW = "BGH-Urteil",
          MAX( $F105, 0.5 * (Tarifreserve + alpha_z_PK * Beitrag_PK * t * INDEX( ae_xt_PK, x + $A106 + 1, 1) / INDEX( ae_xt_PK, x + 1, 1))),
          IF( RKW = "VVG-Reform",
              Tarifreserve + alpha_z_PK * Beitrag_PK * t * INDEX( ae_x5_PK, x + $A106 + 1, 1) / INDEX( ae_x5_PK, x + 1, 1),
              MAX( 0, INDEX( Tarifreserve, $A106 + 1, 1)))),
      "")</f>
        <v/>
      </c>
      <c r="M105" s="32" t="str">
        <f t="shared" si="71"/>
        <v/>
      </c>
      <c r="N105" s="20" t="str">
        <f t="shared" si="72"/>
        <v/>
      </c>
      <c r="P105" s="106" t="str">
        <f t="shared" si="73"/>
        <v/>
      </c>
      <c r="Q105" s="107" t="str">
        <f t="shared" si="74"/>
        <v/>
      </c>
      <c r="R105" s="104" t="str">
        <f t="shared" si="75"/>
        <v/>
      </c>
      <c r="S105" s="104" t="str">
        <f t="shared" si="76"/>
        <v/>
      </c>
      <c r="T105" s="104" t="str">
        <f t="shared" si="77"/>
        <v/>
      </c>
      <c r="U105" s="104" t="str">
        <f t="shared" si="78"/>
        <v/>
      </c>
      <c r="V105" s="110" t="str">
        <f t="shared" si="79"/>
        <v/>
      </c>
      <c r="W105" s="110" t="str">
        <f t="shared" si="80"/>
        <v/>
      </c>
      <c r="X105" s="110" t="str">
        <f t="shared" si="81"/>
        <v/>
      </c>
      <c r="Y105" s="110" t="str">
        <f t="shared" si="82"/>
        <v/>
      </c>
      <c r="Z105" s="110" t="str">
        <f t="shared" si="83"/>
        <v/>
      </c>
      <c r="AA105" s="110" t="str">
        <f t="shared" si="84"/>
        <v/>
      </c>
      <c r="AB105" s="110" t="str">
        <f t="shared" si="85"/>
        <v/>
      </c>
      <c r="AC105" s="110" t="str">
        <f t="shared" si="86"/>
        <v/>
      </c>
      <c r="AD105" s="112" t="str">
        <f t="shared" si="87"/>
        <v/>
      </c>
      <c r="AE105" s="113" t="str">
        <f t="shared" si="88"/>
        <v/>
      </c>
      <c r="AF105" s="116">
        <f t="shared" si="89"/>
        <v>0</v>
      </c>
    </row>
    <row r="106" spans="1:32" x14ac:dyDescent="0.35">
      <c r="A106" s="9" t="str">
        <f t="shared" ref="A106:A132" si="94">IF( 121 - x &gt;= ROW() - ROW($A$10), ROW() - ROW($A$10), "")</f>
        <v/>
      </c>
      <c r="B106" s="14" t="str">
        <f t="shared" ref="B106:B132" si="95">IF( m &lt;&gt; "", x + $A106, "")</f>
        <v/>
      </c>
      <c r="C106" s="21" t="str">
        <f t="shared" ref="C106:C132" si="96">IF( m &lt;&gt; "",
      IF( m &gt;= n,
          Rente,
          0),
       "")</f>
        <v/>
      </c>
      <c r="D106" s="10" t="str">
        <f t="shared" ref="D106:D132" si="97">IF( m &lt;&gt; "",
      IF( m &lt; t,
          (beta_PK + alpha_g_PK + gamma_1_PK * t) * Beitrag_PK,
          IF( m &lt; n,
              gamma_3_PK * t * Beitrag_PK,
              gamma_2_PK * Rente)),
      "")</f>
        <v/>
      </c>
      <c r="E106" s="10" t="str">
        <f t="shared" ref="E106:E132" si="98">IF( $A106 &lt;&gt; "", IF( $A106 &lt; t, -Beitrag_PK, 0), "")</f>
        <v/>
      </c>
      <c r="F106" s="20" t="str">
        <f t="shared" si="90"/>
        <v/>
      </c>
      <c r="G106" s="21" t="str">
        <f t="shared" ref="G106:G132" si="99">IF( m &lt;&gt; "",
      IF( m &gt;= n,
          Rente,
          0),
       "")</f>
        <v/>
      </c>
      <c r="H106" s="10" t="str">
        <f t="shared" ref="H106:H132" si="100">IF( m &lt;&gt; "",
      IF( m &lt; t,
          (beta_DR + alpha_g_DR + gamma_1_DR * t) * Beitrag_DR,
          IF( m &lt; n,
              gamma_3_DR * t * Beitrag_DR,
              gamma_2_DR * Rente)),
      "")</f>
        <v/>
      </c>
      <c r="I106" s="10" t="str">
        <f t="shared" ref="I106:I132" si="101">IF( $A106 &lt;&gt; "", IF( $A106 &lt; t, -Beitrag_DR, 0), "")</f>
        <v/>
      </c>
      <c r="J106" s="16" t="str">
        <f t="shared" si="91"/>
        <v/>
      </c>
      <c r="K106" s="27" t="str">
        <f t="shared" si="92"/>
        <v/>
      </c>
      <c r="L106" s="27" t="str">
        <f t="shared" si="93"/>
        <v/>
      </c>
      <c r="M106" s="32" t="str">
        <f t="shared" si="71"/>
        <v/>
      </c>
      <c r="N106" s="20" t="str">
        <f t="shared" si="72"/>
        <v/>
      </c>
      <c r="P106" s="106" t="str">
        <f t="shared" ref="P106:P132" si="102">IF( m &lt;&gt; "",
      IF( m &gt;= n,
          Rente,
          0),
       "")</f>
        <v/>
      </c>
      <c r="Q106" s="107" t="str">
        <f t="shared" ref="Q106:Q137" si="103">IF( m &lt;&gt; "", P106 + _xlfn.NUMBERVALUE( Q107) * v_PK * ( 1 - INDEX( qx_PK, $B106 + 1)), "")</f>
        <v/>
      </c>
      <c r="R106" s="104" t="str">
        <f t="shared" ref="R106:R132" si="104">IF( m &lt;&gt; "", IF( m = 0, alpha_z_PK * Beitrag_PK * t, 0), "")</f>
        <v/>
      </c>
      <c r="S106" s="104" t="str">
        <f t="shared" ref="S106:S137" si="105">IF( m &lt;&gt; "", R106 + _xlfn.NUMBERVALUE( S107) * v_PK * ( 1 - INDEX( qx_PK, $B106 + 1)), "")</f>
        <v/>
      </c>
      <c r="T106" s="104" t="str">
        <f t="shared" ref="T106:T132" si="106">IF( m &lt;&gt; "",
      IF( m &lt; t,
          alpha_g_PK * Beitrag_PK,
          0),
      "")</f>
        <v/>
      </c>
      <c r="U106" s="104" t="str">
        <f t="shared" ref="U106:U137" si="107">IF( m &lt;&gt; "", T106 + _xlfn.NUMBERVALUE( U107) * v_PK * ( 1 - INDEX( qx_PK, $B106 + 1)), "")</f>
        <v/>
      </c>
      <c r="V106" s="110" t="str">
        <f t="shared" ref="V106:V132" si="108">IF( m &lt;&gt; "",
      IF( m &lt; t,
          beta_PK * Beitrag_PK,
          0),
      "")</f>
        <v/>
      </c>
      <c r="W106" s="110" t="str">
        <f t="shared" ref="W106:W137" si="109">IF( m &lt;&gt; "", V106 + _xlfn.NUMBERVALUE( W107) * v_PK * ( 1 - INDEX( qx_PK, $B106 + 1)), "")</f>
        <v/>
      </c>
      <c r="X106" s="110" t="str">
        <f t="shared" ref="X106:X132" si="110">IF( m &lt;&gt; "",
      IF( m &lt; t,
          gamma_1_PK * t * Beitrag_PK,
          0),
      "")</f>
        <v/>
      </c>
      <c r="Y106" s="110" t="str">
        <f t="shared" ref="Y106:Y137" si="111">IF( m &lt;&gt; "", X106 + _xlfn.NUMBERVALUE( Y107) * v_PK * ( 1 - INDEX( qx_PK, $B106 + 1)), "")</f>
        <v/>
      </c>
      <c r="Z106" s="110" t="str">
        <f t="shared" ref="Z106:Z132" si="112">IF( m &lt;&gt; "",
      IF( m &lt; t,
          0,
          IF( m &lt; n,
              gamma_3_PK * t * Beitrag_PK,
              0)),
      "")</f>
        <v/>
      </c>
      <c r="AA106" s="110" t="str">
        <f t="shared" ref="AA106:AA137" si="113">IF( m &lt;&gt; "", Z106 + _xlfn.NUMBERVALUE( AA107) * v_PK * ( 1 - INDEX( qx_PK, $B106 + 1)), "")</f>
        <v/>
      </c>
      <c r="AB106" s="110" t="str">
        <f t="shared" ref="AB106:AB132" si="114">IF( m &lt;&gt; "",
      IF( m &lt; n,
           0,
           gamma_2_PK * Rente),
      "")</f>
        <v/>
      </c>
      <c r="AC106" s="110" t="str">
        <f t="shared" ref="AC106:AC137" si="115">IF( m &lt;&gt; "", AB106 + _xlfn.NUMBERVALUE( AC107) * v_PK * ( 1 - INDEX( qx_PK, $B106 + 1)), "")</f>
        <v/>
      </c>
      <c r="AD106" s="112" t="str">
        <f t="shared" ref="AD106:AD132" si="116">IF( m &lt;&gt; "",
      IF( m &lt; t, -Beitrag_PK, 0),
      "")</f>
        <v/>
      </c>
      <c r="AE106" s="113" t="str">
        <f t="shared" ref="AE106:AE137" si="117">IF( m &lt;&gt; "", AD106 + _xlfn.NUMBERVALUE( AE107) * v_PK * ( 1 - INDEX( qx_PK, $B106 + 1)), "")</f>
        <v/>
      </c>
      <c r="AF106" s="116">
        <f t="shared" si="89"/>
        <v>0</v>
      </c>
    </row>
    <row r="107" spans="1:32" x14ac:dyDescent="0.35">
      <c r="A107" s="9" t="str">
        <f t="shared" si="94"/>
        <v/>
      </c>
      <c r="B107" s="14" t="str">
        <f t="shared" si="95"/>
        <v/>
      </c>
      <c r="C107" s="21" t="str">
        <f t="shared" si="96"/>
        <v/>
      </c>
      <c r="D107" s="10" t="str">
        <f t="shared" si="97"/>
        <v/>
      </c>
      <c r="E107" s="10" t="str">
        <f t="shared" si="98"/>
        <v/>
      </c>
      <c r="F107" s="20" t="str">
        <f t="shared" si="90"/>
        <v/>
      </c>
      <c r="G107" s="21" t="str">
        <f t="shared" si="99"/>
        <v/>
      </c>
      <c r="H107" s="10" t="str">
        <f t="shared" si="100"/>
        <v/>
      </c>
      <c r="I107" s="10" t="str">
        <f t="shared" si="101"/>
        <v/>
      </c>
      <c r="J107" s="16" t="str">
        <f t="shared" si="91"/>
        <v/>
      </c>
      <c r="K107" s="27" t="str">
        <f t="shared" si="92"/>
        <v/>
      </c>
      <c r="L107" s="27" t="str">
        <f t="shared" si="93"/>
        <v/>
      </c>
      <c r="M107" s="32" t="str">
        <f t="shared" si="71"/>
        <v/>
      </c>
      <c r="N107" s="20" t="str">
        <f t="shared" si="72"/>
        <v/>
      </c>
      <c r="P107" s="106" t="str">
        <f t="shared" si="102"/>
        <v/>
      </c>
      <c r="Q107" s="107" t="str">
        <f t="shared" si="103"/>
        <v/>
      </c>
      <c r="R107" s="104" t="str">
        <f t="shared" si="104"/>
        <v/>
      </c>
      <c r="S107" s="104" t="str">
        <f t="shared" si="105"/>
        <v/>
      </c>
      <c r="T107" s="104" t="str">
        <f t="shared" si="106"/>
        <v/>
      </c>
      <c r="U107" s="104" t="str">
        <f t="shared" si="107"/>
        <v/>
      </c>
      <c r="V107" s="110" t="str">
        <f t="shared" si="108"/>
        <v/>
      </c>
      <c r="W107" s="110" t="str">
        <f t="shared" si="109"/>
        <v/>
      </c>
      <c r="X107" s="110" t="str">
        <f t="shared" si="110"/>
        <v/>
      </c>
      <c r="Y107" s="110" t="str">
        <f t="shared" si="111"/>
        <v/>
      </c>
      <c r="Z107" s="110" t="str">
        <f t="shared" si="112"/>
        <v/>
      </c>
      <c r="AA107" s="110" t="str">
        <f t="shared" si="113"/>
        <v/>
      </c>
      <c r="AB107" s="110" t="str">
        <f t="shared" si="114"/>
        <v/>
      </c>
      <c r="AC107" s="110" t="str">
        <f t="shared" si="115"/>
        <v/>
      </c>
      <c r="AD107" s="112" t="str">
        <f t="shared" si="116"/>
        <v/>
      </c>
      <c r="AE107" s="113" t="str">
        <f t="shared" si="117"/>
        <v/>
      </c>
      <c r="AF107" s="116">
        <f t="shared" si="89"/>
        <v>0</v>
      </c>
    </row>
    <row r="108" spans="1:32" x14ac:dyDescent="0.35">
      <c r="A108" s="9" t="str">
        <f t="shared" si="94"/>
        <v/>
      </c>
      <c r="B108" s="14" t="str">
        <f t="shared" si="95"/>
        <v/>
      </c>
      <c r="C108" s="21" t="str">
        <f t="shared" si="96"/>
        <v/>
      </c>
      <c r="D108" s="10" t="str">
        <f t="shared" si="97"/>
        <v/>
      </c>
      <c r="E108" s="10" t="str">
        <f t="shared" si="98"/>
        <v/>
      </c>
      <c r="F108" s="20" t="str">
        <f t="shared" si="90"/>
        <v/>
      </c>
      <c r="G108" s="21" t="str">
        <f t="shared" si="99"/>
        <v/>
      </c>
      <c r="H108" s="10" t="str">
        <f t="shared" si="100"/>
        <v/>
      </c>
      <c r="I108" s="10" t="str">
        <f t="shared" si="101"/>
        <v/>
      </c>
      <c r="J108" s="16" t="str">
        <f t="shared" si="91"/>
        <v/>
      </c>
      <c r="K108" s="27" t="str">
        <f t="shared" si="92"/>
        <v/>
      </c>
      <c r="L108" s="27" t="str">
        <f t="shared" si="93"/>
        <v/>
      </c>
      <c r="M108" s="32" t="str">
        <f t="shared" si="71"/>
        <v/>
      </c>
      <c r="N108" s="20" t="str">
        <f t="shared" si="72"/>
        <v/>
      </c>
      <c r="P108" s="106" t="str">
        <f t="shared" si="102"/>
        <v/>
      </c>
      <c r="Q108" s="107" t="str">
        <f t="shared" si="103"/>
        <v/>
      </c>
      <c r="R108" s="104" t="str">
        <f t="shared" si="104"/>
        <v/>
      </c>
      <c r="S108" s="104" t="str">
        <f t="shared" si="105"/>
        <v/>
      </c>
      <c r="T108" s="104" t="str">
        <f t="shared" si="106"/>
        <v/>
      </c>
      <c r="U108" s="104" t="str">
        <f t="shared" si="107"/>
        <v/>
      </c>
      <c r="V108" s="110" t="str">
        <f t="shared" si="108"/>
        <v/>
      </c>
      <c r="W108" s="110" t="str">
        <f t="shared" si="109"/>
        <v/>
      </c>
      <c r="X108" s="110" t="str">
        <f t="shared" si="110"/>
        <v/>
      </c>
      <c r="Y108" s="110" t="str">
        <f t="shared" si="111"/>
        <v/>
      </c>
      <c r="Z108" s="110" t="str">
        <f t="shared" si="112"/>
        <v/>
      </c>
      <c r="AA108" s="110" t="str">
        <f t="shared" si="113"/>
        <v/>
      </c>
      <c r="AB108" s="110" t="str">
        <f t="shared" si="114"/>
        <v/>
      </c>
      <c r="AC108" s="110" t="str">
        <f t="shared" si="115"/>
        <v/>
      </c>
      <c r="AD108" s="112" t="str">
        <f t="shared" si="116"/>
        <v/>
      </c>
      <c r="AE108" s="113" t="str">
        <f t="shared" si="117"/>
        <v/>
      </c>
      <c r="AF108" s="116">
        <f t="shared" si="89"/>
        <v>0</v>
      </c>
    </row>
    <row r="109" spans="1:32" x14ac:dyDescent="0.35">
      <c r="A109" s="9" t="str">
        <f t="shared" si="94"/>
        <v/>
      </c>
      <c r="B109" s="14" t="str">
        <f t="shared" si="95"/>
        <v/>
      </c>
      <c r="C109" s="21" t="str">
        <f t="shared" si="96"/>
        <v/>
      </c>
      <c r="D109" s="10" t="str">
        <f t="shared" si="97"/>
        <v/>
      </c>
      <c r="E109" s="10" t="str">
        <f t="shared" si="98"/>
        <v/>
      </c>
      <c r="F109" s="20" t="str">
        <f t="shared" si="90"/>
        <v/>
      </c>
      <c r="G109" s="21" t="str">
        <f t="shared" si="99"/>
        <v/>
      </c>
      <c r="H109" s="10" t="str">
        <f t="shared" si="100"/>
        <v/>
      </c>
      <c r="I109" s="10" t="str">
        <f t="shared" si="101"/>
        <v/>
      </c>
      <c r="J109" s="16" t="str">
        <f t="shared" si="91"/>
        <v/>
      </c>
      <c r="K109" s="27" t="str">
        <f t="shared" si="92"/>
        <v/>
      </c>
      <c r="L109" s="27" t="str">
        <f t="shared" si="93"/>
        <v/>
      </c>
      <c r="M109" s="32" t="str">
        <f t="shared" si="71"/>
        <v/>
      </c>
      <c r="N109" s="20" t="str">
        <f t="shared" si="72"/>
        <v/>
      </c>
      <c r="P109" s="106" t="str">
        <f t="shared" si="102"/>
        <v/>
      </c>
      <c r="Q109" s="107" t="str">
        <f t="shared" si="103"/>
        <v/>
      </c>
      <c r="R109" s="104" t="str">
        <f t="shared" si="104"/>
        <v/>
      </c>
      <c r="S109" s="104" t="str">
        <f t="shared" si="105"/>
        <v/>
      </c>
      <c r="T109" s="104" t="str">
        <f t="shared" si="106"/>
        <v/>
      </c>
      <c r="U109" s="104" t="str">
        <f t="shared" si="107"/>
        <v/>
      </c>
      <c r="V109" s="110" t="str">
        <f t="shared" si="108"/>
        <v/>
      </c>
      <c r="W109" s="110" t="str">
        <f t="shared" si="109"/>
        <v/>
      </c>
      <c r="X109" s="110" t="str">
        <f t="shared" si="110"/>
        <v/>
      </c>
      <c r="Y109" s="110" t="str">
        <f t="shared" si="111"/>
        <v/>
      </c>
      <c r="Z109" s="110" t="str">
        <f t="shared" si="112"/>
        <v/>
      </c>
      <c r="AA109" s="110" t="str">
        <f t="shared" si="113"/>
        <v/>
      </c>
      <c r="AB109" s="110" t="str">
        <f t="shared" si="114"/>
        <v/>
      </c>
      <c r="AC109" s="110" t="str">
        <f t="shared" si="115"/>
        <v/>
      </c>
      <c r="AD109" s="112" t="str">
        <f t="shared" si="116"/>
        <v/>
      </c>
      <c r="AE109" s="113" t="str">
        <f t="shared" si="117"/>
        <v/>
      </c>
      <c r="AF109" s="116">
        <f t="shared" si="89"/>
        <v>0</v>
      </c>
    </row>
    <row r="110" spans="1:32" x14ac:dyDescent="0.35">
      <c r="A110" s="9" t="str">
        <f t="shared" si="94"/>
        <v/>
      </c>
      <c r="B110" s="14" t="str">
        <f t="shared" si="95"/>
        <v/>
      </c>
      <c r="C110" s="21" t="str">
        <f t="shared" si="96"/>
        <v/>
      </c>
      <c r="D110" s="10" t="str">
        <f t="shared" si="97"/>
        <v/>
      </c>
      <c r="E110" s="10" t="str">
        <f t="shared" si="98"/>
        <v/>
      </c>
      <c r="F110" s="20" t="str">
        <f t="shared" si="90"/>
        <v/>
      </c>
      <c r="G110" s="21" t="str">
        <f t="shared" si="99"/>
        <v/>
      </c>
      <c r="H110" s="10" t="str">
        <f t="shared" si="100"/>
        <v/>
      </c>
      <c r="I110" s="10" t="str">
        <f t="shared" si="101"/>
        <v/>
      </c>
      <c r="J110" s="16" t="str">
        <f t="shared" si="91"/>
        <v/>
      </c>
      <c r="K110" s="27" t="str">
        <f t="shared" si="92"/>
        <v/>
      </c>
      <c r="L110" s="27" t="str">
        <f t="shared" si="93"/>
        <v/>
      </c>
      <c r="M110" s="32" t="str">
        <f t="shared" si="71"/>
        <v/>
      </c>
      <c r="N110" s="20" t="str">
        <f t="shared" si="72"/>
        <v/>
      </c>
      <c r="P110" s="106" t="str">
        <f t="shared" si="102"/>
        <v/>
      </c>
      <c r="Q110" s="107" t="str">
        <f t="shared" si="103"/>
        <v/>
      </c>
      <c r="R110" s="104" t="str">
        <f t="shared" si="104"/>
        <v/>
      </c>
      <c r="S110" s="104" t="str">
        <f t="shared" si="105"/>
        <v/>
      </c>
      <c r="T110" s="104" t="str">
        <f t="shared" si="106"/>
        <v/>
      </c>
      <c r="U110" s="104" t="str">
        <f t="shared" si="107"/>
        <v/>
      </c>
      <c r="V110" s="110" t="str">
        <f t="shared" si="108"/>
        <v/>
      </c>
      <c r="W110" s="110" t="str">
        <f t="shared" si="109"/>
        <v/>
      </c>
      <c r="X110" s="110" t="str">
        <f t="shared" si="110"/>
        <v/>
      </c>
      <c r="Y110" s="110" t="str">
        <f t="shared" si="111"/>
        <v/>
      </c>
      <c r="Z110" s="110" t="str">
        <f t="shared" si="112"/>
        <v/>
      </c>
      <c r="AA110" s="110" t="str">
        <f t="shared" si="113"/>
        <v/>
      </c>
      <c r="AB110" s="110" t="str">
        <f t="shared" si="114"/>
        <v/>
      </c>
      <c r="AC110" s="110" t="str">
        <f t="shared" si="115"/>
        <v/>
      </c>
      <c r="AD110" s="112" t="str">
        <f t="shared" si="116"/>
        <v/>
      </c>
      <c r="AE110" s="113" t="str">
        <f t="shared" si="117"/>
        <v/>
      </c>
      <c r="AF110" s="116">
        <f t="shared" si="89"/>
        <v>0</v>
      </c>
    </row>
    <row r="111" spans="1:32" x14ac:dyDescent="0.35">
      <c r="A111" s="9" t="str">
        <f t="shared" si="94"/>
        <v/>
      </c>
      <c r="B111" s="14" t="str">
        <f t="shared" si="95"/>
        <v/>
      </c>
      <c r="C111" s="21" t="str">
        <f t="shared" si="96"/>
        <v/>
      </c>
      <c r="D111" s="10" t="str">
        <f t="shared" si="97"/>
        <v/>
      </c>
      <c r="E111" s="10" t="str">
        <f t="shared" si="98"/>
        <v/>
      </c>
      <c r="F111" s="20" t="str">
        <f t="shared" si="90"/>
        <v/>
      </c>
      <c r="G111" s="21" t="str">
        <f t="shared" si="99"/>
        <v/>
      </c>
      <c r="H111" s="10" t="str">
        <f t="shared" si="100"/>
        <v/>
      </c>
      <c r="I111" s="10" t="str">
        <f t="shared" si="101"/>
        <v/>
      </c>
      <c r="J111" s="16" t="str">
        <f t="shared" si="91"/>
        <v/>
      </c>
      <c r="K111" s="27" t="str">
        <f t="shared" si="92"/>
        <v/>
      </c>
      <c r="L111" s="27" t="str">
        <f t="shared" si="93"/>
        <v/>
      </c>
      <c r="M111" s="32" t="str">
        <f t="shared" si="71"/>
        <v/>
      </c>
      <c r="N111" s="20" t="str">
        <f t="shared" si="72"/>
        <v/>
      </c>
      <c r="P111" s="106" t="str">
        <f t="shared" si="102"/>
        <v/>
      </c>
      <c r="Q111" s="107" t="str">
        <f t="shared" si="103"/>
        <v/>
      </c>
      <c r="R111" s="104" t="str">
        <f t="shared" si="104"/>
        <v/>
      </c>
      <c r="S111" s="104" t="str">
        <f t="shared" si="105"/>
        <v/>
      </c>
      <c r="T111" s="104" t="str">
        <f t="shared" si="106"/>
        <v/>
      </c>
      <c r="U111" s="104" t="str">
        <f t="shared" si="107"/>
        <v/>
      </c>
      <c r="V111" s="110" t="str">
        <f t="shared" si="108"/>
        <v/>
      </c>
      <c r="W111" s="110" t="str">
        <f t="shared" si="109"/>
        <v/>
      </c>
      <c r="X111" s="110" t="str">
        <f t="shared" si="110"/>
        <v/>
      </c>
      <c r="Y111" s="110" t="str">
        <f t="shared" si="111"/>
        <v/>
      </c>
      <c r="Z111" s="110" t="str">
        <f t="shared" si="112"/>
        <v/>
      </c>
      <c r="AA111" s="110" t="str">
        <f t="shared" si="113"/>
        <v/>
      </c>
      <c r="AB111" s="110" t="str">
        <f t="shared" si="114"/>
        <v/>
      </c>
      <c r="AC111" s="110" t="str">
        <f t="shared" si="115"/>
        <v/>
      </c>
      <c r="AD111" s="112" t="str">
        <f t="shared" si="116"/>
        <v/>
      </c>
      <c r="AE111" s="113" t="str">
        <f t="shared" si="117"/>
        <v/>
      </c>
      <c r="AF111" s="116">
        <f t="shared" si="89"/>
        <v>0</v>
      </c>
    </row>
    <row r="112" spans="1:32" x14ac:dyDescent="0.35">
      <c r="A112" s="9" t="str">
        <f t="shared" si="94"/>
        <v/>
      </c>
      <c r="B112" s="14" t="str">
        <f t="shared" si="95"/>
        <v/>
      </c>
      <c r="C112" s="21" t="str">
        <f t="shared" si="96"/>
        <v/>
      </c>
      <c r="D112" s="10" t="str">
        <f t="shared" si="97"/>
        <v/>
      </c>
      <c r="E112" s="10" t="str">
        <f t="shared" si="98"/>
        <v/>
      </c>
      <c r="F112" s="20" t="str">
        <f t="shared" si="90"/>
        <v/>
      </c>
      <c r="G112" s="21" t="str">
        <f t="shared" si="99"/>
        <v/>
      </c>
      <c r="H112" s="10" t="str">
        <f t="shared" si="100"/>
        <v/>
      </c>
      <c r="I112" s="10" t="str">
        <f t="shared" si="101"/>
        <v/>
      </c>
      <c r="J112" s="16" t="str">
        <f t="shared" si="91"/>
        <v/>
      </c>
      <c r="K112" s="27" t="str">
        <f t="shared" si="92"/>
        <v/>
      </c>
      <c r="L112" s="27" t="str">
        <f t="shared" si="93"/>
        <v/>
      </c>
      <c r="M112" s="32" t="str">
        <f t="shared" si="71"/>
        <v/>
      </c>
      <c r="N112" s="20" t="str">
        <f t="shared" si="72"/>
        <v/>
      </c>
      <c r="P112" s="106" t="str">
        <f t="shared" si="102"/>
        <v/>
      </c>
      <c r="Q112" s="107" t="str">
        <f t="shared" si="103"/>
        <v/>
      </c>
      <c r="R112" s="104" t="str">
        <f t="shared" si="104"/>
        <v/>
      </c>
      <c r="S112" s="104" t="str">
        <f t="shared" si="105"/>
        <v/>
      </c>
      <c r="T112" s="104" t="str">
        <f t="shared" si="106"/>
        <v/>
      </c>
      <c r="U112" s="104" t="str">
        <f t="shared" si="107"/>
        <v/>
      </c>
      <c r="V112" s="110" t="str">
        <f t="shared" si="108"/>
        <v/>
      </c>
      <c r="W112" s="110" t="str">
        <f t="shared" si="109"/>
        <v/>
      </c>
      <c r="X112" s="110" t="str">
        <f t="shared" si="110"/>
        <v/>
      </c>
      <c r="Y112" s="110" t="str">
        <f t="shared" si="111"/>
        <v/>
      </c>
      <c r="Z112" s="110" t="str">
        <f t="shared" si="112"/>
        <v/>
      </c>
      <c r="AA112" s="110" t="str">
        <f t="shared" si="113"/>
        <v/>
      </c>
      <c r="AB112" s="110" t="str">
        <f t="shared" si="114"/>
        <v/>
      </c>
      <c r="AC112" s="110" t="str">
        <f t="shared" si="115"/>
        <v/>
      </c>
      <c r="AD112" s="112" t="str">
        <f t="shared" si="116"/>
        <v/>
      </c>
      <c r="AE112" s="113" t="str">
        <f t="shared" si="117"/>
        <v/>
      </c>
      <c r="AF112" s="116">
        <f t="shared" si="89"/>
        <v>0</v>
      </c>
    </row>
    <row r="113" spans="1:32" x14ac:dyDescent="0.35">
      <c r="A113" s="9" t="str">
        <f t="shared" si="94"/>
        <v/>
      </c>
      <c r="B113" s="14" t="str">
        <f t="shared" si="95"/>
        <v/>
      </c>
      <c r="C113" s="21" t="str">
        <f t="shared" si="96"/>
        <v/>
      </c>
      <c r="D113" s="10" t="str">
        <f t="shared" si="97"/>
        <v/>
      </c>
      <c r="E113" s="10" t="str">
        <f t="shared" si="98"/>
        <v/>
      </c>
      <c r="F113" s="20" t="str">
        <f t="shared" si="90"/>
        <v/>
      </c>
      <c r="G113" s="21" t="str">
        <f t="shared" si="99"/>
        <v/>
      </c>
      <c r="H113" s="10" t="str">
        <f t="shared" si="100"/>
        <v/>
      </c>
      <c r="I113" s="10" t="str">
        <f t="shared" si="101"/>
        <v/>
      </c>
      <c r="J113" s="16" t="str">
        <f t="shared" si="91"/>
        <v/>
      </c>
      <c r="K113" s="27" t="str">
        <f t="shared" si="92"/>
        <v/>
      </c>
      <c r="L113" s="27" t="str">
        <f t="shared" si="93"/>
        <v/>
      </c>
      <c r="M113" s="32" t="str">
        <f t="shared" si="71"/>
        <v/>
      </c>
      <c r="N113" s="20" t="str">
        <f t="shared" si="72"/>
        <v/>
      </c>
      <c r="P113" s="106" t="str">
        <f t="shared" si="102"/>
        <v/>
      </c>
      <c r="Q113" s="107" t="str">
        <f t="shared" si="103"/>
        <v/>
      </c>
      <c r="R113" s="104" t="str">
        <f t="shared" si="104"/>
        <v/>
      </c>
      <c r="S113" s="104" t="str">
        <f t="shared" si="105"/>
        <v/>
      </c>
      <c r="T113" s="104" t="str">
        <f t="shared" si="106"/>
        <v/>
      </c>
      <c r="U113" s="104" t="str">
        <f t="shared" si="107"/>
        <v/>
      </c>
      <c r="V113" s="110" t="str">
        <f t="shared" si="108"/>
        <v/>
      </c>
      <c r="W113" s="110" t="str">
        <f t="shared" si="109"/>
        <v/>
      </c>
      <c r="X113" s="110" t="str">
        <f t="shared" si="110"/>
        <v/>
      </c>
      <c r="Y113" s="110" t="str">
        <f t="shared" si="111"/>
        <v/>
      </c>
      <c r="Z113" s="110" t="str">
        <f t="shared" si="112"/>
        <v/>
      </c>
      <c r="AA113" s="110" t="str">
        <f t="shared" si="113"/>
        <v/>
      </c>
      <c r="AB113" s="110" t="str">
        <f t="shared" si="114"/>
        <v/>
      </c>
      <c r="AC113" s="110" t="str">
        <f t="shared" si="115"/>
        <v/>
      </c>
      <c r="AD113" s="112" t="str">
        <f t="shared" si="116"/>
        <v/>
      </c>
      <c r="AE113" s="113" t="str">
        <f t="shared" si="117"/>
        <v/>
      </c>
      <c r="AF113" s="116">
        <f t="shared" si="89"/>
        <v>0</v>
      </c>
    </row>
    <row r="114" spans="1:32" x14ac:dyDescent="0.35">
      <c r="A114" s="9" t="str">
        <f t="shared" si="94"/>
        <v/>
      </c>
      <c r="B114" s="14" t="str">
        <f t="shared" si="95"/>
        <v/>
      </c>
      <c r="C114" s="21" t="str">
        <f t="shared" si="96"/>
        <v/>
      </c>
      <c r="D114" s="10" t="str">
        <f t="shared" si="97"/>
        <v/>
      </c>
      <c r="E114" s="10" t="str">
        <f t="shared" si="98"/>
        <v/>
      </c>
      <c r="F114" s="20" t="str">
        <f t="shared" si="90"/>
        <v/>
      </c>
      <c r="G114" s="21" t="str">
        <f t="shared" si="99"/>
        <v/>
      </c>
      <c r="H114" s="10" t="str">
        <f t="shared" si="100"/>
        <v/>
      </c>
      <c r="I114" s="10" t="str">
        <f t="shared" si="101"/>
        <v/>
      </c>
      <c r="J114" s="16" t="str">
        <f t="shared" si="91"/>
        <v/>
      </c>
      <c r="K114" s="27" t="str">
        <f t="shared" si="92"/>
        <v/>
      </c>
      <c r="L114" s="27" t="str">
        <f t="shared" si="93"/>
        <v/>
      </c>
      <c r="M114" s="32" t="str">
        <f t="shared" si="71"/>
        <v/>
      </c>
      <c r="N114" s="20" t="str">
        <f t="shared" si="72"/>
        <v/>
      </c>
      <c r="P114" s="106" t="str">
        <f t="shared" si="102"/>
        <v/>
      </c>
      <c r="Q114" s="107" t="str">
        <f t="shared" si="103"/>
        <v/>
      </c>
      <c r="R114" s="104" t="str">
        <f t="shared" si="104"/>
        <v/>
      </c>
      <c r="S114" s="104" t="str">
        <f t="shared" si="105"/>
        <v/>
      </c>
      <c r="T114" s="104" t="str">
        <f t="shared" si="106"/>
        <v/>
      </c>
      <c r="U114" s="104" t="str">
        <f t="shared" si="107"/>
        <v/>
      </c>
      <c r="V114" s="110" t="str">
        <f t="shared" si="108"/>
        <v/>
      </c>
      <c r="W114" s="110" t="str">
        <f t="shared" si="109"/>
        <v/>
      </c>
      <c r="X114" s="110" t="str">
        <f t="shared" si="110"/>
        <v/>
      </c>
      <c r="Y114" s="110" t="str">
        <f t="shared" si="111"/>
        <v/>
      </c>
      <c r="Z114" s="110" t="str">
        <f t="shared" si="112"/>
        <v/>
      </c>
      <c r="AA114" s="110" t="str">
        <f t="shared" si="113"/>
        <v/>
      </c>
      <c r="AB114" s="110" t="str">
        <f t="shared" si="114"/>
        <v/>
      </c>
      <c r="AC114" s="110" t="str">
        <f t="shared" si="115"/>
        <v/>
      </c>
      <c r="AD114" s="112" t="str">
        <f t="shared" si="116"/>
        <v/>
      </c>
      <c r="AE114" s="113" t="str">
        <f t="shared" si="117"/>
        <v/>
      </c>
      <c r="AF114" s="116">
        <f t="shared" si="89"/>
        <v>0</v>
      </c>
    </row>
    <row r="115" spans="1:32" x14ac:dyDescent="0.35">
      <c r="A115" s="9" t="str">
        <f t="shared" si="94"/>
        <v/>
      </c>
      <c r="B115" s="14" t="str">
        <f t="shared" si="95"/>
        <v/>
      </c>
      <c r="C115" s="21" t="str">
        <f t="shared" si="96"/>
        <v/>
      </c>
      <c r="D115" s="10" t="str">
        <f t="shared" si="97"/>
        <v/>
      </c>
      <c r="E115" s="10" t="str">
        <f t="shared" si="98"/>
        <v/>
      </c>
      <c r="F115" s="20" t="str">
        <f t="shared" si="90"/>
        <v/>
      </c>
      <c r="G115" s="21" t="str">
        <f t="shared" si="99"/>
        <v/>
      </c>
      <c r="H115" s="10" t="str">
        <f t="shared" si="100"/>
        <v/>
      </c>
      <c r="I115" s="10" t="str">
        <f t="shared" si="101"/>
        <v/>
      </c>
      <c r="J115" s="16" t="str">
        <f t="shared" si="91"/>
        <v/>
      </c>
      <c r="K115" s="27" t="str">
        <f t="shared" si="92"/>
        <v/>
      </c>
      <c r="L115" s="27" t="str">
        <f t="shared" si="93"/>
        <v/>
      </c>
      <c r="M115" s="32" t="str">
        <f t="shared" si="71"/>
        <v/>
      </c>
      <c r="N115" s="20" t="str">
        <f t="shared" si="72"/>
        <v/>
      </c>
      <c r="P115" s="106" t="str">
        <f t="shared" si="102"/>
        <v/>
      </c>
      <c r="Q115" s="107" t="str">
        <f t="shared" si="103"/>
        <v/>
      </c>
      <c r="R115" s="104" t="str">
        <f t="shared" si="104"/>
        <v/>
      </c>
      <c r="S115" s="104" t="str">
        <f t="shared" si="105"/>
        <v/>
      </c>
      <c r="T115" s="104" t="str">
        <f t="shared" si="106"/>
        <v/>
      </c>
      <c r="U115" s="104" t="str">
        <f t="shared" si="107"/>
        <v/>
      </c>
      <c r="V115" s="110" t="str">
        <f t="shared" si="108"/>
        <v/>
      </c>
      <c r="W115" s="110" t="str">
        <f t="shared" si="109"/>
        <v/>
      </c>
      <c r="X115" s="110" t="str">
        <f t="shared" si="110"/>
        <v/>
      </c>
      <c r="Y115" s="110" t="str">
        <f t="shared" si="111"/>
        <v/>
      </c>
      <c r="Z115" s="110" t="str">
        <f t="shared" si="112"/>
        <v/>
      </c>
      <c r="AA115" s="110" t="str">
        <f t="shared" si="113"/>
        <v/>
      </c>
      <c r="AB115" s="110" t="str">
        <f t="shared" si="114"/>
        <v/>
      </c>
      <c r="AC115" s="110" t="str">
        <f t="shared" si="115"/>
        <v/>
      </c>
      <c r="AD115" s="112" t="str">
        <f t="shared" si="116"/>
        <v/>
      </c>
      <c r="AE115" s="113" t="str">
        <f t="shared" si="117"/>
        <v/>
      </c>
      <c r="AF115" s="116">
        <f t="shared" si="89"/>
        <v>0</v>
      </c>
    </row>
    <row r="116" spans="1:32" x14ac:dyDescent="0.35">
      <c r="A116" s="9" t="str">
        <f t="shared" si="94"/>
        <v/>
      </c>
      <c r="B116" s="14" t="str">
        <f t="shared" si="95"/>
        <v/>
      </c>
      <c r="C116" s="21" t="str">
        <f t="shared" si="96"/>
        <v/>
      </c>
      <c r="D116" s="10" t="str">
        <f t="shared" si="97"/>
        <v/>
      </c>
      <c r="E116" s="10" t="str">
        <f t="shared" si="98"/>
        <v/>
      </c>
      <c r="F116" s="20" t="str">
        <f t="shared" si="90"/>
        <v/>
      </c>
      <c r="G116" s="21" t="str">
        <f t="shared" si="99"/>
        <v/>
      </c>
      <c r="H116" s="10" t="str">
        <f t="shared" si="100"/>
        <v/>
      </c>
      <c r="I116" s="10" t="str">
        <f t="shared" si="101"/>
        <v/>
      </c>
      <c r="J116" s="16" t="str">
        <f t="shared" si="91"/>
        <v/>
      </c>
      <c r="K116" s="27" t="str">
        <f t="shared" si="92"/>
        <v/>
      </c>
      <c r="L116" s="27" t="str">
        <f t="shared" si="93"/>
        <v/>
      </c>
      <c r="M116" s="32" t="str">
        <f t="shared" si="71"/>
        <v/>
      </c>
      <c r="N116" s="20" t="str">
        <f t="shared" si="72"/>
        <v/>
      </c>
      <c r="P116" s="106" t="str">
        <f t="shared" si="102"/>
        <v/>
      </c>
      <c r="Q116" s="107" t="str">
        <f t="shared" si="103"/>
        <v/>
      </c>
      <c r="R116" s="104" t="str">
        <f t="shared" si="104"/>
        <v/>
      </c>
      <c r="S116" s="104" t="str">
        <f t="shared" si="105"/>
        <v/>
      </c>
      <c r="T116" s="104" t="str">
        <f t="shared" si="106"/>
        <v/>
      </c>
      <c r="U116" s="104" t="str">
        <f t="shared" si="107"/>
        <v/>
      </c>
      <c r="V116" s="110" t="str">
        <f t="shared" si="108"/>
        <v/>
      </c>
      <c r="W116" s="110" t="str">
        <f t="shared" si="109"/>
        <v/>
      </c>
      <c r="X116" s="110" t="str">
        <f t="shared" si="110"/>
        <v/>
      </c>
      <c r="Y116" s="110" t="str">
        <f t="shared" si="111"/>
        <v/>
      </c>
      <c r="Z116" s="110" t="str">
        <f t="shared" si="112"/>
        <v/>
      </c>
      <c r="AA116" s="110" t="str">
        <f t="shared" si="113"/>
        <v/>
      </c>
      <c r="AB116" s="110" t="str">
        <f t="shared" si="114"/>
        <v/>
      </c>
      <c r="AC116" s="110" t="str">
        <f t="shared" si="115"/>
        <v/>
      </c>
      <c r="AD116" s="112" t="str">
        <f t="shared" si="116"/>
        <v/>
      </c>
      <c r="AE116" s="113" t="str">
        <f t="shared" si="117"/>
        <v/>
      </c>
      <c r="AF116" s="116">
        <f t="shared" si="89"/>
        <v>0</v>
      </c>
    </row>
    <row r="117" spans="1:32" x14ac:dyDescent="0.35">
      <c r="A117" s="9" t="str">
        <f t="shared" si="94"/>
        <v/>
      </c>
      <c r="B117" s="14" t="str">
        <f t="shared" si="95"/>
        <v/>
      </c>
      <c r="C117" s="21" t="str">
        <f t="shared" si="96"/>
        <v/>
      </c>
      <c r="D117" s="10" t="str">
        <f t="shared" si="97"/>
        <v/>
      </c>
      <c r="E117" s="10" t="str">
        <f t="shared" si="98"/>
        <v/>
      </c>
      <c r="F117" s="20" t="str">
        <f t="shared" si="90"/>
        <v/>
      </c>
      <c r="G117" s="21" t="str">
        <f t="shared" si="99"/>
        <v/>
      </c>
      <c r="H117" s="10" t="str">
        <f t="shared" si="100"/>
        <v/>
      </c>
      <c r="I117" s="10" t="str">
        <f t="shared" si="101"/>
        <v/>
      </c>
      <c r="J117" s="16" t="str">
        <f t="shared" si="91"/>
        <v/>
      </c>
      <c r="K117" s="27" t="str">
        <f t="shared" si="92"/>
        <v/>
      </c>
      <c r="L117" s="27" t="str">
        <f t="shared" si="93"/>
        <v/>
      </c>
      <c r="M117" s="32" t="str">
        <f t="shared" si="71"/>
        <v/>
      </c>
      <c r="N117" s="20" t="str">
        <f t="shared" si="72"/>
        <v/>
      </c>
      <c r="P117" s="106" t="str">
        <f t="shared" si="102"/>
        <v/>
      </c>
      <c r="Q117" s="107" t="str">
        <f t="shared" si="103"/>
        <v/>
      </c>
      <c r="R117" s="104" t="str">
        <f t="shared" si="104"/>
        <v/>
      </c>
      <c r="S117" s="104" t="str">
        <f t="shared" si="105"/>
        <v/>
      </c>
      <c r="T117" s="104" t="str">
        <f t="shared" si="106"/>
        <v/>
      </c>
      <c r="U117" s="104" t="str">
        <f t="shared" si="107"/>
        <v/>
      </c>
      <c r="V117" s="110" t="str">
        <f t="shared" si="108"/>
        <v/>
      </c>
      <c r="W117" s="110" t="str">
        <f t="shared" si="109"/>
        <v/>
      </c>
      <c r="X117" s="110" t="str">
        <f t="shared" si="110"/>
        <v/>
      </c>
      <c r="Y117" s="110" t="str">
        <f t="shared" si="111"/>
        <v/>
      </c>
      <c r="Z117" s="110" t="str">
        <f t="shared" si="112"/>
        <v/>
      </c>
      <c r="AA117" s="110" t="str">
        <f t="shared" si="113"/>
        <v/>
      </c>
      <c r="AB117" s="110" t="str">
        <f t="shared" si="114"/>
        <v/>
      </c>
      <c r="AC117" s="110" t="str">
        <f t="shared" si="115"/>
        <v/>
      </c>
      <c r="AD117" s="112" t="str">
        <f t="shared" si="116"/>
        <v/>
      </c>
      <c r="AE117" s="113" t="str">
        <f t="shared" si="117"/>
        <v/>
      </c>
      <c r="AF117" s="116">
        <f t="shared" si="89"/>
        <v>0</v>
      </c>
    </row>
    <row r="118" spans="1:32" x14ac:dyDescent="0.35">
      <c r="A118" s="9" t="str">
        <f t="shared" si="94"/>
        <v/>
      </c>
      <c r="B118" s="14" t="str">
        <f t="shared" si="95"/>
        <v/>
      </c>
      <c r="C118" s="21" t="str">
        <f t="shared" si="96"/>
        <v/>
      </c>
      <c r="D118" s="10" t="str">
        <f t="shared" si="97"/>
        <v/>
      </c>
      <c r="E118" s="10" t="str">
        <f t="shared" si="98"/>
        <v/>
      </c>
      <c r="F118" s="20" t="str">
        <f t="shared" si="90"/>
        <v/>
      </c>
      <c r="G118" s="21" t="str">
        <f t="shared" si="99"/>
        <v/>
      </c>
      <c r="H118" s="10" t="str">
        <f t="shared" si="100"/>
        <v/>
      </c>
      <c r="I118" s="10" t="str">
        <f t="shared" si="101"/>
        <v/>
      </c>
      <c r="J118" s="16" t="str">
        <f t="shared" si="91"/>
        <v/>
      </c>
      <c r="K118" s="27" t="str">
        <f t="shared" si="92"/>
        <v/>
      </c>
      <c r="L118" s="27" t="str">
        <f t="shared" si="93"/>
        <v/>
      </c>
      <c r="M118" s="32" t="str">
        <f t="shared" si="71"/>
        <v/>
      </c>
      <c r="N118" s="20" t="str">
        <f t="shared" si="72"/>
        <v/>
      </c>
      <c r="P118" s="106" t="str">
        <f t="shared" si="102"/>
        <v/>
      </c>
      <c r="Q118" s="107" t="str">
        <f t="shared" si="103"/>
        <v/>
      </c>
      <c r="R118" s="104" t="str">
        <f t="shared" si="104"/>
        <v/>
      </c>
      <c r="S118" s="104" t="str">
        <f t="shared" si="105"/>
        <v/>
      </c>
      <c r="T118" s="104" t="str">
        <f t="shared" si="106"/>
        <v/>
      </c>
      <c r="U118" s="104" t="str">
        <f t="shared" si="107"/>
        <v/>
      </c>
      <c r="V118" s="110" t="str">
        <f t="shared" si="108"/>
        <v/>
      </c>
      <c r="W118" s="110" t="str">
        <f t="shared" si="109"/>
        <v/>
      </c>
      <c r="X118" s="110" t="str">
        <f t="shared" si="110"/>
        <v/>
      </c>
      <c r="Y118" s="110" t="str">
        <f t="shared" si="111"/>
        <v/>
      </c>
      <c r="Z118" s="110" t="str">
        <f t="shared" si="112"/>
        <v/>
      </c>
      <c r="AA118" s="110" t="str">
        <f t="shared" si="113"/>
        <v/>
      </c>
      <c r="AB118" s="110" t="str">
        <f t="shared" si="114"/>
        <v/>
      </c>
      <c r="AC118" s="110" t="str">
        <f t="shared" si="115"/>
        <v/>
      </c>
      <c r="AD118" s="112" t="str">
        <f t="shared" si="116"/>
        <v/>
      </c>
      <c r="AE118" s="113" t="str">
        <f t="shared" si="117"/>
        <v/>
      </c>
      <c r="AF118" s="116">
        <f t="shared" si="89"/>
        <v>0</v>
      </c>
    </row>
    <row r="119" spans="1:32" x14ac:dyDescent="0.35">
      <c r="A119" s="9" t="str">
        <f t="shared" si="94"/>
        <v/>
      </c>
      <c r="B119" s="14" t="str">
        <f t="shared" si="95"/>
        <v/>
      </c>
      <c r="C119" s="21" t="str">
        <f t="shared" si="96"/>
        <v/>
      </c>
      <c r="D119" s="10" t="str">
        <f t="shared" si="97"/>
        <v/>
      </c>
      <c r="E119" s="10" t="str">
        <f t="shared" si="98"/>
        <v/>
      </c>
      <c r="F119" s="20" t="str">
        <f t="shared" si="90"/>
        <v/>
      </c>
      <c r="G119" s="21" t="str">
        <f t="shared" si="99"/>
        <v/>
      </c>
      <c r="H119" s="10" t="str">
        <f t="shared" si="100"/>
        <v/>
      </c>
      <c r="I119" s="10" t="str">
        <f t="shared" si="101"/>
        <v/>
      </c>
      <c r="J119" s="16" t="str">
        <f t="shared" si="91"/>
        <v/>
      </c>
      <c r="K119" s="27" t="str">
        <f t="shared" si="92"/>
        <v/>
      </c>
      <c r="L119" s="27" t="str">
        <f t="shared" si="93"/>
        <v/>
      </c>
      <c r="M119" s="32" t="str">
        <f t="shared" si="71"/>
        <v/>
      </c>
      <c r="N119" s="20" t="str">
        <f t="shared" si="72"/>
        <v/>
      </c>
      <c r="P119" s="106" t="str">
        <f t="shared" si="102"/>
        <v/>
      </c>
      <c r="Q119" s="107" t="str">
        <f t="shared" si="103"/>
        <v/>
      </c>
      <c r="R119" s="104" t="str">
        <f t="shared" si="104"/>
        <v/>
      </c>
      <c r="S119" s="104" t="str">
        <f t="shared" si="105"/>
        <v/>
      </c>
      <c r="T119" s="104" t="str">
        <f t="shared" si="106"/>
        <v/>
      </c>
      <c r="U119" s="104" t="str">
        <f t="shared" si="107"/>
        <v/>
      </c>
      <c r="V119" s="110" t="str">
        <f t="shared" si="108"/>
        <v/>
      </c>
      <c r="W119" s="110" t="str">
        <f t="shared" si="109"/>
        <v/>
      </c>
      <c r="X119" s="110" t="str">
        <f t="shared" si="110"/>
        <v/>
      </c>
      <c r="Y119" s="110" t="str">
        <f t="shared" si="111"/>
        <v/>
      </c>
      <c r="Z119" s="110" t="str">
        <f t="shared" si="112"/>
        <v/>
      </c>
      <c r="AA119" s="110" t="str">
        <f t="shared" si="113"/>
        <v/>
      </c>
      <c r="AB119" s="110" t="str">
        <f t="shared" si="114"/>
        <v/>
      </c>
      <c r="AC119" s="110" t="str">
        <f t="shared" si="115"/>
        <v/>
      </c>
      <c r="AD119" s="112" t="str">
        <f t="shared" si="116"/>
        <v/>
      </c>
      <c r="AE119" s="113" t="str">
        <f t="shared" si="117"/>
        <v/>
      </c>
      <c r="AF119" s="116">
        <f t="shared" si="89"/>
        <v>0</v>
      </c>
    </row>
    <row r="120" spans="1:32" x14ac:dyDescent="0.35">
      <c r="A120" s="9" t="str">
        <f t="shared" si="94"/>
        <v/>
      </c>
      <c r="B120" s="14" t="str">
        <f t="shared" si="95"/>
        <v/>
      </c>
      <c r="C120" s="21" t="str">
        <f t="shared" si="96"/>
        <v/>
      </c>
      <c r="D120" s="10" t="str">
        <f t="shared" si="97"/>
        <v/>
      </c>
      <c r="E120" s="10" t="str">
        <f t="shared" si="98"/>
        <v/>
      </c>
      <c r="F120" s="20" t="str">
        <f t="shared" si="90"/>
        <v/>
      </c>
      <c r="G120" s="21" t="str">
        <f t="shared" si="99"/>
        <v/>
      </c>
      <c r="H120" s="10" t="str">
        <f t="shared" si="100"/>
        <v/>
      </c>
      <c r="I120" s="10" t="str">
        <f t="shared" si="101"/>
        <v/>
      </c>
      <c r="J120" s="16" t="str">
        <f t="shared" si="91"/>
        <v/>
      </c>
      <c r="K120" s="27" t="str">
        <f t="shared" si="92"/>
        <v/>
      </c>
      <c r="L120" s="27" t="str">
        <f t="shared" si="93"/>
        <v/>
      </c>
      <c r="M120" s="32" t="str">
        <f t="shared" si="71"/>
        <v/>
      </c>
      <c r="N120" s="20" t="str">
        <f t="shared" si="72"/>
        <v/>
      </c>
      <c r="P120" s="106" t="str">
        <f t="shared" si="102"/>
        <v/>
      </c>
      <c r="Q120" s="107" t="str">
        <f t="shared" si="103"/>
        <v/>
      </c>
      <c r="R120" s="104" t="str">
        <f t="shared" si="104"/>
        <v/>
      </c>
      <c r="S120" s="104" t="str">
        <f t="shared" si="105"/>
        <v/>
      </c>
      <c r="T120" s="104" t="str">
        <f t="shared" si="106"/>
        <v/>
      </c>
      <c r="U120" s="104" t="str">
        <f t="shared" si="107"/>
        <v/>
      </c>
      <c r="V120" s="110" t="str">
        <f t="shared" si="108"/>
        <v/>
      </c>
      <c r="W120" s="110" t="str">
        <f t="shared" si="109"/>
        <v/>
      </c>
      <c r="X120" s="110" t="str">
        <f t="shared" si="110"/>
        <v/>
      </c>
      <c r="Y120" s="110" t="str">
        <f t="shared" si="111"/>
        <v/>
      </c>
      <c r="Z120" s="110" t="str">
        <f t="shared" si="112"/>
        <v/>
      </c>
      <c r="AA120" s="110" t="str">
        <f t="shared" si="113"/>
        <v/>
      </c>
      <c r="AB120" s="110" t="str">
        <f t="shared" si="114"/>
        <v/>
      </c>
      <c r="AC120" s="110" t="str">
        <f t="shared" si="115"/>
        <v/>
      </c>
      <c r="AD120" s="112" t="str">
        <f t="shared" si="116"/>
        <v/>
      </c>
      <c r="AE120" s="113" t="str">
        <f t="shared" si="117"/>
        <v/>
      </c>
      <c r="AF120" s="116">
        <f t="shared" si="89"/>
        <v>0</v>
      </c>
    </row>
    <row r="121" spans="1:32" x14ac:dyDescent="0.35">
      <c r="A121" s="9" t="str">
        <f t="shared" si="94"/>
        <v/>
      </c>
      <c r="B121" s="14" t="str">
        <f t="shared" si="95"/>
        <v/>
      </c>
      <c r="C121" s="21" t="str">
        <f t="shared" si="96"/>
        <v/>
      </c>
      <c r="D121" s="10" t="str">
        <f t="shared" si="97"/>
        <v/>
      </c>
      <c r="E121" s="10" t="str">
        <f t="shared" si="98"/>
        <v/>
      </c>
      <c r="F121" s="20" t="str">
        <f t="shared" si="90"/>
        <v/>
      </c>
      <c r="G121" s="21" t="str">
        <f t="shared" si="99"/>
        <v/>
      </c>
      <c r="H121" s="10" t="str">
        <f t="shared" si="100"/>
        <v/>
      </c>
      <c r="I121" s="10" t="str">
        <f t="shared" si="101"/>
        <v/>
      </c>
      <c r="J121" s="16" t="str">
        <f t="shared" si="91"/>
        <v/>
      </c>
      <c r="K121" s="27" t="str">
        <f t="shared" si="92"/>
        <v/>
      </c>
      <c r="L121" s="27" t="str">
        <f t="shared" si="93"/>
        <v/>
      </c>
      <c r="M121" s="32" t="str">
        <f t="shared" si="71"/>
        <v/>
      </c>
      <c r="N121" s="20" t="str">
        <f t="shared" si="72"/>
        <v/>
      </c>
      <c r="P121" s="106" t="str">
        <f t="shared" si="102"/>
        <v/>
      </c>
      <c r="Q121" s="107" t="str">
        <f t="shared" si="103"/>
        <v/>
      </c>
      <c r="R121" s="104" t="str">
        <f t="shared" si="104"/>
        <v/>
      </c>
      <c r="S121" s="104" t="str">
        <f t="shared" si="105"/>
        <v/>
      </c>
      <c r="T121" s="104" t="str">
        <f t="shared" si="106"/>
        <v/>
      </c>
      <c r="U121" s="104" t="str">
        <f t="shared" si="107"/>
        <v/>
      </c>
      <c r="V121" s="110" t="str">
        <f t="shared" si="108"/>
        <v/>
      </c>
      <c r="W121" s="110" t="str">
        <f t="shared" si="109"/>
        <v/>
      </c>
      <c r="X121" s="110" t="str">
        <f t="shared" si="110"/>
        <v/>
      </c>
      <c r="Y121" s="110" t="str">
        <f t="shared" si="111"/>
        <v/>
      </c>
      <c r="Z121" s="110" t="str">
        <f t="shared" si="112"/>
        <v/>
      </c>
      <c r="AA121" s="110" t="str">
        <f t="shared" si="113"/>
        <v/>
      </c>
      <c r="AB121" s="110" t="str">
        <f t="shared" si="114"/>
        <v/>
      </c>
      <c r="AC121" s="110" t="str">
        <f t="shared" si="115"/>
        <v/>
      </c>
      <c r="AD121" s="112" t="str">
        <f t="shared" si="116"/>
        <v/>
      </c>
      <c r="AE121" s="113" t="str">
        <f t="shared" si="117"/>
        <v/>
      </c>
      <c r="AF121" s="116">
        <f t="shared" si="89"/>
        <v>0</v>
      </c>
    </row>
    <row r="122" spans="1:32" x14ac:dyDescent="0.35">
      <c r="A122" s="9" t="str">
        <f t="shared" si="94"/>
        <v/>
      </c>
      <c r="B122" s="14" t="str">
        <f t="shared" si="95"/>
        <v/>
      </c>
      <c r="C122" s="21" t="str">
        <f t="shared" si="96"/>
        <v/>
      </c>
      <c r="D122" s="10" t="str">
        <f t="shared" si="97"/>
        <v/>
      </c>
      <c r="E122" s="10" t="str">
        <f t="shared" si="98"/>
        <v/>
      </c>
      <c r="F122" s="20" t="str">
        <f t="shared" si="90"/>
        <v/>
      </c>
      <c r="G122" s="21" t="str">
        <f t="shared" si="99"/>
        <v/>
      </c>
      <c r="H122" s="10" t="str">
        <f t="shared" si="100"/>
        <v/>
      </c>
      <c r="I122" s="10" t="str">
        <f t="shared" si="101"/>
        <v/>
      </c>
      <c r="J122" s="16" t="str">
        <f t="shared" si="91"/>
        <v/>
      </c>
      <c r="K122" s="27" t="str">
        <f t="shared" si="92"/>
        <v/>
      </c>
      <c r="L122" s="27" t="str">
        <f t="shared" si="93"/>
        <v/>
      </c>
      <c r="M122" s="32" t="str">
        <f t="shared" si="71"/>
        <v/>
      </c>
      <c r="N122" s="20" t="str">
        <f t="shared" si="72"/>
        <v/>
      </c>
      <c r="P122" s="106" t="str">
        <f t="shared" si="102"/>
        <v/>
      </c>
      <c r="Q122" s="107" t="str">
        <f t="shared" si="103"/>
        <v/>
      </c>
      <c r="R122" s="104" t="str">
        <f t="shared" si="104"/>
        <v/>
      </c>
      <c r="S122" s="104" t="str">
        <f t="shared" si="105"/>
        <v/>
      </c>
      <c r="T122" s="104" t="str">
        <f t="shared" si="106"/>
        <v/>
      </c>
      <c r="U122" s="104" t="str">
        <f t="shared" si="107"/>
        <v/>
      </c>
      <c r="V122" s="110" t="str">
        <f t="shared" si="108"/>
        <v/>
      </c>
      <c r="W122" s="110" t="str">
        <f t="shared" si="109"/>
        <v/>
      </c>
      <c r="X122" s="110" t="str">
        <f t="shared" si="110"/>
        <v/>
      </c>
      <c r="Y122" s="110" t="str">
        <f t="shared" si="111"/>
        <v/>
      </c>
      <c r="Z122" s="110" t="str">
        <f t="shared" si="112"/>
        <v/>
      </c>
      <c r="AA122" s="110" t="str">
        <f t="shared" si="113"/>
        <v/>
      </c>
      <c r="AB122" s="110" t="str">
        <f t="shared" si="114"/>
        <v/>
      </c>
      <c r="AC122" s="110" t="str">
        <f t="shared" si="115"/>
        <v/>
      </c>
      <c r="AD122" s="112" t="str">
        <f t="shared" si="116"/>
        <v/>
      </c>
      <c r="AE122" s="113" t="str">
        <f t="shared" si="117"/>
        <v/>
      </c>
      <c r="AF122" s="116">
        <f t="shared" si="89"/>
        <v>0</v>
      </c>
    </row>
    <row r="123" spans="1:32" x14ac:dyDescent="0.35">
      <c r="A123" s="9" t="str">
        <f t="shared" si="94"/>
        <v/>
      </c>
      <c r="B123" s="14" t="str">
        <f t="shared" si="95"/>
        <v/>
      </c>
      <c r="C123" s="21" t="str">
        <f t="shared" si="96"/>
        <v/>
      </c>
      <c r="D123" s="10" t="str">
        <f t="shared" si="97"/>
        <v/>
      </c>
      <c r="E123" s="10" t="str">
        <f t="shared" si="98"/>
        <v/>
      </c>
      <c r="F123" s="20" t="str">
        <f t="shared" si="90"/>
        <v/>
      </c>
      <c r="G123" s="21" t="str">
        <f t="shared" si="99"/>
        <v/>
      </c>
      <c r="H123" s="10" t="str">
        <f t="shared" si="100"/>
        <v/>
      </c>
      <c r="I123" s="10" t="str">
        <f t="shared" si="101"/>
        <v/>
      </c>
      <c r="J123" s="16" t="str">
        <f t="shared" si="91"/>
        <v/>
      </c>
      <c r="K123" s="27" t="str">
        <f t="shared" si="92"/>
        <v/>
      </c>
      <c r="L123" s="27" t="str">
        <f t="shared" si="93"/>
        <v/>
      </c>
      <c r="M123" s="32" t="str">
        <f t="shared" si="71"/>
        <v/>
      </c>
      <c r="N123" s="20" t="str">
        <f t="shared" si="72"/>
        <v/>
      </c>
      <c r="P123" s="106" t="str">
        <f t="shared" si="102"/>
        <v/>
      </c>
      <c r="Q123" s="107" t="str">
        <f t="shared" si="103"/>
        <v/>
      </c>
      <c r="R123" s="104" t="str">
        <f t="shared" si="104"/>
        <v/>
      </c>
      <c r="S123" s="104" t="str">
        <f t="shared" si="105"/>
        <v/>
      </c>
      <c r="T123" s="104" t="str">
        <f t="shared" si="106"/>
        <v/>
      </c>
      <c r="U123" s="104" t="str">
        <f t="shared" si="107"/>
        <v/>
      </c>
      <c r="V123" s="110" t="str">
        <f t="shared" si="108"/>
        <v/>
      </c>
      <c r="W123" s="110" t="str">
        <f t="shared" si="109"/>
        <v/>
      </c>
      <c r="X123" s="110" t="str">
        <f t="shared" si="110"/>
        <v/>
      </c>
      <c r="Y123" s="110" t="str">
        <f t="shared" si="111"/>
        <v/>
      </c>
      <c r="Z123" s="110" t="str">
        <f t="shared" si="112"/>
        <v/>
      </c>
      <c r="AA123" s="110" t="str">
        <f t="shared" si="113"/>
        <v/>
      </c>
      <c r="AB123" s="110" t="str">
        <f t="shared" si="114"/>
        <v/>
      </c>
      <c r="AC123" s="110" t="str">
        <f t="shared" si="115"/>
        <v/>
      </c>
      <c r="AD123" s="112" t="str">
        <f t="shared" si="116"/>
        <v/>
      </c>
      <c r="AE123" s="113" t="str">
        <f t="shared" si="117"/>
        <v/>
      </c>
      <c r="AF123" s="116">
        <f t="shared" si="89"/>
        <v>0</v>
      </c>
    </row>
    <row r="124" spans="1:32" x14ac:dyDescent="0.35">
      <c r="A124" s="9" t="str">
        <f t="shared" si="94"/>
        <v/>
      </c>
      <c r="B124" s="14" t="str">
        <f t="shared" si="95"/>
        <v/>
      </c>
      <c r="C124" s="21" t="str">
        <f t="shared" si="96"/>
        <v/>
      </c>
      <c r="D124" s="10" t="str">
        <f t="shared" si="97"/>
        <v/>
      </c>
      <c r="E124" s="10" t="str">
        <f t="shared" si="98"/>
        <v/>
      </c>
      <c r="F124" s="20" t="str">
        <f t="shared" si="90"/>
        <v/>
      </c>
      <c r="G124" s="21" t="str">
        <f t="shared" si="99"/>
        <v/>
      </c>
      <c r="H124" s="10" t="str">
        <f t="shared" si="100"/>
        <v/>
      </c>
      <c r="I124" s="10" t="str">
        <f t="shared" si="101"/>
        <v/>
      </c>
      <c r="J124" s="16" t="str">
        <f t="shared" si="91"/>
        <v/>
      </c>
      <c r="K124" s="27" t="str">
        <f t="shared" si="92"/>
        <v/>
      </c>
      <c r="L124" s="27" t="str">
        <f t="shared" si="93"/>
        <v/>
      </c>
      <c r="M124" s="32" t="str">
        <f t="shared" si="71"/>
        <v/>
      </c>
      <c r="N124" s="20" t="str">
        <f t="shared" si="72"/>
        <v/>
      </c>
      <c r="P124" s="106" t="str">
        <f t="shared" si="102"/>
        <v/>
      </c>
      <c r="Q124" s="107" t="str">
        <f t="shared" si="103"/>
        <v/>
      </c>
      <c r="R124" s="104" t="str">
        <f t="shared" si="104"/>
        <v/>
      </c>
      <c r="S124" s="104" t="str">
        <f t="shared" si="105"/>
        <v/>
      </c>
      <c r="T124" s="104" t="str">
        <f t="shared" si="106"/>
        <v/>
      </c>
      <c r="U124" s="104" t="str">
        <f t="shared" si="107"/>
        <v/>
      </c>
      <c r="V124" s="110" t="str">
        <f t="shared" si="108"/>
        <v/>
      </c>
      <c r="W124" s="110" t="str">
        <f t="shared" si="109"/>
        <v/>
      </c>
      <c r="X124" s="110" t="str">
        <f t="shared" si="110"/>
        <v/>
      </c>
      <c r="Y124" s="110" t="str">
        <f t="shared" si="111"/>
        <v/>
      </c>
      <c r="Z124" s="110" t="str">
        <f t="shared" si="112"/>
        <v/>
      </c>
      <c r="AA124" s="110" t="str">
        <f t="shared" si="113"/>
        <v/>
      </c>
      <c r="AB124" s="110" t="str">
        <f t="shared" si="114"/>
        <v/>
      </c>
      <c r="AC124" s="110" t="str">
        <f t="shared" si="115"/>
        <v/>
      </c>
      <c r="AD124" s="112" t="str">
        <f t="shared" si="116"/>
        <v/>
      </c>
      <c r="AE124" s="113" t="str">
        <f t="shared" si="117"/>
        <v/>
      </c>
      <c r="AF124" s="116">
        <f t="shared" si="89"/>
        <v>0</v>
      </c>
    </row>
    <row r="125" spans="1:32" x14ac:dyDescent="0.35">
      <c r="A125" s="9" t="str">
        <f t="shared" si="94"/>
        <v/>
      </c>
      <c r="B125" s="14" t="str">
        <f t="shared" si="95"/>
        <v/>
      </c>
      <c r="C125" s="21" t="str">
        <f t="shared" si="96"/>
        <v/>
      </c>
      <c r="D125" s="10" t="str">
        <f t="shared" si="97"/>
        <v/>
      </c>
      <c r="E125" s="10" t="str">
        <f t="shared" si="98"/>
        <v/>
      </c>
      <c r="F125" s="20" t="str">
        <f t="shared" si="90"/>
        <v/>
      </c>
      <c r="G125" s="21" t="str">
        <f t="shared" si="99"/>
        <v/>
      </c>
      <c r="H125" s="10" t="str">
        <f t="shared" si="100"/>
        <v/>
      </c>
      <c r="I125" s="10" t="str">
        <f t="shared" si="101"/>
        <v/>
      </c>
      <c r="J125" s="16" t="str">
        <f t="shared" si="91"/>
        <v/>
      </c>
      <c r="K125" s="27" t="str">
        <f t="shared" si="92"/>
        <v/>
      </c>
      <c r="L125" s="27" t="str">
        <f t="shared" si="93"/>
        <v/>
      </c>
      <c r="M125" s="32" t="str">
        <f t="shared" si="71"/>
        <v/>
      </c>
      <c r="N125" s="20" t="str">
        <f t="shared" si="72"/>
        <v/>
      </c>
      <c r="P125" s="106" t="str">
        <f t="shared" si="102"/>
        <v/>
      </c>
      <c r="Q125" s="107" t="str">
        <f t="shared" si="103"/>
        <v/>
      </c>
      <c r="R125" s="104" t="str">
        <f t="shared" si="104"/>
        <v/>
      </c>
      <c r="S125" s="104" t="str">
        <f t="shared" si="105"/>
        <v/>
      </c>
      <c r="T125" s="104" t="str">
        <f t="shared" si="106"/>
        <v/>
      </c>
      <c r="U125" s="104" t="str">
        <f t="shared" si="107"/>
        <v/>
      </c>
      <c r="V125" s="110" t="str">
        <f t="shared" si="108"/>
        <v/>
      </c>
      <c r="W125" s="110" t="str">
        <f t="shared" si="109"/>
        <v/>
      </c>
      <c r="X125" s="110" t="str">
        <f t="shared" si="110"/>
        <v/>
      </c>
      <c r="Y125" s="110" t="str">
        <f t="shared" si="111"/>
        <v/>
      </c>
      <c r="Z125" s="110" t="str">
        <f t="shared" si="112"/>
        <v/>
      </c>
      <c r="AA125" s="110" t="str">
        <f t="shared" si="113"/>
        <v/>
      </c>
      <c r="AB125" s="110" t="str">
        <f t="shared" si="114"/>
        <v/>
      </c>
      <c r="AC125" s="110" t="str">
        <f t="shared" si="115"/>
        <v/>
      </c>
      <c r="AD125" s="112" t="str">
        <f t="shared" si="116"/>
        <v/>
      </c>
      <c r="AE125" s="113" t="str">
        <f t="shared" si="117"/>
        <v/>
      </c>
      <c r="AF125" s="116">
        <f t="shared" si="89"/>
        <v>0</v>
      </c>
    </row>
    <row r="126" spans="1:32" x14ac:dyDescent="0.35">
      <c r="A126" s="9" t="str">
        <f t="shared" si="94"/>
        <v/>
      </c>
      <c r="B126" s="14" t="str">
        <f t="shared" si="95"/>
        <v/>
      </c>
      <c r="C126" s="21" t="str">
        <f t="shared" si="96"/>
        <v/>
      </c>
      <c r="D126" s="10" t="str">
        <f t="shared" si="97"/>
        <v/>
      </c>
      <c r="E126" s="10" t="str">
        <f t="shared" si="98"/>
        <v/>
      </c>
      <c r="F126" s="20" t="str">
        <f t="shared" si="90"/>
        <v/>
      </c>
      <c r="G126" s="21" t="str">
        <f t="shared" si="99"/>
        <v/>
      </c>
      <c r="H126" s="10" t="str">
        <f t="shared" si="100"/>
        <v/>
      </c>
      <c r="I126" s="10" t="str">
        <f t="shared" si="101"/>
        <v/>
      </c>
      <c r="J126" s="16" t="str">
        <f t="shared" si="91"/>
        <v/>
      </c>
      <c r="K126" s="27" t="str">
        <f t="shared" si="92"/>
        <v/>
      </c>
      <c r="L126" s="27" t="str">
        <f t="shared" si="93"/>
        <v/>
      </c>
      <c r="M126" s="32" t="str">
        <f t="shared" si="71"/>
        <v/>
      </c>
      <c r="N126" s="20" t="str">
        <f t="shared" si="72"/>
        <v/>
      </c>
      <c r="P126" s="106" t="str">
        <f t="shared" si="102"/>
        <v/>
      </c>
      <c r="Q126" s="107" t="str">
        <f t="shared" si="103"/>
        <v/>
      </c>
      <c r="R126" s="104" t="str">
        <f t="shared" si="104"/>
        <v/>
      </c>
      <c r="S126" s="104" t="str">
        <f t="shared" si="105"/>
        <v/>
      </c>
      <c r="T126" s="104" t="str">
        <f t="shared" si="106"/>
        <v/>
      </c>
      <c r="U126" s="104" t="str">
        <f t="shared" si="107"/>
        <v/>
      </c>
      <c r="V126" s="110" t="str">
        <f t="shared" si="108"/>
        <v/>
      </c>
      <c r="W126" s="110" t="str">
        <f t="shared" si="109"/>
        <v/>
      </c>
      <c r="X126" s="110" t="str">
        <f t="shared" si="110"/>
        <v/>
      </c>
      <c r="Y126" s="110" t="str">
        <f t="shared" si="111"/>
        <v/>
      </c>
      <c r="Z126" s="110" t="str">
        <f t="shared" si="112"/>
        <v/>
      </c>
      <c r="AA126" s="110" t="str">
        <f t="shared" si="113"/>
        <v/>
      </c>
      <c r="AB126" s="110" t="str">
        <f t="shared" si="114"/>
        <v/>
      </c>
      <c r="AC126" s="110" t="str">
        <f t="shared" si="115"/>
        <v/>
      </c>
      <c r="AD126" s="112" t="str">
        <f t="shared" si="116"/>
        <v/>
      </c>
      <c r="AE126" s="113" t="str">
        <f t="shared" si="117"/>
        <v/>
      </c>
      <c r="AF126" s="116">
        <f t="shared" si="89"/>
        <v>0</v>
      </c>
    </row>
    <row r="127" spans="1:32" x14ac:dyDescent="0.35">
      <c r="A127" s="9" t="str">
        <f t="shared" si="94"/>
        <v/>
      </c>
      <c r="B127" s="14" t="str">
        <f t="shared" si="95"/>
        <v/>
      </c>
      <c r="C127" s="21" t="str">
        <f t="shared" si="96"/>
        <v/>
      </c>
      <c r="D127" s="10" t="str">
        <f t="shared" si="97"/>
        <v/>
      </c>
      <c r="E127" s="10" t="str">
        <f t="shared" si="98"/>
        <v/>
      </c>
      <c r="F127" s="20" t="str">
        <f t="shared" si="90"/>
        <v/>
      </c>
      <c r="G127" s="21" t="str">
        <f t="shared" si="99"/>
        <v/>
      </c>
      <c r="H127" s="10" t="str">
        <f t="shared" si="100"/>
        <v/>
      </c>
      <c r="I127" s="10" t="str">
        <f t="shared" si="101"/>
        <v/>
      </c>
      <c r="J127" s="16" t="str">
        <f t="shared" si="91"/>
        <v/>
      </c>
      <c r="K127" s="27" t="str">
        <f t="shared" si="92"/>
        <v/>
      </c>
      <c r="L127" s="27" t="str">
        <f t="shared" si="93"/>
        <v/>
      </c>
      <c r="M127" s="32" t="str">
        <f t="shared" si="71"/>
        <v/>
      </c>
      <c r="N127" s="20" t="str">
        <f t="shared" si="72"/>
        <v/>
      </c>
      <c r="P127" s="106" t="str">
        <f t="shared" si="102"/>
        <v/>
      </c>
      <c r="Q127" s="107" t="str">
        <f t="shared" si="103"/>
        <v/>
      </c>
      <c r="R127" s="104" t="str">
        <f t="shared" si="104"/>
        <v/>
      </c>
      <c r="S127" s="104" t="str">
        <f t="shared" si="105"/>
        <v/>
      </c>
      <c r="T127" s="104" t="str">
        <f t="shared" si="106"/>
        <v/>
      </c>
      <c r="U127" s="104" t="str">
        <f t="shared" si="107"/>
        <v/>
      </c>
      <c r="V127" s="110" t="str">
        <f t="shared" si="108"/>
        <v/>
      </c>
      <c r="W127" s="110" t="str">
        <f t="shared" si="109"/>
        <v/>
      </c>
      <c r="X127" s="110" t="str">
        <f t="shared" si="110"/>
        <v/>
      </c>
      <c r="Y127" s="110" t="str">
        <f t="shared" si="111"/>
        <v/>
      </c>
      <c r="Z127" s="110" t="str">
        <f t="shared" si="112"/>
        <v/>
      </c>
      <c r="AA127" s="110" t="str">
        <f t="shared" si="113"/>
        <v/>
      </c>
      <c r="AB127" s="110" t="str">
        <f t="shared" si="114"/>
        <v/>
      </c>
      <c r="AC127" s="110" t="str">
        <f t="shared" si="115"/>
        <v/>
      </c>
      <c r="AD127" s="112" t="str">
        <f t="shared" si="116"/>
        <v/>
      </c>
      <c r="AE127" s="113" t="str">
        <f t="shared" si="117"/>
        <v/>
      </c>
      <c r="AF127" s="116">
        <f t="shared" si="89"/>
        <v>0</v>
      </c>
    </row>
    <row r="128" spans="1:32" x14ac:dyDescent="0.35">
      <c r="A128" s="9" t="str">
        <f t="shared" si="94"/>
        <v/>
      </c>
      <c r="B128" s="14" t="str">
        <f t="shared" si="95"/>
        <v/>
      </c>
      <c r="C128" s="21" t="str">
        <f t="shared" si="96"/>
        <v/>
      </c>
      <c r="D128" s="10" t="str">
        <f t="shared" si="97"/>
        <v/>
      </c>
      <c r="E128" s="10" t="str">
        <f t="shared" si="98"/>
        <v/>
      </c>
      <c r="F128" s="20" t="str">
        <f t="shared" si="90"/>
        <v/>
      </c>
      <c r="G128" s="21" t="str">
        <f t="shared" si="99"/>
        <v/>
      </c>
      <c r="H128" s="10" t="str">
        <f t="shared" si="100"/>
        <v/>
      </c>
      <c r="I128" s="10" t="str">
        <f t="shared" si="101"/>
        <v/>
      </c>
      <c r="J128" s="16" t="str">
        <f t="shared" si="91"/>
        <v/>
      </c>
      <c r="K128" s="27" t="str">
        <f t="shared" si="92"/>
        <v/>
      </c>
      <c r="L128" s="27" t="str">
        <f t="shared" si="93"/>
        <v/>
      </c>
      <c r="M128" s="32" t="str">
        <f t="shared" si="71"/>
        <v/>
      </c>
      <c r="N128" s="20" t="str">
        <f t="shared" si="72"/>
        <v/>
      </c>
      <c r="P128" s="106" t="str">
        <f t="shared" si="102"/>
        <v/>
      </c>
      <c r="Q128" s="107" t="str">
        <f t="shared" si="103"/>
        <v/>
      </c>
      <c r="R128" s="104" t="str">
        <f t="shared" si="104"/>
        <v/>
      </c>
      <c r="S128" s="104" t="str">
        <f t="shared" si="105"/>
        <v/>
      </c>
      <c r="T128" s="104" t="str">
        <f t="shared" si="106"/>
        <v/>
      </c>
      <c r="U128" s="104" t="str">
        <f t="shared" si="107"/>
        <v/>
      </c>
      <c r="V128" s="110" t="str">
        <f t="shared" si="108"/>
        <v/>
      </c>
      <c r="W128" s="110" t="str">
        <f t="shared" si="109"/>
        <v/>
      </c>
      <c r="X128" s="110" t="str">
        <f t="shared" si="110"/>
        <v/>
      </c>
      <c r="Y128" s="110" t="str">
        <f t="shared" si="111"/>
        <v/>
      </c>
      <c r="Z128" s="110" t="str">
        <f t="shared" si="112"/>
        <v/>
      </c>
      <c r="AA128" s="110" t="str">
        <f t="shared" si="113"/>
        <v/>
      </c>
      <c r="AB128" s="110" t="str">
        <f t="shared" si="114"/>
        <v/>
      </c>
      <c r="AC128" s="110" t="str">
        <f t="shared" si="115"/>
        <v/>
      </c>
      <c r="AD128" s="112" t="str">
        <f t="shared" si="116"/>
        <v/>
      </c>
      <c r="AE128" s="113" t="str">
        <f t="shared" si="117"/>
        <v/>
      </c>
      <c r="AF128" s="116">
        <f t="shared" si="89"/>
        <v>0</v>
      </c>
    </row>
    <row r="129" spans="1:32" x14ac:dyDescent="0.35">
      <c r="A129" s="9" t="str">
        <f t="shared" si="94"/>
        <v/>
      </c>
      <c r="B129" s="14" t="str">
        <f t="shared" si="95"/>
        <v/>
      </c>
      <c r="C129" s="21" t="str">
        <f t="shared" si="96"/>
        <v/>
      </c>
      <c r="D129" s="10" t="str">
        <f t="shared" si="97"/>
        <v/>
      </c>
      <c r="E129" s="10" t="str">
        <f t="shared" si="98"/>
        <v/>
      </c>
      <c r="F129" s="20" t="str">
        <f t="shared" si="90"/>
        <v/>
      </c>
      <c r="G129" s="21" t="str">
        <f t="shared" si="99"/>
        <v/>
      </c>
      <c r="H129" s="10" t="str">
        <f t="shared" si="100"/>
        <v/>
      </c>
      <c r="I129" s="10" t="str">
        <f t="shared" si="101"/>
        <v/>
      </c>
      <c r="J129" s="16" t="str">
        <f t="shared" si="91"/>
        <v/>
      </c>
      <c r="K129" s="27" t="str">
        <f t="shared" si="92"/>
        <v/>
      </c>
      <c r="L129" s="27" t="str">
        <f t="shared" si="93"/>
        <v/>
      </c>
      <c r="M129" s="32" t="str">
        <f t="shared" si="71"/>
        <v/>
      </c>
      <c r="N129" s="20" t="str">
        <f t="shared" si="72"/>
        <v/>
      </c>
      <c r="P129" s="106" t="str">
        <f t="shared" si="102"/>
        <v/>
      </c>
      <c r="Q129" s="107" t="str">
        <f t="shared" si="103"/>
        <v/>
      </c>
      <c r="R129" s="104" t="str">
        <f t="shared" si="104"/>
        <v/>
      </c>
      <c r="S129" s="104" t="str">
        <f t="shared" si="105"/>
        <v/>
      </c>
      <c r="T129" s="104" t="str">
        <f t="shared" si="106"/>
        <v/>
      </c>
      <c r="U129" s="104" t="str">
        <f t="shared" si="107"/>
        <v/>
      </c>
      <c r="V129" s="110" t="str">
        <f t="shared" si="108"/>
        <v/>
      </c>
      <c r="W129" s="110" t="str">
        <f t="shared" si="109"/>
        <v/>
      </c>
      <c r="X129" s="110" t="str">
        <f t="shared" si="110"/>
        <v/>
      </c>
      <c r="Y129" s="110" t="str">
        <f t="shared" si="111"/>
        <v/>
      </c>
      <c r="Z129" s="110" t="str">
        <f t="shared" si="112"/>
        <v/>
      </c>
      <c r="AA129" s="110" t="str">
        <f t="shared" si="113"/>
        <v/>
      </c>
      <c r="AB129" s="110" t="str">
        <f t="shared" si="114"/>
        <v/>
      </c>
      <c r="AC129" s="110" t="str">
        <f t="shared" si="115"/>
        <v/>
      </c>
      <c r="AD129" s="112" t="str">
        <f t="shared" si="116"/>
        <v/>
      </c>
      <c r="AE129" s="113" t="str">
        <f t="shared" si="117"/>
        <v/>
      </c>
      <c r="AF129" s="116">
        <f t="shared" si="89"/>
        <v>0</v>
      </c>
    </row>
    <row r="130" spans="1:32" x14ac:dyDescent="0.35">
      <c r="A130" s="9" t="str">
        <f t="shared" si="94"/>
        <v/>
      </c>
      <c r="B130" s="14" t="str">
        <f t="shared" si="95"/>
        <v/>
      </c>
      <c r="C130" s="21" t="str">
        <f t="shared" si="96"/>
        <v/>
      </c>
      <c r="D130" s="10" t="str">
        <f t="shared" si="97"/>
        <v/>
      </c>
      <c r="E130" s="10" t="str">
        <f t="shared" si="98"/>
        <v/>
      </c>
      <c r="F130" s="20" t="str">
        <f t="shared" si="90"/>
        <v/>
      </c>
      <c r="G130" s="21" t="str">
        <f t="shared" si="99"/>
        <v/>
      </c>
      <c r="H130" s="10" t="str">
        <f t="shared" si="100"/>
        <v/>
      </c>
      <c r="I130" s="10" t="str">
        <f t="shared" si="101"/>
        <v/>
      </c>
      <c r="J130" s="16" t="str">
        <f t="shared" si="91"/>
        <v/>
      </c>
      <c r="K130" s="27" t="str">
        <f t="shared" si="92"/>
        <v/>
      </c>
      <c r="L130" s="27" t="str">
        <f t="shared" si="93"/>
        <v/>
      </c>
      <c r="M130" s="32" t="str">
        <f t="shared" si="71"/>
        <v/>
      </c>
      <c r="N130" s="20" t="str">
        <f t="shared" si="72"/>
        <v/>
      </c>
      <c r="P130" s="106" t="str">
        <f t="shared" si="102"/>
        <v/>
      </c>
      <c r="Q130" s="107" t="str">
        <f t="shared" si="103"/>
        <v/>
      </c>
      <c r="R130" s="104" t="str">
        <f t="shared" si="104"/>
        <v/>
      </c>
      <c r="S130" s="104" t="str">
        <f t="shared" si="105"/>
        <v/>
      </c>
      <c r="T130" s="104" t="str">
        <f t="shared" si="106"/>
        <v/>
      </c>
      <c r="U130" s="104" t="str">
        <f t="shared" si="107"/>
        <v/>
      </c>
      <c r="V130" s="110" t="str">
        <f t="shared" si="108"/>
        <v/>
      </c>
      <c r="W130" s="110" t="str">
        <f t="shared" si="109"/>
        <v/>
      </c>
      <c r="X130" s="110" t="str">
        <f t="shared" si="110"/>
        <v/>
      </c>
      <c r="Y130" s="110" t="str">
        <f t="shared" si="111"/>
        <v/>
      </c>
      <c r="Z130" s="110" t="str">
        <f t="shared" si="112"/>
        <v/>
      </c>
      <c r="AA130" s="110" t="str">
        <f t="shared" si="113"/>
        <v/>
      </c>
      <c r="AB130" s="110" t="str">
        <f t="shared" si="114"/>
        <v/>
      </c>
      <c r="AC130" s="110" t="str">
        <f t="shared" si="115"/>
        <v/>
      </c>
      <c r="AD130" s="112" t="str">
        <f t="shared" si="116"/>
        <v/>
      </c>
      <c r="AE130" s="113" t="str">
        <f t="shared" si="117"/>
        <v/>
      </c>
      <c r="AF130" s="116">
        <f t="shared" si="89"/>
        <v>0</v>
      </c>
    </row>
    <row r="131" spans="1:32" x14ac:dyDescent="0.35">
      <c r="A131" s="9" t="str">
        <f t="shared" si="94"/>
        <v/>
      </c>
      <c r="B131" s="14" t="str">
        <f t="shared" si="95"/>
        <v/>
      </c>
      <c r="C131" s="21" t="str">
        <f t="shared" si="96"/>
        <v/>
      </c>
      <c r="D131" s="10" t="str">
        <f t="shared" si="97"/>
        <v/>
      </c>
      <c r="E131" s="10" t="str">
        <f t="shared" si="98"/>
        <v/>
      </c>
      <c r="F131" s="20" t="str">
        <f t="shared" si="90"/>
        <v/>
      </c>
      <c r="G131" s="21" t="str">
        <f t="shared" si="99"/>
        <v/>
      </c>
      <c r="H131" s="10" t="str">
        <f t="shared" si="100"/>
        <v/>
      </c>
      <c r="I131" s="10" t="str">
        <f t="shared" si="101"/>
        <v/>
      </c>
      <c r="J131" s="16" t="str">
        <f t="shared" si="91"/>
        <v/>
      </c>
      <c r="K131" s="27" t="str">
        <f t="shared" si="92"/>
        <v/>
      </c>
      <c r="L131" s="27" t="str">
        <f t="shared" si="93"/>
        <v/>
      </c>
      <c r="M131" s="32" t="str">
        <f t="shared" si="71"/>
        <v/>
      </c>
      <c r="N131" s="20" t="str">
        <f t="shared" si="72"/>
        <v/>
      </c>
      <c r="P131" s="106" t="str">
        <f t="shared" si="102"/>
        <v/>
      </c>
      <c r="Q131" s="107" t="str">
        <f t="shared" si="103"/>
        <v/>
      </c>
      <c r="R131" s="104" t="str">
        <f t="shared" si="104"/>
        <v/>
      </c>
      <c r="S131" s="104" t="str">
        <f t="shared" si="105"/>
        <v/>
      </c>
      <c r="T131" s="104" t="str">
        <f t="shared" si="106"/>
        <v/>
      </c>
      <c r="U131" s="104" t="str">
        <f t="shared" si="107"/>
        <v/>
      </c>
      <c r="V131" s="110" t="str">
        <f t="shared" si="108"/>
        <v/>
      </c>
      <c r="W131" s="110" t="str">
        <f t="shared" si="109"/>
        <v/>
      </c>
      <c r="X131" s="110" t="str">
        <f t="shared" si="110"/>
        <v/>
      </c>
      <c r="Y131" s="110" t="str">
        <f t="shared" si="111"/>
        <v/>
      </c>
      <c r="Z131" s="110" t="str">
        <f t="shared" si="112"/>
        <v/>
      </c>
      <c r="AA131" s="110" t="str">
        <f t="shared" si="113"/>
        <v/>
      </c>
      <c r="AB131" s="110" t="str">
        <f t="shared" si="114"/>
        <v/>
      </c>
      <c r="AC131" s="110" t="str">
        <f t="shared" si="115"/>
        <v/>
      </c>
      <c r="AD131" s="112" t="str">
        <f t="shared" si="116"/>
        <v/>
      </c>
      <c r="AE131" s="113" t="str">
        <f t="shared" si="117"/>
        <v/>
      </c>
      <c r="AF131" s="116">
        <f t="shared" si="89"/>
        <v>0</v>
      </c>
    </row>
    <row r="132" spans="1:32" ht="15" thickBot="1" x14ac:dyDescent="0.4">
      <c r="A132" s="9" t="str">
        <f t="shared" si="94"/>
        <v/>
      </c>
      <c r="B132" s="14" t="str">
        <f t="shared" si="95"/>
        <v/>
      </c>
      <c r="C132" s="22" t="str">
        <f t="shared" si="96"/>
        <v/>
      </c>
      <c r="D132" s="23" t="str">
        <f t="shared" si="97"/>
        <v/>
      </c>
      <c r="E132" s="23" t="str">
        <f t="shared" si="98"/>
        <v/>
      </c>
      <c r="F132" s="24" t="str">
        <f t="shared" si="90"/>
        <v/>
      </c>
      <c r="G132" s="22" t="str">
        <f t="shared" si="99"/>
        <v/>
      </c>
      <c r="H132" s="23" t="str">
        <f t="shared" si="100"/>
        <v/>
      </c>
      <c r="I132" s="23" t="str">
        <f t="shared" si="101"/>
        <v/>
      </c>
      <c r="J132" s="25" t="str">
        <f t="shared" si="91"/>
        <v/>
      </c>
      <c r="K132" s="34" t="str">
        <f t="shared" si="92"/>
        <v/>
      </c>
      <c r="L132" s="34" t="str">
        <f t="shared" si="93"/>
        <v/>
      </c>
      <c r="M132" s="35" t="str">
        <f t="shared" si="71"/>
        <v/>
      </c>
      <c r="N132" s="24" t="str">
        <f t="shared" si="72"/>
        <v/>
      </c>
      <c r="P132" s="108" t="str">
        <f t="shared" si="102"/>
        <v/>
      </c>
      <c r="Q132" s="109" t="str">
        <f t="shared" si="103"/>
        <v/>
      </c>
      <c r="R132" s="105" t="str">
        <f t="shared" si="104"/>
        <v/>
      </c>
      <c r="S132" s="105" t="str">
        <f t="shared" si="105"/>
        <v/>
      </c>
      <c r="T132" s="105" t="str">
        <f t="shared" si="106"/>
        <v/>
      </c>
      <c r="U132" s="105" t="str">
        <f t="shared" si="107"/>
        <v/>
      </c>
      <c r="V132" s="111" t="str">
        <f t="shared" si="108"/>
        <v/>
      </c>
      <c r="W132" s="111" t="str">
        <f t="shared" si="109"/>
        <v/>
      </c>
      <c r="X132" s="111" t="str">
        <f t="shared" si="110"/>
        <v/>
      </c>
      <c r="Y132" s="111" t="str">
        <f t="shared" si="111"/>
        <v/>
      </c>
      <c r="Z132" s="111" t="str">
        <f t="shared" si="112"/>
        <v/>
      </c>
      <c r="AA132" s="111" t="str">
        <f t="shared" si="113"/>
        <v/>
      </c>
      <c r="AB132" s="111" t="str">
        <f t="shared" si="114"/>
        <v/>
      </c>
      <c r="AC132" s="111" t="str">
        <f t="shared" si="115"/>
        <v/>
      </c>
      <c r="AD132" s="114" t="str">
        <f t="shared" si="116"/>
        <v/>
      </c>
      <c r="AE132" s="115" t="str">
        <f t="shared" si="117"/>
        <v/>
      </c>
      <c r="AF132" s="117">
        <f t="shared" si="89"/>
        <v>0</v>
      </c>
    </row>
  </sheetData>
  <mergeCells count="8">
    <mergeCell ref="G1:N1"/>
    <mergeCell ref="A1:B1"/>
    <mergeCell ref="C1:D1"/>
    <mergeCell ref="P7:AE7"/>
    <mergeCell ref="P6:AF6"/>
    <mergeCell ref="C7:F7"/>
    <mergeCell ref="G7:J7"/>
    <mergeCell ref="M7:N7"/>
  </mergeCells>
  <dataValidations count="4">
    <dataValidation type="list" allowBlank="1" showInputMessage="1" showErrorMessage="1" sqref="D2">
      <mc:AlternateContent xmlns:x12ac="http://schemas.microsoft.com/office/spreadsheetml/2011/1/ac" xmlns:mc="http://schemas.openxmlformats.org/markup-compatibility/2006">
        <mc:Choice Requires="x12ac">
          <x12ac:list>"4,00%","3,25%","2,75%","2,25%","1,75%","1,25%","0,9%"</x12ac:list>
        </mc:Choice>
        <mc:Fallback>
          <formula1>"4,00%,3,25%,2,75%,2,25%,1,75%,1,25%,0,9%"</formula1>
        </mc:Fallback>
      </mc:AlternateContent>
    </dataValidation>
    <dataValidation type="list" allowBlank="1" showInputMessage="1" sqref="D3">
      <mc:AlternateContent xmlns:x12ac="http://schemas.microsoft.com/office/spreadsheetml/2011/1/ac" xmlns:mc="http://schemas.openxmlformats.org/markup-compatibility/2006">
        <mc:Choice Requires="x12ac">
          <x12ac:list>"4,00%","2,50%"</x12ac:list>
        </mc:Choice>
        <mc:Fallback>
          <formula1>"4,00%,2,50%"</formula1>
        </mc:Fallback>
      </mc:AlternateContent>
    </dataValidation>
    <dataValidation type="list" allowBlank="1" showInputMessage="1" showErrorMessage="1" sqref="D4">
      <formula1>"Reguliert,BGH-Urteil,VVG-Reform"</formula1>
    </dataValidation>
    <dataValidation type="list" allowBlank="1" showInputMessage="1" showErrorMessage="1" sqref="G3:G4">
      <formula1>"Keine,Standard,'-10%"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P10:AD1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B1:G20"/>
  <sheetViews>
    <sheetView showGridLines="0" workbookViewId="0"/>
  </sheetViews>
  <sheetFormatPr baseColWidth="10" defaultRowHeight="14.5" x14ac:dyDescent="0.35"/>
  <cols>
    <col min="2" max="2" width="4.54296875" customWidth="1"/>
    <col min="3" max="3" width="54.54296875" customWidth="1"/>
    <col min="4" max="4" width="54.54296875" style="55" customWidth="1"/>
    <col min="6" max="6" width="3.6328125" customWidth="1"/>
  </cols>
  <sheetData>
    <row r="1" spans="2:7" ht="15" thickBot="1" x14ac:dyDescent="0.4"/>
    <row r="2" spans="2:7" x14ac:dyDescent="0.35">
      <c r="C2" s="62" t="s">
        <v>49</v>
      </c>
      <c r="D2" s="64" t="s">
        <v>51</v>
      </c>
    </row>
    <row r="3" spans="2:7" ht="15" thickBot="1" x14ac:dyDescent="0.4">
      <c r="C3" s="63" t="s">
        <v>50</v>
      </c>
      <c r="D3" s="65" t="s">
        <v>52</v>
      </c>
      <c r="F3" t="s">
        <v>69</v>
      </c>
    </row>
    <row r="4" spans="2:7" ht="14.5" customHeight="1" x14ac:dyDescent="0.35">
      <c r="B4" s="56"/>
      <c r="C4" s="57"/>
      <c r="D4" s="66"/>
      <c r="F4" s="74" t="s">
        <v>71</v>
      </c>
    </row>
    <row r="5" spans="2:7" x14ac:dyDescent="0.35">
      <c r="B5" s="56"/>
      <c r="C5" s="57" t="s">
        <v>59</v>
      </c>
      <c r="D5" s="66" t="s">
        <v>53</v>
      </c>
      <c r="F5" s="74"/>
      <c r="G5" s="74" t="s">
        <v>72</v>
      </c>
    </row>
    <row r="6" spans="2:7" x14ac:dyDescent="0.35">
      <c r="B6" s="56"/>
      <c r="C6" s="75"/>
      <c r="D6" s="67"/>
      <c r="F6" s="74"/>
      <c r="G6" s="74" t="s">
        <v>73</v>
      </c>
    </row>
    <row r="7" spans="2:7" x14ac:dyDescent="0.35">
      <c r="B7" s="56"/>
      <c r="C7" s="75" t="s">
        <v>76</v>
      </c>
      <c r="D7" s="68"/>
      <c r="F7" s="74"/>
      <c r="G7" s="74" t="s">
        <v>74</v>
      </c>
    </row>
    <row r="8" spans="2:7" x14ac:dyDescent="0.35">
      <c r="B8" s="56"/>
      <c r="C8" s="58"/>
      <c r="D8" s="68" t="s">
        <v>55</v>
      </c>
      <c r="F8" s="74" t="s">
        <v>78</v>
      </c>
    </row>
    <row r="9" spans="2:7" x14ac:dyDescent="0.35">
      <c r="B9" s="56"/>
      <c r="C9" s="58"/>
      <c r="D9" s="69"/>
      <c r="F9" s="74" t="s">
        <v>70</v>
      </c>
    </row>
    <row r="10" spans="2:7" x14ac:dyDescent="0.35">
      <c r="B10" s="56"/>
      <c r="C10" s="58"/>
      <c r="D10" s="69" t="s">
        <v>54</v>
      </c>
      <c r="F10" s="74"/>
    </row>
    <row r="11" spans="2:7" x14ac:dyDescent="0.35">
      <c r="B11" s="56"/>
      <c r="C11" s="70"/>
      <c r="D11" s="69" t="s">
        <v>75</v>
      </c>
      <c r="F11" s="74" t="s">
        <v>106</v>
      </c>
    </row>
    <row r="12" spans="2:7" x14ac:dyDescent="0.35">
      <c r="B12" s="56"/>
      <c r="C12" s="59"/>
      <c r="D12" s="69" t="s">
        <v>58</v>
      </c>
    </row>
    <row r="13" spans="2:7" x14ac:dyDescent="0.35">
      <c r="B13" s="56"/>
      <c r="C13" s="59"/>
      <c r="D13" s="69" t="s">
        <v>77</v>
      </c>
    </row>
    <row r="14" spans="2:7" x14ac:dyDescent="0.35">
      <c r="B14" s="56"/>
      <c r="C14" s="59" t="s">
        <v>60</v>
      </c>
      <c r="D14" s="69" t="s">
        <v>57</v>
      </c>
    </row>
    <row r="15" spans="2:7" x14ac:dyDescent="0.35">
      <c r="B15" s="56"/>
      <c r="C15" s="72"/>
      <c r="D15" s="69" t="s">
        <v>56</v>
      </c>
    </row>
    <row r="16" spans="2:7" x14ac:dyDescent="0.35">
      <c r="B16" s="56"/>
      <c r="C16" s="72" t="s">
        <v>62</v>
      </c>
      <c r="D16" s="69" t="s">
        <v>64</v>
      </c>
    </row>
    <row r="17" spans="2:4" x14ac:dyDescent="0.35">
      <c r="B17" s="56"/>
      <c r="C17" s="60"/>
      <c r="D17" s="69"/>
    </row>
    <row r="18" spans="2:4" x14ac:dyDescent="0.35">
      <c r="B18" s="56"/>
      <c r="C18" s="60"/>
      <c r="D18" s="69" t="s">
        <v>61</v>
      </c>
    </row>
    <row r="19" spans="2:4" x14ac:dyDescent="0.35">
      <c r="B19" s="56"/>
      <c r="C19" s="60"/>
      <c r="D19" s="69" t="s">
        <v>63</v>
      </c>
    </row>
    <row r="20" spans="2:4" ht="15" thickBot="1" x14ac:dyDescent="0.4">
      <c r="B20" s="56"/>
      <c r="C20" s="61"/>
      <c r="D20" s="7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K3:R22"/>
  <sheetViews>
    <sheetView showGridLines="0" zoomScale="120" zoomScaleNormal="120" workbookViewId="0">
      <selection activeCell="R12" sqref="R12"/>
    </sheetView>
  </sheetViews>
  <sheetFormatPr baseColWidth="10" defaultRowHeight="14.5" x14ac:dyDescent="0.35"/>
  <sheetData>
    <row r="3" spans="11:18" x14ac:dyDescent="0.35">
      <c r="K3" t="s">
        <v>84</v>
      </c>
    </row>
    <row r="5" spans="11:18" x14ac:dyDescent="0.35">
      <c r="K5" s="86"/>
      <c r="L5" s="131" t="s">
        <v>79</v>
      </c>
      <c r="M5" s="132"/>
      <c r="N5" s="133"/>
      <c r="O5" s="131" t="s">
        <v>80</v>
      </c>
      <c r="P5" s="132"/>
      <c r="Q5" s="133"/>
      <c r="R5" s="83" t="s">
        <v>86</v>
      </c>
    </row>
    <row r="6" spans="11:18" x14ac:dyDescent="0.35">
      <c r="K6" s="84" t="s">
        <v>15</v>
      </c>
      <c r="L6" s="76" t="s">
        <v>81</v>
      </c>
      <c r="M6" s="77" t="s">
        <v>82</v>
      </c>
      <c r="N6" s="78" t="s">
        <v>85</v>
      </c>
      <c r="O6" s="76" t="s">
        <v>81</v>
      </c>
      <c r="P6" s="77" t="s">
        <v>82</v>
      </c>
      <c r="Q6" s="78" t="s">
        <v>85</v>
      </c>
      <c r="R6" s="84" t="s">
        <v>87</v>
      </c>
    </row>
    <row r="7" spans="11:18" x14ac:dyDescent="0.35">
      <c r="K7" s="84">
        <v>0</v>
      </c>
      <c r="L7" s="76">
        <v>0</v>
      </c>
      <c r="M7" s="77">
        <f>SUM($L$7:L7)</f>
        <v>0</v>
      </c>
      <c r="N7" s="79">
        <v>0</v>
      </c>
      <c r="O7" s="76"/>
      <c r="P7" s="77"/>
      <c r="Q7" s="78"/>
      <c r="R7" s="84">
        <f>M7 + P7</f>
        <v>0</v>
      </c>
    </row>
    <row r="8" spans="11:18" x14ac:dyDescent="0.35">
      <c r="K8" s="84">
        <v>1</v>
      </c>
      <c r="L8" s="76">
        <v>1000</v>
      </c>
      <c r="M8" s="77">
        <f>SUM($L$7:L8)</f>
        <v>1000</v>
      </c>
      <c r="N8" s="79">
        <f t="shared" ref="N8:N22" si="0">M8 / R8</f>
        <v>1</v>
      </c>
      <c r="O8" s="76"/>
      <c r="P8" s="77"/>
      <c r="Q8" s="78"/>
      <c r="R8" s="84">
        <f t="shared" ref="R8:R22" si="1">M8 + P8</f>
        <v>1000</v>
      </c>
    </row>
    <row r="9" spans="11:18" x14ac:dyDescent="0.35">
      <c r="K9" s="84">
        <v>2</v>
      </c>
      <c r="L9" s="76">
        <v>2000</v>
      </c>
      <c r="M9" s="77">
        <f>SUM($L$7:L9)</f>
        <v>3000</v>
      </c>
      <c r="N9" s="79">
        <f t="shared" si="0"/>
        <v>1</v>
      </c>
      <c r="O9" s="76">
        <v>0</v>
      </c>
      <c r="P9" s="77">
        <f>SUM($O$9:O9)</f>
        <v>0</v>
      </c>
      <c r="Q9" s="79">
        <f t="shared" ref="Q9:Q22" si="2">P9 / R9</f>
        <v>0</v>
      </c>
      <c r="R9" s="84">
        <f t="shared" si="1"/>
        <v>3000</v>
      </c>
    </row>
    <row r="10" spans="11:18" x14ac:dyDescent="0.35">
      <c r="K10" s="84">
        <v>3</v>
      </c>
      <c r="L10" s="76">
        <v>3000</v>
      </c>
      <c r="M10" s="77">
        <f>SUM($L$7:L10)</f>
        <v>6000</v>
      </c>
      <c r="N10" s="79">
        <f t="shared" si="0"/>
        <v>0.8571428571428571</v>
      </c>
      <c r="O10" s="76">
        <v>1000</v>
      </c>
      <c r="P10" s="77">
        <f>SUM($O$9:O10)</f>
        <v>1000</v>
      </c>
      <c r="Q10" s="79">
        <f t="shared" si="2"/>
        <v>0.14285714285714285</v>
      </c>
      <c r="R10" s="84">
        <f t="shared" si="1"/>
        <v>7000</v>
      </c>
    </row>
    <row r="11" spans="11:18" x14ac:dyDescent="0.35">
      <c r="K11" s="84">
        <v>4</v>
      </c>
      <c r="L11" s="76">
        <v>4000</v>
      </c>
      <c r="M11" s="77">
        <f>SUM($L$7:L11)</f>
        <v>10000</v>
      </c>
      <c r="N11" s="79">
        <f t="shared" si="0"/>
        <v>0.76923076923076927</v>
      </c>
      <c r="O11" s="76">
        <v>2000</v>
      </c>
      <c r="P11" s="77">
        <f>SUM($O$9:O11)</f>
        <v>3000</v>
      </c>
      <c r="Q11" s="79">
        <f t="shared" si="2"/>
        <v>0.23076923076923078</v>
      </c>
      <c r="R11" s="84">
        <f t="shared" si="1"/>
        <v>13000</v>
      </c>
    </row>
    <row r="12" spans="11:18" x14ac:dyDescent="0.35">
      <c r="K12" s="84">
        <v>5</v>
      </c>
      <c r="L12" s="76">
        <v>5000</v>
      </c>
      <c r="M12" s="77">
        <f>SUM($L$7:L12)</f>
        <v>15000</v>
      </c>
      <c r="N12" s="79">
        <f t="shared" si="0"/>
        <v>0.7142857142857143</v>
      </c>
      <c r="O12" s="76">
        <v>3000</v>
      </c>
      <c r="P12" s="77">
        <f>SUM($O$9:O12)</f>
        <v>6000</v>
      </c>
      <c r="Q12" s="79">
        <f t="shared" si="2"/>
        <v>0.2857142857142857</v>
      </c>
      <c r="R12" s="84">
        <f t="shared" si="1"/>
        <v>21000</v>
      </c>
    </row>
    <row r="13" spans="11:18" x14ac:dyDescent="0.35">
      <c r="K13" s="84">
        <v>6</v>
      </c>
      <c r="L13" s="76">
        <v>6000</v>
      </c>
      <c r="M13" s="77">
        <f>SUM($L$7:L13)</f>
        <v>21000</v>
      </c>
      <c r="N13" s="79">
        <f t="shared" si="0"/>
        <v>0.67741935483870963</v>
      </c>
      <c r="O13" s="76">
        <v>4000</v>
      </c>
      <c r="P13" s="77">
        <f>SUM($O$9:O13)</f>
        <v>10000</v>
      </c>
      <c r="Q13" s="79">
        <f t="shared" si="2"/>
        <v>0.32258064516129031</v>
      </c>
      <c r="R13" s="84">
        <f t="shared" si="1"/>
        <v>31000</v>
      </c>
    </row>
    <row r="14" spans="11:18" x14ac:dyDescent="0.35">
      <c r="K14" s="84">
        <v>7</v>
      </c>
      <c r="L14" s="76">
        <v>7000</v>
      </c>
      <c r="M14" s="77">
        <f>SUM($L$7:L14)</f>
        <v>28000</v>
      </c>
      <c r="N14" s="79">
        <f t="shared" si="0"/>
        <v>0.65116279069767447</v>
      </c>
      <c r="O14" s="76">
        <v>5000</v>
      </c>
      <c r="P14" s="77">
        <f>SUM($O$9:O14)</f>
        <v>15000</v>
      </c>
      <c r="Q14" s="79">
        <f t="shared" si="2"/>
        <v>0.34883720930232559</v>
      </c>
      <c r="R14" s="84">
        <f t="shared" si="1"/>
        <v>43000</v>
      </c>
    </row>
    <row r="15" spans="11:18" x14ac:dyDescent="0.35">
      <c r="K15" s="84">
        <v>8</v>
      </c>
      <c r="L15" s="76">
        <v>8000</v>
      </c>
      <c r="M15" s="77">
        <f>SUM($L$7:L15)</f>
        <v>36000</v>
      </c>
      <c r="N15" s="79">
        <f t="shared" si="0"/>
        <v>0.63157894736842102</v>
      </c>
      <c r="O15" s="76">
        <v>6000</v>
      </c>
      <c r="P15" s="77">
        <f>SUM($O$9:O15)</f>
        <v>21000</v>
      </c>
      <c r="Q15" s="79">
        <f t="shared" si="2"/>
        <v>0.36842105263157893</v>
      </c>
      <c r="R15" s="84">
        <f t="shared" si="1"/>
        <v>57000</v>
      </c>
    </row>
    <row r="16" spans="11:18" x14ac:dyDescent="0.35">
      <c r="K16" s="84">
        <v>9</v>
      </c>
      <c r="L16" s="76">
        <v>9000</v>
      </c>
      <c r="M16" s="77">
        <f>SUM($L$7:L16)</f>
        <v>45000</v>
      </c>
      <c r="N16" s="79">
        <f t="shared" si="0"/>
        <v>0.61643835616438358</v>
      </c>
      <c r="O16" s="76">
        <v>7000</v>
      </c>
      <c r="P16" s="77">
        <f>SUM($O$9:O16)</f>
        <v>28000</v>
      </c>
      <c r="Q16" s="79">
        <f t="shared" si="2"/>
        <v>0.38356164383561642</v>
      </c>
      <c r="R16" s="84">
        <f t="shared" si="1"/>
        <v>73000</v>
      </c>
    </row>
    <row r="17" spans="11:18" x14ac:dyDescent="0.35">
      <c r="K17" s="84">
        <v>10</v>
      </c>
      <c r="L17" s="76">
        <v>10000</v>
      </c>
      <c r="M17" s="77">
        <f>SUM($L8:L17)</f>
        <v>55000</v>
      </c>
      <c r="N17" s="79">
        <f t="shared" si="0"/>
        <v>0.60439560439560436</v>
      </c>
      <c r="O17" s="76">
        <v>8000</v>
      </c>
      <c r="P17" s="77">
        <f>SUM($O$9:O17)</f>
        <v>36000</v>
      </c>
      <c r="Q17" s="79">
        <f t="shared" si="2"/>
        <v>0.39560439560439559</v>
      </c>
      <c r="R17" s="84">
        <f t="shared" si="1"/>
        <v>91000</v>
      </c>
    </row>
    <row r="18" spans="11:18" x14ac:dyDescent="0.35">
      <c r="K18" s="84">
        <v>11</v>
      </c>
      <c r="L18" s="76">
        <v>11000</v>
      </c>
      <c r="M18" s="77">
        <f>SUM($L9:L18)</f>
        <v>65000</v>
      </c>
      <c r="N18" s="79">
        <f t="shared" si="0"/>
        <v>0.59090909090909094</v>
      </c>
      <c r="O18" s="76">
        <v>9000</v>
      </c>
      <c r="P18" s="77">
        <f>SUM($O$9:O18)</f>
        <v>45000</v>
      </c>
      <c r="Q18" s="79">
        <f t="shared" si="2"/>
        <v>0.40909090909090912</v>
      </c>
      <c r="R18" s="84">
        <f t="shared" si="1"/>
        <v>110000</v>
      </c>
    </row>
    <row r="19" spans="11:18" x14ac:dyDescent="0.35">
      <c r="K19" s="84">
        <v>12</v>
      </c>
      <c r="L19" s="76">
        <v>12000</v>
      </c>
      <c r="M19" s="77">
        <f>SUM($L10:L19)</f>
        <v>75000</v>
      </c>
      <c r="N19" s="79">
        <f t="shared" si="0"/>
        <v>0.57692307692307687</v>
      </c>
      <c r="O19" s="76">
        <v>10000</v>
      </c>
      <c r="P19" s="77">
        <f>SUM($O10:O19)</f>
        <v>55000</v>
      </c>
      <c r="Q19" s="79">
        <f t="shared" si="2"/>
        <v>0.42307692307692307</v>
      </c>
      <c r="R19" s="84">
        <f t="shared" si="1"/>
        <v>130000</v>
      </c>
    </row>
    <row r="20" spans="11:18" x14ac:dyDescent="0.35">
      <c r="K20" s="84">
        <v>13</v>
      </c>
      <c r="L20" s="76">
        <v>13000</v>
      </c>
      <c r="M20" s="77">
        <f>SUM($L11:L20)</f>
        <v>85000</v>
      </c>
      <c r="N20" s="79">
        <f t="shared" si="0"/>
        <v>0.56666666666666665</v>
      </c>
      <c r="O20" s="76">
        <v>11000</v>
      </c>
      <c r="P20" s="77">
        <f>SUM($O11:O20)</f>
        <v>65000</v>
      </c>
      <c r="Q20" s="79">
        <f t="shared" si="2"/>
        <v>0.43333333333333335</v>
      </c>
      <c r="R20" s="84">
        <f t="shared" si="1"/>
        <v>150000</v>
      </c>
    </row>
    <row r="21" spans="11:18" x14ac:dyDescent="0.35">
      <c r="K21" s="84">
        <v>14</v>
      </c>
      <c r="L21" s="76">
        <v>14000</v>
      </c>
      <c r="M21" s="77">
        <f>SUM($L12:L21)</f>
        <v>95000</v>
      </c>
      <c r="N21" s="79">
        <f t="shared" si="0"/>
        <v>0.55882352941176472</v>
      </c>
      <c r="O21" s="76">
        <v>12000</v>
      </c>
      <c r="P21" s="77">
        <f>SUM($O12:O21)</f>
        <v>75000</v>
      </c>
      <c r="Q21" s="79">
        <f t="shared" si="2"/>
        <v>0.44117647058823528</v>
      </c>
      <c r="R21" s="84">
        <f t="shared" si="1"/>
        <v>170000</v>
      </c>
    </row>
    <row r="22" spans="11:18" x14ac:dyDescent="0.35">
      <c r="K22" s="85" t="s">
        <v>83</v>
      </c>
      <c r="L22" s="80">
        <v>15000</v>
      </c>
      <c r="M22" s="81">
        <f>SUM($L13:L22)</f>
        <v>105000</v>
      </c>
      <c r="N22" s="82">
        <f t="shared" si="0"/>
        <v>0.55263157894736847</v>
      </c>
      <c r="O22" s="80">
        <v>13000</v>
      </c>
      <c r="P22" s="81">
        <f>SUM($O13:O22)</f>
        <v>85000</v>
      </c>
      <c r="Q22" s="82">
        <f t="shared" si="2"/>
        <v>0.44736842105263158</v>
      </c>
      <c r="R22" s="85">
        <f t="shared" si="1"/>
        <v>190000</v>
      </c>
    </row>
  </sheetData>
  <mergeCells count="2">
    <mergeCell ref="L5:N5"/>
    <mergeCell ref="O5:Q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44</vt:i4>
      </vt:variant>
    </vt:vector>
  </HeadingPairs>
  <TitlesOfParts>
    <vt:vector size="49" baseType="lpstr">
      <vt:lpstr>Tafel</vt:lpstr>
      <vt:lpstr>Barwerte</vt:lpstr>
      <vt:lpstr>Fortschreibung</vt:lpstr>
      <vt:lpstr>Bilanz</vt:lpstr>
      <vt:lpstr>BWR</vt:lpstr>
      <vt:lpstr>ae_x5_PK</vt:lpstr>
      <vt:lpstr>ae_xn_DR</vt:lpstr>
      <vt:lpstr>ae_xn_PK</vt:lpstr>
      <vt:lpstr>ae_xt_DR</vt:lpstr>
      <vt:lpstr>ae_xt_PK</vt:lpstr>
      <vt:lpstr>alpha_g_DR</vt:lpstr>
      <vt:lpstr>alpha_g_PK</vt:lpstr>
      <vt:lpstr>alpha_z_DR</vt:lpstr>
      <vt:lpstr>alpha_z_PK</vt:lpstr>
      <vt:lpstr>Beitrag_DR</vt:lpstr>
      <vt:lpstr>Beitrag_PK</vt:lpstr>
      <vt:lpstr>beta_DR</vt:lpstr>
      <vt:lpstr>beta_PK</vt:lpstr>
      <vt:lpstr>Dx_DR</vt:lpstr>
      <vt:lpstr>Dx_PK</vt:lpstr>
      <vt:lpstr>gamma_1_DR</vt:lpstr>
      <vt:lpstr>gamma_1_PK</vt:lpstr>
      <vt:lpstr>gamma_2_DR</vt:lpstr>
      <vt:lpstr>gamma_2_PK</vt:lpstr>
      <vt:lpstr>gamma_3_DR</vt:lpstr>
      <vt:lpstr>gamma_3_PK</vt:lpstr>
      <vt:lpstr>HRechzins</vt:lpstr>
      <vt:lpstr>HZillsatz</vt:lpstr>
      <vt:lpstr>i_DR</vt:lpstr>
      <vt:lpstr>i_PK</vt:lpstr>
      <vt:lpstr>lx_DR</vt:lpstr>
      <vt:lpstr>lx_PK</vt:lpstr>
      <vt:lpstr>m</vt:lpstr>
      <vt:lpstr>n</vt:lpstr>
      <vt:lpstr>n_ae_x_DR</vt:lpstr>
      <vt:lpstr>n_ae_x_PK</vt:lpstr>
      <vt:lpstr>Nx_DR</vt:lpstr>
      <vt:lpstr>Nx_PK</vt:lpstr>
      <vt:lpstr>qx_DR</vt:lpstr>
      <vt:lpstr>qx_PK</vt:lpstr>
      <vt:lpstr>Rente</vt:lpstr>
      <vt:lpstr>RKW</vt:lpstr>
      <vt:lpstr>t</vt:lpstr>
      <vt:lpstr>Tafel_DR</vt:lpstr>
      <vt:lpstr>Tafel_PK</vt:lpstr>
      <vt:lpstr>Tarifreserve</vt:lpstr>
      <vt:lpstr>v_DR</vt:lpstr>
      <vt:lpstr>v_PK</vt:lpstr>
      <vt:lpstr>x</vt:lpstr>
    </vt:vector>
  </TitlesOfParts>
  <Company>HBA Consulting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Moskopp, Steffen</dc:creator>
  <cp:lastModifiedBy>Moskopp, Steffen</cp:lastModifiedBy>
  <dcterms:created xsi:type="dcterms:W3CDTF">2021-02-08T14:32:29Z</dcterms:created>
  <dcterms:modified xsi:type="dcterms:W3CDTF">2021-03-05T12:57:28Z</dcterms:modified>
</cp:coreProperties>
</file>