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4c1132a9a06cee12/Documents/"/>
    </mc:Choice>
  </mc:AlternateContent>
  <xr:revisionPtr revIDLastSave="232" documentId="8_{085A2D8C-39A3-49E4-8CEE-214FC540B867}" xr6:coauthVersionLast="47" xr6:coauthVersionMax="47" xr10:uidLastSave="{32023940-65D2-4CB4-8353-733308B3FE93}"/>
  <bookViews>
    <workbookView xWindow="-108" yWindow="-108" windowWidth="23256" windowHeight="12456" activeTab="2" xr2:uid="{255BFBE9-9FC6-44F8-AB9D-453C5CE9D40B}"/>
  </bookViews>
  <sheets>
    <sheet name="Le Intro" sheetId="2" r:id="rId1"/>
    <sheet name="Initial Sizing" sheetId="1" r:id="rId2"/>
    <sheet name="Log"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 l="1"/>
  <c r="J33" i="1"/>
  <c r="J34" i="1"/>
  <c r="G6" i="1"/>
  <c r="B7" i="1"/>
  <c r="G7" i="1"/>
  <c r="H7" i="1"/>
  <c r="I7" i="1"/>
  <c r="B8" i="1"/>
  <c r="G8" i="1"/>
  <c r="H8" i="1"/>
  <c r="I8" i="1"/>
  <c r="B9" i="1"/>
  <c r="G21" i="1"/>
  <c r="H27" i="3" a="1"/>
  <c r="H27" i="3"/>
  <c r="G9" i="1"/>
  <c r="G23" i="1"/>
  <c r="D32" i="1"/>
  <c r="F7" i="1"/>
  <c r="J7" i="1"/>
  <c r="N7" i="1"/>
  <c r="F8" i="1"/>
  <c r="J8" i="1"/>
  <c r="N8" i="1"/>
  <c r="F9" i="1"/>
  <c r="H9" i="1"/>
  <c r="I9" i="1"/>
  <c r="J9" i="1"/>
  <c r="N9" i="1"/>
  <c r="F10" i="1"/>
  <c r="J10" i="1"/>
  <c r="N10" i="1"/>
  <c r="N11" i="1"/>
  <c r="N12" i="1"/>
  <c r="N13" i="1"/>
  <c r="N14" i="1"/>
  <c r="N15" i="1"/>
  <c r="N16" i="1"/>
  <c r="G22" i="1"/>
  <c r="F11" i="1"/>
  <c r="J11" i="1"/>
  <c r="F12" i="1"/>
  <c r="J12" i="1"/>
  <c r="F13" i="1"/>
  <c r="J13" i="1"/>
  <c r="F14" i="1"/>
  <c r="J14" i="1"/>
  <c r="F15" i="1"/>
  <c r="J15" i="1"/>
  <c r="F16" i="1"/>
  <c r="J16" i="1"/>
  <c r="G24" i="1"/>
  <c r="E32" i="1"/>
  <c r="L7" i="1"/>
  <c r="M7" i="1"/>
  <c r="L8" i="1"/>
  <c r="M8" i="1"/>
  <c r="L9" i="1"/>
  <c r="M9" i="1"/>
  <c r="L10" i="1"/>
  <c r="M10" i="1"/>
  <c r="L11" i="1"/>
  <c r="M11" i="1"/>
  <c r="L12" i="1"/>
  <c r="M12" i="1"/>
  <c r="L13" i="1"/>
  <c r="M13" i="1"/>
  <c r="L14" i="1"/>
  <c r="M14" i="1"/>
  <c r="L15" i="1"/>
  <c r="M15" i="1"/>
  <c r="L16" i="1"/>
  <c r="M16" i="1"/>
  <c r="J32" i="1"/>
  <c r="D33" i="1"/>
  <c r="D36" i="1"/>
  <c r="D37" i="1"/>
  <c r="D38" i="1"/>
  <c r="D39" i="1"/>
  <c r="D40" i="1"/>
  <c r="D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Muhammad Naufal Afif</author>
  </authors>
  <commentList>
    <comment ref="B6" authorId="0" shapeId="0" xr:uid="{7A0BA3AD-71AC-4293-BC10-7D291049C67C}">
      <text>
        <r>
          <rPr>
            <b/>
            <sz val="9"/>
            <color indexed="81"/>
            <rFont val="Tahoma"/>
            <family val="2"/>
          </rPr>
          <t>Payload?</t>
        </r>
        <r>
          <rPr>
            <sz val="9"/>
            <color indexed="81"/>
            <rFont val="Tahoma"/>
            <family val="2"/>
          </rPr>
          <t xml:space="preserve">
Insert intended payload mass here. Just one is enough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<sst xmlns="http://schemas.openxmlformats.org/spreadsheetml/2006/main" count="105" uniqueCount="86">
  <si>
    <t>Stage</t>
  </si>
  <si>
    <t>Payload</t>
  </si>
  <si>
    <t>Final mass</t>
  </si>
  <si>
    <t>Fuel</t>
  </si>
  <si>
    <t>Fuel type?</t>
  </si>
  <si>
    <t>Fuel (solid)</t>
  </si>
  <si>
    <t>Fuel (liquid)</t>
  </si>
  <si>
    <t>Solid</t>
  </si>
  <si>
    <t>Liquid</t>
  </si>
  <si>
    <t>Rocket candy</t>
  </si>
  <si>
    <t>HTPB (LAPAN)</t>
  </si>
  <si>
    <t>Some weird third thing</t>
  </si>
  <si>
    <t>Fuel (IDFK)</t>
  </si>
  <si>
    <t>ALICE (Ice + Al)</t>
  </si>
  <si>
    <t>In vacuum?</t>
  </si>
  <si>
    <t>Specific impulse</t>
  </si>
  <si>
    <t>Delta-v</t>
  </si>
  <si>
    <t>Wet mass</t>
  </si>
  <si>
    <t>Total impulse</t>
  </si>
  <si>
    <t>Thrust</t>
  </si>
  <si>
    <t>Vacuum?</t>
  </si>
  <si>
    <t>YES</t>
  </si>
  <si>
    <t>NO</t>
  </si>
  <si>
    <t>Isp (solid, vacuum)</t>
  </si>
  <si>
    <t>Isp (solid, SL)</t>
  </si>
  <si>
    <t>Isp (liquid, vacuum)</t>
  </si>
  <si>
    <t>Isp (liquid, SL)</t>
  </si>
  <si>
    <t>Isp (IDFK, vacuum)</t>
  </si>
  <si>
    <t>Isp (IDFK, SL)</t>
  </si>
  <si>
    <t>Burn time</t>
  </si>
  <si>
    <t>Propellant mass</t>
  </si>
  <si>
    <t>Methalox (LOX/CH4)</t>
  </si>
  <si>
    <t>Hydrolox (LOX/LH2)</t>
  </si>
  <si>
    <t>Kerolox (LOX/RP-1)</t>
  </si>
  <si>
    <t>N2O4/N2H4</t>
  </si>
  <si>
    <t>Total delta-v</t>
  </si>
  <si>
    <t>Stages</t>
  </si>
  <si>
    <t>Delta-v budget</t>
  </si>
  <si>
    <t>PRELIMINARY ROCKET STATS (assuming mission to LEO)</t>
  </si>
  <si>
    <t>MTOW</t>
  </si>
  <si>
    <t>Assuming propellant mass fraction of 0.875 and stage dry mass is a tenth of payload mass</t>
  </si>
  <si>
    <t>HOW TO TABLE</t>
  </si>
  <si>
    <t>-</t>
  </si>
  <si>
    <t>m*s^-1</t>
  </si>
  <si>
    <t>kg</t>
  </si>
  <si>
    <t>HOW TO OTHER TABLE</t>
  </si>
  <si>
    <t>DO NOT TOUCH THE FIRST TWO COLUMNS!!! Insert fuel type in the fuel columns and subsequently its specific impulse in the respective columns. When one isn't available, SLIsp = 0.667*VacIsp and or VacIsp = 1.5*SLIsp</t>
  </si>
  <si>
    <t>Stage dry mass</t>
  </si>
  <si>
    <t>Empty weight</t>
  </si>
  <si>
    <t>Expand table by extending the final mass column down however many stages you need. Insert numbers in yellow-tinted cells. Boosters not supported yet, nor coasting. Ignore N/A values for unused stages</t>
  </si>
  <si>
    <t>Some Rocket Maker Weird Thing (SomRMWT) - Alpha v0.1 - 11/01/2025</t>
  </si>
  <si>
    <t>"Yes, this is real. Yes, I'm bored. No, I do have a life." 
-Muhammad Naufal Afif, 11/01/2025</t>
  </si>
  <si>
    <t>Wanna be a co-author? Contact me! -&gt; m.naufal.afif.2001@gmail.com</t>
  </si>
  <si>
    <t>Date and Time</t>
  </si>
  <si>
    <t>Revision</t>
  </si>
  <si>
    <t>Addition</t>
  </si>
  <si>
    <t>Who?*</t>
  </si>
  <si>
    <t>Abbr.</t>
  </si>
  <si>
    <t>Name</t>
  </si>
  <si>
    <t>Work/School</t>
  </si>
  <si>
    <t>* = (Co-)Authors Abbreviation Index
I mean filling this is obvious enough. Enter current work position or schooling institution, tho
If you can't disclose where you work (Study institution MUST be disclosed), fill with [LE SECRET ONHONHON~]</t>
  </si>
  <si>
    <t>[MNA]</t>
  </si>
  <si>
    <t>Muhammad Naufal Afif</t>
  </si>
  <si>
    <t>11/01/2025, 23:00 UTC+7</t>
  </si>
  <si>
    <t>1. Initial sizing
2. Introduction Page</t>
  </si>
  <si>
    <t>1. Log</t>
  </si>
  <si>
    <t>12/01/2025, 05:07 UTC+7</t>
  </si>
  <si>
    <t>Undergraduate Student
Aerospace Engineering Study Program, Faculty of Mechanic and Aerospace Engineering
Institut Teknologi Bandung</t>
  </si>
  <si>
    <t xml:space="preserve">Last revision by: </t>
  </si>
  <si>
    <r>
      <t xml:space="preserve">
</t>
    </r>
    <r>
      <rPr>
        <b/>
        <sz val="11"/>
        <color theme="1"/>
        <rFont val="Aptos Narrow"/>
        <family val="2"/>
        <scheme val="minor"/>
      </rPr>
      <t xml:space="preserve">Main references: </t>
    </r>
    <r>
      <rPr>
        <sz val="11"/>
        <color theme="1"/>
        <rFont val="Aptos Narrow"/>
        <family val="2"/>
        <scheme val="minor"/>
      </rPr>
      <t xml:space="preserve">
[UwU] Rocket Propulsion Elements, Seventh Edition - George P. Sutton and Oscar Billarz
[OwO] Design of Rockets and Space Launch Vehicles, Second Edition - Don Edberg and Willie Costa
</t>
    </r>
  </si>
  <si>
    <r>
      <rPr>
        <b/>
        <sz val="11"/>
        <color theme="1"/>
        <rFont val="Aptos Narrow"/>
        <family val="2"/>
        <scheme val="minor"/>
      </rPr>
      <t xml:space="preserve">
General Guidelines: 
</t>
    </r>
    <r>
      <rPr>
        <sz val="11"/>
        <color theme="1"/>
        <rFont val="Aptos Narrow"/>
        <family val="2"/>
        <scheme val="minor"/>
      </rPr>
      <t xml:space="preserve">Follow the stated instruction for each spreadsheet
</t>
    </r>
  </si>
  <si>
    <t xml:space="preserve">
SomRMWT is a rocket designer built completely in Excel, designed for hobby rocketry, academic purposes as teaching tool, or conceptual rocket designs. Started when Muhammad Naufal Afif was bored on his sixth year studying aerospace engineering, it provides "good enough" data as baseline for future rocket designs. Currently, it consists of rocket initial sizing tool and not much else. Contributions from those with expertise or interest in rocketry are highly encouraged to enhance its capabilities.
</t>
  </si>
  <si>
    <r>
      <t xml:space="preserve">CO-AUTHORS! PLEASE FILL IN LOG AFTER EDITING OR </t>
    </r>
    <r>
      <rPr>
        <b/>
        <i/>
        <u/>
        <sz val="14"/>
        <color theme="1"/>
        <rFont val="Aptos Narrow"/>
        <family val="2"/>
        <scheme val="minor"/>
      </rPr>
      <t>ELSE!!!</t>
    </r>
  </si>
  <si>
    <t>1. Added to-do list in Intro page
2. Revised wording in Intro page</t>
  </si>
  <si>
    <t>12/01/2025,15:01 UTC+7</t>
  </si>
  <si>
    <r>
      <t xml:space="preserve">Must Haves Before Entering Beta Stage (Essential Components): 
     </t>
    </r>
    <r>
      <rPr>
        <sz val="11"/>
        <color theme="1"/>
        <rFont val="Aptos Narrow"/>
        <family val="2"/>
        <scheme val="minor"/>
      </rPr>
      <t>1. Weight Analysis
     2. Engine Performance (complete with thrust chart maker)
          a. Solid Propellant 
          b. Liquid Propellant
     3. Mission Planner Using Designed Rocket's Parameters
     4. de Laval Nozzle Maker</t>
    </r>
    <r>
      <rPr>
        <b/>
        <sz val="11"/>
        <color theme="1"/>
        <rFont val="Aptos Narrow"/>
        <family val="2"/>
        <scheme val="minor"/>
      </rPr>
      <t xml:space="preserve">
</t>
    </r>
    <r>
      <rPr>
        <sz val="11"/>
        <color theme="1"/>
        <rFont val="Aptos Narrow"/>
        <family val="2"/>
        <scheme val="minor"/>
      </rPr>
      <t xml:space="preserve">     5. Benchmarking Against Similar Rockets
     6. Aerodynamic Analysis</t>
    </r>
  </si>
  <si>
    <r>
      <t xml:space="preserve">Must Haves Before Entering Full Release (Optional Components): 
     </t>
    </r>
    <r>
      <rPr>
        <sz val="11"/>
        <color theme="1"/>
        <rFont val="Aptos Narrow"/>
        <family val="2"/>
        <scheme val="minor"/>
      </rPr>
      <t>1. Rocket Geometry Drawer (a la Taufiq Mulyanto's AISAT)
     2. Payload Maker
     3. Engine Performance (complete with thrust chart maker)
          a. Hybrid Propellant 
     4. Trajectory Visualiser (integrated to Mission Planner)
     5. Cost Analysis</t>
    </r>
  </si>
  <si>
    <t>13/01/2025, 05:18 UTC+7</t>
  </si>
  <si>
    <t>1. Added expected features</t>
  </si>
  <si>
    <t>APCP</t>
  </si>
  <si>
    <t>HTPB/Paraffin</t>
  </si>
  <si>
    <t>LOX/HTPB</t>
  </si>
  <si>
    <t>N2O4/MMH</t>
  </si>
  <si>
    <t>N2O4/UDMH×N2H4
(Aerozine 50)</t>
  </si>
  <si>
    <t>N2O4/UDMH</t>
  </si>
  <si>
    <t>Black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</si>
</sst>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8"/>
      <name val="Aptos Narrow"/>
      <family val="2"/>
      <scheme val="minor"/>
    </font>
    <font>
      <sz val="9"/>
      <color indexed="81"/>
      <name val="Tahoma"/>
      <family val="2"/>
    </font>
    <font>
      <b/>
      <sz val="9"/>
      <color indexed="81"/>
      <name val="Tahoma"/>
      <family val="2"/>
    </font>
    <font>
      <b/>
      <sz val="20"/>
      <color theme="1"/>
      <name val="Aptos Narrow"/>
      <family val="2"/>
      <scheme val="minor"/>
    </font>
    <font>
      <b/>
      <sz val="11"/>
      <color theme="1"/>
      <name val="Aptos Narrow"/>
      <family val="2"/>
      <scheme val="minor"/>
    </font>
    <font>
      <b/>
      <sz val="16"/>
      <color theme="0"/>
      <name val="Aptos Narrow"/>
      <family val="2"/>
      <scheme val="minor"/>
    </font>
    <font>
      <b/>
      <sz val="14"/>
      <color theme="1"/>
      <name val="Aptos Narrow"/>
      <family val="2"/>
      <scheme val="minor"/>
    </font>
    <font>
      <b/>
      <i/>
      <u/>
      <sz val="14"/>
      <color theme="1"/>
      <name val="Aptos Narrow"/>
      <family val="2"/>
      <scheme val="minor"/>
    </font>
  </fonts>
  <fills count="7">
    <fill>
      <patternFill patternType="none"/>
    </fill>
    <fill>
      <patternFill patternType="gray125"/>
    </fill>
    <fill>
      <patternFill patternType="solid">
        <fgColor theme="5"/>
        <bgColor theme="5"/>
      </patternFill>
    </fill>
    <fill>
      <patternFill patternType="solid">
        <fgColor theme="5" tint="0.79998168889431442"/>
        <bgColor theme="5" tint="0.79998168889431442"/>
      </patternFill>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s>
  <borders count="11">
    <border>
      <left/>
      <right/>
      <top/>
      <bottom/>
      <diagonal/>
    </border>
    <border diagonalUp="1" diagonalDown="1">
      <left style="thin">
        <color auto="1"/>
      </left>
      <right style="thin">
        <color auto="1"/>
      </right>
      <top style="thin">
        <color auto="1"/>
      </top>
      <bottom style="thin">
        <color auto="1"/>
      </bottom>
      <diagonal style="thin">
        <color auto="1"/>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2"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1" xfId="0" applyFill="1" applyBorder="1"/>
    <xf numFmtId="0" fontId="1" fillId="2" borderId="4" xfId="0" applyFont="1" applyFill="1" applyBorder="1"/>
    <xf numFmtId="0" fontId="0" fillId="4" borderId="2" xfId="0" applyFill="1" applyBorder="1"/>
    <xf numFmtId="0" fontId="0" fillId="4" borderId="9" xfId="0" applyFill="1" applyBorder="1"/>
    <xf numFmtId="0" fontId="7" fillId="6" borderId="0" xfId="0" applyFont="1" applyFill="1" applyAlignment="1">
      <alignment horizontal="left" vertical="center" wrapText="1"/>
    </xf>
    <xf numFmtId="0" fontId="0" fillId="5" borderId="0" xfId="0" applyFill="1" applyAlignment="1">
      <alignment horizontal="left" vertical="center" wrapText="1"/>
    </xf>
    <xf numFmtId="0" fontId="0" fillId="0" borderId="0" xfId="0"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6" xfId="0"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5" borderId="2" xfId="0" applyFill="1" applyBorder="1"/>
    <xf numFmtId="0" fontId="6" fillId="0" borderId="0" xfId="0" applyFont="1" applyAlignment="1">
      <alignment horizontal="left" vertical="center" wrapText="1"/>
    </xf>
    <xf numFmtId="0" fontId="8" fillId="0" borderId="0" xfId="0" applyFont="1" applyAlignment="1">
      <alignment horizontal="left"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5" borderId="2" xfId="0" applyFill="1" applyBorder="1" applyAlignment="1">
      <alignment horizontal="center"/>
    </xf>
    <xf numFmtId="0" fontId="5" fillId="0" borderId="0" xfId="0" applyFont="1" applyAlignment="1">
      <alignment horizontal="center" vertical="center"/>
    </xf>
    <xf numFmtId="0" fontId="0" fillId="0" borderId="2" xfId="0" applyBorder="1" applyAlignment="1">
      <alignment horizontal="center"/>
    </xf>
    <xf numFmtId="0" fontId="0" fillId="0" borderId="0" xfId="0" applyAlignment="1">
      <alignment horizontal="left" wrapText="1"/>
    </xf>
  </cellXfs>
  <cellStyles count="1">
    <cellStyle name="Normal" xfId="0" builtinId="0"/>
  </cellStyles>
  <dxfs count="51">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border>
        <left style="thin">
          <color indexed="64"/>
        </left>
        <right/>
        <top style="thin">
          <color indexed="64"/>
        </top>
        <bottom style="thin">
          <color indexed="64"/>
        </bottom>
        <vertical style="thin">
          <color indexed="64"/>
        </vertical>
        <horizontal style="thin">
          <color indexed="64"/>
        </horizontal>
      </border>
    </dxf>
    <dxf>
      <numFmt numFmtId="0" formatCode="General"/>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left style="thin">
          <color indexed="64"/>
        </left>
        <right style="thin">
          <color indexed="64"/>
        </right>
        <top style="thin">
          <color indexed="64"/>
        </top>
        <bottom style="thin">
          <color indexed="64"/>
        </bottom>
      </border>
    </dxf>
    <dxf>
      <border>
        <bottom style="thin">
          <color indexed="64"/>
        </bottom>
      </border>
    </dxf>
    <dxf>
      <border>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9EFFE-4ED4-4BEA-986A-0303615C7CC1}" name="LeInitialSizingTable" displayName="LeInitialSizingTable" ref="A5:N16" totalsRowShown="0" headerRowDxfId="50" headerRowBorderDxfId="49" tableBorderDxfId="48" totalsRowBorderDxfId="47">
  <autoFilter ref="A5:N16" xr:uid="{3F99EFFE-4ED4-4BEA-986A-0303615C7CC1}"/>
  <tableColumns count="14">
    <tableColumn id="1" xr3:uid="{D376856A-4962-4798-BB88-4A0DA8662518}" name="Stage" dataDxfId="46"/>
    <tableColumn id="2" xr3:uid="{F93C9EE3-1BFB-4341-84EA-2A1AD8B0D50D}" name="Final mass" dataDxfId="45"/>
    <tableColumn id="3" xr3:uid="{8913E803-65F3-4F8E-AB66-F6638A22A5B3}" name="In vacuum?" dataDxfId="44"/>
    <tableColumn id="4" xr3:uid="{337A64D6-17B1-475C-A652-6D66D906B4B6}" name="Fuel type?" dataDxfId="43"/>
    <tableColumn id="5" xr3:uid="{8390B592-9AAD-49E4-9CCF-29A77EF82BE1}" name="Fuel" dataDxfId="42"/>
    <tableColumn id="6" xr3:uid="{E8C050E1-AD7D-4BC2-9663-F725C55D036F}" name="Specific impulse" dataDxfId="41">
      <calculatedColumnFormula>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calculatedColumnFormula>
    </tableColumn>
    <tableColumn id="7" xr3:uid="{9383E0D6-DB61-4034-B434-F40101757504}" name="Stage dry mass" dataDxfId="40"/>
    <tableColumn id="8" xr3:uid="{2769C384-836C-44A2-9BDE-B30501571738}" name="Propellant mass" dataDxfId="39">
      <calculatedColumnFormula>(LeInitialSizingTable[[#This Row],[Stage dry mass]]*0.875)/(1-0.875)</calculatedColumnFormula>
    </tableColumn>
    <tableColumn id="9" xr3:uid="{C25A4253-7F52-43B4-AA0F-6A0DB8190EB4}" name="Wet mass" dataDxfId="38">
      <calculatedColumnFormula>LeInitialSizingTable[[#This Row],[Propellant mass]] + LeInitialSizingTable[[#This Row],[Stage dry mass]]</calculatedColumnFormula>
    </tableColumn>
    <tableColumn id="10" xr3:uid="{F280A7DF-D77D-4969-9F58-A44E97EA414C}" name="Delta-v" dataDxfId="37">
      <calculatedColumnFormula>9.81*LeInitialSizingTable[[#This Row],[Specific impulse]]*LN(LeInitialSizingTable[[#This Row],[Wet mass]]/LeInitialSizingTable[[#This Row],[Stage dry mass]])</calculatedColumnFormula>
    </tableColumn>
    <tableColumn id="11" xr3:uid="{AD19E824-0495-4F3E-B0F1-D4A9054E38C6}" name="Burn time" dataDxfId="36"/>
    <tableColumn id="14" xr3:uid="{C39CD05B-EBD7-4EB7-8B19-26D0DBE94A99}" name="Thrust" dataDxfId="35">
      <calculatedColumnFormula>9.81*LeInitialSizingTable[[#This Row],[Specific impulse]]*(LeInitialSizingTable[[#This Row],[Propellant mass]]/LeInitialSizingTable[[#This Row],[Burn time]])</calculatedColumnFormula>
    </tableColumn>
    <tableColumn id="15" xr3:uid="{AFFFA182-C9D2-4A9B-8100-4455137B27EF}" name="Total impulse" dataDxfId="34">
      <calculatedColumnFormula>LeInitialSizingTable[[#This Row],[Thrust]]*LeInitialSizingTable[[#This Row],[Burn time]]</calculatedColumnFormula>
    </tableColumn>
    <tableColumn id="16" xr3:uid="{F0E8BA93-AD48-40C6-84C5-0566DD8384A2}" name="Total delta-v" dataDxfId="33">
      <calculatedColumnFormula>LeInitialSizingTable[[#This Row],[Delta-v]]</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3518-9C68-4392-873C-8B717204DF70}" name="TheDropdownMenuTable" displayName="TheDropdownMenuTable" ref="A31:K41" totalsRowShown="0" headerRowDxfId="32" dataDxfId="30" headerRowBorderDxfId="31" tableBorderDxfId="29" totalsRowBorderDxfId="28">
  <autoFilter ref="A31:K41" xr:uid="{9EF13518-9C68-4392-873C-8B717204DF70}"/>
  <tableColumns count="11">
    <tableColumn id="1" xr3:uid="{B53D82EE-C966-4662-82CD-7B051C591F23}" name="Vacuum?" dataDxfId="27"/>
    <tableColumn id="2" xr3:uid="{1F287FF0-02DA-4864-A0EA-D3475D35BA05}" name="Fuel type?" dataDxfId="26"/>
    <tableColumn id="3" xr3:uid="{2D4CA319-928F-4B2F-8D10-4B07CA0BA891}" name="Fuel (solid)" dataDxfId="25"/>
    <tableColumn id="4" xr3:uid="{3CA1B53C-5BCD-4573-9218-9CB2B1B49E9F}" name="Isp (solid, vacuum)" dataDxfId="24">
      <calculatedColumnFormula>1.5*TheDropdownMenuTable[[#This Row],[Isp (solid, SL)]]</calculatedColumnFormula>
    </tableColumn>
    <tableColumn id="5" xr3:uid="{C713570A-858E-4AB8-9355-FC886FFD996D}" name="Isp (solid, SL)" dataDxfId="23"/>
    <tableColumn id="6" xr3:uid="{754AEC55-8326-401C-8F4B-7DD5053E3E02}" name="Fuel (liquid)" dataDxfId="22"/>
    <tableColumn id="7" xr3:uid="{08A24A14-D47C-4E1F-BA77-20E938CE17A1}" name="Isp (liquid, vacuum)" dataDxfId="21"/>
    <tableColumn id="8" xr3:uid="{895DD8CC-974E-4FC3-8943-9621F83A88ED}" name="Isp (liquid, SL)" dataDxfId="20"/>
    <tableColumn id="9" xr3:uid="{EC606D3E-C916-4B91-892A-627311011AB6}" name="Fuel (IDFK)" dataDxfId="19"/>
    <tableColumn id="10" xr3:uid="{E093D31E-C83D-4E00-BBD0-012867BD73FF}" name="Isp (IDFK, vacuum)" dataDxfId="18">
      <calculatedColumnFormula>1.5*TheDropdownMenuTable[[#This Row],[Isp (IDFK, SL)]]</calculatedColumnFormula>
    </tableColumn>
    <tableColumn id="11" xr3:uid="{74C1F2A4-CF73-40BF-B37D-34BC90E86AD4}" name="Isp (IDFK, SL)"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257BB-A782-4818-94CC-AFB62491CBFD}" name="LogTable" displayName="LogTable" ref="A1:D25" totalsRowShown="0" headerRowDxfId="16" dataDxfId="14" headerRowBorderDxfId="15" tableBorderDxfId="13" totalsRowBorderDxfId="12">
  <autoFilter ref="A1:D25" xr:uid="{CB9257BB-A782-4818-94CC-AFB62491CBFD}"/>
  <tableColumns count="4">
    <tableColumn id="1" xr3:uid="{2A328167-11A1-4BEB-9A4A-A7784AD4ED68}" name="Date and Time" dataDxfId="11"/>
    <tableColumn id="2" xr3:uid="{5B0BF100-708E-454B-80A0-E23284DA6871}" name="Who?*" dataDxfId="10"/>
    <tableColumn id="3" xr3:uid="{83C511E8-E265-411E-92C6-9A5AB4267BB6}" name="Revision" dataDxfId="9"/>
    <tableColumn id="4" xr3:uid="{0FAD250E-977C-4772-837C-DD97F7AB8A1D}" name="Addition"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69BB83-84D8-46C0-A587-691AAF9243B4}" name="AuthorTable" displayName="AuthorTable" ref="F3:H25" totalsRowShown="0" headerRowDxfId="7" dataDxfId="5" headerRowBorderDxfId="6" tableBorderDxfId="4" totalsRowBorderDxfId="3">
  <autoFilter ref="F3:H25" xr:uid="{1B69BB83-84D8-46C0-A587-691AAF9243B4}"/>
  <tableColumns count="3">
    <tableColumn id="1" xr3:uid="{67C7794C-1BBF-4F6D-905A-6E2F5D7C3549}" name="Abbr." dataDxfId="2"/>
    <tableColumn id="2" xr3:uid="{BCD48711-8DAF-4F81-B9B1-A9AE6C37DFED}" name="Name" dataDxfId="1"/>
    <tableColumn id="3" xr3:uid="{643541DB-6FC1-4211-AADD-E6164D95190E}" name="Work/Schoo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79AD-A532-4C09-83AC-0D469C38A6A3}">
  <dimension ref="B2:B12"/>
  <sheetViews>
    <sheetView zoomScaleNormal="100" workbookViewId="0">
      <selection activeCell="G14" sqref="G14"/>
    </sheetView>
  </sheetViews>
  <sheetFormatPr defaultRowHeight="14.4" x14ac:dyDescent="0.3"/>
  <cols>
    <col min="2" max="2" width="90.33203125" style="17" bestFit="1" customWidth="1"/>
  </cols>
  <sheetData>
    <row r="2" spans="2:2" ht="21" x14ac:dyDescent="0.3">
      <c r="B2" s="15" t="s">
        <v>50</v>
      </c>
    </row>
    <row r="4" spans="2:2" ht="43.2" x14ac:dyDescent="0.3">
      <c r="B4" s="16" t="s">
        <v>51</v>
      </c>
    </row>
    <row r="5" spans="2:2" ht="100.8" x14ac:dyDescent="0.3">
      <c r="B5" s="16" t="s">
        <v>71</v>
      </c>
    </row>
    <row r="6" spans="2:2" ht="86.4" x14ac:dyDescent="0.3">
      <c r="B6" s="16" t="s">
        <v>69</v>
      </c>
    </row>
    <row r="7" spans="2:2" x14ac:dyDescent="0.3">
      <c r="B7" s="16" t="s">
        <v>52</v>
      </c>
    </row>
    <row r="8" spans="2:2" ht="72" x14ac:dyDescent="0.3">
      <c r="B8" s="16" t="s">
        <v>70</v>
      </c>
    </row>
    <row r="10" spans="2:2" ht="129.6" x14ac:dyDescent="0.3">
      <c r="B10" s="37" t="s">
        <v>75</v>
      </c>
    </row>
    <row r="11" spans="2:2" ht="100.8" x14ac:dyDescent="0.3">
      <c r="B11" s="37" t="s">
        <v>76</v>
      </c>
    </row>
    <row r="12" spans="2:2" ht="18" x14ac:dyDescent="0.3">
      <c r="B12" s="3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2A92-EDB0-493F-BE9F-61B52BCD98C8}">
  <dimension ref="A1:N41"/>
  <sheetViews>
    <sheetView workbookViewId="0">
      <selection activeCell="E8" sqref="E8"/>
    </sheetView>
  </sheetViews>
  <sheetFormatPr defaultRowHeight="14.4" x14ac:dyDescent="0.3"/>
  <cols>
    <col min="1" max="1" width="10.88671875" bestFit="1" customWidth="1"/>
    <col min="2" max="2" width="18.77734375" bestFit="1" customWidth="1"/>
    <col min="3" max="3" width="12.5546875" bestFit="1" customWidth="1"/>
    <col min="4" max="4" width="19.109375" bestFit="1" customWidth="1"/>
    <col min="5" max="5" width="17.33203125" bestFit="1" customWidth="1"/>
    <col min="6" max="6" width="17.44140625" bestFit="1" customWidth="1"/>
    <col min="7" max="7" width="20" bestFit="1" customWidth="1"/>
    <col min="8" max="8" width="16.77734375" bestFit="1" customWidth="1"/>
    <col min="9" max="9" width="14.33203125" customWidth="1"/>
    <col min="10" max="10" width="18.88671875" bestFit="1" customWidth="1"/>
    <col min="11" max="11" width="14.21875" bestFit="1" customWidth="1"/>
    <col min="12" max="12" width="12" bestFit="1" customWidth="1"/>
    <col min="13" max="13" width="14.44140625" bestFit="1" customWidth="1"/>
    <col min="14" max="14" width="13.5546875" bestFit="1" customWidth="1"/>
  </cols>
  <sheetData>
    <row r="1" spans="1:14" x14ac:dyDescent="0.3">
      <c r="A1" s="45" t="s">
        <v>41</v>
      </c>
      <c r="B1" s="45"/>
    </row>
    <row r="2" spans="1:14" x14ac:dyDescent="0.3">
      <c r="A2" s="45"/>
      <c r="B2" s="45"/>
    </row>
    <row r="3" spans="1:14" x14ac:dyDescent="0.3">
      <c r="A3" t="s">
        <v>49</v>
      </c>
    </row>
    <row r="5" spans="1:14" x14ac:dyDescent="0.3">
      <c r="A5" s="2" t="s">
        <v>0</v>
      </c>
      <c r="B5" s="3" t="s">
        <v>2</v>
      </c>
      <c r="C5" s="3" t="s">
        <v>14</v>
      </c>
      <c r="D5" s="3" t="s">
        <v>4</v>
      </c>
      <c r="E5" s="3" t="s">
        <v>3</v>
      </c>
      <c r="F5" s="3" t="s">
        <v>15</v>
      </c>
      <c r="G5" s="3" t="s">
        <v>47</v>
      </c>
      <c r="H5" s="3" t="s">
        <v>30</v>
      </c>
      <c r="I5" s="3" t="s">
        <v>17</v>
      </c>
      <c r="J5" s="12" t="s">
        <v>16</v>
      </c>
      <c r="K5" s="3" t="s">
        <v>29</v>
      </c>
      <c r="L5" s="3" t="s">
        <v>19</v>
      </c>
      <c r="M5" s="3" t="s">
        <v>18</v>
      </c>
      <c r="N5" s="4" t="s">
        <v>35</v>
      </c>
    </row>
    <row r="6" spans="1:14" x14ac:dyDescent="0.3">
      <c r="A6" s="5" t="s">
        <v>1</v>
      </c>
      <c r="B6" s="13">
        <v>15000</v>
      </c>
      <c r="C6" s="1"/>
      <c r="D6" s="1"/>
      <c r="E6" s="1"/>
      <c r="F6" s="1"/>
      <c r="G6" s="6">
        <f>B6</f>
        <v>15000</v>
      </c>
      <c r="H6" s="11"/>
      <c r="I6" s="11"/>
      <c r="J6" s="11"/>
      <c r="K6" s="1"/>
      <c r="L6" s="1"/>
      <c r="M6" s="1"/>
      <c r="N6" s="1"/>
    </row>
    <row r="7" spans="1:14" x14ac:dyDescent="0.3">
      <c r="A7" s="5">
        <v>1</v>
      </c>
      <c r="B7" s="6">
        <f>G6</f>
        <v>15000</v>
      </c>
      <c r="C7" s="6" t="s">
        <v>21</v>
      </c>
      <c r="D7" s="6" t="s">
        <v>7</v>
      </c>
      <c r="E7" s="6" t="s">
        <v>10</v>
      </c>
      <c r="F7" s="6">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330.9</v>
      </c>
      <c r="G7" s="6">
        <f>0.1*LeInitialSizingTable[[#This Row],[Final mass]]</f>
        <v>1500</v>
      </c>
      <c r="H7" s="6">
        <f>(0.875*(LeInitialSizingTable[[#This Row],[Stage dry mass]]+LeInitialSizingTable[[#This Row],[Final mass]]))/(1-0.875)</f>
        <v>115500</v>
      </c>
      <c r="I7" s="6">
        <f>LeInitialSizingTable[[#This Row],[Propellant mass]] + LeInitialSizingTable[[#This Row],[Stage dry mass]]</f>
        <v>117000</v>
      </c>
      <c r="J7" s="6">
        <f>9.81*LeInitialSizingTable[[#This Row],[Specific impulse]]*LN(LeInitialSizingTable[[#This Row],[Wet mass]]/(LeInitialSizingTable[[#This Row],[Stage dry mass]]+LeInitialSizingTable[[#This Row],[Final mass]]))</f>
        <v>6358.5614828793559</v>
      </c>
      <c r="K7" s="13">
        <v>30</v>
      </c>
      <c r="L7" s="6">
        <f>9.81*LeInitialSizingTable[[#This Row],[Specific impulse]]*(LeInitialSizingTable[[#This Row],[Propellant mass]]/LeInitialSizingTable[[#This Row],[Burn time]])</f>
        <v>12497596.65</v>
      </c>
      <c r="M7" s="6">
        <f>LeInitialSizingTable[[#This Row],[Thrust]]*LeInitialSizingTable[[#This Row],[Burn time]]</f>
        <v>374927899.5</v>
      </c>
      <c r="N7" s="7">
        <f>SUM(J7)</f>
        <v>6358.5614828793559</v>
      </c>
    </row>
    <row r="8" spans="1:14" x14ac:dyDescent="0.3">
      <c r="A8" s="5">
        <v>2</v>
      </c>
      <c r="B8" s="6">
        <f>I7</f>
        <v>117000</v>
      </c>
      <c r="C8" s="6" t="s">
        <v>22</v>
      </c>
      <c r="D8" s="6" t="s">
        <v>11</v>
      </c>
      <c r="E8" s="6" t="s">
        <v>10</v>
      </c>
      <c r="F8"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8" s="6">
        <f>1.1*LeInitialSizingTable[[#This Row],[Final mass]]</f>
        <v>128700.00000000001</v>
      </c>
      <c r="H8" s="6">
        <f>(0.875*(LeInitialSizingTable[[#This Row],[Stage dry mass]]+LeInitialSizingTable[[#This Row],[Final mass]]))/(1-0.875)</f>
        <v>1719900</v>
      </c>
      <c r="I8" s="6">
        <f>LeInitialSizingTable[[#This Row],[Propellant mass]] + LeInitialSizingTable[[#This Row],[Stage dry mass]]</f>
        <v>1848600</v>
      </c>
      <c r="J8" s="6" t="e">
        <f>9.81*LeInitialSizingTable[[#This Row],[Specific impulse]]*LN(LeInitialSizingTable[[#This Row],[Wet mass]]/(LeInitialSizingTable[[#This Row],[Stage dry mass]]+LeInitialSizingTable[[#This Row],[Final mass]]))</f>
        <v>#N/A</v>
      </c>
      <c r="K8" s="13">
        <v>60</v>
      </c>
      <c r="L8" s="6" t="e">
        <f>9.81*LeInitialSizingTable[[#This Row],[Specific impulse]]*(LeInitialSizingTable[[#This Row],[Propellant mass]]/LeInitialSizingTable[[#This Row],[Burn time]])</f>
        <v>#N/A</v>
      </c>
      <c r="M8" s="6" t="e">
        <f>LeInitialSizingTable[[#This Row],[Thrust]]*LeInitialSizingTable[[#This Row],[Burn time]]</f>
        <v>#N/A</v>
      </c>
      <c r="N8" s="7" t="e">
        <f>SUM($J$7:J8)</f>
        <v>#N/A</v>
      </c>
    </row>
    <row r="9" spans="1:14" x14ac:dyDescent="0.3">
      <c r="A9" s="5">
        <v>3</v>
      </c>
      <c r="B9" s="6">
        <f>I8</f>
        <v>1848600</v>
      </c>
      <c r="C9" s="6" t="s">
        <v>22</v>
      </c>
      <c r="D9" s="6" t="s">
        <v>8</v>
      </c>
      <c r="E9" s="6" t="s">
        <v>31</v>
      </c>
      <c r="F9" s="6">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309.27625</v>
      </c>
      <c r="G9" s="6">
        <f>1.1*LeInitialSizingTable[[#This Row],[Final mass]]</f>
        <v>2033460.0000000002</v>
      </c>
      <c r="H9" s="6">
        <f>(0.875*(LeInitialSizingTable[[#This Row],[Stage dry mass]]+LeInitialSizingTable[[#This Row],[Final mass]]))/(1-0.875)</f>
        <v>27174420</v>
      </c>
      <c r="I9" s="6">
        <f>LeInitialSizingTable[[#This Row],[Propellant mass]] + LeInitialSizingTable[[#This Row],[Stage dry mass]]</f>
        <v>29207880</v>
      </c>
      <c r="J9" s="6">
        <f>9.81*LeInitialSizingTable[[#This Row],[Specific impulse]]*LN(LeInitialSizingTable[[#This Row],[Wet mass]]/(LeInitialSizingTable[[#This Row],[Stage dry mass]]+LeInitialSizingTable[[#This Row],[Final mass]]))</f>
        <v>6122.8322793768602</v>
      </c>
      <c r="K9" s="13">
        <v>180</v>
      </c>
      <c r="L9" s="6">
        <f>9.81*LeInitialSizingTable[[#This Row],[Specific impulse]]*(LeInitialSizingTable[[#This Row],[Propellant mass]]/LeInitialSizingTable[[#This Row],[Burn time]])</f>
        <v>458039947.8871125</v>
      </c>
      <c r="M9" s="6">
        <f>LeInitialSizingTable[[#This Row],[Thrust]]*LeInitialSizingTable[[#This Row],[Burn time]]</f>
        <v>82447190619.680252</v>
      </c>
      <c r="N9" s="7" t="e">
        <f>SUM($J$7:J9)</f>
        <v>#N/A</v>
      </c>
    </row>
    <row r="10" spans="1:14" x14ac:dyDescent="0.3">
      <c r="A10" s="5">
        <v>4</v>
      </c>
      <c r="B10" s="6"/>
      <c r="C10" s="6"/>
      <c r="D10" s="6"/>
      <c r="E10" s="6"/>
      <c r="F10"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0" s="6"/>
      <c r="H10" s="6"/>
      <c r="I10" s="6"/>
      <c r="J10" s="6" t="e">
        <f>9.81*LeInitialSizingTable[[#This Row],[Specific impulse]]*LN(LeInitialSizingTable[[#This Row],[Wet mass]]/(LeInitialSizingTable[[#This Row],[Stage dry mass]]+LeInitialSizingTable[[#This Row],[Final mass]]))</f>
        <v>#N/A</v>
      </c>
      <c r="K10" s="13"/>
      <c r="L10" s="6" t="e">
        <f>9.81*LeInitialSizingTable[[#This Row],[Specific impulse]]*(LeInitialSizingTable[[#This Row],[Propellant mass]]/LeInitialSizingTable[[#This Row],[Burn time]])</f>
        <v>#N/A</v>
      </c>
      <c r="M10" s="6" t="e">
        <f>LeInitialSizingTable[[#This Row],[Thrust]]*LeInitialSizingTable[[#This Row],[Burn time]]</f>
        <v>#N/A</v>
      </c>
      <c r="N10" s="7" t="e">
        <f>SUM($J$7:J10)</f>
        <v>#N/A</v>
      </c>
    </row>
    <row r="11" spans="1:14" x14ac:dyDescent="0.3">
      <c r="A11" s="5">
        <v>5</v>
      </c>
      <c r="B11" s="6"/>
      <c r="C11" s="6"/>
      <c r="D11" s="6"/>
      <c r="E11" s="6"/>
      <c r="F11"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1" s="6"/>
      <c r="H11" s="6"/>
      <c r="I11" s="6"/>
      <c r="J11" s="6" t="e">
        <f>9.81*LeInitialSizingTable[[#This Row],[Specific impulse]]*LN(LeInitialSizingTable[[#This Row],[Wet mass]]/(LeInitialSizingTable[[#This Row],[Stage dry mass]]+LeInitialSizingTable[[#This Row],[Final mass]]))</f>
        <v>#N/A</v>
      </c>
      <c r="K11" s="13"/>
      <c r="L11" s="6" t="e">
        <f>9.81*LeInitialSizingTable[[#This Row],[Specific impulse]]*(LeInitialSizingTable[[#This Row],[Propellant mass]]/LeInitialSizingTable[[#This Row],[Burn time]])</f>
        <v>#N/A</v>
      </c>
      <c r="M11" s="6" t="e">
        <f>LeInitialSizingTable[[#This Row],[Thrust]]*LeInitialSizingTable[[#This Row],[Burn time]]</f>
        <v>#N/A</v>
      </c>
      <c r="N11" s="7" t="e">
        <f>SUM($J$7:J11)</f>
        <v>#N/A</v>
      </c>
    </row>
    <row r="12" spans="1:14" x14ac:dyDescent="0.3">
      <c r="A12" s="5">
        <v>6</v>
      </c>
      <c r="B12" s="6"/>
      <c r="C12" s="6"/>
      <c r="D12" s="6"/>
      <c r="E12" s="6"/>
      <c r="F12"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2" s="6"/>
      <c r="H12" s="6"/>
      <c r="I12" s="6"/>
      <c r="J12" s="6" t="e">
        <f>9.81*LeInitialSizingTable[[#This Row],[Specific impulse]]*LN(LeInitialSizingTable[[#This Row],[Wet mass]]/(LeInitialSizingTable[[#This Row],[Stage dry mass]]+LeInitialSizingTable[[#This Row],[Final mass]]))</f>
        <v>#N/A</v>
      </c>
      <c r="K12" s="13"/>
      <c r="L12" s="6" t="e">
        <f>9.81*LeInitialSizingTable[[#This Row],[Specific impulse]]*(LeInitialSizingTable[[#This Row],[Propellant mass]]/LeInitialSizingTable[[#This Row],[Burn time]])</f>
        <v>#N/A</v>
      </c>
      <c r="M12" s="6" t="e">
        <f>LeInitialSizingTable[[#This Row],[Thrust]]*LeInitialSizingTable[[#This Row],[Burn time]]</f>
        <v>#N/A</v>
      </c>
      <c r="N12" s="7" t="e">
        <f>SUM($J$7:J12)</f>
        <v>#N/A</v>
      </c>
    </row>
    <row r="13" spans="1:14" x14ac:dyDescent="0.3">
      <c r="A13" s="5">
        <v>7</v>
      </c>
      <c r="B13" s="6"/>
      <c r="C13" s="6"/>
      <c r="D13" s="6"/>
      <c r="E13" s="6"/>
      <c r="F13"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3" s="6"/>
      <c r="H13" s="6"/>
      <c r="I13" s="6"/>
      <c r="J13" s="6" t="e">
        <f>9.81*LeInitialSizingTable[[#This Row],[Specific impulse]]*LN(LeInitialSizingTable[[#This Row],[Wet mass]]/(LeInitialSizingTable[[#This Row],[Stage dry mass]]+LeInitialSizingTable[[#This Row],[Final mass]]))</f>
        <v>#N/A</v>
      </c>
      <c r="K13" s="13"/>
      <c r="L13" s="6" t="e">
        <f>9.81*LeInitialSizingTable[[#This Row],[Specific impulse]]*(LeInitialSizingTable[[#This Row],[Propellant mass]]/LeInitialSizingTable[[#This Row],[Burn time]])</f>
        <v>#N/A</v>
      </c>
      <c r="M13" s="6" t="e">
        <f>LeInitialSizingTable[[#This Row],[Thrust]]*LeInitialSizingTable[[#This Row],[Burn time]]</f>
        <v>#N/A</v>
      </c>
      <c r="N13" s="7" t="e">
        <f>SUM($J$7:J13)</f>
        <v>#N/A</v>
      </c>
    </row>
    <row r="14" spans="1:14" x14ac:dyDescent="0.3">
      <c r="A14" s="5">
        <v>8</v>
      </c>
      <c r="B14" s="6"/>
      <c r="C14" s="6"/>
      <c r="D14" s="6"/>
      <c r="E14" s="6"/>
      <c r="F14"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4" s="6"/>
      <c r="H14" s="6"/>
      <c r="I14" s="6"/>
      <c r="J14" s="6" t="e">
        <f>9.81*LeInitialSizingTable[[#This Row],[Specific impulse]]*LN(LeInitialSizingTable[[#This Row],[Wet mass]]/(LeInitialSizingTable[[#This Row],[Stage dry mass]]+LeInitialSizingTable[[#This Row],[Final mass]]))</f>
        <v>#N/A</v>
      </c>
      <c r="K14" s="13"/>
      <c r="L14" s="6" t="e">
        <f>9.81*LeInitialSizingTable[[#This Row],[Specific impulse]]*(LeInitialSizingTable[[#This Row],[Propellant mass]]/LeInitialSizingTable[[#This Row],[Burn time]])</f>
        <v>#N/A</v>
      </c>
      <c r="M14" s="6" t="e">
        <f>LeInitialSizingTable[[#This Row],[Thrust]]*LeInitialSizingTable[[#This Row],[Burn time]]</f>
        <v>#N/A</v>
      </c>
      <c r="N14" s="7" t="e">
        <f>SUM($J$7:J14)</f>
        <v>#N/A</v>
      </c>
    </row>
    <row r="15" spans="1:14" x14ac:dyDescent="0.3">
      <c r="A15" s="5">
        <v>9</v>
      </c>
      <c r="B15" s="6"/>
      <c r="C15" s="6"/>
      <c r="D15" s="6"/>
      <c r="E15" s="6"/>
      <c r="F15" s="6"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5" s="6"/>
      <c r="H15" s="6"/>
      <c r="I15" s="6"/>
      <c r="J15" s="6" t="e">
        <f>9.81*LeInitialSizingTable[[#This Row],[Specific impulse]]*LN(LeInitialSizingTable[[#This Row],[Wet mass]]/(LeInitialSizingTable[[#This Row],[Stage dry mass]]+LeInitialSizingTable[[#This Row],[Final mass]]))</f>
        <v>#N/A</v>
      </c>
      <c r="K15" s="13"/>
      <c r="L15" s="6" t="e">
        <f>9.81*LeInitialSizingTable[[#This Row],[Specific impulse]]*(LeInitialSizingTable[[#This Row],[Propellant mass]]/LeInitialSizingTable[[#This Row],[Burn time]])</f>
        <v>#N/A</v>
      </c>
      <c r="M15" s="6" t="e">
        <f>LeInitialSizingTable[[#This Row],[Thrust]]*LeInitialSizingTable[[#This Row],[Burn time]]</f>
        <v>#N/A</v>
      </c>
      <c r="N15" s="7" t="e">
        <f>SUM($J$7:J15)</f>
        <v>#N/A</v>
      </c>
    </row>
    <row r="16" spans="1:14" x14ac:dyDescent="0.3">
      <c r="A16" s="8">
        <v>10</v>
      </c>
      <c r="B16" s="6"/>
      <c r="C16" s="9"/>
      <c r="D16" s="9"/>
      <c r="E16" s="9"/>
      <c r="F16" s="9" t="e">
        <f>IF(LeInitialSizingTable[[#This Row],[Fuel type?]] = "Solid", INDEX(IF(LeInitialSizingTable[[#This Row],[In vacuum?]] = "YES", TheDropdownMenuTable[Isp (solid, vacuum)], TheDropdownMenuTable[Isp (solid, SL)]), MATCH(LeInitialSizingTable[[#This Row],[Fuel]], TheDropdownMenuTable[Fuel (solid)], 0)), IF(LeInitialSizingTable[[#This Row],[Fuel type?]] = "Liquid", INDEX(IF(LeInitialSizingTable[[#This Row],[In vacuum?]] = "YES", TheDropdownMenuTable[Isp (liquid, vacuum)], TheDropdownMenuTable[Isp (liquid, SL)]), MATCH(LeInitialSizingTable[[#This Row],[Fuel]], TheDropdownMenuTable[Fuel (liquid)], 0)), INDEX(IF(LeInitialSizingTable[[#This Row],[In vacuum?]] = "YES", TheDropdownMenuTable[Isp (IDFK, vacuum)], TheDropdownMenuTable[Isp (IDFK, SL)]), MATCH(LeInitialSizingTable[[#This Row],[Fuel]], TheDropdownMenuTable[Fuel (IDFK)], 0))))</f>
        <v>#N/A</v>
      </c>
      <c r="G16" s="9"/>
      <c r="H16" s="6"/>
      <c r="I16" s="9"/>
      <c r="J16" s="6" t="e">
        <f>9.81*LeInitialSizingTable[[#This Row],[Specific impulse]]*LN(LeInitialSizingTable[[#This Row],[Wet mass]]/(LeInitialSizingTable[[#This Row],[Stage dry mass]]+LeInitialSizingTable[[#This Row],[Final mass]]))</f>
        <v>#N/A</v>
      </c>
      <c r="K16" s="14"/>
      <c r="L16" s="9" t="e">
        <f>9.81*LeInitialSizingTable[[#This Row],[Specific impulse]]*(LeInitialSizingTable[[#This Row],[Propellant mass]]/LeInitialSizingTable[[#This Row],[Burn time]])</f>
        <v>#N/A</v>
      </c>
      <c r="M16" s="9" t="e">
        <f>LeInitialSizingTable[[#This Row],[Thrust]]*LeInitialSizingTable[[#This Row],[Burn time]]</f>
        <v>#N/A</v>
      </c>
      <c r="N16" s="10" t="e">
        <f>SUM($J$7:J16)</f>
        <v>#N/A</v>
      </c>
    </row>
    <row r="17" spans="1:14" x14ac:dyDescent="0.3">
      <c r="F17" s="46" t="s">
        <v>40</v>
      </c>
      <c r="G17" s="46"/>
      <c r="H17" s="46"/>
      <c r="I17" s="46"/>
      <c r="J17" s="46"/>
      <c r="K17" s="46"/>
      <c r="L17" s="46"/>
      <c r="M17" s="46"/>
      <c r="N17" s="46"/>
    </row>
    <row r="20" spans="1:14" x14ac:dyDescent="0.3">
      <c r="F20" s="44" t="s">
        <v>38</v>
      </c>
      <c r="G20" s="44"/>
      <c r="H20" s="44"/>
    </row>
    <row r="21" spans="1:14" x14ac:dyDescent="0.3">
      <c r="F21" s="6" t="s">
        <v>36</v>
      </c>
      <c r="G21" s="6">
        <f>COUNT(LeInitialSizingTable[Final mass])-1</f>
        <v>3</v>
      </c>
      <c r="H21" s="6" t="s">
        <v>42</v>
      </c>
    </row>
    <row r="22" spans="1:14" x14ac:dyDescent="0.3">
      <c r="F22" s="6" t="s">
        <v>37</v>
      </c>
      <c r="G22" s="6">
        <f>_xlfn.AGGREGATE(4, 7, LeInitialSizingTable[Total delta-v])</f>
        <v>6358.5614828793559</v>
      </c>
      <c r="H22" s="6" t="s">
        <v>43</v>
      </c>
    </row>
    <row r="23" spans="1:14" x14ac:dyDescent="0.3">
      <c r="F23" s="6" t="s">
        <v>48</v>
      </c>
      <c r="G23" s="6">
        <f>0.1*_xlfn.AGGREGATE(9, 7, LeInitialSizingTable[Stage dry mass])-$B$6</f>
        <v>202866</v>
      </c>
      <c r="H23" s="6" t="s">
        <v>44</v>
      </c>
    </row>
    <row r="24" spans="1:14" x14ac:dyDescent="0.3">
      <c r="F24" s="6" t="s">
        <v>39</v>
      </c>
      <c r="G24" s="6">
        <f>_xlfn.AGGREGATE(4, 7, LeInitialSizingTable[Wet mass])</f>
        <v>29207880</v>
      </c>
      <c r="H24" s="6" t="s">
        <v>44</v>
      </c>
    </row>
    <row r="27" spans="1:14" x14ac:dyDescent="0.3">
      <c r="A27" s="45" t="s">
        <v>45</v>
      </c>
      <c r="B27" s="45"/>
      <c r="C27" s="45"/>
    </row>
    <row r="28" spans="1:14" x14ac:dyDescent="0.3">
      <c r="A28" s="45"/>
      <c r="B28" s="45"/>
      <c r="C28" s="45"/>
    </row>
    <row r="29" spans="1:14" x14ac:dyDescent="0.3">
      <c r="A29" t="s">
        <v>46</v>
      </c>
    </row>
    <row r="31" spans="1:14" x14ac:dyDescent="0.3">
      <c r="A31" s="41" t="s">
        <v>20</v>
      </c>
      <c r="B31" s="42" t="s">
        <v>4</v>
      </c>
      <c r="C31" s="42" t="s">
        <v>5</v>
      </c>
      <c r="D31" s="42" t="s">
        <v>23</v>
      </c>
      <c r="E31" s="42" t="s">
        <v>24</v>
      </c>
      <c r="F31" s="42" t="s">
        <v>6</v>
      </c>
      <c r="G31" s="42" t="s">
        <v>25</v>
      </c>
      <c r="H31" s="42" t="s">
        <v>26</v>
      </c>
      <c r="I31" s="42" t="s">
        <v>12</v>
      </c>
      <c r="J31" s="42" t="s">
        <v>27</v>
      </c>
      <c r="K31" s="43" t="s">
        <v>28</v>
      </c>
    </row>
    <row r="32" spans="1:14" x14ac:dyDescent="0.3">
      <c r="A32" s="18" t="s">
        <v>21</v>
      </c>
      <c r="B32" s="19" t="s">
        <v>7</v>
      </c>
      <c r="C32" s="19" t="s">
        <v>10</v>
      </c>
      <c r="D32" s="19">
        <f>1.5*TheDropdownMenuTable[[#This Row],[Isp (solid, SL)]]</f>
        <v>330.9</v>
      </c>
      <c r="E32" s="19">
        <f>AVERAGE(220, 220, 220, 203, 240)</f>
        <v>220.6</v>
      </c>
      <c r="F32" s="19" t="s">
        <v>32</v>
      </c>
      <c r="G32" s="19">
        <v>454.84199999999998</v>
      </c>
      <c r="H32" s="19">
        <v>388.78694999999999</v>
      </c>
      <c r="I32" s="19" t="s">
        <v>13</v>
      </c>
      <c r="J32" s="19">
        <f>1.5*TheDropdownMenuTable[[#This Row],[Isp (IDFK, SL)]]</f>
        <v>315</v>
      </c>
      <c r="K32" s="20">
        <v>210</v>
      </c>
    </row>
    <row r="33" spans="1:11" x14ac:dyDescent="0.3">
      <c r="A33" s="18" t="s">
        <v>22</v>
      </c>
      <c r="B33" s="19" t="s">
        <v>8</v>
      </c>
      <c r="C33" s="19" t="s">
        <v>9</v>
      </c>
      <c r="D33" s="19">
        <f>1.5*TheDropdownMenuTable[[#This Row],[Isp (solid, SL)]]</f>
        <v>244.12199999999999</v>
      </c>
      <c r="E33" s="19">
        <v>162.74799999999999</v>
      </c>
      <c r="F33" s="19" t="s">
        <v>31</v>
      </c>
      <c r="G33" s="19">
        <v>368.50157999999999</v>
      </c>
      <c r="H33" s="19">
        <v>309.27625</v>
      </c>
      <c r="I33" s="19" t="s">
        <v>80</v>
      </c>
      <c r="J33" s="19">
        <f>1.5*TheDropdownMenuTable[[#This Row],[Isp (IDFK, SL)]]</f>
        <v>337.5</v>
      </c>
      <c r="K33" s="20">
        <v>225</v>
      </c>
    </row>
    <row r="34" spans="1:11" x14ac:dyDescent="0.3">
      <c r="A34" s="18"/>
      <c r="B34" s="19" t="s">
        <v>11</v>
      </c>
      <c r="C34" s="19" t="s">
        <v>79</v>
      </c>
      <c r="D34" s="19">
        <v>285.60000000000002</v>
      </c>
      <c r="E34" s="19">
        <v>242</v>
      </c>
      <c r="F34" s="19" t="s">
        <v>33</v>
      </c>
      <c r="G34" s="19">
        <v>357.79817000000003</v>
      </c>
      <c r="H34" s="19">
        <v>299.79613000000001</v>
      </c>
      <c r="I34" s="19" t="s">
        <v>81</v>
      </c>
      <c r="J34" s="19">
        <f>1.5*TheDropdownMenuTable[[#This Row],[Isp (IDFK, SL)]]</f>
        <v>576</v>
      </c>
      <c r="K34" s="20">
        <v>384</v>
      </c>
    </row>
    <row r="35" spans="1:11" ht="28.8" x14ac:dyDescent="0.3">
      <c r="A35" s="18"/>
      <c r="B35" s="19"/>
      <c r="C35" s="19" t="s">
        <v>85</v>
      </c>
      <c r="D35" s="19">
        <f>1.5*TheDropdownMenuTable[[#This Row],[Isp (solid, SL)]]</f>
        <v>0</v>
      </c>
      <c r="E35" s="19"/>
      <c r="F35" s="19" t="s">
        <v>83</v>
      </c>
      <c r="G35" s="19">
        <v>341.38634000000002</v>
      </c>
      <c r="H35" s="19">
        <v>288.58308</v>
      </c>
      <c r="I35" s="19"/>
      <c r="J35" s="19"/>
      <c r="K35" s="20"/>
    </row>
    <row r="36" spans="1:11" x14ac:dyDescent="0.3">
      <c r="A36" s="18"/>
      <c r="B36" s="19"/>
      <c r="C36" s="19"/>
      <c r="D36" s="19">
        <f>1.5*TheDropdownMenuTable[[#This Row],[Isp (solid, SL)]]</f>
        <v>0</v>
      </c>
      <c r="E36" s="19"/>
      <c r="F36" s="19" t="s">
        <v>84</v>
      </c>
      <c r="G36" s="19">
        <v>333</v>
      </c>
      <c r="H36" s="19">
        <v>285</v>
      </c>
      <c r="I36" s="19"/>
      <c r="J36" s="19"/>
      <c r="K36" s="20"/>
    </row>
    <row r="37" spans="1:11" x14ac:dyDescent="0.3">
      <c r="A37" s="18"/>
      <c r="B37" s="19"/>
      <c r="C37" s="19"/>
      <c r="D37" s="19">
        <f>1.5*TheDropdownMenuTable[[#This Row],[Isp (solid, SL)]]</f>
        <v>0</v>
      </c>
      <c r="E37" s="19"/>
      <c r="F37" s="19" t="s">
        <v>34</v>
      </c>
      <c r="G37" s="19">
        <v>343.42507999999998</v>
      </c>
      <c r="H37" s="19">
        <v>291.74311999999998</v>
      </c>
      <c r="I37" s="19"/>
      <c r="J37" s="19"/>
      <c r="K37" s="20"/>
    </row>
    <row r="38" spans="1:11" x14ac:dyDescent="0.3">
      <c r="A38" s="18"/>
      <c r="B38" s="19"/>
      <c r="C38" s="19"/>
      <c r="D38" s="19">
        <f>1.5*TheDropdownMenuTable[[#This Row],[Isp (solid, SL)]]</f>
        <v>0</v>
      </c>
      <c r="E38" s="19"/>
      <c r="F38" s="19" t="s">
        <v>82</v>
      </c>
      <c r="G38" s="19">
        <v>341.18247000000002</v>
      </c>
      <c r="H38" s="19">
        <v>288.17532999999997</v>
      </c>
      <c r="I38" s="19"/>
      <c r="J38" s="19"/>
      <c r="K38" s="20"/>
    </row>
    <row r="39" spans="1:11" x14ac:dyDescent="0.3">
      <c r="A39" s="18"/>
      <c r="B39" s="19"/>
      <c r="C39" s="19"/>
      <c r="D39" s="19">
        <f>1.5*TheDropdownMenuTable[[#This Row],[Isp (solid, SL)]]</f>
        <v>0</v>
      </c>
      <c r="E39" s="19"/>
      <c r="F39" s="19"/>
      <c r="G39" s="19"/>
      <c r="H39" s="19"/>
      <c r="I39" s="19"/>
      <c r="J39" s="19"/>
      <c r="K39" s="20"/>
    </row>
    <row r="40" spans="1:11" x14ac:dyDescent="0.3">
      <c r="A40" s="18"/>
      <c r="B40" s="19"/>
      <c r="C40" s="19"/>
      <c r="D40" s="19">
        <f>1.5*TheDropdownMenuTable[[#This Row],[Isp (solid, SL)]]</f>
        <v>0</v>
      </c>
      <c r="E40" s="19"/>
      <c r="F40" s="19"/>
      <c r="G40" s="19"/>
      <c r="H40" s="19"/>
      <c r="I40" s="19"/>
      <c r="J40" s="19"/>
      <c r="K40" s="20"/>
    </row>
    <row r="41" spans="1:11" x14ac:dyDescent="0.3">
      <c r="A41" s="21"/>
      <c r="B41" s="22"/>
      <c r="C41" s="22"/>
      <c r="D41" s="22">
        <f>1.5*TheDropdownMenuTable[[#This Row],[Isp (solid, SL)]]</f>
        <v>0</v>
      </c>
      <c r="E41" s="22"/>
      <c r="F41" s="22"/>
      <c r="G41" s="22"/>
      <c r="H41" s="22"/>
      <c r="I41" s="22"/>
      <c r="J41" s="22"/>
      <c r="K41" s="23"/>
    </row>
  </sheetData>
  <mergeCells count="4">
    <mergeCell ref="F20:H20"/>
    <mergeCell ref="A27:C28"/>
    <mergeCell ref="F17:N17"/>
    <mergeCell ref="A1:B2"/>
  </mergeCells>
  <phoneticPr fontId="2" type="noConversion"/>
  <dataValidations count="3">
    <dataValidation type="list" allowBlank="1" showInputMessage="1" showErrorMessage="1" errorTitle="WTF" error="What are you doing? Insert valid data!" promptTitle="Fuel type" prompt="Please select fuel type" sqref="D7:D16" xr:uid="{75774DDE-7B63-4B96-895A-4AEB3A1915AC}">
      <formula1>$B$32:$B$34</formula1>
    </dataValidation>
    <dataValidation type="list" allowBlank="1" showInputMessage="1" showErrorMessage="1" errorTitle="Huh?" error="Did you input that correctly? Insert valid data" promptTitle="Can haz vacuum?" prompt="Pleas input stage condition in use" sqref="C7:C16" xr:uid="{27B2952E-10CB-495C-8AE7-7BD4B0C75E94}">
      <formula1>$A$32:$A$33</formula1>
    </dataValidation>
    <dataValidation type="list" allowBlank="1" showInputMessage="1" showErrorMessage="1" errorTitle="NOT AGAIN" error="What even?! Please insert valid data!" promptTitle="Fuel type 2: Electric Boogaloo" prompt="Please specify fuel type" sqref="E7:E16" xr:uid="{D3232489-5E3A-4360-884B-9C39225CAB94}">
      <formula1>IF($D7 = "Solid", $C$32:$C$41, IF($D7 = "Liquid", $F$32:$F$41, $I$32:$I$41))</formula1>
    </dataValidation>
  </dataValidations>
  <pageMargins left="0.7" right="0.7" top="0.75" bottom="0.75" header="0.3" footer="0.3"/>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F66-94E0-40B7-ABA4-DDB7F41E44FC}">
  <dimension ref="A1:H27"/>
  <sheetViews>
    <sheetView tabSelected="1" topLeftCell="C1" workbookViewId="0">
      <selection activeCell="F5" sqref="F5"/>
    </sheetView>
  </sheetViews>
  <sheetFormatPr defaultRowHeight="14.4" x14ac:dyDescent="0.3"/>
  <cols>
    <col min="1" max="1" width="21.109375" bestFit="1" customWidth="1"/>
    <col min="2" max="2" width="9.88671875" customWidth="1"/>
    <col min="3" max="4" width="37.21875" customWidth="1"/>
    <col min="7" max="7" width="37.21875" customWidth="1"/>
    <col min="8" max="8" width="73.6640625" customWidth="1"/>
  </cols>
  <sheetData>
    <row r="1" spans="1:8" x14ac:dyDescent="0.3">
      <c r="A1" s="2" t="s">
        <v>53</v>
      </c>
      <c r="B1" s="3" t="s">
        <v>56</v>
      </c>
      <c r="C1" s="3" t="s">
        <v>54</v>
      </c>
      <c r="D1" s="4" t="s">
        <v>55</v>
      </c>
    </row>
    <row r="2" spans="1:8" ht="43.2" customHeight="1" x14ac:dyDescent="0.3">
      <c r="A2" s="30" t="s">
        <v>63</v>
      </c>
      <c r="B2" s="31" t="s">
        <v>61</v>
      </c>
      <c r="C2" s="39" t="s">
        <v>42</v>
      </c>
      <c r="D2" s="26" t="s">
        <v>64</v>
      </c>
      <c r="F2" s="47" t="s">
        <v>60</v>
      </c>
      <c r="G2" s="47"/>
      <c r="H2" s="47"/>
    </row>
    <row r="3" spans="1:8" x14ac:dyDescent="0.3">
      <c r="A3" s="30" t="s">
        <v>66</v>
      </c>
      <c r="B3" s="31" t="s">
        <v>61</v>
      </c>
      <c r="C3" s="39" t="s">
        <v>42</v>
      </c>
      <c r="D3" s="32" t="s">
        <v>65</v>
      </c>
      <c r="F3" s="2" t="s">
        <v>57</v>
      </c>
      <c r="G3" s="3" t="s">
        <v>58</v>
      </c>
      <c r="H3" s="4" t="s">
        <v>59</v>
      </c>
    </row>
    <row r="4" spans="1:8" ht="43.2" x14ac:dyDescent="0.3">
      <c r="A4" s="30" t="s">
        <v>74</v>
      </c>
      <c r="B4" s="31" t="s">
        <v>61</v>
      </c>
      <c r="C4" s="25" t="s">
        <v>73</v>
      </c>
      <c r="D4" s="40" t="s">
        <v>42</v>
      </c>
      <c r="F4" s="24" t="s">
        <v>61</v>
      </c>
      <c r="G4" s="25" t="s">
        <v>62</v>
      </c>
      <c r="H4" s="26" t="s">
        <v>67</v>
      </c>
    </row>
    <row r="5" spans="1:8" x14ac:dyDescent="0.3">
      <c r="A5" s="30" t="s">
        <v>77</v>
      </c>
      <c r="B5" s="31" t="s">
        <v>61</v>
      </c>
      <c r="C5" s="31" t="s">
        <v>78</v>
      </c>
      <c r="D5" s="40" t="s">
        <v>42</v>
      </c>
      <c r="F5" s="24"/>
      <c r="G5" s="25"/>
      <c r="H5" s="26"/>
    </row>
    <row r="6" spans="1:8" x14ac:dyDescent="0.3">
      <c r="A6" s="30"/>
      <c r="B6" s="31"/>
      <c r="C6" s="31"/>
      <c r="D6" s="32"/>
      <c r="F6" s="24"/>
      <c r="G6" s="25"/>
      <c r="H6" s="26"/>
    </row>
    <row r="7" spans="1:8" x14ac:dyDescent="0.3">
      <c r="A7" s="30"/>
      <c r="B7" s="31"/>
      <c r="C7" s="31"/>
      <c r="D7" s="32"/>
      <c r="F7" s="24"/>
      <c r="G7" s="25"/>
      <c r="H7" s="26"/>
    </row>
    <row r="8" spans="1:8" x14ac:dyDescent="0.3">
      <c r="A8" s="30"/>
      <c r="B8" s="31"/>
      <c r="C8" s="31"/>
      <c r="D8" s="32"/>
      <c r="F8" s="24"/>
      <c r="G8" s="25"/>
      <c r="H8" s="26"/>
    </row>
    <row r="9" spans="1:8" x14ac:dyDescent="0.3">
      <c r="A9" s="30"/>
      <c r="B9" s="31"/>
      <c r="C9" s="31"/>
      <c r="D9" s="32"/>
      <c r="F9" s="24"/>
      <c r="G9" s="25"/>
      <c r="H9" s="26"/>
    </row>
    <row r="10" spans="1:8" x14ac:dyDescent="0.3">
      <c r="A10" s="30"/>
      <c r="B10" s="31"/>
      <c r="C10" s="31"/>
      <c r="D10" s="32"/>
      <c r="F10" s="24"/>
      <c r="G10" s="25"/>
      <c r="H10" s="26"/>
    </row>
    <row r="11" spans="1:8" x14ac:dyDescent="0.3">
      <c r="A11" s="30"/>
      <c r="B11" s="31"/>
      <c r="C11" s="31"/>
      <c r="D11" s="32"/>
      <c r="F11" s="24"/>
      <c r="G11" s="25"/>
      <c r="H11" s="26"/>
    </row>
    <row r="12" spans="1:8" x14ac:dyDescent="0.3">
      <c r="A12" s="30"/>
      <c r="B12" s="31"/>
      <c r="C12" s="31"/>
      <c r="D12" s="32"/>
      <c r="F12" s="24"/>
      <c r="G12" s="25"/>
      <c r="H12" s="26"/>
    </row>
    <row r="13" spans="1:8" x14ac:dyDescent="0.3">
      <c r="A13" s="30"/>
      <c r="B13" s="31"/>
      <c r="C13" s="31"/>
      <c r="D13" s="32"/>
      <c r="F13" s="24"/>
      <c r="G13" s="25"/>
      <c r="H13" s="26"/>
    </row>
    <row r="14" spans="1:8" x14ac:dyDescent="0.3">
      <c r="A14" s="30"/>
      <c r="B14" s="31"/>
      <c r="C14" s="31"/>
      <c r="D14" s="32"/>
      <c r="F14" s="24"/>
      <c r="G14" s="25"/>
      <c r="H14" s="26"/>
    </row>
    <row r="15" spans="1:8" x14ac:dyDescent="0.3">
      <c r="A15" s="30"/>
      <c r="B15" s="31"/>
      <c r="C15" s="31"/>
      <c r="D15" s="32"/>
      <c r="F15" s="24"/>
      <c r="G15" s="25"/>
      <c r="H15" s="26"/>
    </row>
    <row r="16" spans="1:8" x14ac:dyDescent="0.3">
      <c r="A16" s="30"/>
      <c r="B16" s="31"/>
      <c r="C16" s="31"/>
      <c r="D16" s="32"/>
      <c r="F16" s="24"/>
      <c r="G16" s="25"/>
      <c r="H16" s="26"/>
    </row>
    <row r="17" spans="1:8" x14ac:dyDescent="0.3">
      <c r="A17" s="30"/>
      <c r="B17" s="31"/>
      <c r="C17" s="31"/>
      <c r="D17" s="32"/>
      <c r="F17" s="24"/>
      <c r="G17" s="25"/>
      <c r="H17" s="26"/>
    </row>
    <row r="18" spans="1:8" x14ac:dyDescent="0.3">
      <c r="A18" s="30"/>
      <c r="B18" s="31"/>
      <c r="C18" s="31"/>
      <c r="D18" s="32"/>
      <c r="F18" s="24"/>
      <c r="G18" s="25"/>
      <c r="H18" s="26"/>
    </row>
    <row r="19" spans="1:8" x14ac:dyDescent="0.3">
      <c r="A19" s="30"/>
      <c r="B19" s="31"/>
      <c r="C19" s="31"/>
      <c r="D19" s="32"/>
      <c r="F19" s="24"/>
      <c r="G19" s="25"/>
      <c r="H19" s="26"/>
    </row>
    <row r="20" spans="1:8" x14ac:dyDescent="0.3">
      <c r="A20" s="30"/>
      <c r="B20" s="31"/>
      <c r="C20" s="31"/>
      <c r="D20" s="32"/>
      <c r="F20" s="24"/>
      <c r="G20" s="25"/>
      <c r="H20" s="26"/>
    </row>
    <row r="21" spans="1:8" x14ac:dyDescent="0.3">
      <c r="A21" s="30"/>
      <c r="B21" s="31"/>
      <c r="C21" s="31"/>
      <c r="D21" s="32"/>
      <c r="F21" s="24"/>
      <c r="G21" s="25"/>
      <c r="H21" s="26"/>
    </row>
    <row r="22" spans="1:8" x14ac:dyDescent="0.3">
      <c r="A22" s="30"/>
      <c r="B22" s="31"/>
      <c r="C22" s="31"/>
      <c r="D22" s="32"/>
      <c r="F22" s="24"/>
      <c r="G22" s="25"/>
      <c r="H22" s="26"/>
    </row>
    <row r="23" spans="1:8" x14ac:dyDescent="0.3">
      <c r="A23" s="30"/>
      <c r="B23" s="31"/>
      <c r="C23" s="31"/>
      <c r="D23" s="32"/>
      <c r="F23" s="24"/>
      <c r="G23" s="25"/>
      <c r="H23" s="26"/>
    </row>
    <row r="24" spans="1:8" x14ac:dyDescent="0.3">
      <c r="A24" s="30"/>
      <c r="B24" s="31"/>
      <c r="C24" s="31"/>
      <c r="D24" s="32"/>
      <c r="F24" s="24"/>
      <c r="G24" s="25"/>
      <c r="H24" s="26"/>
    </row>
    <row r="25" spans="1:8" x14ac:dyDescent="0.3">
      <c r="A25" s="33"/>
      <c r="B25" s="34"/>
      <c r="C25" s="34"/>
      <c r="D25" s="35"/>
      <c r="F25" s="27"/>
      <c r="G25" s="28"/>
      <c r="H25" s="29"/>
    </row>
    <row r="27" spans="1:8" x14ac:dyDescent="0.3">
      <c r="G27" s="6" t="s">
        <v>68</v>
      </c>
      <c r="H27" s="36" t="str" cm="1">
        <f t="array" ref="H27">_xlfn.CONCAT(_xlfn.XLOOKUP(_xlfn.XLOOKUP(TRUE, LogTable[Who?*] &lt;&gt; "", LogTable[Who?*], "¯\_(ツ)_/¯", 0, -1), AuthorTable[Abbr.], AuthorTable[Name], "¯\_(ツ)_/¯", 0, 2), ", ", _xlfn.XLOOKUP(TRUE, LogTable[Date and Time] &lt;&gt; "", LogTable[Date and Time], "¯\_(ツ)_/¯", 0, -1))</f>
        <v>Muhammad Naufal Afif, 13/01/2025, 05:18 UTC+7</v>
      </c>
    </row>
  </sheetData>
  <mergeCells count="1">
    <mergeCell ref="F2:H2"/>
  </mergeCells>
  <dataValidations count="1">
    <dataValidation type="list" allowBlank="1" showInputMessage="1" showErrorMessage="1" sqref="B2:B25" xr:uid="{7B16103C-6670-42BF-A0DD-7E002CEAB315}">
      <formula1>$F$4:$F$25</formula1>
    </dataValidation>
  </dataValidation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 Intro</vt:lpstr>
      <vt:lpstr>Initial Sizing</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Naufal Afif</dc:creator>
  <cp:lastModifiedBy>Muhammad Naufal Afif</cp:lastModifiedBy>
  <dcterms:created xsi:type="dcterms:W3CDTF">2025-01-11T12:31:50Z</dcterms:created>
  <dcterms:modified xsi:type="dcterms:W3CDTF">2025-01-13T04:13:53Z</dcterms:modified>
</cp:coreProperties>
</file>