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https://d.docs.live.net/4c1132a9a06cee12/Documents/"/>
    </mc:Choice>
  </mc:AlternateContent>
  <xr:revisionPtr revIDLastSave="1611" documentId="8_{085A2D8C-39A3-49E4-8CEE-214FC540B867}" xr6:coauthVersionLast="47" xr6:coauthVersionMax="47" xr10:uidLastSave="{988CC988-707E-4F2F-BB16-172382B5AE67}"/>
  <bookViews>
    <workbookView xWindow="-108" yWindow="-108" windowWidth="23256" windowHeight="12456" activeTab="3" xr2:uid="{255BFBE9-9FC6-44F8-AB9D-453C5CE9D40B}"/>
  </bookViews>
  <sheets>
    <sheet name="Le Intro" sheetId="2" r:id="rId1"/>
    <sheet name="Data Input" sheetId="5" r:id="rId2"/>
    <sheet name="Initial Sizing" sheetId="1" r:id="rId3"/>
    <sheet name="Log" sheetId="3"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5" l="1"/>
  <c r="E24" i="5"/>
  <c r="F24" i="5"/>
  <c r="G24" i="5"/>
  <c r="H24" i="5"/>
  <c r="I24" i="5"/>
  <c r="J24" i="5"/>
  <c r="K24" i="5"/>
  <c r="L24" i="5"/>
  <c r="C24" i="5"/>
  <c r="F30" i="5"/>
  <c r="F31" i="5"/>
  <c r="L19" i="5"/>
  <c r="K19" i="5"/>
  <c r="J19" i="5"/>
  <c r="I19" i="5"/>
  <c r="H19" i="5"/>
  <c r="F11" i="1"/>
  <c r="F28" i="5"/>
  <c r="B10" i="1"/>
  <c r="G10" i="1"/>
  <c r="B11" i="1"/>
  <c r="G11" i="1"/>
  <c r="H11" i="1"/>
  <c r="I11" i="1"/>
  <c r="J11" i="1"/>
  <c r="L11" i="1"/>
  <c r="M11" i="1"/>
  <c r="N11" i="1"/>
  <c r="F12" i="1"/>
  <c r="B12" i="1"/>
  <c r="G12" i="1"/>
  <c r="H12" i="1"/>
  <c r="I12" i="1"/>
  <c r="J12" i="1"/>
  <c r="N12" i="1"/>
  <c r="F13" i="1"/>
  <c r="B13" i="1"/>
  <c r="G13" i="1"/>
  <c r="H13" i="1"/>
  <c r="I13" i="1"/>
  <c r="J13" i="1"/>
  <c r="N13" i="1"/>
  <c r="B14" i="1"/>
  <c r="G14" i="1"/>
  <c r="H14" i="1"/>
  <c r="I14" i="1"/>
  <c r="J14" i="1"/>
  <c r="N14" i="1"/>
  <c r="N15" i="1"/>
  <c r="N16" i="1"/>
  <c r="N17" i="1"/>
  <c r="N18" i="1"/>
  <c r="N19" i="1"/>
  <c r="N20" i="1"/>
  <c r="L12" i="1"/>
  <c r="M12" i="1"/>
  <c r="L13" i="1"/>
  <c r="M13" i="1"/>
  <c r="L14" i="1"/>
  <c r="M14" i="1"/>
  <c r="B15" i="1"/>
  <c r="G15" i="1"/>
  <c r="H15" i="1"/>
  <c r="I15" i="1"/>
  <c r="J15" i="1"/>
  <c r="L15" i="1"/>
  <c r="M15" i="1"/>
  <c r="B16" i="1"/>
  <c r="G16" i="1"/>
  <c r="H16" i="1"/>
  <c r="I16" i="1"/>
  <c r="J16" i="1"/>
  <c r="L16" i="1"/>
  <c r="M16" i="1"/>
  <c r="B17" i="1"/>
  <c r="G17" i="1"/>
  <c r="H17" i="1"/>
  <c r="I17" i="1"/>
  <c r="J17" i="1"/>
  <c r="L17" i="1"/>
  <c r="M17" i="1"/>
  <c r="B18" i="1"/>
  <c r="G18" i="1"/>
  <c r="H18" i="1"/>
  <c r="I18" i="1"/>
  <c r="J18" i="1"/>
  <c r="L18" i="1"/>
  <c r="M18" i="1"/>
  <c r="B19" i="1"/>
  <c r="G19" i="1"/>
  <c r="H19" i="1"/>
  <c r="I19" i="1"/>
  <c r="J19" i="1"/>
  <c r="L19" i="1"/>
  <c r="M19" i="1"/>
  <c r="B20" i="1"/>
  <c r="G20" i="1"/>
  <c r="H20" i="1"/>
  <c r="I20" i="1"/>
  <c r="J20" i="1"/>
  <c r="L20" i="1"/>
  <c r="M20" i="1"/>
  <c r="I23" i="1" a="1"/>
  <c r="G25" i="1" a="1"/>
  <c r="G25" i="1"/>
  <c r="I23" i="1"/>
  <c r="G26" i="1" a="1"/>
  <c r="G26" i="1"/>
  <c r="G27" i="1" a="1"/>
  <c r="G28" i="1" a="1"/>
  <c r="G28" i="1"/>
  <c r="G27" i="1"/>
  <c r="E18" i="5"/>
  <c r="E17" i="5"/>
  <c r="F57" i="5"/>
  <c r="F56" i="5"/>
  <c r="F55" i="5"/>
  <c r="E57" i="5"/>
  <c r="E56" i="5"/>
  <c r="E55" i="5"/>
  <c r="D56" i="5"/>
  <c r="D57" i="5"/>
  <c r="D55" i="5"/>
  <c r="D45" i="5"/>
  <c r="D47" i="5"/>
  <c r="E36" i="1"/>
  <c r="G19" i="5"/>
  <c r="F19" i="5"/>
  <c r="H31" i="3" a="1"/>
  <c r="H31" i="3"/>
  <c r="D39" i="1"/>
  <c r="J37" i="1"/>
  <c r="J38" i="1"/>
  <c r="F14" i="1"/>
  <c r="F15" i="1"/>
  <c r="F16" i="1"/>
  <c r="F17" i="1"/>
  <c r="F18" i="1"/>
  <c r="F19" i="1"/>
  <c r="F20" i="1"/>
  <c r="D36" i="1"/>
  <c r="J36" i="1"/>
  <c r="D37" i="1"/>
  <c r="D46" i="5"/>
  <c r="E19" i="5"/>
  <c r="D48" i="5"/>
  <c r="C58" i="5"/>
  <c r="C19" i="5"/>
  <c r="C55" i="5"/>
  <c r="C56" i="5"/>
  <c r="D50" i="5"/>
  <c r="C60" i="5"/>
  <c r="C57" i="5"/>
  <c r="D49" i="5"/>
  <c r="C59" i="5"/>
  <c r="D51" i="5"/>
  <c r="C61" i="5"/>
  <c r="D19" i="5"/>
  <c r="F32" i="5"/>
  <c r="G29" i="1"/>
  <c r="F2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Muhammad Naufal Afif</author>
  </authors>
  <commentList>
    <comment ref="C7" authorId="0" shapeId="0" xr:uid="{AD0FD935-1891-46C3-A7B1-5E23F1936181}">
      <text>
        <r>
          <rPr>
            <b/>
            <sz val="9"/>
            <color indexed="81"/>
            <rFont val="Tahoma"/>
            <family val="2"/>
          </rPr>
          <t xml:space="preserve">Note: 
</t>
        </r>
        <r>
          <rPr>
            <sz val="9"/>
            <color indexed="81"/>
            <rFont val="Tahoma"/>
            <family val="2"/>
          </rPr>
          <t>Rocket stages can only go up to 10 for now</t>
        </r>
      </text>
    </comment>
    <comment ref="C8" authorId="0" shapeId="0" xr:uid="{BB263E28-743B-4DC6-9D71-0BAB3C5269E8}">
      <text>
        <r>
          <rPr>
            <b/>
            <sz val="9"/>
            <color indexed="81"/>
            <rFont val="Tahoma"/>
            <family val="2"/>
          </rPr>
          <t xml:space="preserve">Note: 
</t>
        </r>
        <r>
          <rPr>
            <sz val="9"/>
            <color indexed="81"/>
            <rFont val="Tahoma"/>
            <family val="2"/>
          </rPr>
          <t>If you have no idea how to fill this, use largest payload mass to determine rocket size</t>
        </r>
      </text>
    </comment>
    <comment ref="B17" authorId="0" shapeId="0" xr:uid="{D1990184-C0FC-4A5E-9641-A67A3E51DA72}">
      <text>
        <r>
          <rPr>
            <b/>
            <sz val="9"/>
            <color indexed="81"/>
            <rFont val="Tahoma"/>
            <family val="2"/>
          </rPr>
          <t xml:space="preserve">Note: 
</t>
        </r>
        <r>
          <rPr>
            <sz val="9"/>
            <color indexed="81"/>
            <rFont val="Tahoma"/>
            <family val="2"/>
          </rPr>
          <t xml:space="preserve">If you only got the height of orbit as info, add 6,378,000 metres for equatorial performance
</t>
        </r>
      </text>
    </comment>
    <comment ref="C18" authorId="0" shapeId="0" xr:uid="{BEAC787E-D75E-4B46-925E-4ECCF3567332}">
      <text>
        <r>
          <rPr>
            <b/>
            <sz val="9"/>
            <color indexed="81"/>
            <rFont val="Tahoma"/>
            <family val="2"/>
          </rPr>
          <t xml:space="preserve">Note: 
</t>
        </r>
        <r>
          <rPr>
            <sz val="9"/>
            <color indexed="81"/>
            <rFont val="Tahoma"/>
            <family val="2"/>
          </rPr>
          <t>Fill in this cell if you select anything other than circular orbit</t>
        </r>
      </text>
    </comment>
    <comment ref="D18" authorId="0" shapeId="0" xr:uid="{566CCF5D-D7CD-474D-9A94-C26F8F322564}">
      <text>
        <r>
          <rPr>
            <b/>
            <sz val="9"/>
            <color indexed="81"/>
            <rFont val="Tahoma"/>
            <family val="2"/>
          </rPr>
          <t xml:space="preserve">Note: </t>
        </r>
        <r>
          <rPr>
            <sz val="9"/>
            <color indexed="81"/>
            <rFont val="Tahoma"/>
            <family val="2"/>
          </rPr>
          <t xml:space="preserve">
Fill in this cell if you select anything other than circular orbit</t>
        </r>
      </text>
    </comment>
    <comment ref="E18" authorId="0" shapeId="0" xr:uid="{DF54C8E6-CBB3-4755-8EE7-F0FC88AAE742}">
      <text>
        <r>
          <rPr>
            <b/>
            <sz val="9"/>
            <color indexed="81"/>
            <rFont val="Tahoma"/>
            <family val="2"/>
          </rPr>
          <t xml:space="preserve">Note: 
</t>
        </r>
        <r>
          <rPr>
            <sz val="9"/>
            <color indexed="81"/>
            <rFont val="Tahoma"/>
            <family val="2"/>
          </rPr>
          <t xml:space="preserve">Fill in this cell if you select anything other than circular orbit
</t>
        </r>
      </text>
    </comment>
    <comment ref="F18" authorId="0" shapeId="0" xr:uid="{9303B6F1-F7BB-499A-B58A-BA8F8291AC31}">
      <text>
        <r>
          <rPr>
            <b/>
            <sz val="9"/>
            <color indexed="81"/>
            <rFont val="Tahoma"/>
            <family val="2"/>
          </rPr>
          <t xml:space="preserve">Note: 
</t>
        </r>
        <r>
          <rPr>
            <sz val="9"/>
            <color indexed="81"/>
            <rFont val="Tahoma"/>
            <family val="2"/>
          </rPr>
          <t xml:space="preserve">
Fill in this cell if you select anything other than circular orbit
</t>
        </r>
      </text>
    </comment>
    <comment ref="G18" authorId="0" shapeId="0" xr:uid="{DBA57A00-0D4F-4392-97A7-2400DFA51CA4}">
      <text>
        <r>
          <rPr>
            <b/>
            <sz val="9"/>
            <color indexed="81"/>
            <rFont val="Tahoma"/>
            <family val="2"/>
          </rPr>
          <t xml:space="preserve">Note: 
</t>
        </r>
        <r>
          <rPr>
            <sz val="9"/>
            <color indexed="81"/>
            <rFont val="Tahoma"/>
            <family val="2"/>
          </rPr>
          <t xml:space="preserve">
Fill in this cell if you select anything other than circular orbit</t>
        </r>
      </text>
    </comment>
    <comment ref="H18" authorId="0" shapeId="0" xr:uid="{C38870EE-4F92-4658-93AC-70EEEA509C56}">
      <text>
        <r>
          <rPr>
            <b/>
            <sz val="9"/>
            <color indexed="81"/>
            <rFont val="Tahoma"/>
            <family val="2"/>
          </rPr>
          <t xml:space="preserve">Note: 
</t>
        </r>
        <r>
          <rPr>
            <sz val="9"/>
            <color indexed="81"/>
            <rFont val="Tahoma"/>
            <family val="2"/>
          </rPr>
          <t xml:space="preserve">
Fill in this cell if you select anything other than circular orbit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Muhammad Naufal Afif</author>
  </authors>
  <commentList>
    <comment ref="B10" authorId="0" shapeId="0" xr:uid="{7A0BA3AD-71AC-4293-BC10-7D291049C67C}">
      <text>
        <r>
          <rPr>
            <b/>
            <sz val="9"/>
            <color indexed="81"/>
            <rFont val="Tahoma"/>
            <family val="2"/>
          </rPr>
          <t>Payload?</t>
        </r>
        <r>
          <rPr>
            <sz val="9"/>
            <color indexed="81"/>
            <rFont val="Tahoma"/>
            <family val="2"/>
          </rPr>
          <t xml:space="preserve">
Insert intended payload mass here. Just one is enough
(Note: already connected with initial sizing, but eh, you can edit it too)</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cellMetadata count="1">
    <bk>
      <rc t="1" v="0"/>
    </bk>
  </cellMetadata>
  <valueMetadata count="5">
    <bk>
      <rc t="2" v="0"/>
    </bk>
    <bk>
      <rc t="2" v="1"/>
    </bk>
    <bk>
      <rc t="2" v="2"/>
    </bk>
    <bk>
      <rc t="2" v="3"/>
    </bk>
    <bk>
      <rc t="2" v="4"/>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xml:space="preserve">init_sizing_df = xl(%P2%, headers=True)
</code>
    </pythonScript>
    <pythonScript>
      <code>init_sizing_df["Stage"][xl(%P2%)]</code>
    </pythonScript>
    <pythonScript>
      <code>init_sizing_df["Total delta-v"][xl(%P2%)]</code>
    </pythonScript>
    <pythonScript>
      <code>init_sizing_df["Stage dry mass"][1:xl(%P2%) + 1].sum()</code>
    </pythonScript>
    <pythonScript>
      <code>init_sizing_df["Wet mass"][1:xl(%P2%) + 1].sum()</code>
    </pythonScript>
  </pythonScripts>
</python>
</file>

<file path=xl/sharedStrings.xml><?xml version="1.0" encoding="utf-8"?>
<sst xmlns="http://schemas.openxmlformats.org/spreadsheetml/2006/main" count="255" uniqueCount="178">
  <si>
    <t>Stage</t>
  </si>
  <si>
    <t>Payload</t>
  </si>
  <si>
    <t>Final mass</t>
  </si>
  <si>
    <t>Fuel</t>
  </si>
  <si>
    <t>Fuel type?</t>
  </si>
  <si>
    <t>Fuel (solid)</t>
  </si>
  <si>
    <t>Fuel (liquid)</t>
  </si>
  <si>
    <t>Solid</t>
  </si>
  <si>
    <t>Liquid</t>
  </si>
  <si>
    <t>Rocket candy</t>
  </si>
  <si>
    <t>HTPB (LAPAN)</t>
  </si>
  <si>
    <t>Some weird third thing</t>
  </si>
  <si>
    <t>Fuel (IDFK)</t>
  </si>
  <si>
    <t>ALICE (Ice + Al)</t>
  </si>
  <si>
    <t>In vacuum?</t>
  </si>
  <si>
    <t>Specific impulse</t>
  </si>
  <si>
    <t>Delta-v</t>
  </si>
  <si>
    <t>Wet mass</t>
  </si>
  <si>
    <t>Total impulse</t>
  </si>
  <si>
    <t>Thrust</t>
  </si>
  <si>
    <t>Vacuum?</t>
  </si>
  <si>
    <t>YES</t>
  </si>
  <si>
    <t>NO</t>
  </si>
  <si>
    <t>Isp (solid, vacuum)</t>
  </si>
  <si>
    <t>Isp (solid, SL)</t>
  </si>
  <si>
    <t>Isp (liquid, vacuum)</t>
  </si>
  <si>
    <t>Isp (liquid, SL)</t>
  </si>
  <si>
    <t>Isp (IDFK, vacuum)</t>
  </si>
  <si>
    <t>Isp (IDFK, SL)</t>
  </si>
  <si>
    <t>Burn time</t>
  </si>
  <si>
    <t>Propellant mass</t>
  </si>
  <si>
    <t>Methalox (LOX/CH4)</t>
  </si>
  <si>
    <t>Hydrolox (LOX/LH2)</t>
  </si>
  <si>
    <t>Kerolox (LOX/RP-1)</t>
  </si>
  <si>
    <t>N2O4/N2H4</t>
  </si>
  <si>
    <t>Total delta-v</t>
  </si>
  <si>
    <t>Stages</t>
  </si>
  <si>
    <t>Delta-v budget</t>
  </si>
  <si>
    <t>HOW TO TABLE</t>
  </si>
  <si>
    <t>-</t>
  </si>
  <si>
    <t>m*s^-1</t>
  </si>
  <si>
    <t>kg</t>
  </si>
  <si>
    <t>HOW TO OTHER TABLE</t>
  </si>
  <si>
    <t>DO NOT TOUCH THE FIRST TWO COLUMNS!!! Insert fuel type in the fuel columns and subsequently its specific impulse in the respective columns. When one isn't available, SLIsp = 0.667*VacIsp and or VacIsp = 1.5*SLIsp</t>
  </si>
  <si>
    <t>Stage dry mass</t>
  </si>
  <si>
    <t>Empty weight</t>
  </si>
  <si>
    <t>Wanna be a co-author? Contact me! -&gt; m.naufal.afif.2001@gmail.com</t>
  </si>
  <si>
    <t>Date and Time</t>
  </si>
  <si>
    <t>Revision</t>
  </si>
  <si>
    <t>Addition</t>
  </si>
  <si>
    <t>Who?*</t>
  </si>
  <si>
    <t>Abbr.</t>
  </si>
  <si>
    <t>Name</t>
  </si>
  <si>
    <t>Work/School</t>
  </si>
  <si>
    <t>[MNA]</t>
  </si>
  <si>
    <t>Muhammad Naufal Afif</t>
  </si>
  <si>
    <t>11/01/2025, 23:00 UTC+7</t>
  </si>
  <si>
    <t>1. Initial sizing
2. Introduction Page</t>
  </si>
  <si>
    <t>1. Log</t>
  </si>
  <si>
    <t>12/01/2025, 05:07 UTC+7</t>
  </si>
  <si>
    <t>Undergraduate Student
Aerospace Engineering Study Program, Faculty of Mechanic and Aerospace Engineering
Institut Teknologi Bandung</t>
  </si>
  <si>
    <t xml:space="preserve">Last revision by: </t>
  </si>
  <si>
    <r>
      <t xml:space="preserve">
</t>
    </r>
    <r>
      <rPr>
        <b/>
        <sz val="11"/>
        <color theme="1"/>
        <rFont val="Aptos Narrow"/>
        <family val="2"/>
        <scheme val="minor"/>
      </rPr>
      <t xml:space="preserve">Main references: </t>
    </r>
    <r>
      <rPr>
        <sz val="11"/>
        <color theme="1"/>
        <rFont val="Aptos Narrow"/>
        <family val="2"/>
        <scheme val="minor"/>
      </rPr>
      <t xml:space="preserve">
[UwU] Rocket Propulsion Elements, Seventh Edition - George P. Sutton and Oscar Billarz
[OwO] Design of Rockets and Space Launch Vehicles, Second Edition - Don Edberg and Willie Costa
</t>
    </r>
  </si>
  <si>
    <r>
      <rPr>
        <b/>
        <sz val="11"/>
        <color theme="1"/>
        <rFont val="Aptos Narrow"/>
        <family val="2"/>
        <scheme val="minor"/>
      </rPr>
      <t xml:space="preserve">
General Guidelines: 
</t>
    </r>
    <r>
      <rPr>
        <sz val="11"/>
        <color theme="1"/>
        <rFont val="Aptos Narrow"/>
        <family val="2"/>
        <scheme val="minor"/>
      </rPr>
      <t xml:space="preserve">Follow the stated instruction for each spreadsheet
</t>
    </r>
  </si>
  <si>
    <t>1. Added to-do list in Intro page
2. Revised wording in Intro page</t>
  </si>
  <si>
    <t>12/01/2025,15:01 UTC+7</t>
  </si>
  <si>
    <t>13/01/2025, 05:18 UTC+7</t>
  </si>
  <si>
    <t>1. Added expected features</t>
  </si>
  <si>
    <t>APCP</t>
  </si>
  <si>
    <t>HTPB/Paraffin</t>
  </si>
  <si>
    <t>LOX/HTPB</t>
  </si>
  <si>
    <t>N2O4/MMH</t>
  </si>
  <si>
    <t>N2O4/UDMH×N2H4
(Aerozine 50)</t>
  </si>
  <si>
    <t>N2O4/UDMH</t>
  </si>
  <si>
    <t>Black powder</t>
  </si>
  <si>
    <t>1. Uploaded file to Github for further collaboration</t>
  </si>
  <si>
    <t>13/01/2025, 11:40 UTC+7</t>
  </si>
  <si>
    <t>13/01/2025, 11:41 UTC+7</t>
  </si>
  <si>
    <t>1. Revised Github readme, therefore intro spreadsheet</t>
  </si>
  <si>
    <r>
      <t xml:space="preserve">Features to be Added
</t>
    </r>
    <r>
      <rPr>
        <sz val="11"/>
        <color theme="1"/>
        <rFont val="Aptos Narrow"/>
        <family val="2"/>
        <scheme val="minor"/>
      </rPr>
      <t xml:space="preserve">Must Haves Before Entering Beta Stage (Essential Components): </t>
    </r>
    <r>
      <rPr>
        <b/>
        <sz val="11"/>
        <color theme="1"/>
        <rFont val="Aptos Narrow"/>
        <family val="2"/>
        <scheme val="minor"/>
      </rPr>
      <t xml:space="preserve">
     </t>
    </r>
    <r>
      <rPr>
        <sz val="11"/>
        <color theme="1"/>
        <rFont val="Aptos Narrow"/>
        <family val="2"/>
        <scheme val="minor"/>
      </rPr>
      <t>1. Weight Analysis
     2. Engine Performance (complete with thrust chart maker)
          a. Solid Propellant 
          b. Liquid Propellant
     3. Mission Planner Using Designed Rocket's Parameters
     4. de Laval Nozzle Maker</t>
    </r>
    <r>
      <rPr>
        <b/>
        <sz val="11"/>
        <color theme="1"/>
        <rFont val="Aptos Narrow"/>
        <family val="2"/>
        <scheme val="minor"/>
      </rPr>
      <t xml:space="preserve">
</t>
    </r>
    <r>
      <rPr>
        <sz val="11"/>
        <color theme="1"/>
        <rFont val="Aptos Narrow"/>
        <family val="2"/>
        <scheme val="minor"/>
      </rPr>
      <t xml:space="preserve">     5. Benchmarking Against Similar Rockets
     6. Aerodynamic Analysis</t>
    </r>
  </si>
  <si>
    <t>CO-AUTHORS! PLEASE FILL IN LOG AFTER EDITING! UNLESS MAKING A NEW VERSION, UNLISTED CHANGES ARE NOT RECOGNISED AND WILL BE RECTIFIED!!!</t>
  </si>
  <si>
    <t>[REP]</t>
  </si>
  <si>
    <t>[TIO]</t>
  </si>
  <si>
    <t>Ir. Toto Indriyanto, M.Sc., Ph.D.</t>
  </si>
  <si>
    <t>Lecturer
Aerospace Engineering Study Program, Faculty of Mechanic and Aerospace Engineering
Institut Teknologi Bandung</t>
  </si>
  <si>
    <t>Dr. Eng. Ridanto Eko Poetro, S.T, M.Sc.</t>
  </si>
  <si>
    <r>
      <rPr>
        <i/>
        <sz val="11"/>
        <color theme="1"/>
        <rFont val="Aptos Narrow"/>
        <family val="2"/>
        <scheme val="minor"/>
      </rPr>
      <t xml:space="preserve">"Yes, this is real. Yes, I'm bored. No, I do have a life." </t>
    </r>
    <r>
      <rPr>
        <sz val="11"/>
        <color theme="1"/>
        <rFont val="Aptos Narrow"/>
        <family val="2"/>
        <scheme val="minor"/>
      </rPr>
      <t xml:space="preserve">
-Muhammad Naufal Afif, 11/01/2025</t>
    </r>
  </si>
  <si>
    <r>
      <t xml:space="preserve">
</t>
    </r>
    <r>
      <rPr>
        <b/>
        <sz val="11"/>
        <color theme="1"/>
        <rFont val="Aptos Narrow"/>
        <family val="2"/>
        <scheme val="minor"/>
      </rPr>
      <t>What Even Is This?</t>
    </r>
    <r>
      <rPr>
        <sz val="11"/>
        <color theme="1"/>
        <rFont val="Aptos Narrow"/>
        <family val="2"/>
        <scheme val="minor"/>
      </rPr>
      <t xml:space="preserve">
SomRMWT is a rocket designer built completely in Excel, designed for hobby rocketry, academic purposes as teaching tool, or conceptual rocket designs. Started when Muhammad Naufal Afif was bored on his sixth year studying aerospace engineering, it provides "good enough" data as baseline for future rocket designs. Currently, it consists of only a rocket initial sizing tool. Contributions from those with expertise or interest in rocketry are highly encouraged to enhance its capabilities.
</t>
    </r>
  </si>
  <si>
    <r>
      <rPr>
        <sz val="11"/>
        <color theme="1"/>
        <rFont val="Aptos Narrow"/>
        <family val="2"/>
        <scheme val="minor"/>
      </rPr>
      <t xml:space="preserve">
Must Haves Before Entering Full Release (Optional Components): </t>
    </r>
    <r>
      <rPr>
        <b/>
        <sz val="11"/>
        <color theme="1"/>
        <rFont val="Aptos Narrow"/>
        <family val="2"/>
        <scheme val="minor"/>
      </rPr>
      <t xml:space="preserve">
     </t>
    </r>
    <r>
      <rPr>
        <sz val="11"/>
        <color theme="1"/>
        <rFont val="Aptos Narrow"/>
        <family val="2"/>
        <scheme val="minor"/>
      </rPr>
      <t>1. Rocket Geometry Drawer (a la Taufiq Mulyanto's AISAT)
     2. Payload Maker
     3. Engine Performance (complete with thrust chart maker)
          a. Hybrid Propellant 
     4. Trajectory Visualiser (integrated to Mission Planner)
     5. Cost Analysis</t>
    </r>
    <r>
      <rPr>
        <b/>
        <sz val="11"/>
        <color theme="1"/>
        <rFont val="Aptos Narrow"/>
        <family val="2"/>
        <scheme val="minor"/>
      </rPr>
      <t xml:space="preserve">
</t>
    </r>
  </si>
  <si>
    <t>13/01/2025, 11:51 UTC+7</t>
  </si>
  <si>
    <t>1. Some formatting changes to intro spreadsheet and or Github readme</t>
  </si>
  <si>
    <t>Pah Hendri
+6281321210645</t>
  </si>
  <si>
    <t>Rocket Name</t>
  </si>
  <si>
    <t>Expected Stages</t>
  </si>
  <si>
    <t>Secondary Mission</t>
  </si>
  <si>
    <t>Attribute</t>
  </si>
  <si>
    <t xml:space="preserve">What kind of mission? </t>
  </si>
  <si>
    <t>Primary Mission</t>
  </si>
  <si>
    <t>Tertiary Mission</t>
  </si>
  <si>
    <t>Mission #4</t>
  </si>
  <si>
    <t>Mission #5</t>
  </si>
  <si>
    <t>Mission #6</t>
  </si>
  <si>
    <t>Mission #7</t>
  </si>
  <si>
    <t>Mission #8</t>
  </si>
  <si>
    <t>Mission #9</t>
  </si>
  <si>
    <t>Mission #10</t>
  </si>
  <si>
    <t>Expected Rocket Diameter</t>
  </si>
  <si>
    <t xml:space="preserve">What kind of orbit? </t>
  </si>
  <si>
    <t>Expected semi-major axis</t>
  </si>
  <si>
    <t>Easy enough. Just insert your data in the yellow-tinted cells, also the orange one if you're feeling frisky since those are optional. You can add more missions if you like. All other sheets refer to data inputed here</t>
  </si>
  <si>
    <t>Assumed ideal single stage delta-v requirement</t>
  </si>
  <si>
    <t>Expected gimbal angle</t>
  </si>
  <si>
    <t>Expected mission orbit inclination</t>
  </si>
  <si>
    <t>Expected Rocket Size (NASA)</t>
  </si>
  <si>
    <t>Smoli (0 - 2000 kg)</t>
  </si>
  <si>
    <t>Imouto (2000 - 20000 kg)</t>
  </si>
  <si>
    <t>Beeg (20000 - 50000 lkg)</t>
  </si>
  <si>
    <t>CHONKER (&gt; 50000 kg)</t>
  </si>
  <si>
    <t>MEO</t>
  </si>
  <si>
    <t>Interplanetary (to Sun)</t>
  </si>
  <si>
    <t>Expected primary launch site latitude</t>
  </si>
  <si>
    <t>Circular</t>
  </si>
  <si>
    <t>Eliptical</t>
  </si>
  <si>
    <t>Interplanetary (away from Sun)</t>
  </si>
  <si>
    <t>Not applicable</t>
  </si>
  <si>
    <t>Expected secondary launch site latitude</t>
  </si>
  <si>
    <t>Total delta-v needed</t>
  </si>
  <si>
    <t>Does it make sense?</t>
  </si>
  <si>
    <t>(Boolean)</t>
  </si>
  <si>
    <t>DO NOT EDIT THIS TABLE!!!</t>
  </si>
  <si>
    <t>Expected Rocket Statistics</t>
  </si>
  <si>
    <t>Average payload size</t>
  </si>
  <si>
    <t>Average launch site inclination</t>
  </si>
  <si>
    <t>Average total delta-v requirement</t>
  </si>
  <si>
    <t>degrees</t>
  </si>
  <si>
    <t>m.s^-1</t>
  </si>
  <si>
    <t>ROwOcket</t>
  </si>
  <si>
    <t>PRELIMINARY ROCKET STATS</t>
  </si>
  <si>
    <t>13/01/2025, 19:21 UTC+7</t>
  </si>
  <si>
    <t>1. Data input</t>
  </si>
  <si>
    <t>HOW TO TABLES</t>
  </si>
  <si>
    <t>Ctrl+; and then Ctrl+Shift+; on the date and time cell before inserting your local time zone. Pick your abbreviation (that can be set on the orange table). State in a numbered list concisely what you've done. Copy your Github commits here if you came from there</t>
  </si>
  <si>
    <t>1. Initial sizing sheet now interconnected with data input data
2. Additional details on how to input logs
3. Some more statistics on initial sizing</t>
  </si>
  <si>
    <t>* = (Co-)Authors Abbreviation Index
Enter current work position or schooling institution, using official English name. Company names must be the legal one, not just the brand
If you can't disclose where you work (Study institution MUST be disclosed), fill with [LE SECRET ONHONHON~]</t>
  </si>
  <si>
    <t>Some Rocket Maker Weird Thing (SomRMWT) - Alpha v0.2 - 13/01/2025</t>
  </si>
  <si>
    <t>Column2</t>
  </si>
  <si>
    <t>Single-stage delta-v for mission</t>
  </si>
  <si>
    <t>LEO (ISS mission mostly)</t>
  </si>
  <si>
    <t>Insert numbers in yellow-tinted cells. Boosters not supported yet, nor coasting</t>
  </si>
  <si>
    <t>Average single-stage ideal delta-v</t>
  </si>
  <si>
    <t>Translunar (assuming LEO parking orbit)</t>
  </si>
  <si>
    <t>Trans-Mars (assuming LEO parking orbit)</t>
  </si>
  <si>
    <t>NOR THIS ONE!!!</t>
  </si>
  <si>
    <t>V: Orbit? | -&gt; Orbit type?</t>
  </si>
  <si>
    <t>14/01/2025, 14:13 UTC+7</t>
  </si>
  <si>
    <t>1. Delta-v calculation in input sheet
2. Started work on the orbital calculation for input (single-stage to desired orbit)</t>
  </si>
  <si>
    <t>[JHS]</t>
  </si>
  <si>
    <t>Jethro Hotasi Sinaga</t>
  </si>
  <si>
    <t>Parabolic</t>
  </si>
  <si>
    <t>Expected (periapsis) radius</t>
  </si>
  <si>
    <t>GEO/GTO</t>
  </si>
  <si>
    <t>Hyperbolic (assuming a 1 km/s speed)</t>
  </si>
  <si>
    <t>Desired Rocket Payload Ratio (0 -1)</t>
  </si>
  <si>
    <t>Desired propellant mass fraction (0 - 1)</t>
  </si>
  <si>
    <t>Desired dry mass ratio (0 - 1)</t>
  </si>
  <si>
    <t>Liftoff weight</t>
  </si>
  <si>
    <t>14/01/2025, 21:18 UTC+7</t>
  </si>
  <si>
    <t>1. Finally made data input work
2. Proper initial sizing, about damn time</t>
  </si>
  <si>
    <t>15/01/2025, 10:59 UTC+7</t>
  </si>
  <si>
    <t>1. Improved data input</t>
  </si>
  <si>
    <t>16/01/2025, 08:51 UTC+7</t>
  </si>
  <si>
    <t>1. Improved initial sizing, now with Python!
2. Put initial sizing data as pandas dataframe</t>
  </si>
  <si>
    <t>Average orbit inclination</t>
  </si>
  <si>
    <t>16/01/2025, 13:08 UTC+7</t>
  </si>
  <si>
    <t>1. Improved needed delta-v budget calculations</t>
  </si>
  <si>
    <t>Benedict Julian Zefanya Batubara</t>
  </si>
  <si>
    <t>[BJB]</t>
  </si>
  <si>
    <t>16/01/2025, 16:18 UTC+7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</si>
</sst>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sz val="8"/>
      <name val="Aptos Narrow"/>
      <family val="2"/>
      <scheme val="minor"/>
    </font>
    <font>
      <sz val="9"/>
      <color indexed="81"/>
      <name val="Tahoma"/>
      <family val="2"/>
    </font>
    <font>
      <b/>
      <sz val="9"/>
      <color indexed="81"/>
      <name val="Tahoma"/>
      <family val="2"/>
    </font>
    <font>
      <b/>
      <sz val="20"/>
      <color theme="1"/>
      <name val="Aptos Narrow"/>
      <family val="2"/>
      <scheme val="minor"/>
    </font>
    <font>
      <b/>
      <sz val="11"/>
      <color theme="1"/>
      <name val="Aptos Narrow"/>
      <family val="2"/>
      <scheme val="minor"/>
    </font>
    <font>
      <b/>
      <sz val="16"/>
      <color theme="0"/>
      <name val="Aptos Narrow"/>
      <family val="2"/>
      <scheme val="minor"/>
    </font>
    <font>
      <b/>
      <sz val="14"/>
      <color theme="1"/>
      <name val="Aptos Narrow"/>
      <family val="2"/>
      <scheme val="minor"/>
    </font>
    <font>
      <i/>
      <sz val="11"/>
      <color theme="1"/>
      <name val="Aptos Narrow"/>
      <family val="2"/>
      <scheme val="minor"/>
    </font>
    <font>
      <sz val="20"/>
      <color theme="1"/>
      <name val="Aptos Narrow"/>
      <family val="2"/>
      <scheme val="minor"/>
    </font>
  </fonts>
  <fills count="7">
    <fill>
      <patternFill patternType="none"/>
    </fill>
    <fill>
      <patternFill patternType="gray125"/>
    </fill>
    <fill>
      <patternFill patternType="solid">
        <fgColor theme="5"/>
        <bgColor theme="5"/>
      </patternFill>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rgb="FFFFC000"/>
        <bgColor indexed="64"/>
      </patternFill>
    </fill>
  </fills>
  <borders count="12">
    <border>
      <left/>
      <right/>
      <top/>
      <bottom/>
      <diagonal/>
    </border>
    <border diagonalUp="1" diagonalDown="1">
      <left style="thin">
        <color auto="1"/>
      </left>
      <right style="thin">
        <color auto="1"/>
      </right>
      <top style="thin">
        <color auto="1"/>
      </top>
      <bottom style="thin">
        <color auto="1"/>
      </bottom>
      <diagonal style="thin">
        <color auto="1"/>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2" borderId="4" xfId="0" applyFont="1" applyFill="1" applyBorder="1"/>
    <xf numFmtId="0" fontId="0" fillId="3" borderId="2" xfId="0" applyFill="1" applyBorder="1"/>
    <xf numFmtId="0" fontId="0" fillId="3" borderId="9" xfId="0" applyFill="1" applyBorder="1"/>
    <xf numFmtId="0" fontId="7" fillId="5" borderId="0" xfId="0" applyFont="1"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4" borderId="2" xfId="0" applyFill="1" applyBorder="1"/>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wrapText="1"/>
    </xf>
    <xf numFmtId="0" fontId="0" fillId="6" borderId="2" xfId="0" applyFill="1" applyBorder="1"/>
    <xf numFmtId="0" fontId="0" fillId="0" borderId="0" xfId="0" applyAlignment="1">
      <alignment horizontal="left" vertical="center"/>
    </xf>
    <xf numFmtId="0" fontId="0" fillId="0" borderId="1" xfId="0" applyBorder="1"/>
    <xf numFmtId="0" fontId="0" fillId="4" borderId="2" xfId="0" applyFill="1" applyBorder="1" applyAlignment="1">
      <alignment horizontal="left" vertical="center"/>
    </xf>
    <xf numFmtId="0" fontId="1" fillId="0" borderId="3" xfId="0" applyFont="1" applyBorder="1"/>
    <xf numFmtId="0" fontId="6" fillId="0" borderId="0" xfId="0" applyFont="1"/>
    <xf numFmtId="0" fontId="0" fillId="4" borderId="2" xfId="0" quotePrefix="1" applyFill="1" applyBorder="1" applyAlignment="1">
      <alignment horizontal="left" vertical="center" wrapText="1"/>
    </xf>
    <xf numFmtId="0" fontId="5" fillId="0" borderId="0" xfId="0" applyFont="1" applyAlignment="1">
      <alignment horizontal="center" vertical="center"/>
    </xf>
    <xf numFmtId="0" fontId="0" fillId="0" borderId="2" xfId="0" quotePrefix="1" applyBorder="1"/>
    <xf numFmtId="0" fontId="0" fillId="0" borderId="2" xfId="0" applyBorder="1" applyAlignment="1">
      <alignment vertical="center"/>
    </xf>
    <xf numFmtId="0" fontId="0" fillId="0" borderId="2" xfId="0" applyBorder="1" applyAlignment="1">
      <alignment vertical="center" wrapText="1"/>
    </xf>
    <xf numFmtId="0" fontId="0" fillId="0" borderId="0" xfId="0" applyAlignment="1">
      <alignment horizont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6" fillId="0" borderId="7" xfId="0" applyFont="1" applyBorder="1" applyAlignment="1">
      <alignment horizontal="center"/>
    </xf>
    <xf numFmtId="0" fontId="6" fillId="0" borderId="11" xfId="0" applyFont="1" applyBorder="1" applyAlignment="1">
      <alignment horizontal="center"/>
    </xf>
    <xf numFmtId="0" fontId="6" fillId="0" borderId="6" xfId="0" applyFont="1" applyBorder="1" applyAlignment="1">
      <alignment horizontal="center"/>
    </xf>
    <xf numFmtId="0" fontId="5" fillId="0" borderId="0" xfId="0" applyFont="1" applyAlignment="1">
      <alignment horizontal="center" vertical="center"/>
    </xf>
    <xf numFmtId="0" fontId="0" fillId="4" borderId="7" xfId="0" applyFill="1" applyBorder="1" applyAlignment="1">
      <alignment horizontal="center"/>
    </xf>
    <xf numFmtId="0" fontId="0" fillId="4" borderId="11" xfId="0" applyFill="1" applyBorder="1" applyAlignment="1">
      <alignment horizontal="center"/>
    </xf>
    <xf numFmtId="0" fontId="0" fillId="4" borderId="6" xfId="0" applyFill="1" applyBorder="1" applyAlignment="1">
      <alignment horizontal="center"/>
    </xf>
    <xf numFmtId="0" fontId="0" fillId="4" borderId="2" xfId="0" applyFill="1" applyBorder="1" applyAlignment="1">
      <alignment horizontal="center"/>
    </xf>
    <xf numFmtId="0" fontId="10" fillId="0" borderId="0" xfId="0" applyFont="1" applyAlignment="1">
      <alignment horizontal="center" vertical="center"/>
    </xf>
    <xf numFmtId="0" fontId="0" fillId="0" borderId="2" xfId="0" applyBorder="1" applyAlignment="1">
      <alignment horizontal="left" vertical="center" wrapText="1"/>
    </xf>
    <xf numFmtId="0" fontId="0" fillId="0" borderId="0" xfId="0" applyAlignment="1">
      <alignment horizontal="left"/>
    </xf>
  </cellXfs>
  <cellStyles count="1">
    <cellStyle name="Normal" xfId="0" builtinId="0"/>
  </cellStyles>
  <dxfs count="94">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alignment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fill>
        <patternFill patternType="none">
          <fgColor indexed="64"/>
          <bgColor auto="1"/>
        </patternFill>
      </fill>
      <border outline="0">
        <left style="thin">
          <color indexed="64"/>
        </left>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right style="thin">
          <color indexed="64"/>
        </right>
        <top style="thin">
          <color indexed="64"/>
        </top>
        <bottom style="thin">
          <color indexed="64"/>
        </bottom>
      </border>
    </dxf>
    <dxf>
      <border>
        <top style="thin">
          <color indexed="64"/>
        </top>
      </border>
    </dxf>
    <dxf>
      <border>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border>
        <left style="thin">
          <color indexed="64"/>
        </left>
        <right style="thin">
          <color indexed="64"/>
        </right>
        <top/>
        <bottom/>
        <vertical style="thin">
          <color indexed="64"/>
        </vertical>
        <horizontal style="thin">
          <color indexed="64"/>
        </horizontal>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microsoft.com/office/2023/09/relationships/Python" Target="pyth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12">
    <v t="s"/>
    <v t="s">Stage</v>
    <v t="s">Final mass</v>
    <v t="s">In vacuum?</v>
    <v t="s">Fuel type?</v>
    <v t="s">Fuel</v>
    <v t="s">...</v>
    <v t="s">Delta-v</v>
    <v t="s">Burn time</v>
    <v t="s">Thrust</v>
    <v t="s">Total impulse</v>
    <v t="s">Total delta-v</v>
    <v>0</v>
    <v t="s">Payload</v>
    <v>9654.8938460562968</v>
    <v t="r">0</v>
    <v t="r">0</v>
    <v t="r">0</v>
    <v t="s">...</v>
    <v t="r">1</v>
    <v t="r">1</v>
    <v t="r">1</v>
    <v t="r">1</v>
    <v t="r">1</v>
    <v>1</v>
    <v>1</v>
    <v>9654.8938460562968</v>
    <v t="s">YES</v>
    <v t="s">Some weird third thing</v>
    <v t="s">LOX/HTPB</v>
    <v t="s">...</v>
    <v>12472.339333473312</v>
    <v>30</v>
    <v>18003333.800354723</v>
    <v>540100014.01064169</v>
    <v>12472.339333473312</v>
    <v>2</v>
    <v>2</v>
    <v>96548.938460563004</v>
    <v t="s">NO</v>
    <v t="s">Liquid</v>
    <v t="s">Methalox (LOX/CH4)</v>
    <v t="s">...</v>
    <v>6696.8721142085506</v>
    <v>100</v>
    <v>29000018.569124788</v>
    <v>2900001856.9124789</v>
    <v>19169.211447681861</v>
    <v>3</v>
    <v>3</v>
    <v>965489.38460563018</v>
    <v t="s">NO</v>
    <v t="s">Solid</v>
    <v t="s">HTPB (LAPAN)</v>
    <v t="s">...</v>
    <v>4776.7327377850916</v>
    <v>180</v>
    <v>114917113.32055132</v>
    <v>20685080397.699238</v>
    <v>23945.944185466953</v>
    <v>4</v>
    <v>4</v>
    <v>9654893.846056303</v>
    <v t="r">0</v>
    <v t="r">0</v>
    <v t="r">0</v>
    <v t="s">...</v>
    <v t="r">1</v>
    <v t="r">1</v>
    <v t="r">1</v>
    <v t="r">1</v>
    <v t="r">1</v>
    <v t="s">...</v>
    <v t="s">...</v>
    <v t="s">...</v>
    <v t="s">...</v>
    <v t="s">...</v>
    <v t="s">...</v>
    <v t="s">...</v>
    <v t="s">...</v>
    <v t="s">...</v>
    <v t="s">...</v>
    <v t="s">...</v>
    <v t="s">...</v>
    <v>6</v>
    <v>6</v>
    <v>965489384.60563064</v>
    <v t="r">0</v>
    <v t="r">0</v>
    <v t="r">0</v>
    <v t="s">...</v>
    <v t="r">1</v>
    <v t="r">1</v>
    <v t="r">1</v>
    <v t="r">1</v>
    <v t="r">1</v>
    <v>7</v>
    <v>7</v>
    <v>9654893846.0563087</v>
    <v t="r">0</v>
    <v t="r">0</v>
    <v t="r">0</v>
    <v t="s">...</v>
    <v t="r">1</v>
    <v t="r">1</v>
    <v t="r">1</v>
    <v t="r">1</v>
    <v t="r">1</v>
    <v>8</v>
    <v>8</v>
    <v>96548938460.56311</v>
    <v t="r">0</v>
    <v t="r">0</v>
    <v t="r">0</v>
    <v t="s">...</v>
    <v t="r">1</v>
    <v t="r">1</v>
    <v t="r">1</v>
    <v t="r">1</v>
    <v t="r">1</v>
    <v>9</v>
    <v>9</v>
    <v>965489384605.63123</v>
    <v t="r">0</v>
    <v t="r">0</v>
    <v t="r">0</v>
    <v t="s">...</v>
    <v t="r">1</v>
    <v t="r">1</v>
    <v t="r">1</v>
    <v t="r">1</v>
    <v t="r">1</v>
    <v>10</v>
    <v>10</v>
    <v>9654893846056.3145</v>
    <v t="r">0</v>
    <v t="r">0</v>
    <v t="r">0</v>
    <v t="s">...</v>
    <v t="r">1</v>
    <v t="r">1</v>
    <v t="r">1</v>
    <v t="r">1</v>
    <v t="r">1</v>
  </a>
</arrayData>
</file>

<file path=xl/richData/rdrichvalue.xml><?xml version="1.0" encoding="utf-8"?>
<rvData xmlns="http://schemas.microsoft.com/office/spreadsheetml/2017/richdata" count="9">
  <rv s="0">
    <fb>0</fb>
    <v>2</v>
  </rv>
  <rv s="0">
    <fb>0</fb>
    <v>3</v>
  </rv>
  <rv s="1">
    <v>0</v>
  </rv>
  <rv s="2">
    <v>DataFrame</v>
    <v>1</v>
    <v>2</v>
  </rv>
  <rv s="3">
    <v>&lt;class 'pandas.core.frame.DataFrame'&gt;</v>
    <v>DataFrame</v>
    <v xml:space="preserve">      Stage    Final mass In vacuum?              Fuel type?  \
0   Payload  9.654894e+03       None                    None   
1         1  9.654894e+03        YES  Some weird third thing   
2         2  9.654894e+04         NO                  Liquid...</v>
    <v>3</v>
    <v>4</v>
    <v>5</v>
  </rv>
  <rv s="4">
    <fb>2</fb>
    <v>&lt;class 'int'&gt;</v>
    <v>int</v>
    <v>2</v>
    <v>2</v>
    <v>4</v>
    <v>5</v>
  </rv>
  <rv s="5">
    <fb>19169.211447681861</fb>
    <v>&lt;class 'numpy.float64'&gt;</v>
    <v>float64</v>
    <v>19169.21144768186</v>
    <v>19169.211447681861</v>
    <v>4</v>
    <v>5</v>
  </rv>
  <rv s="5">
    <fb>10620.38323066193</fb>
    <v>&lt;class 'numpy.float64'&gt;</v>
    <v>float64</v>
    <v>10620.38323066193</v>
    <v>10620.38323066193</v>
    <v>4</v>
    <v>5</v>
  </rv>
  <rv s="5">
    <fb>1062038.3230661931</fb>
    <v>&lt;class 'numpy.float64'&gt;</v>
    <v>float64</v>
    <v>1062038.3230661931</v>
    <v>1062038.3230661931</v>
    <v>4</v>
    <v>5</v>
  </rv>
</rvData>
</file>

<file path=xl/richData/rdrichvaluestructure.xml><?xml version="1.0" encoding="utf-8"?>
<rvStructures xmlns="http://schemas.microsoft.com/office/spreadsheetml/2017/richdata" count="6">
  <s t="_formattednumber">
    <k n="_Format" t="spb"/>
  </s>
  <s t="_array">
    <k n="array" t="a"/>
  </s>
  <s t="_entity">
    <k n="_DisplayString" t="s"/>
    <k n="_ViewInfo" t="spb"/>
    <k n="arrayPreview" t="r"/>
  </s>
  <s t="_python">
    <k n="Python_type" t="s"/>
    <k n="Python_typeName" t="s"/>
    <k n="Python_str" t="s"/>
    <k n="preview" t="r"/>
    <k n="_Provider" t="spb"/>
    <k n="provider" t="spb"/>
  </s>
  <s t="_python">
    <k n="Python_type" t="s"/>
    <k n="Python_typeName" t="s"/>
    <k n="Python_str" t="s"/>
    <k n="basicValue" t="i"/>
    <k n="_Provider" t="spb"/>
    <k n="provider" t="spb"/>
  </s>
  <s t="_python">
    <k n="Python_type" t="s"/>
    <k n="Python_typeName" t="s"/>
    <k n="Python_str" t="s"/>
    <k n="basicValue"/>
    <k n="_Provider" t="spb"/>
    <k n="provider" t="spb"/>
  </s>
</rvStructures>
</file>

<file path=xl/richData/rdsupportingpropertybag.xml><?xml version="1.0" encoding="utf-8"?>
<supportingPropertyBags xmlns="http://schemas.microsoft.com/office/spreadsheetml/2017/richdata2">
  <spbData count="6">
    <spb s="0">
      <v>11</v>
      <v>14</v>
      <v>DataFrame</v>
      <v>arrayPreview</v>
      <v>1</v>
    </spb>
    <spb s="1">
      <v>0</v>
    </spb>
    <spb s="2">
      <v>1</v>
    </spb>
    <spb s="2">
      <v>2</v>
    </spb>
    <spb s="3">
      <v>https://www.anaconda.com/excel</v>
      <v>https://res.cdn.office.net/officepysvc/prod-service/anacondalogo.png</v>
      <v>Python provided by Anaconda</v>
    </spb>
    <spb s="4">
      <v>https://www.anaconda.com/excel</v>
      <v>https://res.cdn.office.net/officepysvc/prod-service/anacondalogo.png</v>
      <v>Python provided by Anaconda</v>
    </spb>
  </spbData>
</supportingPropertyBags>
</file>

<file path=xl/richData/rdsupportingpropertybagstructure.xml><?xml version="1.0" encoding="utf-8"?>
<spbStructures xmlns="http://schemas.microsoft.com/office/spreadsheetml/2017/richdata2" count="5">
  <s>
    <k n="drw" t="i"/>
    <k n="dcol" t="i"/>
    <k n="name" t="s"/>
    <k n="array" t="s"/>
    <k n="headers" t="b"/>
  </s>
  <s>
    <k n="ArrayCardInfo" t="spb"/>
  </s>
  <s>
    <k n="_Self" t="i"/>
  </s>
  <s>
    <k n="link" t="s"/>
    <k n="logo" t="s"/>
    <k n="name" t="s"/>
  </s>
  <s>
    <k n="url" t="s"/>
    <k n="logoUrl" t="s"/>
    <k n="descrip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Sty dxfid="0">
      <rpv i="0">0;-0;"nan"</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AC8A23-A629-49DA-9612-16991BC7E0CF}" name="TheDropdownMenuTable_DataInput" displayName="TheDropdownMenuTable_DataInput" ref="B44:F51" totalsRowShown="0" headerRowBorderDxfId="93" tableBorderDxfId="92" totalsRowBorderDxfId="91">
  <autoFilter ref="B44:F51" xr:uid="{02AC8A23-A629-49DA-9612-16991BC7E0CF}"/>
  <tableColumns count="5">
    <tableColumn id="1" xr3:uid="{37C26436-216C-4530-992E-9414322F8925}" name="Expected Rocket Size (NASA)" dataDxfId="90"/>
    <tableColumn id="2" xr3:uid="{F7CE6833-F045-4505-BBB1-32CEAA513166}" name="What kind of mission? " dataDxfId="89"/>
    <tableColumn id="4" xr3:uid="{2173F227-01D3-4B33-A0D6-EBF6EFF1FD1E}" name="Single-stage delta-v for mission" dataDxfId="88">
      <calculatedColumnFormula>((9.81*6378000^3)/(6378000+400000))^0.5</calculatedColumnFormula>
    </tableColumn>
    <tableColumn id="3" xr3:uid="{1648E833-C30F-405E-9AAA-C8448639848B}" name="What kind of orbit? " dataDxfId="87"/>
    <tableColumn id="5" xr3:uid="{254C4227-29AA-42F4-8885-BFA9F8CD22D4}" name="Column2" dataDxfId="8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3BA3E3-292E-4F9B-8FC4-4172FB53A2F9}" name="DataInputTable" displayName="DataInputTable" ref="B13:L24" totalsRowShown="0" headerRowDxfId="85" headerRowBorderDxfId="84" tableBorderDxfId="83" totalsRowBorderDxfId="82">
  <autoFilter ref="B13:L24" xr:uid="{973BA3E3-292E-4F9B-8FC4-4172FB53A2F9}"/>
  <tableColumns count="11">
    <tableColumn id="1" xr3:uid="{ABF0C372-0E46-4662-A2C0-2A30F2555CDC}" name="Attribute" dataDxfId="81"/>
    <tableColumn id="2" xr3:uid="{8A769E52-51EA-4931-B79B-BA85D1C4A8EC}" name="Primary Mission" dataDxfId="80"/>
    <tableColumn id="3" xr3:uid="{5C515417-3844-49FD-B0B2-8189E42BCC26}" name="Secondary Mission" dataDxfId="79"/>
    <tableColumn id="4" xr3:uid="{7F8A43EC-A596-4550-A14C-5415BCDA1B52}" name="Tertiary Mission" dataDxfId="78">
      <calculatedColumnFormula>IF(
    ISBLANK(E10),
    "Oh nyo, pwease insert orbit type ÓwÒ",
            IF(
            E10 = "Circular",
            INDEX(
                  TheDropdownMenuTable_DataInput[Single-stage delta-v for mission],
                  MATCH(
                        E9,
                        TheDropdownMenuTable_DataInput[What kind of mission? ],
                        0
                        )
                   ),
             INDEX(
                   DeltaVCalculator_InitialSizing[],
                   MATCH(
                         E9,
                         DeltaVCalculator_InitialSizing[V: Orbit? | -&gt; Orbit type?],
                         0
                   ),
                   MATCH(
                         E10,
                         DeltaVCalculator_InitialSizing[#Headers],
                         0
                         )
                    )
               )
)</calculatedColumnFormula>
    </tableColumn>
    <tableColumn id="5" xr3:uid="{59EA6F45-44F7-407D-836B-D7315DFC7AB9}" name="Mission #4" dataDxfId="77">
      <calculatedColumnFormula>IF(
    ISBLANK(F9),
    "Oh nyo, pwease insert orbit type ÓwÒ",
            IF(
            F9 = "Circular",
            INDEX(
                  TheDropdownMenuTable_DataInput[Single-stage delta-v for mission],
                  MATCH(
                        F8,
                        TheDropdownMenuTable_DataInput[What kind of mission? ],
                        0
                        )
                   ),
             INDEX(
                   DeltaVCalculator_InitialSizing[],
                   MATCH(
                         F8,
                         DeltaVCalculator_InitialSizing[V: Orbit? | -&gt; Orbit type?],
                         0
                   ),
                   MATCH(
                         F9,
                         DeltaVCalculator_InitialSizing[#Headers],
                         0
                         )
                    )
               )
)</calculatedColumnFormula>
    </tableColumn>
    <tableColumn id="6" xr3:uid="{65777FC9-5529-46FE-A286-35373E1FB94F}" name="Mission #5" dataDxfId="76">
      <calculatedColumnFormula>IF(
    ISBLANK(G10),
    "Oh nyo, pwease insert orbit type ÓwÒ",
    IFERROR(
        IF(
            G10 = "Circular",
            VLOOKUP(G10, TheDropdownMenuTable_DataInput[], 3),
            HLOOKUP(
                G10,
                DeltaVCalculator_InitialSizing[#Headers],
                MATCH(G9, DeltaVCalculator_InitialSizing[V: Orbit? | -&gt; Orbit type?], 0),
                FALSE
            )
        ),
        "Calculate that for yourself :3"
    )
)</calculatedColumnFormula>
    </tableColumn>
    <tableColumn id="7" xr3:uid="{3A5B2374-D007-4C77-BB09-29980BD9AB9B}" name="Mission #6" dataDxfId="75"/>
    <tableColumn id="8" xr3:uid="{2FC93AA1-806F-4C30-82A3-8A6E6F18536E}" name="Mission #7" dataDxfId="74">
      <calculatedColumnFormula>IF(
    ISBLANK(I10),
    "Oh nyo, pwease insert orbit type ÓwÒ",
    IFERROR(
        IF(
            I10 = "Circular",
            VLOOKUP(I10, TheDropdownMenuTable_DataInput[], 3),
            HLOOKUP(
                I10,
                DeltaVCalculator_InitialSizing[#Headers],
                MATCH(I9, DeltaVCalculator_InitialSizing[V: Orbit? | -&gt; Orbit type?], 0),
                FALSE
            )
        ),
        "Calculate that for yourself :3"
    )
)</calculatedColumnFormula>
    </tableColumn>
    <tableColumn id="9" xr3:uid="{388BEDD1-3800-465E-8D1C-7B79AA268D8D}" name="Mission #8" dataDxfId="73">
      <calculatedColumnFormula>IF(
    ISBLANK(J10),
    "Oh nyo, pwease insert orbit type ÓwÒ",
    IFERROR(
        IF(
            J10 = "Circular",
            VLOOKUP(J10, TheDropdownMenuTable_DataInput[], 3),
            HLOOKUP(
                J10,
                DeltaVCalculator_InitialSizing[#Headers],
                MATCH(J9, DeltaVCalculator_InitialSizing[V: Orbit? | -&gt; Orbit type?], 0),
                FALSE
            )
        ),
        "Calculate that for yourself :3"
    )
)</calculatedColumnFormula>
    </tableColumn>
    <tableColumn id="10" xr3:uid="{AE463282-A8F6-4BEA-9979-CB917AC39418}" name="Mission #9" dataDxfId="72">
      <calculatedColumnFormula>IF(
    ISBLANK(K10),
    "Oh nyo, pwease insert orbit type ÓwÒ",
    IFERROR(
        IF(
            K10 = "Circular",
            VLOOKUP(K10, TheDropdownMenuTable_DataInput[], 3),
            HLOOKUP(
                K10,
                DeltaVCalculator_InitialSizing[#Headers],
                MATCH(K9, DeltaVCalculator_InitialSizing[V: Orbit? | -&gt; Orbit type?], 0),
                FALSE
            )
        ),
        "Calculate that for yourself :3"
    )
)</calculatedColumnFormula>
    </tableColumn>
    <tableColumn id="11" xr3:uid="{CD8B480D-C681-479A-916C-0B9C217F96A0}" name="Mission #10" dataDxfId="71">
      <calculatedColumnFormula>IF(
    ISBLANK(L10),
    "Oh nyo, pwease insert orbit type ÓwÒ",
    IFERROR(
        IF(
            L10 = "Circular",
            VLOOKUP(L10, TheDropdownMenuTable_DataInput[], 3),
            HLOOKUP(
                L10,
                DeltaVCalculator_InitialSizing[#Headers],
                MATCH(L9, DeltaVCalculator_InitialSizing[V: Orbit? | -&gt; Orbit type?], 0),
                FALSE
            )
        ),
        "Calculate that for yourself :3"
    )
)</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1E3321-0EF2-4007-9DF9-C3BD57AFB99F}" name="DeltaVCalculator_InitialSizing" displayName="DeltaVCalculator_InitialSizing" ref="B54:F61" totalsRowShown="0" headerRowDxfId="70" dataDxfId="68" headerRowBorderDxfId="69" tableBorderDxfId="67" totalsRowBorderDxfId="66">
  <autoFilter ref="B54:F61" xr:uid="{B21E3321-0EF2-4007-9DF9-C3BD57AFB99F}"/>
  <tableColumns count="5">
    <tableColumn id="1" xr3:uid="{65EC6A74-7A03-4795-9F14-DB1783F29F1A}" name="V: Orbit? | -&gt; Orbit type?" dataDxfId="65"/>
    <tableColumn id="2" xr3:uid="{2B4D7578-F4F9-46AF-A8F9-47865D4A2E63}" name="Circular" dataDxfId="64">
      <calculatedColumnFormula>D45</calculatedColumnFormula>
    </tableColumn>
    <tableColumn id="3" xr3:uid="{311BCEAB-D978-4E5A-A256-C5F3952C6E68}" name="Eliptical" dataDxfId="63">
      <calculatedColumnFormula>((9.81*6378000^2)*((2/(_xlfn.AGGREGATE(5,3,$C$17:$L$17)))-(1/_xlfn.AGGREGATE(5,3,$C$18:$L$18))))^0.5</calculatedColumnFormula>
    </tableColumn>
    <tableColumn id="4" xr3:uid="{AB7A6491-CE84-490E-B0FB-FD5016756293}" name="Parabolic" dataDxfId="62">
      <calculatedColumnFormula>(2*(9.81*6378000^2)/(6378000+400000))^0.5</calculatedColumnFormula>
    </tableColumn>
    <tableColumn id="5" xr3:uid="{81DC2721-E2FD-4C7D-BC37-F30D428E8630}" name="Hyperbolic (assuming a 1 km/s speed)" dataDxfId="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9EFFE-4ED4-4BEA-986A-0303615C7CC1}" name="LeInitialSizingTable" displayName="LeInitialSizingTable" ref="A9:N20" totalsRowShown="0" headerRowDxfId="60" dataDxfId="58" headerRowBorderDxfId="59" tableBorderDxfId="57" totalsRowBorderDxfId="56">
  <autoFilter ref="A9:N20" xr:uid="{3F99EFFE-4ED4-4BEA-986A-0303615C7CC1}"/>
  <tableColumns count="14">
    <tableColumn id="1" xr3:uid="{D376856A-4962-4798-BB88-4A0DA8662518}" name="Stage" dataDxfId="55"/>
    <tableColumn id="2" xr3:uid="{F93C9EE3-1BFB-4341-84EA-2A1AD8B0D50D}" name="Final mass" dataDxfId="54"/>
    <tableColumn id="3" xr3:uid="{8913E803-65F3-4F8E-AB66-F6638A22A5B3}" name="In vacuum?" dataDxfId="53"/>
    <tableColumn id="4" xr3:uid="{337A64D6-17B1-475C-A652-6D66D906B4B6}" name="Fuel type?" dataDxfId="52"/>
    <tableColumn id="5" xr3:uid="{8390B592-9AAD-49E4-9CCF-29A77EF82BE1}" name="Fuel" dataDxfId="51"/>
    <tableColumn id="6" xr3:uid="{E8C050E1-AD7D-4BC2-9663-F725C55D036F}" name="Specific impulse" dataDxfId="50">
      <calculatedColumnFormula>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calculatedColumnFormula>
    </tableColumn>
    <tableColumn id="7" xr3:uid="{9383E0D6-DB61-4034-B434-F40101757504}" name="Stage dry mass" dataDxfId="49"/>
    <tableColumn id="8" xr3:uid="{2769C384-836C-44A2-9BDE-B30501571738}" name="Propellant mass" dataDxfId="48">
      <calculatedColumnFormula>(LeInitialSizingTable[[#This Row],[Stage dry mass]]*0.875)/(1-0.875)</calculatedColumnFormula>
    </tableColumn>
    <tableColumn id="9" xr3:uid="{C25A4253-7F52-43B4-AA0F-6A0DB8190EB4}" name="Wet mass" dataDxfId="47">
      <calculatedColumnFormula>LeInitialSizingTable[[#This Row],[Propellant mass]] + LeInitialSizingTable[[#This Row],[Stage dry mass]]</calculatedColumnFormula>
    </tableColumn>
    <tableColumn id="10" xr3:uid="{F280A7DF-D77D-4969-9F58-A44E97EA414C}" name="Delta-v" dataDxfId="46">
      <calculatedColumnFormula>9.81*LeInitialSizingTable[[#This Row],[Specific impulse]]*LN(LeInitialSizingTable[[#This Row],[Wet mass]]/(LeInitialSizingTable[[#This Row],[Stage dry mass]]+LeInitialSizingTable[[#This Row],[Final mass]]))</calculatedColumnFormula>
    </tableColumn>
    <tableColumn id="11" xr3:uid="{AD19E824-0495-4F3E-B0F1-D4A9054E38C6}" name="Burn time" dataDxfId="45"/>
    <tableColumn id="14" xr3:uid="{C39CD05B-EBD7-4EB7-8B19-26D0DBE94A99}" name="Thrust" dataDxfId="44">
      <calculatedColumnFormula>9.81*LeInitialSizingTable[[#This Row],[Specific impulse]]*(LeInitialSizingTable[[#This Row],[Propellant mass]]/LeInitialSizingTable[[#This Row],[Burn time]])</calculatedColumnFormula>
    </tableColumn>
    <tableColumn id="15" xr3:uid="{AFFFA182-C9D2-4A9B-8100-4455137B27EF}" name="Total impulse" dataDxfId="43">
      <calculatedColumnFormula>LeInitialSizingTable[[#This Row],[Thrust]]*LeInitialSizingTable[[#This Row],[Burn time]]</calculatedColumnFormula>
    </tableColumn>
    <tableColumn id="16" xr3:uid="{F0E8BA93-AD48-40C6-84C5-0566DD8384A2}" name="Total delta-v" dataDxfId="42">
      <calculatedColumnFormula>LeInitialSizingTable[[#This Row],[Delta-v]]</calculatedColumnFormula>
    </tableColumn>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3518-9C68-4392-873C-8B717204DF70}" name="TheDropdownMenuTable_InitialSizing" displayName="TheDropdownMenuTable_InitialSizing" ref="A35:K45" totalsRowShown="0" headerRowDxfId="41" dataDxfId="39" headerRowBorderDxfId="40" tableBorderDxfId="38" totalsRowBorderDxfId="37">
  <autoFilter ref="A35:K45" xr:uid="{9EF13518-9C68-4392-873C-8B717204DF70}"/>
  <tableColumns count="11">
    <tableColumn id="1" xr3:uid="{B53D82EE-C966-4662-82CD-7B051C591F23}" name="Vacuum?" dataDxfId="36"/>
    <tableColumn id="2" xr3:uid="{1F287FF0-02DA-4864-A0EA-D3475D35BA05}" name="Fuel type?" dataDxfId="35"/>
    <tableColumn id="3" xr3:uid="{2D4CA319-928F-4B2F-8D10-4B07CA0BA891}" name="Fuel (solid)" dataDxfId="34"/>
    <tableColumn id="4" xr3:uid="{3CA1B53C-5BCD-4573-9218-9CB2B1B49E9F}" name="Isp (solid, vacuum)" dataDxfId="33">
      <calculatedColumnFormula>1.5*TheDropdownMenuTable_InitialSizing[[#This Row],[Isp (solid, SL)]]</calculatedColumnFormula>
    </tableColumn>
    <tableColumn id="5" xr3:uid="{C713570A-858E-4AB8-9355-FC886FFD996D}" name="Isp (solid, SL)" dataDxfId="32"/>
    <tableColumn id="6" xr3:uid="{754AEC55-8326-401C-8F4B-7DD5053E3E02}" name="Fuel (liquid)" dataDxfId="31"/>
    <tableColumn id="7" xr3:uid="{08A24A14-D47C-4E1F-BA77-20E938CE17A1}" name="Isp (liquid, vacuum)" dataDxfId="30"/>
    <tableColumn id="8" xr3:uid="{895DD8CC-974E-4FC3-8943-9621F83A88ED}" name="Isp (liquid, SL)" dataDxfId="29"/>
    <tableColumn id="9" xr3:uid="{EC606D3E-C916-4B91-892A-627311011AB6}" name="Fuel (IDFK)" dataDxfId="28"/>
    <tableColumn id="10" xr3:uid="{E093D31E-C83D-4E00-BBD0-012867BD73FF}" name="Isp (IDFK, vacuum)" dataDxfId="27">
      <calculatedColumnFormula>1.5*TheDropdownMenuTable_InitialSizing[[#This Row],[Isp (IDFK, SL)]]</calculatedColumnFormula>
    </tableColumn>
    <tableColumn id="11" xr3:uid="{74C1F2A4-CF73-40BF-B37D-34BC90E86AD4}" name="Isp (IDFK, SL)"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257BB-A782-4818-94CC-AFB62491CBFD}" name="LogTable" displayName="LogTable" ref="A5:D29" totalsRowShown="0" headerRowDxfId="25" dataDxfId="23" headerRowBorderDxfId="24" tableBorderDxfId="22" totalsRowBorderDxfId="21">
  <autoFilter ref="A5:D29" xr:uid="{CB9257BB-A782-4818-94CC-AFB62491CBFD}"/>
  <tableColumns count="4">
    <tableColumn id="1" xr3:uid="{2A328167-11A1-4BEB-9A4A-A7784AD4ED68}" name="Date and Time" dataDxfId="20"/>
    <tableColumn id="2" xr3:uid="{5B0BF100-708E-454B-80A0-E23284DA6871}" name="Who?*" dataDxfId="19"/>
    <tableColumn id="3" xr3:uid="{83C511E8-E265-411E-92C6-9A5AB4267BB6}" name="Revision" dataDxfId="18"/>
    <tableColumn id="4" xr3:uid="{0FAD250E-977C-4772-837C-DD97F7AB8A1D}" name="Addition" dataDxfId="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69BB83-84D8-46C0-A587-691AAF9243B4}" name="AuthorTable" displayName="AuthorTable" ref="F7:H29" totalsRowShown="0" headerRowDxfId="16" dataDxfId="14" headerRowBorderDxfId="15" tableBorderDxfId="13" totalsRowBorderDxfId="12">
  <autoFilter ref="F7:H29" xr:uid="{1B69BB83-84D8-46C0-A587-691AAF9243B4}"/>
  <sortState xmlns:xlrd2="http://schemas.microsoft.com/office/spreadsheetml/2017/richdata2" ref="F8:H29">
    <sortCondition ref="F7:F29"/>
  </sortState>
  <tableColumns count="3">
    <tableColumn id="1" xr3:uid="{67C7794C-1BBF-4F6D-905A-6E2F5D7C3549}" name="Abbr." dataDxfId="11"/>
    <tableColumn id="2" xr3:uid="{BCD48711-8DAF-4F81-B9B1-A9AE6C37DFED}" name="Name" dataDxfId="10"/>
    <tableColumn id="3" xr3:uid="{643541DB-6FC1-4211-AADD-E6164D95190E}" name="Work/School" dataDxfId="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79AD-A532-4C09-83AC-0D469C38A6A3}">
  <sheetPr codeName="Sheet1"/>
  <dimension ref="B2:C12"/>
  <sheetViews>
    <sheetView topLeftCell="A10" zoomScaleNormal="100" workbookViewId="0">
      <selection activeCell="B11" sqref="B11"/>
    </sheetView>
  </sheetViews>
  <sheetFormatPr defaultRowHeight="14.4" x14ac:dyDescent="0.3"/>
  <cols>
    <col min="2" max="2" width="90.33203125" style="15" bestFit="1" customWidth="1"/>
  </cols>
  <sheetData>
    <row r="2" spans="2:3" ht="21" x14ac:dyDescent="0.3">
      <c r="B2" s="13" t="s">
        <v>144</v>
      </c>
    </row>
    <row r="4" spans="2:3" ht="43.2" x14ac:dyDescent="0.3">
      <c r="B4" s="14" t="s">
        <v>86</v>
      </c>
    </row>
    <row r="5" spans="2:3" ht="129.6" x14ac:dyDescent="0.3">
      <c r="B5" s="14" t="s">
        <v>87</v>
      </c>
    </row>
    <row r="6" spans="2:3" ht="86.4" x14ac:dyDescent="0.3">
      <c r="B6" s="14" t="s">
        <v>62</v>
      </c>
    </row>
    <row r="7" spans="2:3" x14ac:dyDescent="0.3">
      <c r="B7" s="14" t="s">
        <v>46</v>
      </c>
    </row>
    <row r="8" spans="2:3" ht="72" x14ac:dyDescent="0.3">
      <c r="B8" s="14" t="s">
        <v>63</v>
      </c>
    </row>
    <row r="10" spans="2:3" ht="158.4" x14ac:dyDescent="0.3">
      <c r="B10" s="23" t="s">
        <v>79</v>
      </c>
      <c r="C10" s="33" t="s">
        <v>91</v>
      </c>
    </row>
    <row r="11" spans="2:3" ht="129.6" x14ac:dyDescent="0.3">
      <c r="B11" s="23" t="s">
        <v>88</v>
      </c>
    </row>
    <row r="12" spans="2:3" ht="36" x14ac:dyDescent="0.3">
      <c r="B12" s="24"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1B98-6F6F-4F60-9883-7D14D06EDCA5}">
  <dimension ref="B2:L61"/>
  <sheetViews>
    <sheetView topLeftCell="A5" zoomScaleNormal="100" workbookViewId="0">
      <selection activeCell="C8" sqref="C8"/>
    </sheetView>
  </sheetViews>
  <sheetFormatPr defaultRowHeight="14.4" x14ac:dyDescent="0.3"/>
  <cols>
    <col min="2" max="5" width="33.6640625" customWidth="1"/>
    <col min="6" max="6" width="35.21875" bestFit="1" customWidth="1"/>
    <col min="7" max="12" width="33.6640625" customWidth="1"/>
  </cols>
  <sheetData>
    <row r="2" spans="2:12" x14ac:dyDescent="0.3">
      <c r="B2" s="54" t="s">
        <v>38</v>
      </c>
      <c r="C2" s="54"/>
    </row>
    <row r="3" spans="2:12" x14ac:dyDescent="0.3">
      <c r="B3" s="54"/>
      <c r="C3" s="54"/>
    </row>
    <row r="4" spans="2:12" x14ac:dyDescent="0.3">
      <c r="B4" t="s">
        <v>109</v>
      </c>
    </row>
    <row r="6" spans="2:12" x14ac:dyDescent="0.3">
      <c r="B6" s="5" t="s">
        <v>92</v>
      </c>
      <c r="C6" s="11" t="s">
        <v>136</v>
      </c>
    </row>
    <row r="7" spans="2:12" x14ac:dyDescent="0.3">
      <c r="B7" s="5" t="s">
        <v>93</v>
      </c>
      <c r="C7" s="11">
        <v>2</v>
      </c>
    </row>
    <row r="8" spans="2:12" x14ac:dyDescent="0.3">
      <c r="B8" s="5" t="s">
        <v>113</v>
      </c>
      <c r="C8" s="11" t="s">
        <v>115</v>
      </c>
    </row>
    <row r="9" spans="2:12" x14ac:dyDescent="0.3">
      <c r="B9" s="5" t="s">
        <v>106</v>
      </c>
      <c r="C9" s="11">
        <v>6</v>
      </c>
    </row>
    <row r="10" spans="2:12" x14ac:dyDescent="0.3">
      <c r="B10" s="5" t="s">
        <v>162</v>
      </c>
      <c r="C10" s="11">
        <v>0.01</v>
      </c>
    </row>
    <row r="13" spans="2:12" x14ac:dyDescent="0.3">
      <c r="B13" s="1" t="s">
        <v>95</v>
      </c>
      <c r="C13" s="2" t="s">
        <v>97</v>
      </c>
      <c r="D13" s="2" t="s">
        <v>94</v>
      </c>
      <c r="E13" s="2" t="s">
        <v>98</v>
      </c>
      <c r="F13" s="2" t="s">
        <v>99</v>
      </c>
      <c r="G13" s="2" t="s">
        <v>100</v>
      </c>
      <c r="H13" s="2" t="s">
        <v>101</v>
      </c>
      <c r="I13" s="2" t="s">
        <v>102</v>
      </c>
      <c r="J13" s="2" t="s">
        <v>103</v>
      </c>
      <c r="K13" s="2" t="s">
        <v>104</v>
      </c>
      <c r="L13" s="3" t="s">
        <v>105</v>
      </c>
    </row>
    <row r="14" spans="2:12" x14ac:dyDescent="0.3">
      <c r="B14" s="43" t="s">
        <v>1</v>
      </c>
      <c r="C14" s="11">
        <v>15000</v>
      </c>
      <c r="D14" s="11">
        <v>6000</v>
      </c>
      <c r="E14" s="34">
        <v>10000</v>
      </c>
      <c r="F14" s="34"/>
      <c r="G14" s="34"/>
      <c r="H14" s="34"/>
      <c r="I14" s="34"/>
      <c r="J14" s="34"/>
      <c r="K14" s="34"/>
      <c r="L14" s="34"/>
    </row>
    <row r="15" spans="2:12" x14ac:dyDescent="0.3">
      <c r="B15" s="43" t="s">
        <v>96</v>
      </c>
      <c r="C15" s="11" t="s">
        <v>147</v>
      </c>
      <c r="D15" s="11" t="s">
        <v>160</v>
      </c>
      <c r="E15" s="34" t="s">
        <v>118</v>
      </c>
      <c r="F15" s="34"/>
      <c r="G15" s="34"/>
      <c r="H15" s="34"/>
      <c r="I15" s="34"/>
      <c r="J15" s="34"/>
      <c r="K15" s="34"/>
      <c r="L15" s="34"/>
    </row>
    <row r="16" spans="2:12" x14ac:dyDescent="0.3">
      <c r="B16" s="43" t="s">
        <v>107</v>
      </c>
      <c r="C16" s="11" t="s">
        <v>121</v>
      </c>
      <c r="D16" s="11" t="s">
        <v>158</v>
      </c>
      <c r="E16" s="34" t="s">
        <v>122</v>
      </c>
      <c r="F16" s="34"/>
      <c r="G16" s="34"/>
      <c r="H16" s="34"/>
      <c r="I16" s="34"/>
      <c r="J16" s="34"/>
      <c r="K16" s="34"/>
      <c r="L16" s="34"/>
    </row>
    <row r="17" spans="2:12" x14ac:dyDescent="0.3">
      <c r="B17" s="44" t="s">
        <v>159</v>
      </c>
      <c r="C17" s="11">
        <v>6771000</v>
      </c>
      <c r="D17" s="11">
        <v>11371000</v>
      </c>
      <c r="E17" s="34">
        <f>6378000+1500000</f>
        <v>7878000</v>
      </c>
      <c r="F17" s="34"/>
      <c r="G17" s="34"/>
      <c r="H17" s="34"/>
      <c r="I17" s="34"/>
      <c r="J17" s="34"/>
      <c r="K17" s="34"/>
      <c r="L17" s="34"/>
    </row>
    <row r="18" spans="2:12" x14ac:dyDescent="0.3">
      <c r="B18" s="44" t="s">
        <v>108</v>
      </c>
      <c r="C18" s="11">
        <v>5000000</v>
      </c>
      <c r="D18" s="11">
        <v>45000000</v>
      </c>
      <c r="E18" s="34">
        <f>0.667*E17</f>
        <v>5254626</v>
      </c>
      <c r="F18" s="34"/>
      <c r="G18" s="34"/>
      <c r="H18" s="34"/>
      <c r="I18" s="34"/>
      <c r="J18" s="34"/>
      <c r="K18" s="34"/>
      <c r="L18" s="34"/>
    </row>
    <row r="19" spans="2:12" ht="28.8" x14ac:dyDescent="0.3">
      <c r="B19" s="44" t="s">
        <v>110</v>
      </c>
      <c r="C19" s="40">
        <f>IF(
    ISBLANK(C16),
    "Oh nyo, pwease insert orbit type ÓwÒ",
            IF(
            C16 = "Circular",
            INDEX(
                  TheDropdownMenuTable_DataInput[Single-stage delta-v for mission],
                  MATCH(
                        C15,
                        TheDropdownMenuTable_DataInput[What kind of mission? ],
                        0
                        )
                   ),
             INDEX(
                   DeltaVCalculator_InitialSizing[],
                   MATCH(
                         C15,
                         DeltaVCalculator_InitialSizing[V: Orbit? | -&gt; Orbit type?],
                         0
                   ),
                   MATCH(
                         C16,
                         DeltaVCalculator_InitialSizing[#Headers],
                         0
                         )
                    )
               )
)</f>
        <v>7668.5932308350311</v>
      </c>
      <c r="D19" s="40">
        <f>IF(
    ISBLANK(D16),
    "Oh nyo, pwease insert orbit type ÓwÒ",
            IF(
            D16 = "Circular",
            INDEX(
                  TheDropdownMenuTable_DataInput[Single-stage delta-v for mission],
                  MATCH(
                        D15,
                        TheDropdownMenuTable_DataInput[What kind of mission? ],
                        0
                        )
                   ),
             INDEX(
                   DeltaVCalculator_InitialSizing[],
                   MATCH(
                         D15,
                         DeltaVCalculator_InitialSizing[V: Orbit? | -&gt; Orbit type?],
                         0
                   ),
                   MATCH(
                         D16,
                         DeltaVCalculator_InitialSizing[#Headers],
                         0
                         )
                    )
               )
)</f>
        <v>8368.6957072771529</v>
      </c>
      <c r="E19" s="37">
        <f>IF(
    ISBLANK(E16),
    "Oh nyo, pwease insert orbit type ÓwÒ",
            IF(
            E16 = "Circular",
            INDEX(
                  TheDropdownMenuTable_DataInput[Single-stage delta-v for mission],
                  MATCH(
                        E15,
                        TheDropdownMenuTable_DataInput[What kind of mission? ],
                        0
                        )
                   ),
             INDEX(
                   DeltaVCalculator_InitialSizing[],
                   MATCH(
                         E15,
                         DeltaVCalculator_InitialSizing[V: Orbit? | -&gt; Orbit type?],
                         0
                   ),
                   MATCH(
                         E16,
                         DeltaVCalculator_InitialSizing[#Headers],
                         0
                         )
                    )
               )
)</f>
        <v>5036.4131222932047</v>
      </c>
      <c r="F19" s="37" t="str">
        <f>IF(
    ISBLANK(F16),
    "Oh nyo, pwease insert orbit type ÓwÒ",
            IF(
            F16 = "Circular",
            INDEX(
                  TheDropdownMenuTable_DataInput[Single-stage delta-v for mission],
                  MATCH(
                        F15,
                        TheDropdownMenuTable_DataInput[What kind of mission? ],
                        0
                        )
                   ),
             INDEX(
                   DeltaVCalculator_InitialSizing[],
                   MATCH(
                         F15,
                         DeltaVCalculator_InitialSizing[V: Orbit? | -&gt; Orbit type?],
                         0
                   ),
                   MATCH(
                         F16,
                         DeltaVCalculator_InitialSizing[#Headers],
                         0
                         )
                    )
               )
)</f>
        <v>Oh nyo, pwease insert orbit type ÓwÒ</v>
      </c>
      <c r="G19" s="37" t="str">
        <f>IF(
    ISBLANK(G16),
    "Oh nyo, pwease insert orbit type ÓwÒ",
            IF(
            G16 = "Circular",
            INDEX(
                  TheDropdownMenuTable_DataInput[Single-stage delta-v for mission],
                  MATCH(
                        G15,
                        TheDropdownMenuTable_DataInput[What kind of mission? ],
                        0
                        )
                   ),
             INDEX(
                   DeltaVCalculator_InitialSizing[],
                   MATCH(
                         G15,
                         DeltaVCalculator_InitialSizing[V: Orbit? | -&gt; Orbit type?],
                         0
                   ),
                   MATCH(
                         G16,
                         DeltaVCalculator_InitialSizing[#Headers],
                         0
                         )
                    )
               )
)</f>
        <v>Oh nyo, pwease insert orbit type ÓwÒ</v>
      </c>
      <c r="H19" s="37" t="str">
        <f>IF(
    ISBLANK(H16),
    "Oh nyo, pwease insert orbit type ÓwÒ",
            IF(
            H16 = "Circular",
            INDEX(
                  TheDropdownMenuTable_DataInput[Single-stage delta-v for mission],
                  MATCH(
                        H15,
                        TheDropdownMenuTable_DataInput[What kind of mission? ],
                        0
                        )
                   ),
             INDEX(
                   DeltaVCalculator_InitialSizing[],
                   MATCH(
                         H15,
                         DeltaVCalculator_InitialSizing[V: Orbit? | -&gt; Orbit type?],
                         0
                   ),
                   MATCH(
                         H16,
                         DeltaVCalculator_InitialSizing[#Headers],
                         0
                         )
                    )
               )
)</f>
        <v>Oh nyo, pwease insert orbit type ÓwÒ</v>
      </c>
      <c r="I19" s="37" t="str">
        <f>IF(
    ISBLANK(I16),
    "Oh nyo, pwease insert orbit type ÓwÒ",
            IF(
            I16 = "Circular",
            INDEX(
                  TheDropdownMenuTable_DataInput[Single-stage delta-v for mission],
                  MATCH(
                        I15,
                        TheDropdownMenuTable_DataInput[What kind of mission? ],
                        0
                        )
                   ),
             INDEX(
                   DeltaVCalculator_InitialSizing[],
                   MATCH(
                         I15,
                         DeltaVCalculator_InitialSizing[V: Orbit? | -&gt; Orbit type?],
                         0
                   ),
                   MATCH(
                         I16,
                         DeltaVCalculator_InitialSizing[#Headers],
                         0
                         )
                    )
               )
)</f>
        <v>Oh nyo, pwease insert orbit type ÓwÒ</v>
      </c>
      <c r="J19" s="37" t="str">
        <f>IF(
    ISBLANK(J16),
    "Oh nyo, pwease insert orbit type ÓwÒ",
            IF(
            J16 = "Circular",
            INDEX(
                  TheDropdownMenuTable_DataInput[Single-stage delta-v for mission],
                  MATCH(
                        J15,
                        TheDropdownMenuTable_DataInput[What kind of mission? ],
                        0
                        )
                   ),
             INDEX(
                   DeltaVCalculator_InitialSizing[],
                   MATCH(
                         J15,
                         DeltaVCalculator_InitialSizing[V: Orbit? | -&gt; Orbit type?],
                         0
                   ),
                   MATCH(
                         J16,
                         DeltaVCalculator_InitialSizing[#Headers],
                         0
                         )
                    )
               )
)</f>
        <v>Oh nyo, pwease insert orbit type ÓwÒ</v>
      </c>
      <c r="K19" s="37" t="str">
        <f>IF(
    ISBLANK(K16),
    "Oh nyo, pwease insert orbit type ÓwÒ",
            IF(
            K16 = "Circular",
            INDEX(
                  TheDropdownMenuTable_DataInput[Single-stage delta-v for mission],
                  MATCH(
                        K15,
                        TheDropdownMenuTable_DataInput[What kind of mission? ],
                        0
                        )
                   ),
             INDEX(
                   DeltaVCalculator_InitialSizing[],
                   MATCH(
                         K15,
                         DeltaVCalculator_InitialSizing[V: Orbit? | -&gt; Orbit type?],
                         0
                   ),
                   MATCH(
                         K16,
                         DeltaVCalculator_InitialSizing[#Headers],
                         0
                         )
                    )
               )
)</f>
        <v>Oh nyo, pwease insert orbit type ÓwÒ</v>
      </c>
      <c r="L19" s="37" t="str">
        <f>IF(
    ISBLANK(L16),
    "Oh nyo, pwease insert orbit type ÓwÒ",
            IF(
            L16 = "Circular",
            INDEX(
                  TheDropdownMenuTable_DataInput[Single-stage delta-v for mission],
                  MATCH(
                        L15,
                        TheDropdownMenuTable_DataInput[What kind of mission? ],
                        0
                        )
                   ),
             INDEX(
                   DeltaVCalculator_InitialSizing[],
                   MATCH(
                         L15,
                         DeltaVCalculator_InitialSizing[V: Orbit? | -&gt; Orbit type?],
                         0
                   ),
                   MATCH(
                         L16,
                         DeltaVCalculator_InitialSizing[#Headers],
                         0
                         )
                    )
               )
)</f>
        <v>Oh nyo, pwease insert orbit type ÓwÒ</v>
      </c>
    </row>
    <row r="20" spans="2:12" x14ac:dyDescent="0.3">
      <c r="B20" s="44" t="s">
        <v>111</v>
      </c>
      <c r="C20" s="11">
        <v>4</v>
      </c>
      <c r="D20" s="11">
        <v>4</v>
      </c>
      <c r="E20" s="34">
        <v>4</v>
      </c>
      <c r="F20" s="34"/>
      <c r="G20" s="34"/>
      <c r="H20" s="34"/>
      <c r="I20" s="34"/>
      <c r="J20" s="34"/>
      <c r="K20" s="34"/>
      <c r="L20" s="34"/>
    </row>
    <row r="21" spans="2:12" x14ac:dyDescent="0.3">
      <c r="B21" s="44" t="s">
        <v>112</v>
      </c>
      <c r="C21" s="11">
        <v>0</v>
      </c>
      <c r="D21" s="11">
        <v>0</v>
      </c>
      <c r="E21" s="34">
        <v>0</v>
      </c>
      <c r="F21" s="34"/>
      <c r="G21" s="34"/>
      <c r="H21" s="34"/>
      <c r="I21" s="34"/>
      <c r="J21" s="34"/>
      <c r="K21" s="34"/>
      <c r="L21" s="34"/>
    </row>
    <row r="22" spans="2:12" x14ac:dyDescent="0.3">
      <c r="B22" s="44" t="s">
        <v>120</v>
      </c>
      <c r="C22" s="11">
        <v>7.6466430000000001</v>
      </c>
      <c r="D22" s="11">
        <v>7.6466430000000001</v>
      </c>
      <c r="E22" s="34">
        <v>7.6466430000000001</v>
      </c>
      <c r="F22" s="34"/>
      <c r="G22" s="34"/>
      <c r="H22" s="34"/>
      <c r="I22" s="34"/>
      <c r="J22" s="34"/>
      <c r="K22" s="34"/>
      <c r="L22" s="34"/>
    </row>
    <row r="23" spans="2:12" x14ac:dyDescent="0.3">
      <c r="B23" s="44" t="s">
        <v>125</v>
      </c>
      <c r="C23" s="11">
        <v>28.562106</v>
      </c>
      <c r="D23" s="11">
        <v>28.562106</v>
      </c>
      <c r="E23" s="34">
        <v>28.562106</v>
      </c>
      <c r="F23" s="34"/>
      <c r="G23" s="34"/>
      <c r="H23" s="34"/>
      <c r="I23" s="34"/>
      <c r="J23" s="34"/>
      <c r="K23" s="34"/>
      <c r="L23" s="34"/>
    </row>
    <row r="24" spans="2:12" x14ac:dyDescent="0.3">
      <c r="B24" s="44" t="s">
        <v>126</v>
      </c>
      <c r="C24" s="5">
        <f>IFERROR(
    C19 +
    SUM(
        (1.3 * 0.5 * 3.14159265358979 * (0.5 * $C$9)^2) / (9.81 * C14 * (2 - $C$10)),
        (9.81 * (1 - GEOMEAN($C$20:$L$20))),
        (2 * C19 * SIN(RADIANS(ABS(C21 - GEOMEAN(C22:C23))) / 2))
    ),
    "Well, that can't happen. Whoops...."
)</f>
        <v>9611.6724427265253</v>
      </c>
      <c r="D24" s="5">
        <f t="shared" ref="D24:L24" si="0">IFERROR(
    D19 +
    SUM(
        (1.3 * 0.5 * 3.14159265358979 * (0.5 * $C$9)^2) / (9.81 * D14 * (2 - $C$10)),
        (9.81 * (1 - GEOMEAN($C$20:$L$20))),
        (2 * D19 * SIN(RADIANS(ABS(D21 - GEOMEAN(D22:D23))) / 2))
    ),
    "Well, that can't happen. Whoops...."
)</f>
        <v>10491.854787858914</v>
      </c>
      <c r="E24" s="5">
        <f t="shared" si="0"/>
        <v>6302.4451953777252</v>
      </c>
      <c r="F24" s="5" t="str">
        <f t="shared" si="0"/>
        <v>Well, that can't happen. Whoops....</v>
      </c>
      <c r="G24" s="5" t="str">
        <f t="shared" si="0"/>
        <v>Well, that can't happen. Whoops....</v>
      </c>
      <c r="H24" s="5" t="str">
        <f t="shared" si="0"/>
        <v>Well, that can't happen. Whoops....</v>
      </c>
      <c r="I24" s="5" t="str">
        <f t="shared" si="0"/>
        <v>Well, that can't happen. Whoops....</v>
      </c>
      <c r="J24" s="5" t="str">
        <f t="shared" si="0"/>
        <v>Well, that can't happen. Whoops....</v>
      </c>
      <c r="K24" s="5" t="str">
        <f t="shared" si="0"/>
        <v>Well, that can't happen. Whoops....</v>
      </c>
      <c r="L24" s="5" t="str">
        <f t="shared" si="0"/>
        <v>Well, that can't happen. Whoops....</v>
      </c>
    </row>
    <row r="27" spans="2:12" x14ac:dyDescent="0.3">
      <c r="E27" s="55" t="s">
        <v>130</v>
      </c>
      <c r="F27" s="56"/>
      <c r="G27" s="57"/>
    </row>
    <row r="28" spans="2:12" x14ac:dyDescent="0.3">
      <c r="E28" s="5" t="s">
        <v>131</v>
      </c>
      <c r="F28" s="5">
        <f>GEOMEAN(C14:L14)</f>
        <v>9654.8938460562968</v>
      </c>
      <c r="G28" s="5" t="s">
        <v>41</v>
      </c>
    </row>
    <row r="29" spans="2:12" x14ac:dyDescent="0.3">
      <c r="E29" s="5" t="s">
        <v>149</v>
      </c>
      <c r="F29" s="5">
        <f>IFERROR(GEOMEAN(C19:L19), "¯\_(ツ)_/¯")</f>
        <v>6862.751528224343</v>
      </c>
      <c r="G29" s="5" t="s">
        <v>135</v>
      </c>
    </row>
    <row r="30" spans="2:12" x14ac:dyDescent="0.3">
      <c r="E30" s="5" t="s">
        <v>172</v>
      </c>
      <c r="F30" s="5">
        <f>AVERAGE(C21:L21)</f>
        <v>0</v>
      </c>
      <c r="G30" s="5" t="s">
        <v>134</v>
      </c>
    </row>
    <row r="31" spans="2:12" x14ac:dyDescent="0.3">
      <c r="E31" s="5" t="s">
        <v>132</v>
      </c>
      <c r="F31" s="5">
        <f>IFERROR(GEOMEAN(C22:L22, C23:L23), "¯\_(ツ)_/¯")</f>
        <v>14.778505604767959</v>
      </c>
      <c r="G31" s="5" t="s">
        <v>134</v>
      </c>
    </row>
    <row r="32" spans="2:12" x14ac:dyDescent="0.3">
      <c r="E32" s="5" t="s">
        <v>133</v>
      </c>
      <c r="F32" s="5">
        <f>IFERROR(GEOMEAN(C24:L24), "¯\_(ツ)_/¯")</f>
        <v>8597.7887528933989</v>
      </c>
      <c r="G32" s="5" t="s">
        <v>135</v>
      </c>
    </row>
    <row r="35" spans="2:6" x14ac:dyDescent="0.3">
      <c r="D35" s="33"/>
    </row>
    <row r="43" spans="2:6" x14ac:dyDescent="0.3">
      <c r="B43" s="51" t="s">
        <v>129</v>
      </c>
      <c r="C43" s="52"/>
      <c r="D43" s="52"/>
      <c r="E43" s="52"/>
      <c r="F43" s="53"/>
    </row>
    <row r="44" spans="2:6" x14ac:dyDescent="0.3">
      <c r="B44" s="1" t="s">
        <v>113</v>
      </c>
      <c r="C44" s="2" t="s">
        <v>96</v>
      </c>
      <c r="D44" s="2" t="s">
        <v>146</v>
      </c>
      <c r="E44" s="3" t="s">
        <v>107</v>
      </c>
      <c r="F44" s="2" t="s">
        <v>145</v>
      </c>
    </row>
    <row r="45" spans="2:6" x14ac:dyDescent="0.3">
      <c r="B45" s="4" t="s">
        <v>114</v>
      </c>
      <c r="C45" s="5" t="s">
        <v>147</v>
      </c>
      <c r="D45" s="5">
        <f>IFERROR(((9.81*6371000^2)/(INDEX($C$17:$L$17, (MATCH("LEO (ISS mission mostly)", $C$15:$L$15, 0)))))^0.5, ((9.81*6371000^2)/(6378000+400000))^0.5)</f>
        <v>7668.5932308350311</v>
      </c>
      <c r="E45" s="6" t="s">
        <v>121</v>
      </c>
      <c r="F45" s="5"/>
    </row>
    <row r="46" spans="2:6" x14ac:dyDescent="0.3">
      <c r="B46" s="4" t="s">
        <v>115</v>
      </c>
      <c r="C46" s="5" t="s">
        <v>118</v>
      </c>
      <c r="D46" s="5">
        <f>IFERROR($D$45+((9.81*6371000^2)/(INDEX($C$17:$L$17,(MATCH("MEO",$C$15:$L$15,0)))))^0.5, $D$45+((9.81*6371000^2)/(6378000+AVERAGE(1000000, 35786000)))^0.5)</f>
        <v>14778.012394817439</v>
      </c>
      <c r="E46" s="6" t="s">
        <v>122</v>
      </c>
      <c r="F46" s="5"/>
    </row>
    <row r="47" spans="2:6" x14ac:dyDescent="0.3">
      <c r="B47" s="4" t="s">
        <v>116</v>
      </c>
      <c r="C47" s="5" t="s">
        <v>160</v>
      </c>
      <c r="D47" s="5">
        <f>IFERROR($D$45+((9.81*6371000^2)/(INDEX($C$17:$L$17,(MATCH("GEO/GTO",$C$15:$L$15,0)))))^0.5, $D$45+((9.81*6371000^2)/42164000)^0.5)</f>
        <v>13586.154715137456</v>
      </c>
      <c r="E47" s="6" t="s">
        <v>158</v>
      </c>
      <c r="F47" s="5"/>
    </row>
    <row r="48" spans="2:6" x14ac:dyDescent="0.3">
      <c r="B48" s="4" t="s">
        <v>117</v>
      </c>
      <c r="C48" s="5" t="s">
        <v>150</v>
      </c>
      <c r="D48" s="5">
        <f>$D$45+3200+900</f>
        <v>11768.593230835031</v>
      </c>
      <c r="E48" s="6" t="s">
        <v>161</v>
      </c>
      <c r="F48" s="5"/>
    </row>
    <row r="49" spans="2:7" x14ac:dyDescent="0.3">
      <c r="B49" s="4"/>
      <c r="C49" s="5" t="s">
        <v>151</v>
      </c>
      <c r="D49" s="5">
        <f>$D$45+4300+900</f>
        <v>12868.593230835031</v>
      </c>
      <c r="E49" s="6" t="s">
        <v>124</v>
      </c>
      <c r="F49" s="5"/>
    </row>
    <row r="50" spans="2:7" x14ac:dyDescent="0.3">
      <c r="B50" s="4"/>
      <c r="C50" s="5" t="s">
        <v>119</v>
      </c>
      <c r="D50" s="5">
        <f>$D$45 + GEOMEAN(5500, 3500) + 900</f>
        <v>12956.075424531093</v>
      </c>
      <c r="E50" s="6"/>
      <c r="F50" s="5"/>
    </row>
    <row r="51" spans="2:7" x14ac:dyDescent="0.3">
      <c r="B51" s="7"/>
      <c r="C51" s="8" t="s">
        <v>123</v>
      </c>
      <c r="D51" s="5">
        <f>$D$45 + GEOMEAN(6300, 7300, 8000, 8200, 8200) + 900</f>
        <v>16131.281864605833</v>
      </c>
      <c r="E51" s="9"/>
      <c r="F51" s="5"/>
    </row>
    <row r="53" spans="2:7" x14ac:dyDescent="0.3">
      <c r="B53" s="51" t="s">
        <v>152</v>
      </c>
      <c r="C53" s="52"/>
      <c r="D53" s="52"/>
      <c r="E53" s="52"/>
      <c r="F53" s="53"/>
      <c r="G53" s="39"/>
    </row>
    <row r="54" spans="2:7" x14ac:dyDescent="0.3">
      <c r="B54" s="38" t="s">
        <v>153</v>
      </c>
      <c r="C54" s="2" t="s">
        <v>121</v>
      </c>
      <c r="D54" s="2" t="s">
        <v>122</v>
      </c>
      <c r="E54" s="6" t="s">
        <v>158</v>
      </c>
      <c r="F54" s="6" t="s">
        <v>161</v>
      </c>
    </row>
    <row r="55" spans="2:7" x14ac:dyDescent="0.3">
      <c r="B55" s="4" t="s">
        <v>147</v>
      </c>
      <c r="C55" s="5">
        <f t="shared" ref="C55:C61" si="1">D45</f>
        <v>7668.5932308350311</v>
      </c>
      <c r="D55" s="42">
        <f>IFERROR(
    ((9.81 * (6378000 ^ 2)) *
        (
            (2 / INDEX($C$17:$L$17, MATCH("LEO (ISS mission mostly)", $C$15:$L$15, 0))) -
            (1 / INDEX($C$18:$L$18, MATCH("LEO (ISS mission mostly)", $C$15:$L$15, 0)))
        )
    ) ^ 0.5,
    ((9.81 * (6378000 ^ 2)) *
        (
            (2 / (6378000 + 400000)) -
            (1 / (0.667 * (6378000 + 400000)))
        )
    ) ^ 0.5
)</f>
        <v>6169.3815741249846</v>
      </c>
      <c r="E55" s="5">
        <f>IFERROR(
    ((2 * 9.81 * (6371000 ^ 2)) / INDEX($C$17:$L$17, MATCH("LEO (ISS mission mostly)", $C$15:$L$15, 0))) ^ 0.5,
    ((2 * 9.81 * (6371000 ^ 2)) / (6371000 + 400000)) ^ 0.5
)</f>
        <v>10845.028551369413</v>
      </c>
      <c r="F55" s="5">
        <f>IFERROR(
    ((2 * 9.81 * (6371000 ^ 2)) / INDEX($C$17:$L$17, MATCH("LEO (ISS mission mostly)", $C$15:$L$15, 0)) + 1000^2) ^ 0.5,
    (((2 * 9.81 * (6371000 ^ 2)) / (6371000 + 400000)) + 1000^2) ^ 0.5
)</f>
        <v>10891.035041722054</v>
      </c>
    </row>
    <row r="56" spans="2:7" x14ac:dyDescent="0.3">
      <c r="B56" s="4" t="s">
        <v>118</v>
      </c>
      <c r="C56" s="5">
        <f>D46</f>
        <v>14778.012394817439</v>
      </c>
      <c r="D56" s="42">
        <f>IFERROR(
    ((9.81 * (6378000 ^ 2)) *
        (
            (2 / INDEX($C$17:$L$17, MATCH("MEO", $C$15:$L$15, 0))) -
            (1 / INDEX($C$18:$L$18, MATCH("MEO", $C$15:$L$15, 0)))
        )
    ) ^ 0.5,
    ((9.81 * (6378000 ^ 2)) *
        (
            (2 / (6378000 + AVERAGE(1000000,35786000))) -
            (1 / (0.667 * (6378000 + AVERAGE(1000000,35786000))))
        )
    ) ^ 0.5
)</f>
        <v>5036.4131222932047</v>
      </c>
      <c r="E56" s="5">
        <f>IFERROR(
    ((2 * 9.81 * (6371000 ^ 2)) / INDEX($C$17:$L$17, MATCH("MEO", $C$15:$L$15, 0))) ^ 0.5,
    ((2 * 9.81 * (6371000 ^ 2)) / (6371000 + AVERAGE(1000000,35786000))) ^ 0.5
)</f>
        <v>10054.237002299111</v>
      </c>
      <c r="F56" s="5">
        <f>IFERROR(
    ((2 * 9.81 * (6371000 ^ 2)) / INDEX($C$17:$L$17, MATCH("MEO", $C$15:$L$15, 0)) + 1000^2) ^ 0.5,
    (((2 * 9.81 * (6371000 ^ 2)) / (6371000 + AVERAGE(1000000,35786000))) + 1000^2) ^ 0.5
)</f>
        <v>10103.844896790559</v>
      </c>
    </row>
    <row r="57" spans="2:7" x14ac:dyDescent="0.3">
      <c r="B57" s="5" t="s">
        <v>160</v>
      </c>
      <c r="C57" s="5">
        <f t="shared" si="1"/>
        <v>13586.154715137456</v>
      </c>
      <c r="D57" s="42">
        <f>IFERROR(
    ((9.81 * (6378000 ^ 2)) *
        (
            (2 / INDEX($C$17:$L$17, MATCH("GEO/GTO", $C$15:$L$15, 0))) -
            (1 / INDEX($C$18:$L$18, MATCH("GEO/GTO", $C$15:$L$15, 0)))
        )
    ) ^ 0.5,
    ((9.81 * (6378000 ^ 2)) *
        (
            (2 / (42164000)) -
            (1 / (0.667 * (42164000)))
        )
    ) ^ 0.5
)</f>
        <v>7830.7761263937309</v>
      </c>
      <c r="E57" s="5">
        <f>IFERROR(
    ((2 * 9.81 * (6371000 ^ 2)) / INDEX($C$17:$L$17, MATCH("GEO/GTO", $C$15:$L$15, 0))) ^ 0.5,
    ((2 * 9.81 * (6371000 ^ 2)) / (42164000)) ^ 0.5
)</f>
        <v>8368.6957072771529</v>
      </c>
      <c r="F57" s="5">
        <f>IFERROR(
    ((2 * 9.81 * (6371000 ^ 2)) / INDEX($C$17:$L$17, MATCH("GEO/GTO", $C$15:$L$15, 0)) + 1000^2) ^ 0.5,
    (((2 * 9.81 * (6371000 ^ 2)) / (42164000)) + 1000^2) ^ 0.5
)</f>
        <v>8428.2304098190762</v>
      </c>
    </row>
    <row r="58" spans="2:7" x14ac:dyDescent="0.3">
      <c r="B58" s="4" t="s">
        <v>150</v>
      </c>
      <c r="C58" s="5">
        <f t="shared" si="1"/>
        <v>11768.593230835031</v>
      </c>
      <c r="D58" s="5" t="s">
        <v>124</v>
      </c>
      <c r="E58" s="5" t="s">
        <v>124</v>
      </c>
      <c r="F58" s="5" t="s">
        <v>124</v>
      </c>
    </row>
    <row r="59" spans="2:7" x14ac:dyDescent="0.3">
      <c r="B59" s="4" t="s">
        <v>151</v>
      </c>
      <c r="C59" s="5">
        <f t="shared" si="1"/>
        <v>12868.593230835031</v>
      </c>
      <c r="D59" s="5" t="s">
        <v>124</v>
      </c>
      <c r="E59" s="5" t="s">
        <v>124</v>
      </c>
      <c r="F59" s="5" t="s">
        <v>124</v>
      </c>
    </row>
    <row r="60" spans="2:7" x14ac:dyDescent="0.3">
      <c r="B60" s="4" t="s">
        <v>119</v>
      </c>
      <c r="C60" s="5">
        <f t="shared" si="1"/>
        <v>12956.075424531093</v>
      </c>
      <c r="D60" s="5" t="s">
        <v>124</v>
      </c>
      <c r="E60" s="5" t="s">
        <v>124</v>
      </c>
      <c r="F60" s="5" t="s">
        <v>124</v>
      </c>
    </row>
    <row r="61" spans="2:7" x14ac:dyDescent="0.3">
      <c r="B61" s="7" t="s">
        <v>123</v>
      </c>
      <c r="C61" s="8">
        <f t="shared" si="1"/>
        <v>16131.281864605833</v>
      </c>
      <c r="D61" s="5" t="s">
        <v>124</v>
      </c>
      <c r="E61" s="5" t="s">
        <v>124</v>
      </c>
      <c r="F61" s="5" t="s">
        <v>124</v>
      </c>
    </row>
  </sheetData>
  <mergeCells count="4">
    <mergeCell ref="B53:F53"/>
    <mergeCell ref="B43:F43"/>
    <mergeCell ref="B2:C3"/>
    <mergeCell ref="E27:G27"/>
  </mergeCells>
  <phoneticPr fontId="2" type="noConversion"/>
  <dataValidations count="3">
    <dataValidation type="list" allowBlank="1" showInputMessage="1" showErrorMessage="1" sqref="C15:L15" xr:uid="{5FC44AAE-2425-4C49-BB31-EA27922BA772}">
      <formula1>$C$45:$C$51</formula1>
    </dataValidation>
    <dataValidation type="list" allowBlank="1" showInputMessage="1" showErrorMessage="1" sqref="C16:L16" xr:uid="{2CFFEFD3-75D7-47F7-93A4-DE08DD0642D8}">
      <formula1>$E$45:$E$51</formula1>
    </dataValidation>
    <dataValidation type="list" allowBlank="1" showInputMessage="1" showErrorMessage="1" sqref="C8" xr:uid="{AA0487CF-7D63-4876-836D-176643C650DB}">
      <formula1>$B$45:$B$51</formula1>
    </dataValidation>
  </dataValidations>
  <pageMargins left="0.7" right="0.7" top="0.75" bottom="0.75" header="0.3" footer="0.3"/>
  <ignoredErrors>
    <ignoredError sqref="F15" calculatedColumn="1"/>
  </ignoredErrors>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2A92-EDB0-493F-BE9F-61B52BCD98C8}">
  <sheetPr codeName="Sheet2"/>
  <dimension ref="A1:N45"/>
  <sheetViews>
    <sheetView topLeftCell="A7" zoomScaleNormal="100" workbookViewId="0">
      <selection activeCell="G28" sqref="G28"/>
    </sheetView>
  </sheetViews>
  <sheetFormatPr defaultRowHeight="14.4" x14ac:dyDescent="0.3"/>
  <cols>
    <col min="1" max="1" width="10.88671875" bestFit="1" customWidth="1"/>
    <col min="2" max="2" width="32.5546875" bestFit="1" customWidth="1"/>
    <col min="3" max="3" width="12.5546875" bestFit="1" customWidth="1"/>
    <col min="4" max="4" width="19.109375" bestFit="1" customWidth="1"/>
    <col min="5" max="5" width="17.33203125" bestFit="1" customWidth="1"/>
    <col min="6" max="6" width="17.44140625" bestFit="1" customWidth="1"/>
    <col min="7" max="7" width="20" bestFit="1" customWidth="1"/>
    <col min="8" max="8" width="16.77734375" bestFit="1" customWidth="1"/>
    <col min="9" max="9" width="14.33203125" customWidth="1"/>
    <col min="10" max="10" width="18.88671875" bestFit="1" customWidth="1"/>
    <col min="11" max="11" width="14.21875" bestFit="1" customWidth="1"/>
    <col min="12" max="12" width="12" bestFit="1" customWidth="1"/>
    <col min="13" max="13" width="14.44140625" bestFit="1" customWidth="1"/>
    <col min="14" max="14" width="13.5546875" bestFit="1" customWidth="1"/>
  </cols>
  <sheetData>
    <row r="1" spans="1:14" x14ac:dyDescent="0.3">
      <c r="A1" s="54" t="s">
        <v>38</v>
      </c>
      <c r="B1" s="54"/>
    </row>
    <row r="2" spans="1:14" x14ac:dyDescent="0.3">
      <c r="A2" s="54"/>
      <c r="B2" s="54"/>
    </row>
    <row r="3" spans="1:14" x14ac:dyDescent="0.3">
      <c r="A3" t="s">
        <v>148</v>
      </c>
    </row>
    <row r="5" spans="1:14" x14ac:dyDescent="0.3">
      <c r="B5" s="5" t="s">
        <v>163</v>
      </c>
      <c r="C5" s="11">
        <v>0.9</v>
      </c>
    </row>
    <row r="6" spans="1:14" x14ac:dyDescent="0.3">
      <c r="B6" s="5" t="s">
        <v>164</v>
      </c>
      <c r="C6" s="11">
        <v>0.1</v>
      </c>
    </row>
    <row r="9" spans="1:14" x14ac:dyDescent="0.3">
      <c r="A9" s="1" t="s">
        <v>0</v>
      </c>
      <c r="B9" s="2" t="s">
        <v>2</v>
      </c>
      <c r="C9" s="2" t="s">
        <v>14</v>
      </c>
      <c r="D9" s="2" t="s">
        <v>4</v>
      </c>
      <c r="E9" s="2" t="s">
        <v>3</v>
      </c>
      <c r="F9" s="2" t="s">
        <v>15</v>
      </c>
      <c r="G9" s="2" t="s">
        <v>44</v>
      </c>
      <c r="H9" s="2" t="s">
        <v>30</v>
      </c>
      <c r="I9" s="2" t="s">
        <v>17</v>
      </c>
      <c r="J9" s="10" t="s">
        <v>16</v>
      </c>
      <c r="K9" s="2" t="s">
        <v>29</v>
      </c>
      <c r="L9" s="2" t="s">
        <v>19</v>
      </c>
      <c r="M9" s="2" t="s">
        <v>18</v>
      </c>
      <c r="N9" s="3" t="s">
        <v>35</v>
      </c>
    </row>
    <row r="10" spans="1:14" x14ac:dyDescent="0.3">
      <c r="A10" s="4" t="s">
        <v>1</v>
      </c>
      <c r="B10" s="5">
        <f>'Data Input'!$F$28</f>
        <v>9654.8938460562968</v>
      </c>
      <c r="C10" s="36"/>
      <c r="D10" s="36"/>
      <c r="E10" s="36"/>
      <c r="F10" s="36"/>
      <c r="G10" s="5">
        <f>B10</f>
        <v>9654.8938460562968</v>
      </c>
      <c r="H10" s="36"/>
      <c r="I10" s="36"/>
      <c r="J10" s="36"/>
      <c r="K10" s="36"/>
      <c r="L10" s="36"/>
      <c r="M10" s="36"/>
      <c r="N10" s="36"/>
    </row>
    <row r="11" spans="1:14" x14ac:dyDescent="0.3">
      <c r="A11" s="4">
        <v>1</v>
      </c>
      <c r="B11" s="5">
        <f>G10</f>
        <v>9654.8938460562968</v>
      </c>
      <c r="C11" s="5" t="s">
        <v>21</v>
      </c>
      <c r="D11" s="5" t="s">
        <v>11</v>
      </c>
      <c r="E11" s="5" t="s">
        <v>70</v>
      </c>
      <c r="F11"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576</v>
      </c>
      <c r="G11" s="5">
        <f>$C$6*LeInitialSizingTable[[#This Row],[Final mass]]</f>
        <v>965.48938460562977</v>
      </c>
      <c r="H11" s="5">
        <f>($C$5*(LeInitialSizingTable[[#This Row],[Stage dry mass]]+LeInitialSizingTable[[#This Row],[Final mass]]))/(1-$C$5)</f>
        <v>95583.449075957367</v>
      </c>
      <c r="I11" s="5">
        <f>LeInitialSizingTable[[#This Row],[Propellant mass]] + LeInitialSizingTable[[#This Row],[Stage dry mass]]</f>
        <v>96548.938460563004</v>
      </c>
      <c r="J11" s="5">
        <f>9.81*LeInitialSizingTable[[#This Row],[Specific impulse]]*LN(LeInitialSizingTable[[#This Row],[Wet mass]]/(LeInitialSizingTable[[#This Row],[Stage dry mass]]+LeInitialSizingTable[[#This Row],[Final mass]]))</f>
        <v>12472.339333473312</v>
      </c>
      <c r="K11" s="11">
        <v>30</v>
      </c>
      <c r="L11" s="5">
        <f>9.81*LeInitialSizingTable[[#This Row],[Specific impulse]]*(LeInitialSizingTable[[#This Row],[Propellant mass]]/LeInitialSizingTable[[#This Row],[Burn time]])</f>
        <v>18003333.800354723</v>
      </c>
      <c r="M11" s="5">
        <f>LeInitialSizingTable[[#This Row],[Thrust]]*LeInitialSizingTable[[#This Row],[Burn time]]</f>
        <v>540100014.01064169</v>
      </c>
      <c r="N11" s="6">
        <f>SUM(J11)</f>
        <v>12472.339333473312</v>
      </c>
    </row>
    <row r="12" spans="1:14" x14ac:dyDescent="0.3">
      <c r="A12" s="4">
        <v>2</v>
      </c>
      <c r="B12" s="5">
        <f>I11</f>
        <v>96548.938460563004</v>
      </c>
      <c r="C12" s="5" t="s">
        <v>22</v>
      </c>
      <c r="D12" s="5" t="s">
        <v>8</v>
      </c>
      <c r="E12" s="5" t="s">
        <v>31</v>
      </c>
      <c r="F12"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309.27625</v>
      </c>
      <c r="G12" s="5">
        <f>$C$6*LeInitialSizingTable[[#This Row],[Final mass]]</f>
        <v>9654.8938460563004</v>
      </c>
      <c r="H12" s="5">
        <f>($C$5*(LeInitialSizingTable[[#This Row],[Stage dry mass]]+LeInitialSizingTable[[#This Row],[Final mass]]))/(1-$C$5)</f>
        <v>955834.49075957388</v>
      </c>
      <c r="I12" s="5">
        <f>LeInitialSizingTable[[#This Row],[Propellant mass]] + LeInitialSizingTable[[#This Row],[Stage dry mass]]</f>
        <v>965489.38460563018</v>
      </c>
      <c r="J12" s="5">
        <f>9.81*LeInitialSizingTable[[#This Row],[Specific impulse]]*LN(LeInitialSizingTable[[#This Row],[Wet mass]]/(LeInitialSizingTable[[#This Row],[Stage dry mass]]+LeInitialSizingTable[[#This Row],[Final mass]]))</f>
        <v>6696.8721142085506</v>
      </c>
      <c r="K12" s="11">
        <v>100</v>
      </c>
      <c r="L12" s="5">
        <f>9.81*LeInitialSizingTable[[#This Row],[Specific impulse]]*(LeInitialSizingTable[[#This Row],[Propellant mass]]/LeInitialSizingTable[[#This Row],[Burn time]])</f>
        <v>29000018.569124788</v>
      </c>
      <c r="M12" s="5">
        <f>LeInitialSizingTable[[#This Row],[Thrust]]*LeInitialSizingTable[[#This Row],[Burn time]]</f>
        <v>2900001856.9124789</v>
      </c>
      <c r="N12" s="6">
        <f>SUM($J$11:J12)</f>
        <v>19169.211447681861</v>
      </c>
    </row>
    <row r="13" spans="1:14" x14ac:dyDescent="0.3">
      <c r="A13" s="4">
        <v>3</v>
      </c>
      <c r="B13" s="5">
        <f>I12</f>
        <v>965489.38460563018</v>
      </c>
      <c r="C13" s="5" t="s">
        <v>22</v>
      </c>
      <c r="D13" s="5" t="s">
        <v>7</v>
      </c>
      <c r="E13" s="5" t="s">
        <v>10</v>
      </c>
      <c r="F13"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220.6</v>
      </c>
      <c r="G13" s="5">
        <f>$C$6*LeInitialSizingTable[[#This Row],[Final mass]]</f>
        <v>96548.938460563018</v>
      </c>
      <c r="H13" s="5">
        <f>($C$5*(LeInitialSizingTable[[#This Row],[Stage dry mass]]+LeInitialSizingTable[[#This Row],[Final mass]]))/(1-$C$5)</f>
        <v>9558344.9075957406</v>
      </c>
      <c r="I13" s="5">
        <f>LeInitialSizingTable[[#This Row],[Propellant mass]] + LeInitialSizingTable[[#This Row],[Stage dry mass]]</f>
        <v>9654893.846056303</v>
      </c>
      <c r="J13" s="5">
        <f>9.81*LeInitialSizingTable[[#This Row],[Specific impulse]]*LN(LeInitialSizingTable[[#This Row],[Wet mass]]/(LeInitialSizingTable[[#This Row],[Stage dry mass]]+LeInitialSizingTable[[#This Row],[Final mass]]))</f>
        <v>4776.7327377850916</v>
      </c>
      <c r="K13" s="11">
        <v>180</v>
      </c>
      <c r="L13" s="5">
        <f>9.81*LeInitialSizingTable[[#This Row],[Specific impulse]]*(LeInitialSizingTable[[#This Row],[Propellant mass]]/LeInitialSizingTable[[#This Row],[Burn time]])</f>
        <v>114917113.32055132</v>
      </c>
      <c r="M13" s="5">
        <f>LeInitialSizingTable[[#This Row],[Thrust]]*LeInitialSizingTable[[#This Row],[Burn time]]</f>
        <v>20685080397.699238</v>
      </c>
      <c r="N13" s="6">
        <f>SUM($J$11:J13)</f>
        <v>23945.944185466953</v>
      </c>
    </row>
    <row r="14" spans="1:14" x14ac:dyDescent="0.3">
      <c r="A14" s="4">
        <v>4</v>
      </c>
      <c r="B14" s="5">
        <f t="shared" ref="B14:B20" si="0">I13</f>
        <v>9654893.846056303</v>
      </c>
      <c r="C14" s="5"/>
      <c r="D14" s="5"/>
      <c r="E14" s="5"/>
      <c r="F14"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4" s="5">
        <f>$C$6*LeInitialSizingTable[[#This Row],[Final mass]]</f>
        <v>965489.3846056303</v>
      </c>
      <c r="H14" s="5">
        <f>($C$5*(LeInitialSizingTable[[#This Row],[Stage dry mass]]+LeInitialSizingTable[[#This Row],[Final mass]]))/(1-$C$5)</f>
        <v>95583449.075957403</v>
      </c>
      <c r="I14" s="5">
        <f>LeInitialSizingTable[[#This Row],[Propellant mass]] + LeInitialSizingTable[[#This Row],[Stage dry mass]]</f>
        <v>96548938.460563034</v>
      </c>
      <c r="J14" s="5" t="e">
        <f>9.81*LeInitialSizingTable[[#This Row],[Specific impulse]]*LN(LeInitialSizingTable[[#This Row],[Wet mass]]/(LeInitialSizingTable[[#This Row],[Stage dry mass]]+LeInitialSizingTable[[#This Row],[Final mass]]))</f>
        <v>#N/A</v>
      </c>
      <c r="K14" s="11"/>
      <c r="L14" s="5" t="e">
        <f>9.81*LeInitialSizingTable[[#This Row],[Specific impulse]]*(LeInitialSizingTable[[#This Row],[Propellant mass]]/LeInitialSizingTable[[#This Row],[Burn time]])</f>
        <v>#N/A</v>
      </c>
      <c r="M14" s="5" t="e">
        <f>LeInitialSizingTable[[#This Row],[Thrust]]*LeInitialSizingTable[[#This Row],[Burn time]]</f>
        <v>#N/A</v>
      </c>
      <c r="N14" s="6" t="e">
        <f>SUM($J$11:J14)</f>
        <v>#N/A</v>
      </c>
    </row>
    <row r="15" spans="1:14" x14ac:dyDescent="0.3">
      <c r="A15" s="4">
        <v>5</v>
      </c>
      <c r="B15" s="5">
        <f t="shared" si="0"/>
        <v>96548938.460563034</v>
      </c>
      <c r="C15" s="5"/>
      <c r="D15" s="5"/>
      <c r="E15" s="5"/>
      <c r="F15"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5" s="5">
        <f>$C$6*LeInitialSizingTable[[#This Row],[Final mass]]</f>
        <v>9654893.846056303</v>
      </c>
      <c r="H15" s="5">
        <f>($C$5*(LeInitialSizingTable[[#This Row],[Stage dry mass]]+LeInitialSizingTable[[#This Row],[Final mass]]))/(1-$C$5)</f>
        <v>955834490.75957429</v>
      </c>
      <c r="I15" s="5">
        <f>LeInitialSizingTable[[#This Row],[Propellant mass]] + LeInitialSizingTable[[#This Row],[Stage dry mass]]</f>
        <v>965489384.60563064</v>
      </c>
      <c r="J15" s="5" t="e">
        <f>9.81*LeInitialSizingTable[[#This Row],[Specific impulse]]*LN(LeInitialSizingTable[[#This Row],[Wet mass]]/(LeInitialSizingTable[[#This Row],[Stage dry mass]]+LeInitialSizingTable[[#This Row],[Final mass]]))</f>
        <v>#N/A</v>
      </c>
      <c r="K15" s="11"/>
      <c r="L15" s="5" t="e">
        <f>9.81*LeInitialSizingTable[[#This Row],[Specific impulse]]*(LeInitialSizingTable[[#This Row],[Propellant mass]]/LeInitialSizingTable[[#This Row],[Burn time]])</f>
        <v>#N/A</v>
      </c>
      <c r="M15" s="5" t="e">
        <f>LeInitialSizingTable[[#This Row],[Thrust]]*LeInitialSizingTable[[#This Row],[Burn time]]</f>
        <v>#N/A</v>
      </c>
      <c r="N15" s="6" t="e">
        <f>SUM($J$11:J15)</f>
        <v>#N/A</v>
      </c>
    </row>
    <row r="16" spans="1:14" x14ac:dyDescent="0.3">
      <c r="A16" s="4">
        <v>6</v>
      </c>
      <c r="B16" s="5">
        <f t="shared" si="0"/>
        <v>965489384.60563064</v>
      </c>
      <c r="C16" s="5"/>
      <c r="D16" s="5"/>
      <c r="E16" s="5"/>
      <c r="F16"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6" s="5">
        <f>$C$6*LeInitialSizingTable[[#This Row],[Final mass]]</f>
        <v>96548938.460563064</v>
      </c>
      <c r="H16" s="5">
        <f>($C$5*(LeInitialSizingTable[[#This Row],[Stage dry mass]]+LeInitialSizingTable[[#This Row],[Final mass]]))/(1-$C$5)</f>
        <v>9558344907.5957451</v>
      </c>
      <c r="I16" s="5">
        <f>LeInitialSizingTable[[#This Row],[Propellant mass]] + LeInitialSizingTable[[#This Row],[Stage dry mass]]</f>
        <v>9654893846.0563087</v>
      </c>
      <c r="J16" s="5" t="e">
        <f>9.81*LeInitialSizingTable[[#This Row],[Specific impulse]]*LN(LeInitialSizingTable[[#This Row],[Wet mass]]/(LeInitialSizingTable[[#This Row],[Stage dry mass]]+LeInitialSizingTable[[#This Row],[Final mass]]))</f>
        <v>#N/A</v>
      </c>
      <c r="K16" s="11"/>
      <c r="L16" s="5" t="e">
        <f>9.81*LeInitialSizingTable[[#This Row],[Specific impulse]]*(LeInitialSizingTable[[#This Row],[Propellant mass]]/LeInitialSizingTable[[#This Row],[Burn time]])</f>
        <v>#N/A</v>
      </c>
      <c r="M16" s="5" t="e">
        <f>LeInitialSizingTable[[#This Row],[Thrust]]*LeInitialSizingTable[[#This Row],[Burn time]]</f>
        <v>#N/A</v>
      </c>
      <c r="N16" s="6" t="e">
        <f>SUM($J$11:J16)</f>
        <v>#N/A</v>
      </c>
    </row>
    <row r="17" spans="1:14" x14ac:dyDescent="0.3">
      <c r="A17" s="4">
        <v>7</v>
      </c>
      <c r="B17" s="5">
        <f t="shared" si="0"/>
        <v>9654893846.0563087</v>
      </c>
      <c r="C17" s="5"/>
      <c r="D17" s="5"/>
      <c r="E17" s="5"/>
      <c r="F17"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7" s="5">
        <f>$C$6*LeInitialSizingTable[[#This Row],[Final mass]]</f>
        <v>965489384.60563087</v>
      </c>
      <c r="H17" s="5">
        <f>($C$5*(LeInitialSizingTable[[#This Row],[Stage dry mass]]+LeInitialSizingTable[[#This Row],[Final mass]]))/(1-$C$5)</f>
        <v>95583449075.957474</v>
      </c>
      <c r="I17" s="5">
        <f>LeInitialSizingTable[[#This Row],[Propellant mass]] + LeInitialSizingTable[[#This Row],[Stage dry mass]]</f>
        <v>96548938460.56311</v>
      </c>
      <c r="J17" s="5" t="e">
        <f>9.81*LeInitialSizingTable[[#This Row],[Specific impulse]]*LN(LeInitialSizingTable[[#This Row],[Wet mass]]/(LeInitialSizingTable[[#This Row],[Stage dry mass]]+LeInitialSizingTable[[#This Row],[Final mass]]))</f>
        <v>#N/A</v>
      </c>
      <c r="K17" s="11"/>
      <c r="L17" s="5" t="e">
        <f>9.81*LeInitialSizingTable[[#This Row],[Specific impulse]]*(LeInitialSizingTable[[#This Row],[Propellant mass]]/LeInitialSizingTable[[#This Row],[Burn time]])</f>
        <v>#N/A</v>
      </c>
      <c r="M17" s="5" t="e">
        <f>LeInitialSizingTable[[#This Row],[Thrust]]*LeInitialSizingTable[[#This Row],[Burn time]]</f>
        <v>#N/A</v>
      </c>
      <c r="N17" s="6" t="e">
        <f>SUM($J$11:J17)</f>
        <v>#N/A</v>
      </c>
    </row>
    <row r="18" spans="1:14" x14ac:dyDescent="0.3">
      <c r="A18" s="4">
        <v>8</v>
      </c>
      <c r="B18" s="5">
        <f t="shared" si="0"/>
        <v>96548938460.56311</v>
      </c>
      <c r="C18" s="5"/>
      <c r="D18" s="5"/>
      <c r="E18" s="5"/>
      <c r="F18"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8" s="5">
        <f>$C$6*LeInitialSizingTable[[#This Row],[Final mass]]</f>
        <v>9654893846.0563107</v>
      </c>
      <c r="H18" s="5">
        <f>($C$5*(LeInitialSizingTable[[#This Row],[Stage dry mass]]+LeInitialSizingTable[[#This Row],[Final mass]]))/(1-$C$5)</f>
        <v>955834490759.57495</v>
      </c>
      <c r="I18" s="5">
        <f>LeInitialSizingTable[[#This Row],[Propellant mass]] + LeInitialSizingTable[[#This Row],[Stage dry mass]]</f>
        <v>965489384605.63123</v>
      </c>
      <c r="J18" s="5" t="e">
        <f>9.81*LeInitialSizingTable[[#This Row],[Specific impulse]]*LN(LeInitialSizingTable[[#This Row],[Wet mass]]/(LeInitialSizingTable[[#This Row],[Stage dry mass]]+LeInitialSizingTable[[#This Row],[Final mass]]))</f>
        <v>#N/A</v>
      </c>
      <c r="K18" s="11"/>
      <c r="L18" s="5" t="e">
        <f>9.81*LeInitialSizingTable[[#This Row],[Specific impulse]]*(LeInitialSizingTable[[#This Row],[Propellant mass]]/LeInitialSizingTable[[#This Row],[Burn time]])</f>
        <v>#N/A</v>
      </c>
      <c r="M18" s="5" t="e">
        <f>LeInitialSizingTable[[#This Row],[Thrust]]*LeInitialSizingTable[[#This Row],[Burn time]]</f>
        <v>#N/A</v>
      </c>
      <c r="N18" s="6" t="e">
        <f>SUM($J$11:J18)</f>
        <v>#N/A</v>
      </c>
    </row>
    <row r="19" spans="1:14" x14ac:dyDescent="0.3">
      <c r="A19" s="4">
        <v>9</v>
      </c>
      <c r="B19" s="5">
        <f t="shared" si="0"/>
        <v>965489384605.63123</v>
      </c>
      <c r="C19" s="5"/>
      <c r="D19" s="5"/>
      <c r="E19" s="5"/>
      <c r="F19"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9" s="5">
        <f>$C$6*LeInitialSizingTable[[#This Row],[Final mass]]</f>
        <v>96548938460.563126</v>
      </c>
      <c r="H19" s="5">
        <f>($C$5*(LeInitialSizingTable[[#This Row],[Stage dry mass]]+LeInitialSizingTable[[#This Row],[Final mass]]))/(1-$C$5)</f>
        <v>9558344907595.752</v>
      </c>
      <c r="I19" s="5">
        <f>LeInitialSizingTable[[#This Row],[Propellant mass]] + LeInitialSizingTable[[#This Row],[Stage dry mass]]</f>
        <v>9654893846056.3145</v>
      </c>
      <c r="J19" s="5" t="e">
        <f>9.81*LeInitialSizingTable[[#This Row],[Specific impulse]]*LN(LeInitialSizingTable[[#This Row],[Wet mass]]/(LeInitialSizingTable[[#This Row],[Stage dry mass]]+LeInitialSizingTable[[#This Row],[Final mass]]))</f>
        <v>#N/A</v>
      </c>
      <c r="K19" s="11"/>
      <c r="L19" s="5" t="e">
        <f>9.81*LeInitialSizingTable[[#This Row],[Specific impulse]]*(LeInitialSizingTable[[#This Row],[Propellant mass]]/LeInitialSizingTable[[#This Row],[Burn time]])</f>
        <v>#N/A</v>
      </c>
      <c r="M19" s="5" t="e">
        <f>LeInitialSizingTable[[#This Row],[Thrust]]*LeInitialSizingTable[[#This Row],[Burn time]]</f>
        <v>#N/A</v>
      </c>
      <c r="N19" s="6" t="e">
        <f>SUM($J$11:J19)</f>
        <v>#N/A</v>
      </c>
    </row>
    <row r="20" spans="1:14" x14ac:dyDescent="0.3">
      <c r="A20" s="7">
        <v>10</v>
      </c>
      <c r="B20" s="5">
        <f t="shared" si="0"/>
        <v>9654893846056.3145</v>
      </c>
      <c r="C20" s="8"/>
      <c r="D20" s="8"/>
      <c r="E20" s="8"/>
      <c r="F20" s="8"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20" s="5">
        <f>$C$6*LeInitialSizingTable[[#This Row],[Final mass]]</f>
        <v>965489384605.63147</v>
      </c>
      <c r="H20" s="5">
        <f>($C$5*(LeInitialSizingTable[[#This Row],[Stage dry mass]]+LeInitialSizingTable[[#This Row],[Final mass]]))/(1-$C$5)</f>
        <v>95583449075957.547</v>
      </c>
      <c r="I20" s="5">
        <f>LeInitialSizingTable[[#This Row],[Propellant mass]] + LeInitialSizingTable[[#This Row],[Stage dry mass]]</f>
        <v>96548938460563.172</v>
      </c>
      <c r="J20" s="8" t="e">
        <f>9.81*LeInitialSizingTable[[#This Row],[Specific impulse]]*LN(LeInitialSizingTable[[#This Row],[Wet mass]]/(LeInitialSizingTable[[#This Row],[Stage dry mass]]+LeInitialSizingTable[[#This Row],[Final mass]]))</f>
        <v>#N/A</v>
      </c>
      <c r="K20" s="12"/>
      <c r="L20" s="8" t="e">
        <f>9.81*LeInitialSizingTable[[#This Row],[Specific impulse]]*(LeInitialSizingTable[[#This Row],[Propellant mass]]/LeInitialSizingTable[[#This Row],[Burn time]])</f>
        <v>#N/A</v>
      </c>
      <c r="M20" s="8" t="e">
        <f>LeInitialSizingTable[[#This Row],[Thrust]]*LeInitialSizingTable[[#This Row],[Burn time]]</f>
        <v>#N/A</v>
      </c>
      <c r="N20" s="9" t="e">
        <f>SUM($J$11:J20)</f>
        <v>#N/A</v>
      </c>
    </row>
    <row r="21" spans="1:14" x14ac:dyDescent="0.3">
      <c r="F21" s="45"/>
      <c r="G21" s="45"/>
      <c r="H21" s="45"/>
      <c r="I21" s="45"/>
      <c r="J21" s="45"/>
      <c r="K21" s="45"/>
      <c r="L21" s="45"/>
      <c r="M21" s="45"/>
      <c r="N21" s="45"/>
    </row>
    <row r="23" spans="1:14" x14ac:dyDescent="0.3">
      <c r="I23" t="e" cm="1" vm="1">
        <f t="array" ref="I23">_xlfn._xlws.PY(0,1,LeInitialSizingTable[#All])</f>
        <v>#VALUE!</v>
      </c>
    </row>
    <row r="24" spans="1:14" x14ac:dyDescent="0.3">
      <c r="F24" s="58" t="s">
        <v>137</v>
      </c>
      <c r="G24" s="58"/>
      <c r="H24" s="58"/>
    </row>
    <row r="25" spans="1:14" x14ac:dyDescent="0.3">
      <c r="F25" s="5" t="s">
        <v>36</v>
      </c>
      <c r="G25" s="5" cm="1" vm="2">
        <f t="array" ref="G25">_xlfn._xlws.PY(1,1,'Data Input'!$C$7)</f>
        <v>2</v>
      </c>
      <c r="H25" s="5" t="s">
        <v>39</v>
      </c>
    </row>
    <row r="26" spans="1:14" x14ac:dyDescent="0.3">
      <c r="F26" s="5" t="s">
        <v>37</v>
      </c>
      <c r="G26" s="5" cm="1" vm="3">
        <f t="array" ref="G26">_xlfn._xlws.PY(2,1,$G$25)</f>
        <v>19169.211447681861</v>
      </c>
      <c r="H26" s="5" t="s">
        <v>40</v>
      </c>
    </row>
    <row r="27" spans="1:14" ht="14.4" customHeight="1" x14ac:dyDescent="0.3">
      <c r="F27" s="5" t="s">
        <v>45</v>
      </c>
      <c r="G27" s="5" cm="1" vm="4">
        <f t="array" ref="G27">_xlfn._xlws.PY(3,1,$G$25)</f>
        <v>10620.38323066193</v>
      </c>
      <c r="H27" s="5" t="s">
        <v>41</v>
      </c>
    </row>
    <row r="28" spans="1:14" ht="14.4" customHeight="1" x14ac:dyDescent="0.3">
      <c r="F28" s="5" t="s">
        <v>165</v>
      </c>
      <c r="G28" s="5" cm="1" vm="5">
        <f t="array" ref="G28">_xlfn._xlws.PY(4,1,$G$25)</f>
        <v>1062038.3230661931</v>
      </c>
      <c r="H28" s="5" t="s">
        <v>41</v>
      </c>
    </row>
    <row r="29" spans="1:14" x14ac:dyDescent="0.3">
      <c r="F29" s="5" t="s">
        <v>127</v>
      </c>
      <c r="G29" s="5" t="str">
        <f>IF(MAX($G$26, 'Data Input'!$F$32) = $G$26, "Yes! OwO", "No... T_T")</f>
        <v>Yes! OwO</v>
      </c>
      <c r="H29" s="5" t="s">
        <v>128</v>
      </c>
    </row>
    <row r="31" spans="1:14" ht="25.8" x14ac:dyDescent="0.3">
      <c r="A31" s="54" t="s">
        <v>42</v>
      </c>
      <c r="B31" s="54"/>
      <c r="C31" s="41"/>
    </row>
    <row r="32" spans="1:14" ht="25.8" x14ac:dyDescent="0.3">
      <c r="A32" s="41"/>
      <c r="B32" s="41"/>
      <c r="C32" s="41"/>
    </row>
    <row r="33" spans="1:11" x14ac:dyDescent="0.3">
      <c r="A33" t="s">
        <v>43</v>
      </c>
    </row>
    <row r="35" spans="1:11" x14ac:dyDescent="0.3">
      <c r="A35" s="25" t="s">
        <v>20</v>
      </c>
      <c r="B35" s="26" t="s">
        <v>4</v>
      </c>
      <c r="C35" s="26" t="s">
        <v>5</v>
      </c>
      <c r="D35" s="26" t="s">
        <v>23</v>
      </c>
      <c r="E35" s="26" t="s">
        <v>24</v>
      </c>
      <c r="F35" s="26" t="s">
        <v>6</v>
      </c>
      <c r="G35" s="26" t="s">
        <v>25</v>
      </c>
      <c r="H35" s="26" t="s">
        <v>26</v>
      </c>
      <c r="I35" s="26" t="s">
        <v>12</v>
      </c>
      <c r="J35" s="26" t="s">
        <v>27</v>
      </c>
      <c r="K35" s="27" t="s">
        <v>28</v>
      </c>
    </row>
    <row r="36" spans="1:11" x14ac:dyDescent="0.3">
      <c r="A36" s="46" t="s">
        <v>21</v>
      </c>
      <c r="B36" s="44" t="s">
        <v>7</v>
      </c>
      <c r="C36" s="44" t="s">
        <v>10</v>
      </c>
      <c r="D36" s="44">
        <f>1.5*TheDropdownMenuTable_InitialSizing[[#This Row],[Isp (solid, SL)]]</f>
        <v>330.9</v>
      </c>
      <c r="E36" s="44">
        <f>AVERAGE(220, 220, 220, 203, 240)</f>
        <v>220.6</v>
      </c>
      <c r="F36" s="44" t="s">
        <v>32</v>
      </c>
      <c r="G36" s="44">
        <v>454.84199999999998</v>
      </c>
      <c r="H36" s="44">
        <v>388.78694999999999</v>
      </c>
      <c r="I36" s="44" t="s">
        <v>13</v>
      </c>
      <c r="J36" s="44">
        <f>1.5*TheDropdownMenuTable_InitialSizing[[#This Row],[Isp (IDFK, SL)]]</f>
        <v>315</v>
      </c>
      <c r="K36" s="47">
        <v>210</v>
      </c>
    </row>
    <row r="37" spans="1:11" x14ac:dyDescent="0.3">
      <c r="A37" s="46" t="s">
        <v>22</v>
      </c>
      <c r="B37" s="44" t="s">
        <v>8</v>
      </c>
      <c r="C37" s="44" t="s">
        <v>9</v>
      </c>
      <c r="D37" s="44">
        <f>1.5*TheDropdownMenuTable_InitialSizing[[#This Row],[Isp (solid, SL)]]</f>
        <v>244.12199999999999</v>
      </c>
      <c r="E37" s="44">
        <v>162.74799999999999</v>
      </c>
      <c r="F37" s="44" t="s">
        <v>31</v>
      </c>
      <c r="G37" s="44">
        <v>368.50157999999999</v>
      </c>
      <c r="H37" s="44">
        <v>309.27625</v>
      </c>
      <c r="I37" s="44" t="s">
        <v>69</v>
      </c>
      <c r="J37" s="44">
        <f>1.5*TheDropdownMenuTable_InitialSizing[[#This Row],[Isp (IDFK, SL)]]</f>
        <v>337.5</v>
      </c>
      <c r="K37" s="47">
        <v>225</v>
      </c>
    </row>
    <row r="38" spans="1:11" x14ac:dyDescent="0.3">
      <c r="A38" s="46"/>
      <c r="B38" s="44" t="s">
        <v>11</v>
      </c>
      <c r="C38" s="44" t="s">
        <v>68</v>
      </c>
      <c r="D38" s="44">
        <v>285.60000000000002</v>
      </c>
      <c r="E38" s="44">
        <v>242</v>
      </c>
      <c r="F38" s="44" t="s">
        <v>33</v>
      </c>
      <c r="G38" s="44">
        <v>357.79817000000003</v>
      </c>
      <c r="H38" s="44">
        <v>299.79613000000001</v>
      </c>
      <c r="I38" s="44" t="s">
        <v>70</v>
      </c>
      <c r="J38" s="44">
        <f>1.5*TheDropdownMenuTable_InitialSizing[[#This Row],[Isp (IDFK, SL)]]</f>
        <v>576</v>
      </c>
      <c r="K38" s="47">
        <v>384</v>
      </c>
    </row>
    <row r="39" spans="1:11" ht="28.8" x14ac:dyDescent="0.3">
      <c r="A39" s="46"/>
      <c r="B39" s="44"/>
      <c r="C39" s="44" t="s">
        <v>74</v>
      </c>
      <c r="D39" s="44">
        <f>1.5*TheDropdownMenuTable_InitialSizing[[#This Row],[Isp (solid, SL)]]</f>
        <v>116.25</v>
      </c>
      <c r="E39" s="44">
        <v>77.5</v>
      </c>
      <c r="F39" s="44" t="s">
        <v>72</v>
      </c>
      <c r="G39" s="44">
        <v>341.38634000000002</v>
      </c>
      <c r="H39" s="44">
        <v>288.58308</v>
      </c>
      <c r="I39" s="44"/>
      <c r="J39" s="44"/>
      <c r="K39" s="47"/>
    </row>
    <row r="40" spans="1:11" x14ac:dyDescent="0.3">
      <c r="A40" s="46"/>
      <c r="B40" s="44"/>
      <c r="C40" s="44"/>
      <c r="D40" s="44"/>
      <c r="E40" s="44"/>
      <c r="F40" s="44" t="s">
        <v>73</v>
      </c>
      <c r="G40" s="44">
        <v>333</v>
      </c>
      <c r="H40" s="44">
        <v>285</v>
      </c>
      <c r="I40" s="44"/>
      <c r="J40" s="44"/>
      <c r="K40" s="47"/>
    </row>
    <row r="41" spans="1:11" x14ac:dyDescent="0.3">
      <c r="A41" s="46"/>
      <c r="B41" s="44"/>
      <c r="C41" s="44"/>
      <c r="D41" s="44"/>
      <c r="E41" s="44"/>
      <c r="F41" s="44" t="s">
        <v>34</v>
      </c>
      <c r="G41" s="44">
        <v>343.42507999999998</v>
      </c>
      <c r="H41" s="44">
        <v>291.74311999999998</v>
      </c>
      <c r="I41" s="44"/>
      <c r="J41" s="44"/>
      <c r="K41" s="47"/>
    </row>
    <row r="42" spans="1:11" x14ac:dyDescent="0.3">
      <c r="A42" s="46"/>
      <c r="B42" s="44"/>
      <c r="C42" s="44"/>
      <c r="D42" s="44"/>
      <c r="E42" s="44"/>
      <c r="F42" s="44" t="s">
        <v>71</v>
      </c>
      <c r="G42" s="44">
        <v>341.18247000000002</v>
      </c>
      <c r="H42" s="44">
        <v>288.17532999999997</v>
      </c>
      <c r="I42" s="44"/>
      <c r="J42" s="44"/>
      <c r="K42" s="47"/>
    </row>
    <row r="43" spans="1:11" x14ac:dyDescent="0.3">
      <c r="A43" s="46"/>
      <c r="B43" s="44"/>
      <c r="C43" s="44"/>
      <c r="D43" s="44"/>
      <c r="E43" s="44"/>
      <c r="F43" s="44"/>
      <c r="G43" s="44"/>
      <c r="H43" s="44"/>
      <c r="I43" s="44"/>
      <c r="J43" s="44"/>
      <c r="K43" s="47"/>
    </row>
    <row r="44" spans="1:11" x14ac:dyDescent="0.3">
      <c r="A44" s="46"/>
      <c r="B44" s="44"/>
      <c r="C44" s="44"/>
      <c r="D44" s="44"/>
      <c r="E44" s="44"/>
      <c r="F44" s="44"/>
      <c r="G44" s="44"/>
      <c r="H44" s="44"/>
      <c r="I44" s="44"/>
      <c r="J44" s="44"/>
      <c r="K44" s="47"/>
    </row>
    <row r="45" spans="1:11" x14ac:dyDescent="0.3">
      <c r="A45" s="48"/>
      <c r="B45" s="49"/>
      <c r="C45" s="49"/>
      <c r="D45" s="49"/>
      <c r="E45" s="49"/>
      <c r="F45" s="49"/>
      <c r="G45" s="49"/>
      <c r="H45" s="49"/>
      <c r="I45" s="49"/>
      <c r="J45" s="49"/>
      <c r="K45" s="50"/>
    </row>
  </sheetData>
  <mergeCells count="3">
    <mergeCell ref="A31:B31"/>
    <mergeCell ref="A1:B2"/>
    <mergeCell ref="F24:H24"/>
  </mergeCells>
  <phoneticPr fontId="2" type="noConversion"/>
  <dataValidations count="3">
    <dataValidation type="list" allowBlank="1" showInputMessage="1" showErrorMessage="1" errorTitle="WTF" error="What are you doing? Insert valid data!" promptTitle="Fuel type" prompt="Please select fuel type" sqref="D11:D20" xr:uid="{75774DDE-7B63-4B96-895A-4AEB3A1915AC}">
      <formula1>$B$36:$B$38</formula1>
    </dataValidation>
    <dataValidation type="list" allowBlank="1" showInputMessage="1" showErrorMessage="1" errorTitle="Huh?" error="Did you input that correctly? Insert valid data" promptTitle="Can haz vacuum?" prompt="Pleas input stage condition in use" sqref="C11:C20" xr:uid="{27B2952E-10CB-495C-8AE7-7BD4B0C75E94}">
      <formula1>$A$36:$A$37</formula1>
    </dataValidation>
    <dataValidation type="list" allowBlank="1" showInputMessage="1" showErrorMessage="1" errorTitle="NOT AGAIN" error="What even?! Please insert valid data!" promptTitle="Fuel type 2: Electric Boogaloo" prompt="Please specify fuel type" sqref="E11:E20" xr:uid="{D3232489-5E3A-4360-884B-9C39225CAB94}">
      <formula1>IF($D11 = "Solid", $C$36:$C$45, IF($D11 = "Liquid", $F$36:$F$45, $I$36:$I$45))</formula1>
    </dataValidation>
  </dataValidations>
  <pageMargins left="0.7" right="0.7" top="0.75" bottom="0.75" header="0.3" footer="0.3"/>
  <legacy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10" id="{BFA7F045-7B04-4578-862D-6FE5ACA842E0}">
            <xm:f>'Data Input'!$C$7 &lt; 2</xm:f>
            <x14:dxf>
              <font>
                <color theme="0"/>
              </font>
            </x14:dxf>
          </x14:cfRule>
          <xm:sqref>A12:N20</xm:sqref>
        </x14:conditionalFormatting>
        <x14:conditionalFormatting xmlns:xm="http://schemas.microsoft.com/office/excel/2006/main">
          <x14:cfRule type="expression" priority="9" id="{B7FE1704-5B36-4B72-959E-5FFDB77E36BA}">
            <xm:f>'Data Input'!$C$7 &lt; 3</xm:f>
            <x14:dxf>
              <font>
                <color theme="0"/>
              </font>
            </x14:dxf>
          </x14:cfRule>
          <xm:sqref>A13:N20</xm:sqref>
        </x14:conditionalFormatting>
        <x14:conditionalFormatting xmlns:xm="http://schemas.microsoft.com/office/excel/2006/main">
          <x14:cfRule type="expression" priority="8" id="{F763BEC8-2A60-416E-8FF5-218ED81F6E2F}">
            <xm:f>'Data Input'!$C$7 &lt; 4</xm:f>
            <x14:dxf>
              <font>
                <color theme="0"/>
              </font>
            </x14:dxf>
          </x14:cfRule>
          <xm:sqref>A14:N20</xm:sqref>
        </x14:conditionalFormatting>
        <x14:conditionalFormatting xmlns:xm="http://schemas.microsoft.com/office/excel/2006/main">
          <x14:cfRule type="expression" priority="7" id="{CD6E54D0-86D4-402F-9455-43FE6B6EEE6B}">
            <xm:f>'Data Input'!$C$7 &lt; 5</xm:f>
            <x14:dxf>
              <font>
                <color theme="0"/>
              </font>
            </x14:dxf>
          </x14:cfRule>
          <xm:sqref>A15:N20</xm:sqref>
        </x14:conditionalFormatting>
        <x14:conditionalFormatting xmlns:xm="http://schemas.microsoft.com/office/excel/2006/main">
          <x14:cfRule type="expression" priority="6" id="{685905CA-7FB5-48AF-9084-7E67849A660A}">
            <xm:f>'Data Input'!$C$7 &lt; 6</xm:f>
            <x14:dxf>
              <font>
                <color theme="0"/>
              </font>
            </x14:dxf>
          </x14:cfRule>
          <xm:sqref>A16:N20</xm:sqref>
        </x14:conditionalFormatting>
        <x14:conditionalFormatting xmlns:xm="http://schemas.microsoft.com/office/excel/2006/main">
          <x14:cfRule type="expression" priority="5" id="{82FCB063-5A79-454C-B9F1-3C4A825DD218}">
            <xm:f>'Data Input'!$C$7 &lt; 7</xm:f>
            <x14:dxf>
              <font>
                <color theme="0"/>
              </font>
            </x14:dxf>
          </x14:cfRule>
          <xm:sqref>A17:N20</xm:sqref>
        </x14:conditionalFormatting>
        <x14:conditionalFormatting xmlns:xm="http://schemas.microsoft.com/office/excel/2006/main">
          <x14:cfRule type="expression" priority="4" id="{D446DCEC-CE76-4845-B504-46415EC6D2E9}">
            <xm:f>'Data Input'!$C$7 &lt; 8</xm:f>
            <x14:dxf>
              <font>
                <color theme="0"/>
              </font>
            </x14:dxf>
          </x14:cfRule>
          <xm:sqref>A18:N20</xm:sqref>
        </x14:conditionalFormatting>
        <x14:conditionalFormatting xmlns:xm="http://schemas.microsoft.com/office/excel/2006/main">
          <x14:cfRule type="expression" priority="3" id="{4354CF35-CD25-434D-AE38-11C3CC645D19}">
            <xm:f>'Data Input'!$C$7 &lt; 9</xm:f>
            <x14:dxf>
              <font>
                <color theme="0"/>
              </font>
            </x14:dxf>
          </x14:cfRule>
          <xm:sqref>A19:N20</xm:sqref>
        </x14:conditionalFormatting>
        <x14:conditionalFormatting xmlns:xm="http://schemas.microsoft.com/office/excel/2006/main">
          <x14:cfRule type="expression" priority="2" id="{69848604-329B-4919-AC1A-B2AE58F4283E}">
            <xm:f>'Data Input'!$C$7 &lt; 10</xm:f>
            <x14:dxf>
              <font>
                <color theme="0"/>
              </font>
            </x14:dxf>
          </x14:cfRule>
          <xm:sqref>A20:N20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F66-94E0-40B7-ABA4-DDB7F41E44FC}">
  <sheetPr codeName="Sheet3"/>
  <dimension ref="A2:H31"/>
  <sheetViews>
    <sheetView tabSelected="1" topLeftCell="A12" workbookViewId="0">
      <selection activeCell="C19" sqref="C19"/>
    </sheetView>
  </sheetViews>
  <sheetFormatPr defaultRowHeight="14.4" x14ac:dyDescent="0.3"/>
  <cols>
    <col min="1" max="1" width="21.109375" bestFit="1" customWidth="1"/>
    <col min="2" max="2" width="9.88671875" customWidth="1"/>
    <col min="3" max="4" width="37.21875" customWidth="1"/>
    <col min="7" max="7" width="37.21875" customWidth="1"/>
    <col min="8" max="8" width="73.6640625" customWidth="1"/>
  </cols>
  <sheetData>
    <row r="2" spans="1:8" ht="43.2" customHeight="1" x14ac:dyDescent="0.3">
      <c r="B2" s="54" t="s">
        <v>140</v>
      </c>
      <c r="C2" s="59"/>
    </row>
    <row r="3" spans="1:8" x14ac:dyDescent="0.3">
      <c r="A3" s="61" t="s">
        <v>141</v>
      </c>
      <c r="B3" s="61"/>
      <c r="C3" s="61"/>
      <c r="D3" s="61"/>
      <c r="E3" s="61"/>
      <c r="F3" s="61"/>
      <c r="G3" s="61"/>
      <c r="H3" s="61"/>
    </row>
    <row r="5" spans="1:8" x14ac:dyDescent="0.3">
      <c r="A5" s="25" t="s">
        <v>47</v>
      </c>
      <c r="B5" s="26" t="s">
        <v>50</v>
      </c>
      <c r="C5" s="26" t="s">
        <v>48</v>
      </c>
      <c r="D5" s="27" t="s">
        <v>49</v>
      </c>
    </row>
    <row r="6" spans="1:8" s="35" customFormat="1" ht="46.8" customHeight="1" x14ac:dyDescent="0.3">
      <c r="A6" s="16" t="s">
        <v>56</v>
      </c>
      <c r="B6" s="17" t="s">
        <v>54</v>
      </c>
      <c r="C6" s="28" t="s">
        <v>39</v>
      </c>
      <c r="D6" s="18" t="s">
        <v>57</v>
      </c>
      <c r="F6" s="60" t="s">
        <v>143</v>
      </c>
      <c r="G6" s="60"/>
      <c r="H6" s="60"/>
    </row>
    <row r="7" spans="1:8" ht="28.8" x14ac:dyDescent="0.3">
      <c r="A7" s="16" t="s">
        <v>59</v>
      </c>
      <c r="B7" s="17" t="s">
        <v>54</v>
      </c>
      <c r="C7" s="28" t="s">
        <v>39</v>
      </c>
      <c r="D7" s="18" t="s">
        <v>58</v>
      </c>
      <c r="F7" s="30" t="s">
        <v>51</v>
      </c>
      <c r="G7" s="31" t="s">
        <v>52</v>
      </c>
      <c r="H7" s="32" t="s">
        <v>53</v>
      </c>
    </row>
    <row r="8" spans="1:8" ht="43.2" x14ac:dyDescent="0.3">
      <c r="A8" s="16" t="s">
        <v>65</v>
      </c>
      <c r="B8" s="17" t="s">
        <v>54</v>
      </c>
      <c r="C8" s="17" t="s">
        <v>64</v>
      </c>
      <c r="D8" s="29" t="s">
        <v>39</v>
      </c>
      <c r="F8" s="16" t="s">
        <v>54</v>
      </c>
      <c r="G8" s="17" t="s">
        <v>55</v>
      </c>
      <c r="H8" s="18" t="s">
        <v>60</v>
      </c>
    </row>
    <row r="9" spans="1:8" ht="43.2" x14ac:dyDescent="0.3">
      <c r="A9" s="16" t="s">
        <v>66</v>
      </c>
      <c r="B9" s="17" t="s">
        <v>54</v>
      </c>
      <c r="C9" s="17" t="s">
        <v>67</v>
      </c>
      <c r="D9" s="29" t="s">
        <v>39</v>
      </c>
      <c r="F9" s="16" t="s">
        <v>81</v>
      </c>
      <c r="G9" s="17" t="s">
        <v>85</v>
      </c>
      <c r="H9" s="18" t="s">
        <v>84</v>
      </c>
    </row>
    <row r="10" spans="1:8" ht="43.2" x14ac:dyDescent="0.3">
      <c r="A10" s="16" t="s">
        <v>76</v>
      </c>
      <c r="B10" s="17" t="s">
        <v>54</v>
      </c>
      <c r="C10" s="28" t="s">
        <v>39</v>
      </c>
      <c r="D10" s="18" t="s">
        <v>75</v>
      </c>
      <c r="F10" s="16" t="s">
        <v>82</v>
      </c>
      <c r="G10" s="17" t="s">
        <v>83</v>
      </c>
      <c r="H10" s="18" t="s">
        <v>84</v>
      </c>
    </row>
    <row r="11" spans="1:8" ht="43.2" x14ac:dyDescent="0.3">
      <c r="A11" s="16" t="s">
        <v>77</v>
      </c>
      <c r="B11" s="17" t="s">
        <v>54</v>
      </c>
      <c r="C11" s="17" t="s">
        <v>78</v>
      </c>
      <c r="D11" s="28" t="s">
        <v>39</v>
      </c>
      <c r="F11" s="16" t="s">
        <v>156</v>
      </c>
      <c r="G11" s="17" t="s">
        <v>157</v>
      </c>
      <c r="H11" s="18" t="s">
        <v>60</v>
      </c>
    </row>
    <row r="12" spans="1:8" ht="43.2" x14ac:dyDescent="0.3">
      <c r="A12" s="16" t="s">
        <v>89</v>
      </c>
      <c r="B12" s="17" t="s">
        <v>54</v>
      </c>
      <c r="C12" s="17" t="s">
        <v>90</v>
      </c>
      <c r="D12" s="28" t="s">
        <v>39</v>
      </c>
      <c r="F12" s="16" t="s">
        <v>176</v>
      </c>
      <c r="G12" s="17" t="s">
        <v>175</v>
      </c>
      <c r="H12" s="18" t="s">
        <v>60</v>
      </c>
    </row>
    <row r="13" spans="1:8" ht="57.6" x14ac:dyDescent="0.3">
      <c r="A13" s="16" t="s">
        <v>138</v>
      </c>
      <c r="B13" s="17" t="s">
        <v>54</v>
      </c>
      <c r="C13" s="17" t="s">
        <v>142</v>
      </c>
      <c r="D13" s="18" t="s">
        <v>139</v>
      </c>
      <c r="F13" s="16"/>
      <c r="G13" s="17"/>
      <c r="H13" s="18"/>
    </row>
    <row r="14" spans="1:8" ht="43.2" x14ac:dyDescent="0.3">
      <c r="A14" s="16" t="s">
        <v>154</v>
      </c>
      <c r="B14" s="17" t="s">
        <v>54</v>
      </c>
      <c r="C14" s="17" t="s">
        <v>155</v>
      </c>
      <c r="D14" s="28" t="s">
        <v>39</v>
      </c>
      <c r="F14" s="16"/>
      <c r="G14" s="17"/>
      <c r="H14" s="18"/>
    </row>
    <row r="15" spans="1:8" ht="28.8" x14ac:dyDescent="0.3">
      <c r="A15" s="16" t="s">
        <v>166</v>
      </c>
      <c r="B15" s="17" t="s">
        <v>54</v>
      </c>
      <c r="C15" s="17" t="s">
        <v>167</v>
      </c>
      <c r="D15" s="28" t="s">
        <v>39</v>
      </c>
      <c r="F15" s="16"/>
      <c r="G15" s="17"/>
      <c r="H15" s="18"/>
    </row>
    <row r="16" spans="1:8" ht="28.8" x14ac:dyDescent="0.3">
      <c r="A16" s="16" t="s">
        <v>168</v>
      </c>
      <c r="B16" s="17" t="s">
        <v>54</v>
      </c>
      <c r="C16" s="17" t="s">
        <v>169</v>
      </c>
      <c r="D16" s="28" t="s">
        <v>39</v>
      </c>
      <c r="F16" s="16"/>
      <c r="G16" s="17"/>
      <c r="H16" s="18"/>
    </row>
    <row r="17" spans="1:8" ht="28.8" x14ac:dyDescent="0.3">
      <c r="A17" s="16" t="s">
        <v>170</v>
      </c>
      <c r="B17" s="17" t="s">
        <v>54</v>
      </c>
      <c r="C17" s="17" t="s">
        <v>171</v>
      </c>
      <c r="D17" s="28" t="s">
        <v>39</v>
      </c>
      <c r="F17" s="16"/>
      <c r="G17" s="17"/>
      <c r="H17" s="18"/>
    </row>
    <row r="18" spans="1:8" ht="28.8" x14ac:dyDescent="0.3">
      <c r="A18" s="16" t="s">
        <v>173</v>
      </c>
      <c r="B18" s="17" t="s">
        <v>54</v>
      </c>
      <c r="C18" s="17" t="s">
        <v>174</v>
      </c>
      <c r="D18" s="18"/>
      <c r="F18" s="16"/>
      <c r="G18" s="17"/>
      <c r="H18" s="18"/>
    </row>
    <row r="19" spans="1:8" ht="28.8" x14ac:dyDescent="0.3">
      <c r="A19" s="16" t="s">
        <v>177</v>
      </c>
      <c r="B19" s="17" t="s">
        <v>54</v>
      </c>
      <c r="C19" s="17"/>
      <c r="D19" s="18"/>
      <c r="F19" s="16"/>
      <c r="G19" s="17"/>
      <c r="H19" s="18"/>
    </row>
    <row r="20" spans="1:8" x14ac:dyDescent="0.3">
      <c r="A20" s="16"/>
      <c r="B20" s="17"/>
      <c r="C20" s="17"/>
      <c r="D20" s="18"/>
      <c r="F20" s="16"/>
      <c r="G20" s="17"/>
      <c r="H20" s="18"/>
    </row>
    <row r="21" spans="1:8" x14ac:dyDescent="0.3">
      <c r="A21" s="16"/>
      <c r="B21" s="17"/>
      <c r="C21" s="17"/>
      <c r="D21" s="18"/>
      <c r="F21" s="16"/>
      <c r="G21" s="17"/>
      <c r="H21" s="18"/>
    </row>
    <row r="22" spans="1:8" x14ac:dyDescent="0.3">
      <c r="A22" s="16"/>
      <c r="B22" s="17"/>
      <c r="C22" s="17"/>
      <c r="D22" s="18"/>
      <c r="F22" s="16"/>
      <c r="G22" s="17"/>
      <c r="H22" s="18"/>
    </row>
    <row r="23" spans="1:8" x14ac:dyDescent="0.3">
      <c r="A23" s="16"/>
      <c r="B23" s="17"/>
      <c r="C23" s="17"/>
      <c r="D23" s="18"/>
      <c r="F23" s="16"/>
      <c r="G23" s="17"/>
      <c r="H23" s="18"/>
    </row>
    <row r="24" spans="1:8" x14ac:dyDescent="0.3">
      <c r="A24" s="16"/>
      <c r="B24" s="17"/>
      <c r="C24" s="17"/>
      <c r="D24" s="18"/>
      <c r="F24" s="16"/>
      <c r="G24" s="17"/>
      <c r="H24" s="18"/>
    </row>
    <row r="25" spans="1:8" x14ac:dyDescent="0.3">
      <c r="A25" s="16"/>
      <c r="B25" s="17"/>
      <c r="C25" s="17"/>
      <c r="D25" s="18"/>
      <c r="F25" s="16"/>
      <c r="G25" s="17"/>
      <c r="H25" s="18"/>
    </row>
    <row r="26" spans="1:8" x14ac:dyDescent="0.3">
      <c r="A26" s="16"/>
      <c r="B26" s="17"/>
      <c r="C26" s="17"/>
      <c r="D26" s="18"/>
      <c r="F26" s="16"/>
      <c r="G26" s="17"/>
      <c r="H26" s="18"/>
    </row>
    <row r="27" spans="1:8" x14ac:dyDescent="0.3">
      <c r="A27" s="16"/>
      <c r="B27" s="17"/>
      <c r="C27" s="17"/>
      <c r="D27" s="18"/>
      <c r="F27" s="16"/>
      <c r="G27" s="17"/>
      <c r="H27" s="18"/>
    </row>
    <row r="28" spans="1:8" x14ac:dyDescent="0.3">
      <c r="A28" s="16"/>
      <c r="B28" s="17"/>
      <c r="C28" s="17"/>
      <c r="D28" s="18"/>
      <c r="F28" s="16"/>
      <c r="G28" s="17"/>
      <c r="H28" s="18"/>
    </row>
    <row r="29" spans="1:8" x14ac:dyDescent="0.3">
      <c r="A29" s="19"/>
      <c r="B29" s="20"/>
      <c r="C29" s="20"/>
      <c r="D29" s="21"/>
      <c r="F29" s="19"/>
      <c r="G29" s="20"/>
      <c r="H29" s="21"/>
    </row>
    <row r="31" spans="1:8" x14ac:dyDescent="0.3">
      <c r="G31" s="5" t="s">
        <v>61</v>
      </c>
      <c r="H31" s="22" t="str" cm="1">
        <f t="array" ref="H31">_xlfn.CONCAT(_xlfn.XLOOKUP(_xlfn.XLOOKUP(TRUE, LogTable[Who?*] &lt;&gt; "", LogTable[Who?*], "¯\_(ツ)_/¯", 0, -1), AuthorTable[Abbr.], AuthorTable[Name], "¯\_(ツ)_/¯", 0, 2), ", ", _xlfn.XLOOKUP(TRUE, LogTable[Date and Time] &lt;&gt; "", LogTable[Date and Time], "¯\_(ツ)_/¯", 0, -1))</f>
        <v>¯\_(ツ)_/¯, 16/01/2025, 16:18 UTC+7</v>
      </c>
    </row>
  </sheetData>
  <mergeCells count="3">
    <mergeCell ref="B2:C2"/>
    <mergeCell ref="F6:H6"/>
    <mergeCell ref="A3:H3"/>
  </mergeCells>
  <phoneticPr fontId="2" type="noConversion"/>
  <dataValidations count="1">
    <dataValidation type="list" allowBlank="1" showInputMessage="1" showErrorMessage="1" sqref="B6:B29" xr:uid="{7B16103C-6670-42BF-A0DD-7E002CEAB315}">
      <formula1>$F$8:$F$29</formula1>
    </dataValidation>
  </dataValidation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 Intro</vt:lpstr>
      <vt:lpstr>Data Input</vt:lpstr>
      <vt:lpstr>Initial Sizing</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Naufal Afif</dc:creator>
  <cp:lastModifiedBy>Muhammad Naufal Afif</cp:lastModifiedBy>
  <dcterms:created xsi:type="dcterms:W3CDTF">2025-01-11T12:31:50Z</dcterms:created>
  <dcterms:modified xsi:type="dcterms:W3CDTF">2025-01-16T09:18:16Z</dcterms:modified>
</cp:coreProperties>
</file>