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harts/chart1.xml" ContentType="application/vnd.openxmlformats-officedocument.drawingml.chart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E:\!SNY\Strage\Box Sync\計算ファイル\"/>
    </mc:Choice>
  </mc:AlternateContent>
  <xr:revisionPtr revIDLastSave="0" documentId="13_ncr:1_{5855DED4-2651-4ABB-946D-ED49001A2570}" xr6:coauthVersionLast="47" xr6:coauthVersionMax="47" xr10:uidLastSave="{00000000-0000-0000-0000-000000000000}"/>
  <bookViews>
    <workbookView xWindow="-120" yWindow="-120" windowWidth="21840" windowHeight="13290" tabRatio="953" activeTab="8" xr2:uid="{00000000-000D-0000-FFFF-FFFF00000000}"/>
  </bookViews>
  <sheets>
    <sheet name="目次" sheetId="1" r:id="rId1"/>
    <sheet name="音階と周波数" sheetId="119" r:id="rId2"/>
    <sheet name="bit変換" sheetId="2" r:id="rId3"/>
    <sheet name="パケット計算" sheetId="3" r:id="rId4"/>
    <sheet name="オーム+電力" sheetId="4" r:id="rId5"/>
    <sheet name="電力と熱" sheetId="94" r:id="rId6"/>
    <sheet name="LED電流計算" sheetId="5" r:id="rId7"/>
    <sheet name="トランス漏洩" sheetId="6" r:id="rId8"/>
    <sheet name="利得" sheetId="7" r:id="rId9"/>
    <sheet name="分圧" sheetId="8" r:id="rId10"/>
    <sheet name="合成R・C" sheetId="9" r:id="rId11"/>
    <sheet name="共振周波数" sheetId="10" r:id="rId12"/>
    <sheet name="振幅・実行値" sheetId="11" r:id="rId13"/>
    <sheet name="リアクタンス" sheetId="12" r:id="rId14"/>
    <sheet name="水晶の負荷容量" sheetId="13" r:id="rId15"/>
    <sheet name="比率" sheetId="14" r:id="rId16"/>
    <sheet name="ｵﾍﾟｱﾝﾌﾟ" sheetId="15" r:id="rId17"/>
    <sheet name="ﾃﾞｰﾀﾚｰﾄ_時間" sheetId="16" r:id="rId18"/>
    <sheet name="時定数" sheetId="17" r:id="rId19"/>
    <sheet name="充放電時間" sheetId="18" r:id="rId20"/>
    <sheet name="波長" sheetId="19" r:id="rId21"/>
    <sheet name="距離換算" sheetId="20" r:id="rId22"/>
    <sheet name="偏差計算" sheetId="21" r:id="rId23"/>
    <sheet name="トランジスタ" sheetId="22" r:id="rId24"/>
    <sheet name="電池寿命(簡潔動作)" sheetId="23" r:id="rId25"/>
    <sheet name="信号分配抵抗" sheetId="24" r:id="rId26"/>
    <sheet name="DCDC計算" sheetId="25" r:id="rId27"/>
    <sheet name="dbm to mW" sheetId="63" r:id="rId28"/>
    <sheet name="ポートレジスタ" sheetId="27" r:id="rId29"/>
    <sheet name="電圧変換後の電流計算" sheetId="28" r:id="rId30"/>
    <sheet name="電池寿命" sheetId="29" r:id="rId31"/>
    <sheet name="電池寿命計算（予備）" sheetId="30" r:id="rId32"/>
    <sheet name="電池寿命計算（ﾓﾊﾞｲﾙBatt）" sheetId="31" r:id="rId33"/>
    <sheet name="基板単価計算" sheetId="32" r:id="rId34"/>
    <sheet name="トランス巻比・UV試験" sheetId="33" r:id="rId35"/>
    <sheet name="IR1253" sheetId="34" r:id="rId36"/>
    <sheet name="NCP603出力電圧計算" sheetId="35" r:id="rId37"/>
    <sheet name="予備計算" sheetId="36" r:id="rId38"/>
    <sheet name="ADP123出力電圧計算" sheetId="37" r:id="rId39"/>
    <sheet name="パルス計算" sheetId="38" r:id="rId40"/>
    <sheet name="IC計算" sheetId="39" r:id="rId41"/>
    <sheet name="自由領域" sheetId="40" r:id="rId42"/>
    <sheet name="CR発振" sheetId="41" r:id="rId43"/>
    <sheet name="通信時間" sheetId="42" r:id="rId44"/>
    <sheet name="配線抵抗" sheetId="43" r:id="rId45"/>
    <sheet name="円換算" sheetId="44" r:id="rId46"/>
    <sheet name="周波数・周期" sheetId="45" r:id="rId47"/>
    <sheet name="1セットの時間" sheetId="46" r:id="rId48"/>
    <sheet name="速度計算" sheetId="47" r:id="rId49"/>
    <sheet name="fps_Time" sheetId="48" r:id="rId50"/>
    <sheet name="1LSB_変換精度計算" sheetId="49" r:id="rId51"/>
    <sheet name="スネルの法則" sheetId="50" r:id="rId52"/>
    <sheet name="焦点距離" sheetId="51" r:id="rId53"/>
    <sheet name="ｺｲﾙ巻数とｲﾝﾀﾞｸﾀ" sheetId="52" r:id="rId54"/>
    <sheet name="トランス変圧" sheetId="53" r:id="rId55"/>
    <sheet name="ﾌﾗｲﾊﾞｯｸ電圧" sheetId="54" r:id="rId56"/>
    <sheet name="スナバ回路損失" sheetId="55" r:id="rId57"/>
    <sheet name="トランス設計" sheetId="56" r:id="rId58"/>
    <sheet name="トランス設計 (布団クリーナー)" sheetId="92" r:id="rId59"/>
    <sheet name="作業時間計算" sheetId="57" r:id="rId60"/>
    <sheet name="損失と通信距離" sheetId="58" r:id="rId61"/>
    <sheet name="ｹｰﾌﾞﾙLossによる通信距離" sheetId="67" r:id="rId62"/>
    <sheet name="ｹｰﾌﾞﾙLossによる通信距離 (2)" sheetId="68" r:id="rId63"/>
    <sheet name="メモリ容量計算" sheetId="71" r:id="rId64"/>
    <sheet name="10HS農業センサ" sheetId="72" r:id="rId65"/>
    <sheet name="MPM3820出力" sheetId="73" r:id="rId66"/>
    <sheet name="555発振回路" sheetId="75" r:id="rId67"/>
    <sheet name="昇降圧電流計算" sheetId="76" r:id="rId68"/>
    <sheet name="磁束密度計算" sheetId="62" r:id="rId69"/>
    <sheet name="logExcel" sheetId="65" r:id="rId70"/>
    <sheet name="電力)DB-&gt;倍率" sheetId="66" r:id="rId71"/>
    <sheet name="土壌水分センサ" sheetId="77" r:id="rId72"/>
    <sheet name="3GRay電源" sheetId="74" r:id="rId73"/>
    <sheet name="理想サンプリング周波数" sheetId="79" r:id="rId74"/>
    <sheet name="電圧変換後の消費電流" sheetId="80" r:id="rId75"/>
    <sheet name="電池容量とキャパシタンス" sheetId="78" r:id="rId76"/>
    <sheet name="光量変換" sheetId="81" r:id="rId77"/>
    <sheet name="DCDC入出力電力" sheetId="90" r:id="rId78"/>
    <sheet name="インチ変換" sheetId="84" r:id="rId79"/>
    <sheet name="LTC4071充電" sheetId="86" r:id="rId80"/>
    <sheet name="bq24210充電" sheetId="83" r:id="rId81"/>
    <sheet name="LM1084出力計算" sheetId="88" r:id="rId82"/>
    <sheet name="LM5007MM出力電圧" sheetId="91" r:id="rId83"/>
    <sheet name="LTC1799発信周波数" sheetId="87" r:id="rId84"/>
    <sheet name="LTC6908発信周波数" sheetId="89" r:id="rId85"/>
    <sheet name="bq24650充電" sheetId="85" r:id="rId86"/>
    <sheet name="速度と距離" sheetId="95" r:id="rId87"/>
    <sheet name="dB⇔倍率・電圧・音圧" sheetId="96" r:id="rId88"/>
    <sheet name="利得-音圧-電圧-マイク" sheetId="104" r:id="rId89"/>
    <sheet name="加速度G⇔SI" sheetId="97" r:id="rId90"/>
    <sheet name="AD変換速度→周波数" sheetId="98" r:id="rId91"/>
    <sheet name="クロック周波数と時間" sheetId="99" r:id="rId92"/>
    <sheet name="レジスタ" sheetId="100" r:id="rId93"/>
    <sheet name="サーミスタ計算" sheetId="101" r:id="rId94"/>
    <sheet name="コイル電流と磁界" sheetId="102" r:id="rId95"/>
    <sheet name="ECM-100U" sheetId="103" r:id="rId96"/>
    <sheet name="消費電流概算" sheetId="105" r:id="rId97"/>
    <sheet name="カラー情報→白黒情報" sheetId="106" r:id="rId98"/>
    <sheet name="光信号とケーブルロス" sheetId="107" r:id="rId99"/>
    <sheet name="I2Cプルアップ抵抗" sheetId="108" r:id="rId100"/>
    <sheet name="差動アンプ" sheetId="110" r:id="rId101"/>
    <sheet name="エイリアシング計算" sheetId="109" r:id="rId102"/>
    <sheet name="目標達成シート0" sheetId="112" r:id="rId103"/>
    <sheet name="目標達成シート(ラズパイ)" sheetId="113" r:id="rId104"/>
    <sheet name="相関係数を求める" sheetId="114" r:id="rId105"/>
    <sheet name="相関係数を求める (2)" sheetId="115" r:id="rId106"/>
    <sheet name="画像のファイル容量計算" sheetId="116" r:id="rId107"/>
    <sheet name="配線遅延" sheetId="117" r:id="rId108"/>
    <sheet name="FET駆動電流" sheetId="118" r:id="rId109"/>
    <sheet name="ArduinoTimer" sheetId="120" r:id="rId110"/>
    <sheet name="距離と速度と時間" sheetId="121" r:id="rId111"/>
    <sheet name="MT3608出力電圧" sheetId="122" r:id="rId112"/>
    <sheet name="___ (4)" sheetId="111" r:id="rId113"/>
    <sheet name="___ (3)" sheetId="93" r:id="rId114"/>
    <sheet name="___" sheetId="61" r:id="rId115"/>
    <sheet name="___ (2)" sheetId="60" r:id="rId116"/>
    <sheet name="2進数⇒16進数" sheetId="82" r:id="rId117"/>
    <sheet name="Sheet1" sheetId="59" r:id="rId118"/>
    <sheet name="Sheet2" sheetId="69" r:id="rId119"/>
    <sheet name="Sheet3" sheetId="70" r:id="rId1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" i="22" l="1"/>
  <c r="G28" i="122"/>
  <c r="G31" i="122"/>
  <c r="G29" i="122"/>
  <c r="L15" i="121"/>
  <c r="L11" i="121"/>
  <c r="E15" i="121"/>
  <c r="E11" i="121"/>
  <c r="R17" i="120" l="1"/>
  <c r="R10" i="120"/>
  <c r="R13" i="120" s="1"/>
  <c r="R18" i="120" l="1"/>
  <c r="E10" i="120"/>
  <c r="E12" i="120" s="1"/>
  <c r="E14" i="120" s="1"/>
  <c r="E18" i="120" s="1"/>
  <c r="G21" i="4" l="1"/>
  <c r="E15" i="120" l="1"/>
  <c r="N73" i="15"/>
  <c r="N75" i="15" s="1"/>
  <c r="D33" i="12"/>
  <c r="M14" i="12"/>
  <c r="D14" i="12"/>
  <c r="E19" i="120" l="1"/>
  <c r="N74" i="15"/>
  <c r="G18" i="118"/>
  <c r="F19" i="117" l="1"/>
  <c r="F22" i="117" s="1"/>
  <c r="F12" i="117"/>
  <c r="F13" i="117" s="1"/>
  <c r="F22" i="116" l="1"/>
  <c r="F23" i="116" s="1"/>
  <c r="F24" i="116" s="1"/>
  <c r="F12" i="116"/>
  <c r="F13" i="116" s="1"/>
  <c r="F14" i="116" s="1"/>
  <c r="G19" i="115" l="1"/>
  <c r="G18" i="115"/>
  <c r="G23" i="114"/>
  <c r="C27" i="115" l="1"/>
  <c r="G28" i="115"/>
  <c r="C29" i="115"/>
  <c r="G29" i="115"/>
  <c r="C26" i="115"/>
  <c r="C30" i="115"/>
  <c r="C28" i="115"/>
  <c r="G26" i="115"/>
  <c r="G30" i="115"/>
  <c r="G27" i="115"/>
  <c r="G24" i="114"/>
  <c r="F35" i="115" l="1"/>
  <c r="H41" i="115" s="1"/>
  <c r="F34" i="115"/>
  <c r="H40" i="115" s="1"/>
  <c r="C48" i="115"/>
  <c r="C50" i="115"/>
  <c r="C46" i="115"/>
  <c r="C47" i="115"/>
  <c r="C49" i="115"/>
  <c r="C34" i="114"/>
  <c r="C32" i="114"/>
  <c r="C39" i="114"/>
  <c r="C33" i="114"/>
  <c r="C40" i="114"/>
  <c r="C31" i="114"/>
  <c r="C37" i="114"/>
  <c r="C36" i="114"/>
  <c r="C38" i="114"/>
  <c r="C35" i="114"/>
  <c r="G40" i="114"/>
  <c r="G32" i="114"/>
  <c r="G35" i="114"/>
  <c r="G33" i="114"/>
  <c r="G39" i="114"/>
  <c r="G31" i="114"/>
  <c r="G38" i="114"/>
  <c r="G37" i="114"/>
  <c r="G34" i="114"/>
  <c r="G36" i="114"/>
  <c r="D17" i="110"/>
  <c r="D13" i="110"/>
  <c r="D12" i="110"/>
  <c r="E54" i="115" l="1"/>
  <c r="E58" i="115" s="1"/>
  <c r="C61" i="114"/>
  <c r="C59" i="114"/>
  <c r="C65" i="114"/>
  <c r="C62" i="114"/>
  <c r="F44" i="114"/>
  <c r="H50" i="114" s="1"/>
  <c r="C56" i="114"/>
  <c r="C64" i="114"/>
  <c r="C58" i="114"/>
  <c r="C60" i="114"/>
  <c r="C57" i="114"/>
  <c r="C63" i="114"/>
  <c r="F45" i="114"/>
  <c r="H51" i="114" s="1"/>
  <c r="H10" i="109"/>
  <c r="H12" i="109" s="1"/>
  <c r="E69" i="114" l="1"/>
  <c r="E75" i="114" s="1"/>
  <c r="O12" i="7"/>
  <c r="G14" i="5"/>
  <c r="E22" i="90"/>
  <c r="G11" i="108" l="1"/>
  <c r="F10" i="107" l="1"/>
  <c r="D8" i="2" l="1"/>
  <c r="E19" i="106" l="1"/>
  <c r="J8" i="105" l="1"/>
  <c r="K49" i="104" l="1"/>
  <c r="K50" i="104" s="1"/>
  <c r="K43" i="104"/>
  <c r="K46" i="104" s="1"/>
  <c r="G37" i="104"/>
  <c r="G40" i="104" s="1"/>
  <c r="G36" i="104"/>
  <c r="G39" i="104" s="1"/>
  <c r="K51" i="104" l="1"/>
  <c r="K54" i="104"/>
  <c r="K55" i="104" s="1"/>
  <c r="G38" i="104"/>
  <c r="E11" i="96"/>
  <c r="L12" i="96" l="1"/>
  <c r="L11" i="96"/>
  <c r="W24" i="96"/>
  <c r="W25" i="96" s="1"/>
  <c r="W17" i="96"/>
  <c r="W19" i="96"/>
  <c r="W20" i="96" s="1"/>
  <c r="E12" i="96"/>
  <c r="L13" i="96" s="1"/>
  <c r="W26" i="96" l="1"/>
  <c r="W21" i="96"/>
  <c r="M54" i="102"/>
  <c r="E54" i="102"/>
  <c r="M40" i="102"/>
  <c r="E40" i="102"/>
  <c r="P29" i="102"/>
  <c r="G29" i="102"/>
  <c r="W16" i="102"/>
  <c r="O16" i="102"/>
  <c r="F16" i="102"/>
  <c r="D47" i="100" l="1"/>
  <c r="D46" i="100"/>
  <c r="D94" i="100"/>
  <c r="D92" i="100"/>
  <c r="D93" i="100"/>
  <c r="D72" i="100"/>
  <c r="D70" i="100"/>
  <c r="D69" i="100"/>
  <c r="D66" i="100"/>
  <c r="D63" i="100"/>
  <c r="D60" i="100"/>
  <c r="D61" i="100"/>
  <c r="D50" i="100"/>
  <c r="D49" i="100"/>
  <c r="D48" i="100"/>
  <c r="G25" i="101" l="1"/>
  <c r="G27" i="101" s="1"/>
  <c r="G14" i="101"/>
  <c r="AA79" i="100" l="1"/>
  <c r="AC79" i="100" s="1"/>
  <c r="AA57" i="100"/>
  <c r="AC57" i="100" s="1"/>
  <c r="AA35" i="100"/>
  <c r="AC35" i="100" s="1"/>
  <c r="D25" i="100" l="1"/>
  <c r="D26" i="100" s="1"/>
  <c r="O12" i="18"/>
  <c r="D17" i="100"/>
  <c r="D18" i="100" s="1"/>
  <c r="P17" i="100"/>
  <c r="P18" i="100" s="1"/>
  <c r="P10" i="100"/>
  <c r="P11" i="100" s="1"/>
  <c r="D10" i="100"/>
  <c r="D11" i="100" s="1"/>
  <c r="T8" i="99" l="1"/>
  <c r="G11" i="99"/>
  <c r="G12" i="99" l="1"/>
  <c r="G13" i="99" s="1"/>
  <c r="Q6" i="23"/>
  <c r="Q8" i="23" s="1"/>
  <c r="Q10" i="23"/>
  <c r="Q13" i="23" s="1"/>
  <c r="Q16" i="23" s="1"/>
  <c r="Q20" i="23"/>
  <c r="Q22" i="23" s="1"/>
  <c r="Q23" i="23" s="1"/>
  <c r="J6" i="23"/>
  <c r="J7" i="23"/>
  <c r="J10" i="23"/>
  <c r="J13" i="23" s="1"/>
  <c r="J16" i="23" s="1"/>
  <c r="J20" i="23"/>
  <c r="J22" i="23" s="1"/>
  <c r="J23" i="23" s="1"/>
  <c r="K34" i="23"/>
  <c r="M34" i="23" s="1"/>
  <c r="K35" i="23"/>
  <c r="Q25" i="23" l="1"/>
  <c r="J8" i="23"/>
  <c r="J25" i="23" s="1"/>
  <c r="J26" i="23" s="1"/>
  <c r="F11" i="98"/>
  <c r="F12" i="98" s="1"/>
  <c r="E18" i="97" l="1"/>
  <c r="E14" i="97"/>
  <c r="C6" i="63" l="1"/>
  <c r="H24" i="58" l="1"/>
  <c r="H25" i="58" s="1"/>
  <c r="H30" i="58" l="1"/>
  <c r="H31" i="58"/>
  <c r="K13" i="94"/>
  <c r="R13" i="94"/>
  <c r="D13" i="94"/>
  <c r="D12" i="94"/>
  <c r="R12" i="94"/>
  <c r="K12" i="94"/>
  <c r="I76" i="93" l="1"/>
  <c r="I89" i="93" s="1"/>
  <c r="I27" i="93"/>
  <c r="I41" i="93" s="1"/>
  <c r="I46" i="93"/>
  <c r="I100" i="93"/>
  <c r="I86" i="93"/>
  <c r="I78" i="93"/>
  <c r="I60" i="93"/>
  <c r="I64" i="93" s="1"/>
  <c r="I72" i="93" s="1"/>
  <c r="I52" i="93"/>
  <c r="I67" i="93" s="1"/>
  <c r="I68" i="93" s="1"/>
  <c r="I21" i="93"/>
  <c r="I22" i="93" s="1"/>
  <c r="I32" i="93"/>
  <c r="I49" i="93" s="1"/>
  <c r="I33" i="93" l="1"/>
  <c r="I34" i="93" s="1"/>
  <c r="I38" i="93"/>
  <c r="I84" i="93"/>
  <c r="I85" i="93" s="1"/>
  <c r="I88" i="93" s="1"/>
  <c r="I91" i="93" s="1"/>
  <c r="I73" i="93"/>
  <c r="I80" i="93" s="1"/>
  <c r="I81" i="93" s="1"/>
  <c r="I53" i="93"/>
  <c r="I54" i="93" s="1"/>
  <c r="I55" i="93" s="1"/>
  <c r="F59" i="92" l="1"/>
  <c r="F52" i="92"/>
  <c r="F53" i="92" s="1"/>
  <c r="F54" i="92" s="1"/>
  <c r="F37" i="92"/>
  <c r="F40" i="92" s="1"/>
  <c r="F41" i="92" s="1"/>
  <c r="D43" i="9"/>
  <c r="X42" i="9"/>
  <c r="S42" i="9"/>
  <c r="N42" i="9"/>
  <c r="I42" i="9"/>
  <c r="D42" i="9"/>
  <c r="I43" i="9"/>
  <c r="S43" i="9"/>
  <c r="N43" i="9"/>
  <c r="V28" i="91" l="1"/>
  <c r="N28" i="91"/>
  <c r="F28" i="91"/>
  <c r="E23" i="90" l="1"/>
  <c r="E24" i="90" s="1"/>
  <c r="H74" i="15" l="1"/>
  <c r="H73" i="15"/>
  <c r="I26" i="89" l="1"/>
  <c r="L18" i="88" l="1"/>
  <c r="L11" i="88"/>
  <c r="H27" i="87" l="1"/>
  <c r="C20" i="41"/>
  <c r="G28" i="86" l="1"/>
  <c r="N11" i="18" l="1"/>
  <c r="AE20" i="23" l="1"/>
  <c r="AE22" i="23" s="1"/>
  <c r="AE23" i="23" s="1"/>
  <c r="AK20" i="23"/>
  <c r="AK22" i="23" s="1"/>
  <c r="AK23" i="23" s="1"/>
  <c r="X20" i="23"/>
  <c r="X22" i="23" s="1"/>
  <c r="X23" i="23" s="1"/>
  <c r="AQ23" i="23"/>
  <c r="Q38" i="23" l="1"/>
  <c r="Q26" i="23"/>
  <c r="F53" i="85"/>
  <c r="AY29" i="85"/>
  <c r="F34" i="85"/>
  <c r="AC34" i="85"/>
  <c r="Q30" i="23" l="1"/>
  <c r="Q34" i="23"/>
  <c r="AJ13" i="18"/>
  <c r="K11" i="84" l="1"/>
  <c r="G11" i="84"/>
  <c r="C11" i="84"/>
  <c r="C28" i="83" l="1"/>
  <c r="G28" i="83"/>
  <c r="K28" i="83"/>
  <c r="K21" i="83"/>
  <c r="G21" i="83"/>
  <c r="C21" i="83"/>
  <c r="D14" i="82" l="1"/>
  <c r="D15" i="82" s="1"/>
  <c r="J173" i="39" l="1"/>
  <c r="R163" i="39"/>
  <c r="T26" i="15" l="1"/>
  <c r="T27" i="15" s="1"/>
  <c r="E26" i="15"/>
  <c r="AA15" i="15"/>
  <c r="AA11" i="15"/>
  <c r="M26" i="15"/>
  <c r="I26" i="15"/>
  <c r="H31" i="81" l="1"/>
  <c r="D31" i="81"/>
  <c r="H17" i="81"/>
  <c r="D17" i="81"/>
  <c r="G11" i="80" l="1"/>
  <c r="G15" i="80" s="1"/>
  <c r="C11" i="80"/>
  <c r="C15" i="80" s="1"/>
  <c r="D11" i="79"/>
  <c r="D12" i="79" s="1"/>
  <c r="D24" i="78"/>
  <c r="F24" i="78" s="1"/>
  <c r="H24" i="78" s="1"/>
  <c r="D12" i="78"/>
  <c r="D14" i="78" s="1"/>
  <c r="F9" i="78"/>
  <c r="H9" i="78" s="1"/>
  <c r="B18" i="77"/>
  <c r="E18" i="77"/>
  <c r="AK34" i="23"/>
  <c r="AQ20" i="23"/>
  <c r="AQ22" i="23" s="1"/>
  <c r="AQ10" i="23"/>
  <c r="AQ13" i="23" s="1"/>
  <c r="AQ16" i="23" s="1"/>
  <c r="AQ7" i="23"/>
  <c r="AQ6" i="23"/>
  <c r="P14" i="49"/>
  <c r="P11" i="49"/>
  <c r="P12" i="49"/>
  <c r="P13" i="49"/>
  <c r="P6" i="49"/>
  <c r="P7" i="49"/>
  <c r="P5" i="49"/>
  <c r="P4" i="49"/>
  <c r="E8" i="49"/>
  <c r="E10" i="49" s="1"/>
  <c r="H7" i="71"/>
  <c r="H9" i="71"/>
  <c r="H10" i="71" s="1"/>
  <c r="H6" i="71"/>
  <c r="C13" i="76"/>
  <c r="C14" i="76" s="1"/>
  <c r="C16" i="76" s="1"/>
  <c r="C42" i="75"/>
  <c r="C37" i="75"/>
  <c r="C39" i="75"/>
  <c r="C40" i="75" s="1"/>
  <c r="C38" i="75"/>
  <c r="D65" i="74"/>
  <c r="C32" i="74"/>
  <c r="C19" i="73"/>
  <c r="C14" i="73"/>
  <c r="AK6" i="23"/>
  <c r="AE6" i="23"/>
  <c r="X6" i="23"/>
  <c r="AK10" i="23"/>
  <c r="AK13" i="23" s="1"/>
  <c r="AK16" i="23" s="1"/>
  <c r="AE10" i="23"/>
  <c r="AE13" i="23" s="1"/>
  <c r="AE16" i="23" s="1"/>
  <c r="X10" i="23"/>
  <c r="X13" i="23" s="1"/>
  <c r="X16" i="23" s="1"/>
  <c r="D18" i="72"/>
  <c r="D19" i="72" s="1"/>
  <c r="AK7" i="23"/>
  <c r="AE7" i="23"/>
  <c r="X7" i="23"/>
  <c r="C14" i="71"/>
  <c r="C11" i="71"/>
  <c r="C12" i="71" s="1"/>
  <c r="M35" i="23"/>
  <c r="M36" i="23" s="1"/>
  <c r="G29" i="4"/>
  <c r="C6" i="69"/>
  <c r="C10" i="69" s="1"/>
  <c r="C31" i="68"/>
  <c r="C30" i="68"/>
  <c r="K23" i="68"/>
  <c r="K14" i="68"/>
  <c r="K11" i="68"/>
  <c r="K12" i="68" s="1"/>
  <c r="G12" i="66"/>
  <c r="I11" i="67"/>
  <c r="I12" i="67" s="1"/>
  <c r="I23" i="67"/>
  <c r="I14" i="67"/>
  <c r="C19" i="20"/>
  <c r="C21" i="20" s="1"/>
  <c r="C23" i="20" s="1"/>
  <c r="H6" i="63"/>
  <c r="E20" i="66"/>
  <c r="C20" i="66"/>
  <c r="C29" i="66" s="1"/>
  <c r="C12" i="66"/>
  <c r="H15" i="63"/>
  <c r="C15" i="63"/>
  <c r="B15" i="63"/>
  <c r="H14" i="63"/>
  <c r="I14" i="63" s="1"/>
  <c r="C14" i="63"/>
  <c r="D14" i="63" s="1"/>
  <c r="M11" i="63"/>
  <c r="I8" i="63"/>
  <c r="G7" i="63"/>
  <c r="C7" i="63"/>
  <c r="D8" i="63" s="1"/>
  <c r="M6" i="63"/>
  <c r="I6" i="63"/>
  <c r="J6" i="63" s="1"/>
  <c r="J7" i="63" s="1"/>
  <c r="X16" i="62"/>
  <c r="I15" i="62"/>
  <c r="J32" i="60"/>
  <c r="J31" i="60"/>
  <c r="J30" i="60"/>
  <c r="J29" i="60"/>
  <c r="J27" i="60"/>
  <c r="J28" i="60" s="1"/>
  <c r="O22" i="60"/>
  <c r="O23" i="60" s="1"/>
  <c r="Q21" i="60"/>
  <c r="G19" i="60"/>
  <c r="G18" i="60"/>
  <c r="G20" i="60" s="1"/>
  <c r="F20" i="60" s="1"/>
  <c r="Q10" i="60"/>
  <c r="J10" i="60"/>
  <c r="F10" i="60"/>
  <c r="Q9" i="60"/>
  <c r="Q12" i="60" s="1"/>
  <c r="J9" i="60"/>
  <c r="F9" i="60"/>
  <c r="J8" i="60"/>
  <c r="F8" i="60"/>
  <c r="R21" i="59"/>
  <c r="C10" i="57"/>
  <c r="C11" i="57" s="1"/>
  <c r="F59" i="56"/>
  <c r="F52" i="56"/>
  <c r="F53" i="56" s="1"/>
  <c r="F54" i="56" s="1"/>
  <c r="F37" i="56"/>
  <c r="F40" i="56" s="1"/>
  <c r="F41" i="56" s="1"/>
  <c r="E43" i="55"/>
  <c r="D30" i="54"/>
  <c r="D29" i="54"/>
  <c r="L25" i="54" s="1"/>
  <c r="I25" i="53"/>
  <c r="P25" i="53" s="1"/>
  <c r="I24" i="53"/>
  <c r="P24" i="53" s="1"/>
  <c r="I23" i="53"/>
  <c r="P23" i="53" s="1"/>
  <c r="I22" i="53"/>
  <c r="P22" i="53" s="1"/>
  <c r="I19" i="53"/>
  <c r="AL14" i="53"/>
  <c r="W13" i="53"/>
  <c r="K10" i="52"/>
  <c r="K15" i="52" s="1"/>
  <c r="K16" i="52" s="1"/>
  <c r="K17" i="52" s="1"/>
  <c r="I14" i="51"/>
  <c r="I13" i="51"/>
  <c r="D12" i="50"/>
  <c r="D5" i="48"/>
  <c r="D10" i="47"/>
  <c r="D12" i="47" s="1"/>
  <c r="C7" i="46"/>
  <c r="G6" i="46"/>
  <c r="C6" i="46"/>
  <c r="G4" i="46"/>
  <c r="F16" i="45"/>
  <c r="F17" i="45" s="1"/>
  <c r="F18" i="45" s="1"/>
  <c r="C16" i="45"/>
  <c r="C17" i="45" s="1"/>
  <c r="C18" i="45" s="1"/>
  <c r="C19" i="45" s="1"/>
  <c r="F19" i="45" s="1"/>
  <c r="C6" i="45"/>
  <c r="C7" i="45" s="1"/>
  <c r="S11" i="44"/>
  <c r="O11" i="44"/>
  <c r="K11" i="44"/>
  <c r="G11" i="44"/>
  <c r="C11" i="44"/>
  <c r="S8" i="44"/>
  <c r="O8" i="44"/>
  <c r="K8" i="44"/>
  <c r="G8" i="44"/>
  <c r="C8" i="44"/>
  <c r="D12" i="43"/>
  <c r="H6" i="42"/>
  <c r="H7" i="42" s="1"/>
  <c r="H8" i="42" s="1"/>
  <c r="E16" i="41"/>
  <c r="I77" i="40"/>
  <c r="I78" i="40" s="1"/>
  <c r="J66" i="40"/>
  <c r="K46" i="40"/>
  <c r="K47" i="40" s="1"/>
  <c r="H46" i="40"/>
  <c r="H48" i="40" s="1"/>
  <c r="H49" i="40" s="1"/>
  <c r="Y43" i="40"/>
  <c r="V43" i="40"/>
  <c r="Y41" i="40"/>
  <c r="Y42" i="40" s="1"/>
  <c r="V41" i="40"/>
  <c r="V42" i="40" s="1"/>
  <c r="K40" i="40"/>
  <c r="K41" i="40" s="1"/>
  <c r="H40" i="40"/>
  <c r="H42" i="40" s="1"/>
  <c r="H43" i="40" s="1"/>
  <c r="Y39" i="40"/>
  <c r="V39" i="40"/>
  <c r="Y38" i="40"/>
  <c r="V38" i="40"/>
  <c r="K38" i="40"/>
  <c r="H38" i="40"/>
  <c r="AM37" i="40"/>
  <c r="AM38" i="40" s="1"/>
  <c r="Y37" i="40"/>
  <c r="V37" i="40"/>
  <c r="K37" i="40"/>
  <c r="H37" i="40"/>
  <c r="AM36" i="40"/>
  <c r="AJ36" i="40"/>
  <c r="Y36" i="40"/>
  <c r="V36" i="40"/>
  <c r="K36" i="40"/>
  <c r="H36" i="40"/>
  <c r="Y35" i="40"/>
  <c r="V35" i="40"/>
  <c r="K35" i="40"/>
  <c r="H35" i="40"/>
  <c r="AM34" i="40"/>
  <c r="AJ34" i="40"/>
  <c r="Y34" i="40"/>
  <c r="V34" i="40"/>
  <c r="K34" i="40"/>
  <c r="H34" i="40"/>
  <c r="AM33" i="40"/>
  <c r="AW25" i="40" s="1"/>
  <c r="AJ33" i="40"/>
  <c r="AJ37" i="40" s="1"/>
  <c r="AJ38" i="40" s="1"/>
  <c r="Y33" i="40"/>
  <c r="V33" i="40"/>
  <c r="K33" i="40"/>
  <c r="H33" i="40"/>
  <c r="Y32" i="40"/>
  <c r="V32" i="40"/>
  <c r="K32" i="40"/>
  <c r="H32" i="40"/>
  <c r="K31" i="40"/>
  <c r="H31" i="40"/>
  <c r="AJ25" i="40"/>
  <c r="V25" i="40"/>
  <c r="AJ24" i="40"/>
  <c r="V24" i="40"/>
  <c r="AJ23" i="40"/>
  <c r="V23" i="40"/>
  <c r="H23" i="40"/>
  <c r="AJ22" i="40"/>
  <c r="V22" i="40"/>
  <c r="H22" i="40"/>
  <c r="AJ21" i="40"/>
  <c r="V21" i="40"/>
  <c r="H21" i="40"/>
  <c r="AJ20" i="40"/>
  <c r="V20" i="40"/>
  <c r="H20" i="40"/>
  <c r="H19" i="40"/>
  <c r="H18" i="40"/>
  <c r="L159" i="39"/>
  <c r="L160" i="39" s="1"/>
  <c r="K139" i="39"/>
  <c r="R129" i="39"/>
  <c r="C127" i="39"/>
  <c r="R99" i="39"/>
  <c r="G96" i="39"/>
  <c r="C96" i="39"/>
  <c r="S92" i="39"/>
  <c r="P92" i="39"/>
  <c r="M92" i="39"/>
  <c r="R59" i="39"/>
  <c r="E56" i="39"/>
  <c r="O54" i="39"/>
  <c r="E52" i="39"/>
  <c r="Q51" i="39"/>
  <c r="Q50" i="39"/>
  <c r="Z41" i="39"/>
  <c r="V41" i="39"/>
  <c r="AA36" i="39"/>
  <c r="V36" i="39"/>
  <c r="R30" i="39"/>
  <c r="L27" i="39"/>
  <c r="L28" i="39" s="1"/>
  <c r="P26" i="39"/>
  <c r="H24" i="39"/>
  <c r="AF23" i="39"/>
  <c r="AC23" i="39"/>
  <c r="Z23" i="39"/>
  <c r="W23" i="39"/>
  <c r="L22" i="39"/>
  <c r="P21" i="39"/>
  <c r="L21" i="39"/>
  <c r="C21" i="39"/>
  <c r="H20" i="39"/>
  <c r="AG13" i="39"/>
  <c r="AB20" i="38"/>
  <c r="J20" i="38"/>
  <c r="T13" i="38"/>
  <c r="J9" i="38"/>
  <c r="J10" i="38" s="1"/>
  <c r="J11" i="38" s="1"/>
  <c r="J12" i="38" s="1"/>
  <c r="J13" i="38" s="1"/>
  <c r="J8" i="38"/>
  <c r="T4" i="38"/>
  <c r="C27" i="37"/>
  <c r="E7" i="36"/>
  <c r="E6" i="36"/>
  <c r="E4" i="36"/>
  <c r="G26" i="35"/>
  <c r="D24" i="35"/>
  <c r="D26" i="35" s="1"/>
  <c r="C31" i="34"/>
  <c r="K30" i="34"/>
  <c r="G30" i="34"/>
  <c r="K29" i="34"/>
  <c r="G29" i="34"/>
  <c r="S24" i="34"/>
  <c r="Q24" i="34"/>
  <c r="O24" i="34"/>
  <c r="M24" i="34"/>
  <c r="K24" i="34"/>
  <c r="I24" i="34"/>
  <c r="G24" i="34"/>
  <c r="E24" i="34"/>
  <c r="C24" i="34"/>
  <c r="S14" i="34"/>
  <c r="Q14" i="34"/>
  <c r="O14" i="34"/>
  <c r="M14" i="34"/>
  <c r="K14" i="34"/>
  <c r="I14" i="34"/>
  <c r="G14" i="34"/>
  <c r="E14" i="34"/>
  <c r="C14" i="34"/>
  <c r="S8" i="34"/>
  <c r="Q8" i="34"/>
  <c r="O8" i="34"/>
  <c r="M8" i="34"/>
  <c r="K8" i="34"/>
  <c r="I8" i="34"/>
  <c r="G8" i="34"/>
  <c r="E8" i="34"/>
  <c r="C8" i="34"/>
  <c r="R72" i="33"/>
  <c r="R71" i="33"/>
  <c r="R69" i="33"/>
  <c r="R68" i="33"/>
  <c r="R66" i="33"/>
  <c r="R65" i="33"/>
  <c r="R63" i="33"/>
  <c r="R62" i="33"/>
  <c r="R60" i="33"/>
  <c r="R59" i="33"/>
  <c r="R57" i="33"/>
  <c r="R56" i="33"/>
  <c r="R54" i="33"/>
  <c r="R53" i="33"/>
  <c r="R51" i="33"/>
  <c r="R50" i="33"/>
  <c r="R48" i="33"/>
  <c r="R47" i="33"/>
  <c r="R39" i="33"/>
  <c r="S40" i="33" s="1"/>
  <c r="S43" i="33" s="1"/>
  <c r="N39" i="33"/>
  <c r="O40" i="33" s="1"/>
  <c r="O43" i="33" s="1"/>
  <c r="B34" i="33"/>
  <c r="B35" i="33" s="1"/>
  <c r="B36" i="33" s="1"/>
  <c r="B32" i="33"/>
  <c r="U31" i="33"/>
  <c r="S31" i="33"/>
  <c r="Q31" i="33"/>
  <c r="O31" i="33"/>
  <c r="M31" i="33"/>
  <c r="U26" i="33"/>
  <c r="S26" i="33"/>
  <c r="Q26" i="33"/>
  <c r="O26" i="33"/>
  <c r="M26" i="33"/>
  <c r="W24" i="33"/>
  <c r="U21" i="33"/>
  <c r="S21" i="33"/>
  <c r="Q21" i="33"/>
  <c r="O21" i="33"/>
  <c r="M21" i="33"/>
  <c r="W19" i="33"/>
  <c r="B18" i="33"/>
  <c r="B19" i="33" s="1"/>
  <c r="B20" i="33" s="1"/>
  <c r="U16" i="33"/>
  <c r="S16" i="33"/>
  <c r="Q16" i="33"/>
  <c r="O16" i="33"/>
  <c r="M16" i="33"/>
  <c r="B16" i="33"/>
  <c r="W15" i="33"/>
  <c r="W14" i="33"/>
  <c r="U11" i="33"/>
  <c r="S11" i="33"/>
  <c r="Q11" i="33"/>
  <c r="O11" i="33"/>
  <c r="M11" i="33"/>
  <c r="W10" i="33"/>
  <c r="W9" i="33"/>
  <c r="B6" i="33"/>
  <c r="B7" i="33" s="1"/>
  <c r="AI26" i="32"/>
  <c r="V26" i="32"/>
  <c r="I26" i="32"/>
  <c r="AI24" i="32"/>
  <c r="V24" i="32"/>
  <c r="I24" i="32"/>
  <c r="AI22" i="32"/>
  <c r="V22" i="32"/>
  <c r="I22" i="32"/>
  <c r="AL11" i="32"/>
  <c r="Y11" i="32"/>
  <c r="I11" i="32"/>
  <c r="L11" i="32" s="1"/>
  <c r="E17" i="31"/>
  <c r="E12" i="31"/>
  <c r="E35" i="30"/>
  <c r="E39" i="30" s="1"/>
  <c r="E28" i="30"/>
  <c r="E25" i="30"/>
  <c r="E22" i="30"/>
  <c r="E17" i="30"/>
  <c r="E12" i="30"/>
  <c r="G29" i="29"/>
  <c r="G25" i="29"/>
  <c r="M22" i="29"/>
  <c r="M23" i="29" s="1"/>
  <c r="M24" i="29" s="1"/>
  <c r="M25" i="29" s="1"/>
  <c r="D12" i="29"/>
  <c r="D7" i="29"/>
  <c r="G7" i="29" s="1"/>
  <c r="I7" i="29" s="1"/>
  <c r="C11" i="28"/>
  <c r="C13" i="28" s="1"/>
  <c r="W23" i="27"/>
  <c r="Q23" i="27"/>
  <c r="K23" i="27"/>
  <c r="E23" i="27"/>
  <c r="AD18" i="27"/>
  <c r="V18" i="27"/>
  <c r="N18" i="27"/>
  <c r="F18" i="27"/>
  <c r="AD17" i="27"/>
  <c r="V17" i="27"/>
  <c r="N17" i="27"/>
  <c r="F17" i="27"/>
  <c r="AD16" i="27"/>
  <c r="V16" i="27"/>
  <c r="N16" i="27"/>
  <c r="F16" i="27"/>
  <c r="AD15" i="27"/>
  <c r="V15" i="27"/>
  <c r="N15" i="27"/>
  <c r="F15" i="27"/>
  <c r="AD14" i="27"/>
  <c r="V14" i="27"/>
  <c r="N14" i="27"/>
  <c r="F14" i="27"/>
  <c r="AD13" i="27"/>
  <c r="V13" i="27"/>
  <c r="N13" i="27"/>
  <c r="F13" i="27"/>
  <c r="AD12" i="27"/>
  <c r="V12" i="27"/>
  <c r="N12" i="27"/>
  <c r="F12" i="27"/>
  <c r="AD11" i="27"/>
  <c r="V11" i="27"/>
  <c r="N11" i="27"/>
  <c r="F11" i="27"/>
  <c r="C15" i="25"/>
  <c r="C8" i="25"/>
  <c r="C9" i="25" s="1"/>
  <c r="C11" i="24"/>
  <c r="D8" i="23"/>
  <c r="D9" i="23" s="1"/>
  <c r="D10" i="23" s="1"/>
  <c r="D27" i="22"/>
  <c r="E12" i="21"/>
  <c r="E10" i="21"/>
  <c r="E11" i="21" s="1"/>
  <c r="C45" i="19"/>
  <c r="C23" i="19"/>
  <c r="C24" i="19" s="1"/>
  <c r="C25" i="19" s="1"/>
  <c r="C19" i="19"/>
  <c r="C20" i="19" s="1"/>
  <c r="C21" i="19" s="1"/>
  <c r="AC18" i="18"/>
  <c r="AC19" i="18" s="1"/>
  <c r="AC20" i="18" s="1"/>
  <c r="AC21" i="18" s="1"/>
  <c r="AC22" i="18" s="1"/>
  <c r="AC16" i="18"/>
  <c r="H16" i="18"/>
  <c r="H17" i="18" s="1"/>
  <c r="H19" i="18" s="1"/>
  <c r="C23" i="17"/>
  <c r="C25" i="17" s="1"/>
  <c r="C22" i="17"/>
  <c r="C20" i="17"/>
  <c r="C21" i="17" s="1"/>
  <c r="C9" i="17"/>
  <c r="C11" i="17" s="1"/>
  <c r="C13" i="17" s="1"/>
  <c r="E7" i="17"/>
  <c r="E6" i="17"/>
  <c r="F41" i="16"/>
  <c r="K46" i="16" s="1"/>
  <c r="AH21" i="16"/>
  <c r="AH22" i="16" s="1"/>
  <c r="AH24" i="16" s="1"/>
  <c r="AH25" i="16" s="1"/>
  <c r="AH26" i="16" s="1"/>
  <c r="T21" i="16"/>
  <c r="T22" i="16" s="1"/>
  <c r="T24" i="16" s="1"/>
  <c r="T25" i="16" s="1"/>
  <c r="T26" i="16" s="1"/>
  <c r="F21" i="16"/>
  <c r="F22" i="16" s="1"/>
  <c r="F24" i="16" s="1"/>
  <c r="F25" i="16" s="1"/>
  <c r="F26" i="16" s="1"/>
  <c r="AH10" i="16"/>
  <c r="T10" i="16"/>
  <c r="F10" i="16"/>
  <c r="AH9" i="16"/>
  <c r="AH12" i="16" s="1"/>
  <c r="AH13" i="16" s="1"/>
  <c r="AH14" i="16" s="1"/>
  <c r="T9" i="16"/>
  <c r="T12" i="16" s="1"/>
  <c r="T13" i="16" s="1"/>
  <c r="T14" i="16" s="1"/>
  <c r="F9" i="16"/>
  <c r="F12" i="16" s="1"/>
  <c r="F13" i="16" s="1"/>
  <c r="F14" i="16" s="1"/>
  <c r="G57" i="15"/>
  <c r="G58" i="15" s="1"/>
  <c r="M47" i="15"/>
  <c r="M48" i="15" s="1"/>
  <c r="M49" i="15" s="1"/>
  <c r="M39" i="15"/>
  <c r="M40" i="15" s="1"/>
  <c r="M41" i="15" s="1"/>
  <c r="M27" i="15"/>
  <c r="M32" i="15" s="1"/>
  <c r="I27" i="15"/>
  <c r="I32" i="15" s="1"/>
  <c r="E27" i="15"/>
  <c r="E32" i="15" s="1"/>
  <c r="L15" i="15"/>
  <c r="L11" i="15"/>
  <c r="C16" i="14"/>
  <c r="C11" i="14"/>
  <c r="F13" i="13"/>
  <c r="R52" i="12"/>
  <c r="K52" i="12"/>
  <c r="D52" i="12"/>
  <c r="R50" i="12"/>
  <c r="K50" i="12"/>
  <c r="D50" i="12"/>
  <c r="D35" i="12"/>
  <c r="D16" i="12"/>
  <c r="D18" i="12" s="1"/>
  <c r="M16" i="12"/>
  <c r="K33" i="11"/>
  <c r="K37" i="11" s="1"/>
  <c r="K25" i="11"/>
  <c r="C29" i="11" s="1"/>
  <c r="K17" i="11"/>
  <c r="C21" i="11" s="1"/>
  <c r="Z15" i="11"/>
  <c r="V15" i="11"/>
  <c r="Z13" i="11"/>
  <c r="V13" i="11"/>
  <c r="R13" i="11"/>
  <c r="R15" i="11" s="1"/>
  <c r="K12" i="11"/>
  <c r="G12" i="11"/>
  <c r="C12" i="11"/>
  <c r="K8" i="11"/>
  <c r="F23" i="10"/>
  <c r="F24" i="10" s="1"/>
  <c r="L21" i="10"/>
  <c r="L20" i="10"/>
  <c r="AE17" i="10"/>
  <c r="AE19" i="10" s="1"/>
  <c r="Y17" i="10"/>
  <c r="Y19" i="10" s="1"/>
  <c r="F12" i="10"/>
  <c r="F13" i="10" s="1"/>
  <c r="AK10" i="10"/>
  <c r="AK12" i="10" s="1"/>
  <c r="AE10" i="10"/>
  <c r="AE11" i="10" s="1"/>
  <c r="Y10" i="10"/>
  <c r="Y11" i="10" s="1"/>
  <c r="L9" i="10"/>
  <c r="X43" i="9"/>
  <c r="D45" i="9" s="1"/>
  <c r="D46" i="9" s="1"/>
  <c r="S36" i="9"/>
  <c r="N36" i="9"/>
  <c r="I36" i="9"/>
  <c r="AW32" i="9"/>
  <c r="AR32" i="9"/>
  <c r="AM32" i="9"/>
  <c r="AH32" i="9"/>
  <c r="AC32" i="9"/>
  <c r="X32" i="9"/>
  <c r="S32" i="9"/>
  <c r="N32" i="9"/>
  <c r="I32" i="9"/>
  <c r="D32" i="9"/>
  <c r="Z18" i="9"/>
  <c r="K18" i="9"/>
  <c r="Z17" i="9"/>
  <c r="K17" i="9"/>
  <c r="AP14" i="9"/>
  <c r="AN16" i="9" s="1"/>
  <c r="Z13" i="9"/>
  <c r="K13" i="9"/>
  <c r="Z12" i="9"/>
  <c r="K12" i="9"/>
  <c r="D45" i="8"/>
  <c r="D44" i="8"/>
  <c r="G39" i="8"/>
  <c r="Q44" i="8" s="1"/>
  <c r="AS32" i="8"/>
  <c r="AN34" i="8" s="1"/>
  <c r="F30" i="8"/>
  <c r="K32" i="8" s="1"/>
  <c r="AB18" i="8"/>
  <c r="AB17" i="8"/>
  <c r="AB13" i="8"/>
  <c r="AB12" i="8"/>
  <c r="F34" i="7"/>
  <c r="F30" i="7"/>
  <c r="F26" i="7"/>
  <c r="F25" i="7"/>
  <c r="O24" i="7"/>
  <c r="O17" i="7"/>
  <c r="F17" i="7"/>
  <c r="F12" i="7"/>
  <c r="I21" i="6"/>
  <c r="C21" i="6"/>
  <c r="AA14" i="5"/>
  <c r="Q14" i="5"/>
  <c r="G36" i="4"/>
  <c r="G35" i="4"/>
  <c r="G34" i="4"/>
  <c r="G33" i="4"/>
  <c r="G32" i="4"/>
  <c r="G30" i="4"/>
  <c r="G22" i="4"/>
  <c r="G14" i="4"/>
  <c r="G13" i="4"/>
  <c r="L13" i="4" s="1"/>
  <c r="C9" i="3"/>
  <c r="C8" i="3"/>
  <c r="G7" i="3"/>
  <c r="G8" i="3" s="1"/>
  <c r="C7" i="3"/>
  <c r="V41" i="2"/>
  <c r="S41" i="2"/>
  <c r="D38" i="2"/>
  <c r="V42" i="2" s="1"/>
  <c r="V31" i="2"/>
  <c r="S31" i="2"/>
  <c r="D28" i="2"/>
  <c r="V32" i="2" s="1"/>
  <c r="V21" i="2"/>
  <c r="S21" i="2"/>
  <c r="D18" i="2"/>
  <c r="V22" i="2" s="1"/>
  <c r="D21" i="2"/>
  <c r="D22" i="2" s="1"/>
  <c r="V11" i="2"/>
  <c r="S11" i="2"/>
  <c r="M11" i="2"/>
  <c r="M12" i="2" s="1"/>
  <c r="F6" i="45"/>
  <c r="L26" i="54" l="1"/>
  <c r="L45" i="8"/>
  <c r="V45" i="8"/>
  <c r="AA45" i="8"/>
  <c r="AE11" i="27"/>
  <c r="G45" i="8"/>
  <c r="H41" i="40"/>
  <c r="Q45" i="8"/>
  <c r="L44" i="8"/>
  <c r="AE12" i="10"/>
  <c r="V14" i="8"/>
  <c r="G30" i="29"/>
  <c r="I33" i="29" s="1"/>
  <c r="E12" i="36"/>
  <c r="E13" i="36" s="1"/>
  <c r="E14" i="36" s="1"/>
  <c r="Y14" i="8"/>
  <c r="W14" i="9"/>
  <c r="AW24" i="40"/>
  <c r="AW26" i="40" s="1"/>
  <c r="H45" i="40"/>
  <c r="AJ41" i="40"/>
  <c r="AJ42" i="40" s="1"/>
  <c r="AM41" i="40"/>
  <c r="AM42" i="40" s="1"/>
  <c r="K29" i="11"/>
  <c r="D41" i="2"/>
  <c r="D42" i="2" s="1"/>
  <c r="S22" i="2"/>
  <c r="W11" i="27"/>
  <c r="AI29" i="32"/>
  <c r="AI31" i="32" s="1"/>
  <c r="E19" i="9"/>
  <c r="G41" i="2"/>
  <c r="G42" i="2" s="1"/>
  <c r="G29" i="11"/>
  <c r="Y12" i="10"/>
  <c r="G7" i="46"/>
  <c r="G9" i="46" s="1"/>
  <c r="G10" i="46" s="1"/>
  <c r="G11" i="46" s="1"/>
  <c r="C8" i="45"/>
  <c r="F8" i="45" s="1"/>
  <c r="F7" i="45"/>
  <c r="K54" i="12"/>
  <c r="K56" i="12" s="1"/>
  <c r="I29" i="32"/>
  <c r="I31" i="32" s="1"/>
  <c r="V29" i="32"/>
  <c r="V31" i="32" s="1"/>
  <c r="B37" i="33"/>
  <c r="G21" i="2"/>
  <c r="G22" i="2" s="1"/>
  <c r="G31" i="2"/>
  <c r="G32" i="2" s="1"/>
  <c r="K21" i="11"/>
  <c r="R54" i="12"/>
  <c r="R56" i="12" s="1"/>
  <c r="B21" i="33"/>
  <c r="E9" i="36"/>
  <c r="E10" i="36" s="1"/>
  <c r="E11" i="36" s="1"/>
  <c r="V40" i="40"/>
  <c r="V44" i="8"/>
  <c r="G33" i="29"/>
  <c r="G34" i="29" s="1"/>
  <c r="G35" i="29" s="1"/>
  <c r="V19" i="8"/>
  <c r="AK11" i="10"/>
  <c r="M21" i="2"/>
  <c r="M22" i="2" s="1"/>
  <c r="D54" i="12"/>
  <c r="D56" i="12" s="1"/>
  <c r="X15" i="33"/>
  <c r="G31" i="34"/>
  <c r="G33" i="34" s="1"/>
  <c r="AJ40" i="40"/>
  <c r="K45" i="40"/>
  <c r="Y40" i="40"/>
  <c r="C9" i="46"/>
  <c r="C10" i="46" s="1"/>
  <c r="C11" i="46" s="1"/>
  <c r="C12" i="46" s="1"/>
  <c r="D6" i="63"/>
  <c r="E6" i="63" s="1"/>
  <c r="E7" i="63" s="1"/>
  <c r="X8" i="23"/>
  <c r="X25" i="23" s="1"/>
  <c r="X26" i="23" s="1"/>
  <c r="I16" i="67"/>
  <c r="I15" i="67" s="1"/>
  <c r="I24" i="67" s="1"/>
  <c r="I26" i="67" s="1"/>
  <c r="K16" i="68"/>
  <c r="K15" i="68" s="1"/>
  <c r="K24" i="68" s="1"/>
  <c r="K26" i="68" s="1"/>
  <c r="K30" i="68" s="1"/>
  <c r="K31" i="68" s="1"/>
  <c r="Q39" i="23"/>
  <c r="Q40" i="23" s="1"/>
  <c r="H12" i="71"/>
  <c r="H14" i="71" s="1"/>
  <c r="H15" i="71" s="1"/>
  <c r="H16" i="71" s="1"/>
  <c r="H17" i="71" s="1"/>
  <c r="J41" i="2"/>
  <c r="J42" i="2" s="1"/>
  <c r="S42" i="2"/>
  <c r="Y18" i="10"/>
  <c r="G11" i="27"/>
  <c r="X14" i="33"/>
  <c r="H47" i="40"/>
  <c r="I19" i="60"/>
  <c r="J17" i="60" s="1"/>
  <c r="AQ34" i="8"/>
  <c r="AE18" i="10"/>
  <c r="G21" i="11"/>
  <c r="AM40" i="40"/>
  <c r="K48" i="40"/>
  <c r="K49" i="40" s="1"/>
  <c r="C41" i="75"/>
  <c r="M41" i="2"/>
  <c r="M42" i="2" s="1"/>
  <c r="C23" i="66"/>
  <c r="C26" i="66" s="1"/>
  <c r="H19" i="9"/>
  <c r="D34" i="9"/>
  <c r="T14" i="9"/>
  <c r="AK16" i="9"/>
  <c r="V8" i="12"/>
  <c r="V14" i="12" s="1"/>
  <c r="V16" i="12" s="1"/>
  <c r="AK8" i="23"/>
  <c r="AK25" i="23" s="1"/>
  <c r="AK26" i="23" s="1"/>
  <c r="AE8" i="23"/>
  <c r="AE25" i="23" s="1"/>
  <c r="AE26" i="23" s="1"/>
  <c r="AQ8" i="23"/>
  <c r="H14" i="9"/>
  <c r="F32" i="8"/>
  <c r="AA44" i="8"/>
  <c r="G44" i="8"/>
  <c r="C27" i="19"/>
  <c r="C28" i="19"/>
  <c r="G28" i="19" s="1"/>
  <c r="J28" i="19" s="1"/>
  <c r="M7" i="29"/>
  <c r="K7" i="29"/>
  <c r="D11" i="2"/>
  <c r="D12" i="2" s="1"/>
  <c r="G11" i="2"/>
  <c r="G12" i="2" s="1"/>
  <c r="P11" i="2"/>
  <c r="P12" i="2" s="1"/>
  <c r="P12" i="10"/>
  <c r="P13" i="10" s="1"/>
  <c r="P14" i="10" s="1"/>
  <c r="E32" i="30"/>
  <c r="E37" i="30" s="1"/>
  <c r="E40" i="30" s="1"/>
  <c r="E42" i="30" s="1"/>
  <c r="E43" i="30" s="1"/>
  <c r="F46" i="16"/>
  <c r="P31" i="2"/>
  <c r="P32" i="2" s="1"/>
  <c r="D31" i="2"/>
  <c r="D32" i="2" s="1"/>
  <c r="S32" i="2"/>
  <c r="Y19" i="8"/>
  <c r="C37" i="11"/>
  <c r="X24" i="33"/>
  <c r="K42" i="40"/>
  <c r="K43" i="40" s="1"/>
  <c r="I29" i="53"/>
  <c r="P19" i="53"/>
  <c r="V12" i="2"/>
  <c r="Y12" i="2" s="1"/>
  <c r="AC23" i="18"/>
  <c r="AC24" i="18" s="1"/>
  <c r="AC25" i="18" s="1"/>
  <c r="I28" i="53"/>
  <c r="X25" i="33"/>
  <c r="Q47" i="15"/>
  <c r="Q48" i="15" s="1"/>
  <c r="Q49" i="15" s="1"/>
  <c r="X19" i="33"/>
  <c r="J31" i="2"/>
  <c r="J32" i="2" s="1"/>
  <c r="E14" i="9"/>
  <c r="W19" i="9"/>
  <c r="T19" i="9"/>
  <c r="G37" i="11"/>
  <c r="H20" i="18"/>
  <c r="H21" i="18" s="1"/>
  <c r="H22" i="18" s="1"/>
  <c r="H23" i="18" s="1"/>
  <c r="H24" i="18"/>
  <c r="H25" i="18" s="1"/>
  <c r="H26" i="18" s="1"/>
  <c r="S12" i="2"/>
  <c r="E30" i="30"/>
  <c r="J11" i="2"/>
  <c r="J12" i="2" s="1"/>
  <c r="M31" i="2"/>
  <c r="M32" i="2" s="1"/>
  <c r="F14" i="10"/>
  <c r="Q39" i="15"/>
  <c r="Q40" i="15" s="1"/>
  <c r="Q41" i="15" s="1"/>
  <c r="P46" i="16"/>
  <c r="E13" i="21"/>
  <c r="O11" i="27"/>
  <c r="X20" i="33"/>
  <c r="K31" i="34"/>
  <c r="K33" i="34" s="1"/>
  <c r="J21" i="2"/>
  <c r="J22" i="2" s="1"/>
  <c r="P21" i="2"/>
  <c r="P22" i="2" s="1"/>
  <c r="P41" i="2"/>
  <c r="P42" i="2" s="1"/>
  <c r="P32" i="8"/>
  <c r="U32" i="8"/>
  <c r="G59" i="15"/>
  <c r="F25" i="10"/>
  <c r="P23" i="10"/>
  <c r="P24" i="10" s="1"/>
  <c r="P25" i="10" s="1"/>
  <c r="H7" i="49"/>
  <c r="H9" i="49" s="1"/>
  <c r="E13" i="49"/>
  <c r="E11" i="49"/>
  <c r="E20" i="31"/>
  <c r="E21" i="31" s="1"/>
  <c r="E22" i="31" s="1"/>
  <c r="C9" i="45" l="1"/>
  <c r="F9" i="45" s="1"/>
  <c r="Y11" i="2"/>
  <c r="H8" i="49"/>
  <c r="AQ25" i="23"/>
  <c r="AQ26" i="23" s="1"/>
  <c r="E14" i="49"/>
  <c r="E12" i="49"/>
  <c r="E15" i="49" s="1"/>
  <c r="Q31" i="23"/>
  <c r="Q32" i="23" s="1"/>
  <c r="Q35" i="23" l="1"/>
  <c r="Q36" i="23" s="1"/>
</calcChain>
</file>

<file path=xl/sharedStrings.xml><?xml version="1.0" encoding="utf-8"?>
<sst xmlns="http://schemas.openxmlformats.org/spreadsheetml/2006/main" count="5210" uniqueCount="1998">
  <si>
    <t>ソフト的</t>
  </si>
  <si>
    <t>電気的</t>
  </si>
  <si>
    <t>電源系</t>
  </si>
  <si>
    <t>RF</t>
  </si>
  <si>
    <t>その他</t>
  </si>
  <si>
    <t>パターン設計</t>
  </si>
  <si>
    <t>イメージセンサ系</t>
  </si>
  <si>
    <t>IC設定計算</t>
  </si>
  <si>
    <t>　　bit変換　　</t>
  </si>
  <si>
    <t>　　オーム+電力　　</t>
  </si>
  <si>
    <t>　コイル巻数とインダクタ　</t>
  </si>
  <si>
    <t>共振周波数</t>
  </si>
  <si>
    <t>　　比率　　</t>
  </si>
  <si>
    <t>　　基板単価　　</t>
  </si>
  <si>
    <t>フレームレート/時間</t>
  </si>
  <si>
    <t>　　IR1253　　</t>
  </si>
  <si>
    <t>　　パケット計算　　</t>
  </si>
  <si>
    <t>LED電流計算</t>
  </si>
  <si>
    <t>トランス巻比・UV試験</t>
  </si>
  <si>
    <t>振幅・実行値</t>
  </si>
  <si>
    <t>　距離換算　</t>
  </si>
  <si>
    <t>　　配線抵抗　　</t>
  </si>
  <si>
    <t>　焦点距離　</t>
  </si>
  <si>
    <t>　　IC計算　　</t>
  </si>
  <si>
    <t>ポートレジスタ</t>
  </si>
  <si>
    <t>トランス漏洩</t>
  </si>
  <si>
    <t>DC-DC計算</t>
  </si>
  <si>
    <t>　　波長　　</t>
  </si>
  <si>
    <t>　偏差計算　</t>
  </si>
  <si>
    <t>スネルの法則</t>
  </si>
  <si>
    <t>ADP123出力電圧計算</t>
  </si>
  <si>
    <t>1LSB_変換精度計算</t>
  </si>
  <si>
    <t>　　利得　　</t>
  </si>
  <si>
    <t>充放電時間</t>
  </si>
  <si>
    <t>　　予備計算　　</t>
  </si>
  <si>
    <t>NCP603S　出力電圧計算</t>
  </si>
  <si>
    <t>　　分圧　　</t>
  </si>
  <si>
    <t>　　　CR発振計算　　　</t>
  </si>
  <si>
    <t>　　自由領域　　</t>
  </si>
  <si>
    <t>　　合成R・C　　</t>
  </si>
  <si>
    <t>　トランス変圧　</t>
  </si>
  <si>
    <t>　周波数⇔周期　</t>
  </si>
  <si>
    <t>　　　円換算　　　</t>
  </si>
  <si>
    <t>リアクタンス</t>
  </si>
  <si>
    <t>ﾌﾗｲﾊﾞｯｸ電圧設定</t>
  </si>
  <si>
    <t>1セットの時間</t>
  </si>
  <si>
    <t>ﾃﾞｰﾀﾚｰﾄ_時間</t>
  </si>
  <si>
    <t>水晶の負荷容量</t>
  </si>
  <si>
    <t xml:space="preserve">  トランス設計  </t>
  </si>
  <si>
    <t>　　通信速度計算　　</t>
  </si>
  <si>
    <t>　　ｵﾍﾟｱﾝﾌﾟ　　</t>
  </si>
  <si>
    <t>　　作業時間計算　　</t>
  </si>
  <si>
    <t>トランジスタ</t>
  </si>
  <si>
    <t>信号分配抵抗</t>
  </si>
  <si>
    <t>電圧変換後の電流計算</t>
  </si>
  <si>
    <t>電池寿命(予備)</t>
  </si>
  <si>
    <t>電池寿命計算(ﾓﾊﾞｲﾙBatt)</t>
  </si>
  <si>
    <t>　　通信時間　　</t>
  </si>
  <si>
    <t>　　パルス計算　　</t>
  </si>
  <si>
    <t xml:space="preserve">  スナバ回路損失  </t>
  </si>
  <si>
    <t>　　　後ろ　　　</t>
  </si>
  <si>
    <t>　目次　</t>
  </si>
  <si>
    <t>黄色部分　変更箇所</t>
  </si>
  <si>
    <t>計算結果</t>
  </si>
  <si>
    <t>Vref</t>
  </si>
  <si>
    <t>V</t>
  </si>
  <si>
    <t>分解能</t>
  </si>
  <si>
    <t>bit</t>
  </si>
  <si>
    <t>LSB</t>
  </si>
  <si>
    <t>※逆算</t>
  </si>
  <si>
    <t>電圧</t>
  </si>
  <si>
    <t>16進数</t>
  </si>
  <si>
    <t>64</t>
  </si>
  <si>
    <t>10進数</t>
  </si>
  <si>
    <t>5486</t>
  </si>
  <si>
    <t>100</t>
  </si>
  <si>
    <t>パケット計算</t>
  </si>
  <si>
    <t>パケット</t>
  </si>
  <si>
    <t>データ量</t>
  </si>
  <si>
    <t>Byte</t>
  </si>
  <si>
    <t>料金</t>
  </si>
  <si>
    <t>円/パケット</t>
  </si>
  <si>
    <t>値段</t>
  </si>
  <si>
    <t>円/Mbyte</t>
  </si>
  <si>
    <t>円</t>
  </si>
  <si>
    <t>◎オームの法則 &amp; 電力計算</t>
  </si>
  <si>
    <t>入力箇所</t>
  </si>
  <si>
    <t>電流</t>
  </si>
  <si>
    <t>●I = E / R</t>
  </si>
  <si>
    <t>●W = V^2 / R</t>
  </si>
  <si>
    <t>抵抗</t>
  </si>
  <si>
    <t>Ω</t>
  </si>
  <si>
    <t>A</t>
  </si>
  <si>
    <t>mA</t>
  </si>
  <si>
    <t>電力</t>
  </si>
  <si>
    <t>W</t>
  </si>
  <si>
    <t>●R = E / I</t>
  </si>
  <si>
    <t>●W = I * V</t>
  </si>
  <si>
    <t>●E = I * R</t>
  </si>
  <si>
    <t>●W = I^2 * R</t>
  </si>
  <si>
    <t>※</t>
  </si>
  <si>
    <t>1/2</t>
  </si>
  <si>
    <t>⇒</t>
  </si>
  <si>
    <t>1/4</t>
  </si>
  <si>
    <t>1/8</t>
  </si>
  <si>
    <t>1/10</t>
  </si>
  <si>
    <t>1/16</t>
  </si>
  <si>
    <t>◎LED電流・抵抗・必要印加電圧　計算</t>
  </si>
  <si>
    <t>①電流制限抵抗計算</t>
  </si>
  <si>
    <t>②電流計算</t>
  </si>
  <si>
    <t>③必要印加電圧計算</t>
  </si>
  <si>
    <t>印加電圧</t>
  </si>
  <si>
    <t>LED電圧</t>
  </si>
  <si>
    <t>目的電流</t>
  </si>
  <si>
    <t>電流制限抵抗</t>
  </si>
  <si>
    <t>必要印加電圧</t>
  </si>
  <si>
    <t>◎トランス漏洩容量計算</t>
  </si>
  <si>
    <t>http://ayumi.cava.jp/audio/pctube/node25.html</t>
  </si>
  <si>
    <t>LS1</t>
  </si>
  <si>
    <t>uH</t>
  </si>
  <si>
    <t>LS2</t>
  </si>
  <si>
    <t>N1</t>
  </si>
  <si>
    <t>ターン</t>
  </si>
  <si>
    <t>N2</t>
  </si>
  <si>
    <r>
      <rPr>
        <sz val="11"/>
        <color indexed="8"/>
        <rFont val="ＭＳ Ｐゴシック"/>
        <family val="3"/>
        <charset val="128"/>
      </rPr>
      <t>u</t>
    </r>
    <r>
      <rPr>
        <sz val="11"/>
        <color theme="1"/>
        <rFont val="ＭＳ Ｐゴシック"/>
        <family val="3"/>
        <charset val="128"/>
      </rPr>
      <t>H</t>
    </r>
  </si>
  <si>
    <t>◎利得換算</t>
  </si>
  <si>
    <t>電圧利得⇔倍率　(dBV)</t>
  </si>
  <si>
    <t>電力利得⇔倍率　(dBV)</t>
  </si>
  <si>
    <t>dBV = 20log (A)</t>
  </si>
  <si>
    <t>A：倍率</t>
  </si>
  <si>
    <t>倍率</t>
  </si>
  <si>
    <t>倍</t>
  </si>
  <si>
    <t>利得</t>
  </si>
  <si>
    <t>dBV</t>
  </si>
  <si>
    <t>A=10^(dBV/20)</t>
  </si>
  <si>
    <t>A=10^(dBP/10)</t>
  </si>
  <si>
    <t>出力電圧⇔dBm・dBuV</t>
  </si>
  <si>
    <t>dBm⇔dBmV</t>
  </si>
  <si>
    <t>dBmV = 20log10(Vout/1mV)</t>
  </si>
  <si>
    <t>dBm=10log10(Pout/1mW)</t>
  </si>
  <si>
    <t>dBmV = 20log10(Vout/1uV)</t>
  </si>
  <si>
    <t>mW</t>
  </si>
  <si>
    <t>出力電圧</t>
  </si>
  <si>
    <r>
      <rPr>
        <sz val="11"/>
        <color theme="1"/>
        <rFont val="ＭＳ Ｐゴシック"/>
        <family val="3"/>
        <charset val="128"/>
      </rPr>
      <t>mV</t>
    </r>
    <r>
      <rPr>
        <sz val="8"/>
        <color indexed="8"/>
        <rFont val="ＭＳ Ｐゴシック"/>
        <family val="3"/>
        <charset val="128"/>
      </rPr>
      <t>RMS</t>
    </r>
  </si>
  <si>
    <t>dBm</t>
  </si>
  <si>
    <t>dBmV</t>
  </si>
  <si>
    <t>dBuV</t>
  </si>
  <si>
    <r>
      <rPr>
        <sz val="11"/>
        <color theme="1"/>
        <rFont val="ＭＳ Ｐゴシック"/>
        <family val="3"/>
        <charset val="128"/>
      </rPr>
      <t>mV</t>
    </r>
    <r>
      <rPr>
        <sz val="8"/>
        <color indexed="8"/>
        <rFont val="ＭＳ Ｐゴシック"/>
        <family val="3"/>
        <charset val="128"/>
      </rPr>
      <t>RMS</t>
    </r>
    <r>
      <rPr>
        <sz val="11"/>
        <color theme="1"/>
        <rFont val="ＭＳ Ｐゴシック"/>
        <family val="3"/>
        <charset val="128"/>
      </rPr>
      <t>=10＾（dBmV/20）</t>
    </r>
  </si>
  <si>
    <r>
      <rPr>
        <sz val="11"/>
        <color theme="1"/>
        <rFont val="ＭＳ Ｐゴシック"/>
        <family val="3"/>
        <charset val="128"/>
      </rPr>
      <t>uV</t>
    </r>
    <r>
      <rPr>
        <sz val="8"/>
        <color indexed="8"/>
        <rFont val="ＭＳ Ｐゴシック"/>
        <family val="3"/>
        <charset val="128"/>
      </rPr>
      <t>RMS</t>
    </r>
    <r>
      <rPr>
        <sz val="11"/>
        <color theme="1"/>
        <rFont val="ＭＳ Ｐゴシック"/>
        <family val="3"/>
        <charset val="128"/>
      </rPr>
      <t>=10＾（dBmV/20）*10^-3</t>
    </r>
  </si>
  <si>
    <r>
      <rPr>
        <sz val="11"/>
        <color theme="1"/>
        <rFont val="ＭＳ Ｐゴシック"/>
        <family val="3"/>
        <charset val="128"/>
      </rPr>
      <t>uV</t>
    </r>
    <r>
      <rPr>
        <sz val="8"/>
        <color indexed="8"/>
        <rFont val="ＭＳ Ｐゴシック"/>
        <family val="3"/>
        <charset val="128"/>
      </rPr>
      <t>RMS</t>
    </r>
  </si>
  <si>
    <t>◎分圧</t>
  </si>
  <si>
    <t>補助</t>
  </si>
  <si>
    <t>◎並列合成抵抗</t>
  </si>
  <si>
    <t>抵抗①</t>
  </si>
  <si>
    <t>k</t>
  </si>
  <si>
    <t>抵抗②</t>
  </si>
  <si>
    <t>並列合成抵抗</t>
  </si>
  <si>
    <t>計算①</t>
  </si>
  <si>
    <t>R1・・・・・・・・・・</t>
  </si>
  <si>
    <t>R2・・・・・・・・・・</t>
  </si>
  <si>
    <t>入力電圧・・・・・・・・</t>
  </si>
  <si>
    <t>分圧度</t>
  </si>
  <si>
    <t>★電流計算</t>
  </si>
  <si>
    <t>電流＝電圧/抵抗</t>
  </si>
  <si>
    <t>計算②</t>
  </si>
  <si>
    <t>入力電圧・・・・・・・・・・</t>
  </si>
  <si>
    <t>出力電圧・・・・・・・・・・</t>
  </si>
  <si>
    <t>目的分圧率・・・・・・・</t>
  </si>
  <si>
    <t>決定抵抗・・・・・・・・・</t>
  </si>
  <si>
    <t>R2</t>
  </si>
  <si>
    <t>←※選択</t>
  </si>
  <si>
    <t>決定抵抗抵抗値・・・・・</t>
  </si>
  <si>
    <t>抵抗値</t>
  </si>
  <si>
    <t>◎並列合成抵抗・直列合成容量</t>
  </si>
  <si>
    <t>選択箇所</t>
  </si>
  <si>
    <t>●並列合成抵抗</t>
  </si>
  <si>
    <t>●直列合成容量</t>
  </si>
  <si>
    <t>　</t>
  </si>
  <si>
    <t>容量①</t>
  </si>
  <si>
    <t>p</t>
  </si>
  <si>
    <t>F</t>
  </si>
  <si>
    <t>容量②</t>
  </si>
  <si>
    <t>直列合成容量</t>
  </si>
  <si>
    <t>●並列合成抵抗計算（複数）</t>
  </si>
  <si>
    <t>必要計算値</t>
  </si>
  <si>
    <t>R1</t>
  </si>
  <si>
    <t>R3</t>
  </si>
  <si>
    <t>R4</t>
  </si>
  <si>
    <t>R5</t>
  </si>
  <si>
    <t>R6</t>
  </si>
  <si>
    <t>R7</t>
  </si>
  <si>
    <t>R8</t>
  </si>
  <si>
    <t>R9</t>
  </si>
  <si>
    <t>R10</t>
  </si>
  <si>
    <t>1/抵抗</t>
  </si>
  <si>
    <t>R11</t>
  </si>
  <si>
    <t>R12</t>
  </si>
  <si>
    <t>R13</t>
  </si>
  <si>
    <t>●直列合成容量計算 （複数）</t>
  </si>
  <si>
    <t>C1</t>
  </si>
  <si>
    <t>C2</t>
  </si>
  <si>
    <t>C3</t>
  </si>
  <si>
    <t>C4</t>
  </si>
  <si>
    <t>C5</t>
  </si>
  <si>
    <t>◎共振周波数計算</t>
  </si>
  <si>
    <t>◎周波数　⇔　時間</t>
  </si>
  <si>
    <t>※入力部</t>
  </si>
  <si>
    <t>※計算結果</t>
  </si>
  <si>
    <t>CR共振</t>
  </si>
  <si>
    <t>周波数</t>
  </si>
  <si>
    <t>Hz</t>
  </si>
  <si>
    <t>kHz</t>
  </si>
  <si>
    <t>MHz</t>
  </si>
  <si>
    <t>コンデンサ</t>
  </si>
  <si>
    <t>pF</t>
  </si>
  <si>
    <t>uF</t>
  </si>
  <si>
    <t>時間</t>
  </si>
  <si>
    <t>S</t>
  </si>
  <si>
    <t>mS</t>
  </si>
  <si>
    <t>s</t>
  </si>
  <si>
    <t>uS</t>
  </si>
  <si>
    <t>ms</t>
  </si>
  <si>
    <t>us</t>
  </si>
  <si>
    <t>ｍS</t>
  </si>
  <si>
    <t>LC共振</t>
  </si>
  <si>
    <t>コイル</t>
  </si>
  <si>
    <t>nH</t>
  </si>
  <si>
    <t>◎振幅・実行値計算</t>
  </si>
  <si>
    <t>入力部/選択部</t>
  </si>
  <si>
    <t>振幅電圧</t>
  </si>
  <si>
    <t>（Vp-p  =</t>
  </si>
  <si>
    <t>V）</t>
  </si>
  <si>
    <t>実行値</t>
  </si>
  <si>
    <t>Vrms</t>
  </si>
  <si>
    <t>波形種類</t>
  </si>
  <si>
    <t>正弦波</t>
  </si>
  <si>
    <t>実行値計算結果</t>
  </si>
  <si>
    <t>三角波</t>
  </si>
  <si>
    <t>方形波</t>
  </si>
  <si>
    <t>振幅計算結果</t>
  </si>
  <si>
    <t>Vp</t>
  </si>
  <si>
    <t>Vp-p</t>
  </si>
  <si>
    <t>（振幅電圧  =</t>
  </si>
  <si>
    <t>◎リアクタンス計算</t>
  </si>
  <si>
    <t>+</t>
  </si>
  <si>
    <t>%</t>
  </si>
  <si>
    <t>-</t>
  </si>
  <si>
    <t>消費電流</t>
  </si>
  <si>
    <t>※位相の90度進み</t>
  </si>
  <si>
    <t>※位相の90度遅れ</t>
  </si>
  <si>
    <t>インダクタンス</t>
  </si>
  <si>
    <t>ZL</t>
  </si>
  <si>
    <t>Zc</t>
  </si>
  <si>
    <t>合成抵抗</t>
  </si>
  <si>
    <t>◎水晶の負荷容量</t>
  </si>
  <si>
    <t>負荷容量 ＝ C*C/C+C</t>
  </si>
  <si>
    <t>　　　　　　 ＝ 1/2C</t>
  </si>
  <si>
    <t>水晶負荷容量</t>
  </si>
  <si>
    <t>浮遊容量</t>
  </si>
  <si>
    <t>※3～10pF</t>
  </si>
  <si>
    <t>実装容量</t>
  </si>
  <si>
    <t>◎比率計算</t>
  </si>
  <si>
    <t>基準値</t>
  </si>
  <si>
    <t>変更値</t>
  </si>
  <si>
    <t>比率</t>
  </si>
  <si>
    <t>％</t>
  </si>
  <si>
    <t>目的比率</t>
  </si>
  <si>
    <t>計算値</t>
  </si>
  <si>
    <t>◎オペアンプ</t>
  </si>
  <si>
    <t>○非反転増幅回路①</t>
  </si>
  <si>
    <t>目標増幅電圧</t>
  </si>
  <si>
    <t>増幅率</t>
  </si>
  <si>
    <t>入力電圧</t>
  </si>
  <si>
    <t>Rs</t>
  </si>
  <si>
    <t>Rf</t>
  </si>
  <si>
    <t>増幅電圧</t>
  </si>
  <si>
    <t>増幅敷居電圧Vc</t>
  </si>
  <si>
    <t>出力電圧Max</t>
  </si>
  <si>
    <t>○正帰還型ローパスフィルタ</t>
  </si>
  <si>
    <t>fc=</t>
  </si>
  <si>
    <t>データレート/送信時間　計算</t>
  </si>
  <si>
    <t>■データレートより計算</t>
  </si>
  <si>
    <t>【子機 マイコン-RFモジュール間】</t>
  </si>
  <si>
    <t>【子機-中継器】</t>
  </si>
  <si>
    <t>【】</t>
  </si>
  <si>
    <t>転送データ量</t>
  </si>
  <si>
    <t>Byte/台</t>
  </si>
  <si>
    <t>台数</t>
  </si>
  <si>
    <t>台</t>
  </si>
  <si>
    <t>データレート</t>
  </si>
  <si>
    <t>bps</t>
  </si>
  <si>
    <t>Byte/s</t>
  </si>
  <si>
    <t>転送時間</t>
  </si>
  <si>
    <t>秒</t>
  </si>
  <si>
    <t>分</t>
  </si>
  <si>
    <t>■周波数より計算</t>
  </si>
  <si>
    <t>■(補助)総データ量計算</t>
  </si>
  <si>
    <t>【温湿度システム】</t>
  </si>
  <si>
    <t>データ1</t>
  </si>
  <si>
    <t>年</t>
  </si>
  <si>
    <t>データ2</t>
  </si>
  <si>
    <t>月</t>
  </si>
  <si>
    <t>データ3</t>
  </si>
  <si>
    <t>日</t>
  </si>
  <si>
    <t>データ4</t>
  </si>
  <si>
    <t>時</t>
  </si>
  <si>
    <t>データ5</t>
  </si>
  <si>
    <t>データ6</t>
  </si>
  <si>
    <t>データ7</t>
  </si>
  <si>
    <t>秒未満</t>
  </si>
  <si>
    <t>データ8</t>
  </si>
  <si>
    <t>温度</t>
  </si>
  <si>
    <t>データ9</t>
  </si>
  <si>
    <t>湿度</t>
  </si>
  <si>
    <t>データ10</t>
  </si>
  <si>
    <t>データｻｲｽﾞ</t>
  </si>
  <si>
    <t>データ取得
間欠時間</t>
  </si>
  <si>
    <t>収集時間</t>
  </si>
  <si>
    <t>↓↓↓↓↓</t>
  </si>
  <si>
    <t>総ﾃﾞｰﾀ量</t>
  </si>
  <si>
    <t>◎時定数</t>
  </si>
  <si>
    <t>MΩ</t>
  </si>
  <si>
    <t>kΩ</t>
  </si>
  <si>
    <t>時定数</t>
  </si>
  <si>
    <t>↓↓</t>
  </si>
  <si>
    <t>%立上り時間</t>
  </si>
  <si>
    <t>T10 = -R*C*ln0.9</t>
  </si>
  <si>
    <t>T90 = -R*C*ln0.1</t>
  </si>
  <si>
    <t>◆コンデンサ充放電時間</t>
  </si>
  <si>
    <t>【充電時間】</t>
  </si>
  <si>
    <t>【放電時間】</t>
  </si>
  <si>
    <t>n%t　= R・C・LN　(　1　-　n　/　100)</t>
  </si>
  <si>
    <t>n%t：</t>
  </si>
  <si>
    <t>電圧がn%まで上がった際の時間</t>
  </si>
  <si>
    <t>V0:充電時電圧</t>
  </si>
  <si>
    <t>R：</t>
  </si>
  <si>
    <t>V1:放電時電圧</t>
  </si>
  <si>
    <t>C：</t>
  </si>
  <si>
    <t>コンデンサ容量</t>
  </si>
  <si>
    <t>充電抵抗値</t>
  </si>
  <si>
    <t>最大電圧</t>
  </si>
  <si>
    <t>放電抵抗</t>
  </si>
  <si>
    <t>充電前電圧</t>
  </si>
  <si>
    <t>コンデンサ電圧</t>
  </si>
  <si>
    <t>目的電圧</t>
  </si>
  <si>
    <t>放電後電圧</t>
  </si>
  <si>
    <t>上昇電圧</t>
  </si>
  <si>
    <t>電圧下降率</t>
  </si>
  <si>
    <t>電圧上昇率</t>
  </si>
  <si>
    <t>③で計算</t>
  </si>
  <si>
    <t>充電時間</t>
  </si>
  <si>
    <t>MHZ</t>
  </si>
  <si>
    <t>◎波長計算</t>
  </si>
  <si>
    <t>光速度</t>
  </si>
  <si>
    <t>m/s</t>
  </si>
  <si>
    <t>GHｚ</t>
  </si>
  <si>
    <t>波長λ</t>
  </si>
  <si>
    <t>m</t>
  </si>
  <si>
    <t>cm</t>
  </si>
  <si>
    <t>mm</t>
  </si>
  <si>
    <t>λ/2</t>
  </si>
  <si>
    <t>λ/4</t>
  </si>
  <si>
    <t>◎配線パターンにおける波長計算</t>
  </si>
  <si>
    <t>HZ</t>
  </si>
  <si>
    <t>入力部</t>
  </si>
  <si>
    <t>電力 (pt)</t>
  </si>
  <si>
    <t>通信周波数 (f)</t>
  </si>
  <si>
    <t>MHｚ</t>
  </si>
  <si>
    <t>送信側アンテナゲイン (gt)</t>
  </si>
  <si>
    <t>dBi</t>
  </si>
  <si>
    <t>受信側アンテナゲイン (gr)</t>
  </si>
  <si>
    <t>受信側感度 (pr)</t>
  </si>
  <si>
    <t>km</t>
  </si>
  <si>
    <t>↓↓↓</t>
  </si>
  <si>
    <t>m(実距離)</t>
  </si>
  <si>
    <t>◎偏差計算</t>
  </si>
  <si>
    <t>数値</t>
  </si>
  <si>
    <t>誤差</t>
  </si>
  <si>
    <t>ppm</t>
  </si>
  <si>
    <t>マイナス</t>
  </si>
  <si>
    <t>プラス</t>
  </si>
  <si>
    <t>Vcｃ</t>
  </si>
  <si>
    <t>Vin</t>
  </si>
  <si>
    <t>Vbe</t>
  </si>
  <si>
    <t>R1/R2</t>
  </si>
  <si>
    <t>通常無線通信品</t>
  </si>
  <si>
    <t>■間欠動作時</t>
  </si>
  <si>
    <t>電池容量</t>
  </si>
  <si>
    <t>mAh</t>
  </si>
  <si>
    <t>MAX電流</t>
  </si>
  <si>
    <t>電池容量マージン</t>
  </si>
  <si>
    <t>1時間での動作時間</t>
  </si>
  <si>
    <t>使用電池容量</t>
  </si>
  <si>
    <t>1時間での平均電流</t>
  </si>
  <si>
    <t>mA/j時間</t>
  </si>
  <si>
    <t>結果</t>
  </si>
  <si>
    <t>電圧変換後
使用率</t>
  </si>
  <si>
    <t>電圧変換後</t>
  </si>
  <si>
    <t>DCDC効率</t>
  </si>
  <si>
    <t>起動間隔</t>
  </si>
  <si>
    <t>起動時間</t>
  </si>
  <si>
    <t>平均値</t>
  </si>
  <si>
    <t>分/時間</t>
  </si>
  <si>
    <t>1時間での平均消費電流</t>
  </si>
  <si>
    <t>補助計算</t>
  </si>
  <si>
    <t>電池使用可能動作時間</t>
  </si>
  <si>
    <t>電池使用可能動作日数</t>
  </si>
  <si>
    <t>信号分配時の直列抵抗</t>
  </si>
  <si>
    <t>R＝</t>
  </si>
  <si>
    <t>Z(N-1)</t>
  </si>
  <si>
    <t>N+1</t>
  </si>
  <si>
    <t>ｲﾝﾋﾟｰﾀﾞﾝｽZ</t>
  </si>
  <si>
    <t>分配数N</t>
  </si>
  <si>
    <t>ライン</t>
  </si>
  <si>
    <t>直列抵抗</t>
  </si>
  <si>
    <t>DCDCコンバータ計算</t>
  </si>
  <si>
    <t>効率</t>
  </si>
  <si>
    <t>出力電流</t>
  </si>
  <si>
    <t>電圧比</t>
  </si>
  <si>
    <t>電池容量計算</t>
  </si>
  <si>
    <t>電池ﾏｰｼﾞﾝ</t>
  </si>
  <si>
    <t>使用可能時間</t>
  </si>
  <si>
    <t>j時間</t>
  </si>
  <si>
    <t>ポートレジスタ　ツール</t>
  </si>
  <si>
    <t>入力（選択）</t>
  </si>
  <si>
    <t>結果部</t>
  </si>
  <si>
    <t>1＝</t>
  </si>
  <si>
    <t>OUT</t>
  </si>
  <si>
    <t>IN</t>
  </si>
  <si>
    <t>ｍA</t>
  </si>
  <si>
    <t>電圧変換効率</t>
  </si>
  <si>
    <t>電圧変換率</t>
  </si>
  <si>
    <t>入力電流</t>
  </si>
  <si>
    <t>電池寿命計算</t>
  </si>
  <si>
    <t>ﾏｰｼﾞﾝ</t>
  </si>
  <si>
    <t>持ち時間</t>
  </si>
  <si>
    <t>⇒⇒⇒⇒</t>
  </si>
  <si>
    <t>時間⇒⇒</t>
  </si>
  <si>
    <t>日⇒⇒⇒</t>
  </si>
  <si>
    <t>カ月⇒⇒</t>
  </si>
  <si>
    <t>希望時間</t>
  </si>
  <si>
    <t>昇降圧時</t>
  </si>
  <si>
    <t>記入箇所</t>
  </si>
  <si>
    <t>動作時間</t>
  </si>
  <si>
    <t>カ月</t>
  </si>
  <si>
    <t>電池電圧</t>
  </si>
  <si>
    <t>電圧増幅率</t>
  </si>
  <si>
    <t>電圧返還後電離容量</t>
  </si>
  <si>
    <t>電池使用可能動作月数</t>
  </si>
  <si>
    <t>ワイヤレスホストコントローラ</t>
  </si>
  <si>
    <t>消費電流計算</t>
  </si>
  <si>
    <t>時間と消費電流</t>
  </si>
  <si>
    <t>準備時間</t>
  </si>
  <si>
    <t>SDカード100件書込み時間</t>
  </si>
  <si>
    <t>SDカード書込み消費</t>
  </si>
  <si>
    <t>SDカード 1分間での平均電流</t>
  </si>
  <si>
    <t>mA/分</t>
  </si>
  <si>
    <r>
      <rPr>
        <sz val="11"/>
        <color indexed="10"/>
        <rFont val="ＭＳ Ｐゴシック"/>
        <family val="3"/>
        <charset val="128"/>
      </rPr>
      <t xml:space="preserve">【SDカード100件書込み時間】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</t>
    </r>
    <r>
      <rPr>
        <sz val="11"/>
        <color indexed="10"/>
        <rFont val="ＭＳ Ｐゴシック"/>
        <family val="3"/>
        <charset val="128"/>
      </rPr>
      <t xml:space="preserve">60秒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【SDカード書込み消費】</t>
    </r>
  </si>
  <si>
    <t>Wi-Fi100件送信時間</t>
  </si>
  <si>
    <t>Wi-F時送信時消費</t>
  </si>
  <si>
    <t>Wi-Fi送信 1分間での平均電流</t>
  </si>
  <si>
    <r>
      <rPr>
        <sz val="11"/>
        <color indexed="10"/>
        <rFont val="ＭＳ Ｐゴシック"/>
        <family val="3"/>
        <charset val="128"/>
      </rPr>
      <t xml:space="preserve">【Wi-Fi100件送信時間】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</t>
    </r>
    <r>
      <rPr>
        <sz val="11"/>
        <color indexed="10"/>
        <rFont val="ＭＳ Ｐゴシック"/>
        <family val="3"/>
        <charset val="128"/>
      </rPr>
      <t xml:space="preserve">60秒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【Wi-F時送信時消費】</t>
    </r>
  </si>
  <si>
    <t>XBee100件送信時間</t>
  </si>
  <si>
    <t>XBee100件通信時消費</t>
  </si>
  <si>
    <t>XBee送信 1分間での平均電流</t>
  </si>
  <si>
    <r>
      <rPr>
        <sz val="11"/>
        <color indexed="10"/>
        <rFont val="ＭＳ Ｐゴシック"/>
        <family val="3"/>
        <charset val="128"/>
      </rPr>
      <t xml:space="preserve">【XBee100件送信時間】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</t>
    </r>
    <r>
      <rPr>
        <sz val="11"/>
        <color indexed="10"/>
        <rFont val="ＭＳ Ｐゴシック"/>
        <family val="3"/>
        <charset val="128"/>
      </rPr>
      <t xml:space="preserve">60秒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【XBee100件通信時消費】</t>
    </r>
  </si>
  <si>
    <t>XBee待機時消費電流</t>
  </si>
  <si>
    <t>XBee待機時1分間での平均電流</t>
  </si>
  <si>
    <r>
      <rPr>
        <sz val="11"/>
        <color indexed="10"/>
        <rFont val="ＭＳ Ｐゴシック"/>
        <family val="3"/>
        <charset val="128"/>
      </rPr>
      <t xml:space="preserve">（【起動時間】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60 </t>
    </r>
    <r>
      <rPr>
        <b/>
        <sz val="11"/>
        <color indexed="10"/>
        <rFont val="ＭＳ Ｐゴシック"/>
        <family val="3"/>
        <charset val="128"/>
      </rPr>
      <t>-</t>
    </r>
    <r>
      <rPr>
        <sz val="11"/>
        <color indexed="10"/>
        <rFont val="ＭＳ Ｐゴシック"/>
        <family val="3"/>
        <charset val="128"/>
      </rPr>
      <t xml:space="preserve"> 【XBee100件送信時間】）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60秒）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【XBee待機時消費電流】</t>
    </r>
  </si>
  <si>
    <t>APモード待機中消費</t>
  </si>
  <si>
    <t>APモード 1分間での平均電流</t>
  </si>
  <si>
    <r>
      <rPr>
        <sz val="11"/>
        <color indexed="10"/>
        <rFont val="ＭＳ Ｐゴシック"/>
        <family val="3"/>
        <charset val="128"/>
      </rPr>
      <t xml:space="preserve">（【起動時間】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60 </t>
    </r>
    <r>
      <rPr>
        <b/>
        <sz val="11"/>
        <color indexed="10"/>
        <rFont val="ＭＳ Ｐゴシック"/>
        <family val="3"/>
        <charset val="128"/>
      </rPr>
      <t>-</t>
    </r>
    <r>
      <rPr>
        <sz val="11"/>
        <color indexed="10"/>
        <rFont val="ＭＳ Ｐゴシック"/>
        <family val="3"/>
        <charset val="128"/>
      </rPr>
      <t xml:space="preserve"> 【Wi-Fi100件送信時間】）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60秒）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【APモード待機中消費】</t>
    </r>
  </si>
  <si>
    <r>
      <rPr>
        <sz val="11"/>
        <color indexed="10"/>
        <rFont val="ＭＳ Ｐゴシック"/>
        <family val="3"/>
        <charset val="128"/>
      </rPr>
      <t xml:space="preserve">（【準備時間】 </t>
    </r>
    <r>
      <rPr>
        <b/>
        <sz val="11"/>
        <color indexed="10"/>
        <rFont val="ＭＳ Ｐゴシック"/>
        <family val="3"/>
        <charset val="128"/>
      </rPr>
      <t xml:space="preserve">+ </t>
    </r>
    <r>
      <rPr>
        <sz val="11"/>
        <color indexed="10"/>
        <rFont val="ＭＳ Ｐゴシック"/>
        <family val="3"/>
        <charset val="128"/>
      </rPr>
      <t xml:space="preserve">【SDカード100件書込み時間】 </t>
    </r>
    <r>
      <rPr>
        <b/>
        <sz val="11"/>
        <color indexed="10"/>
        <rFont val="ＭＳ Ｐゴシック"/>
        <family val="3"/>
        <charset val="128"/>
      </rPr>
      <t>+</t>
    </r>
    <r>
      <rPr>
        <sz val="11"/>
        <color indexed="10"/>
        <rFont val="ＭＳ Ｐゴシック"/>
        <family val="3"/>
        <charset val="128"/>
      </rPr>
      <t xml:space="preserve"> 【Wi-Fi100件送信時間】 </t>
    </r>
    <r>
      <rPr>
        <b/>
        <sz val="11"/>
        <color indexed="10"/>
        <rFont val="ＭＳ Ｐゴシック"/>
        <family val="3"/>
        <charset val="128"/>
      </rPr>
      <t>+</t>
    </r>
    <r>
      <rPr>
        <sz val="11"/>
        <color indexed="10"/>
        <rFont val="ＭＳ Ｐゴシック"/>
        <family val="3"/>
        <charset val="128"/>
      </rPr>
      <t xml:space="preserve"> 【XBee100件送信時間】）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60秒</t>
    </r>
  </si>
  <si>
    <t>起動時間中の消費電流</t>
  </si>
  <si>
    <r>
      <rPr>
        <sz val="11"/>
        <color indexed="10"/>
        <rFont val="ＭＳ Ｐゴシック"/>
        <family val="3"/>
        <charset val="128"/>
      </rPr>
      <t xml:space="preserve">（【SDカード 1分間での平均電流】 </t>
    </r>
    <r>
      <rPr>
        <b/>
        <sz val="11"/>
        <color indexed="10"/>
        <rFont val="ＭＳ Ｐゴシック"/>
        <family val="3"/>
        <charset val="128"/>
      </rPr>
      <t>+</t>
    </r>
    <r>
      <rPr>
        <sz val="11"/>
        <color indexed="10"/>
        <rFont val="ＭＳ Ｐゴシック"/>
        <family val="3"/>
        <charset val="128"/>
      </rPr>
      <t xml:space="preserve"> 【Wi-Fi送信 1分間での平均電流】 + 【XBee送信 1分間での平均電流】 + 【APモード 1分間での平均電流】） * 【電圧増幅率】</t>
    </r>
  </si>
  <si>
    <r>
      <rPr>
        <sz val="11"/>
        <color indexed="10"/>
        <rFont val="ＭＳ Ｐゴシック"/>
        <family val="3"/>
        <charset val="128"/>
      </rPr>
      <t xml:space="preserve">60分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（【起動間隔】 </t>
    </r>
    <r>
      <rPr>
        <b/>
        <sz val="11"/>
        <color indexed="10"/>
        <rFont val="ＭＳ Ｐゴシック"/>
        <family val="3"/>
        <charset val="128"/>
      </rPr>
      <t>+</t>
    </r>
    <r>
      <rPr>
        <sz val="11"/>
        <color indexed="10"/>
        <rFont val="ＭＳ Ｐゴシック"/>
        <family val="3"/>
        <charset val="128"/>
      </rPr>
      <t xml:space="preserve"> 【起動時間】）</t>
    </r>
  </si>
  <si>
    <r>
      <rPr>
        <sz val="11"/>
        <color indexed="10"/>
        <rFont val="ＭＳ Ｐゴシック"/>
        <family val="3"/>
        <charset val="128"/>
      </rPr>
      <t xml:space="preserve">【起動時間中の消費電流】 </t>
    </r>
    <r>
      <rPr>
        <b/>
        <sz val="11"/>
        <color indexed="10"/>
        <rFont val="ＭＳ Ｐゴシック"/>
        <family val="3"/>
        <charset val="128"/>
      </rPr>
      <t>*</t>
    </r>
    <r>
      <rPr>
        <sz val="11"/>
        <color indexed="10"/>
        <rFont val="ＭＳ Ｐゴシック"/>
        <family val="3"/>
        <charset val="128"/>
      </rPr>
      <t xml:space="preserve"> 【1時間での動作時間】 </t>
    </r>
    <r>
      <rPr>
        <b/>
        <sz val="11"/>
        <color indexed="10"/>
        <rFont val="ＭＳ Ｐゴシック"/>
        <family val="3"/>
        <charset val="128"/>
      </rPr>
      <t>/</t>
    </r>
    <r>
      <rPr>
        <sz val="11"/>
        <color indexed="10"/>
        <rFont val="ＭＳ Ｐゴシック"/>
        <family val="3"/>
        <charset val="128"/>
      </rPr>
      <t xml:space="preserve"> 60分</t>
    </r>
  </si>
  <si>
    <r>
      <rPr>
        <sz val="11"/>
        <color indexed="10"/>
        <rFont val="ＭＳ Ｐゴシック"/>
        <family val="3"/>
        <charset val="128"/>
      </rPr>
      <t xml:space="preserve">【使用電池容量】 </t>
    </r>
    <r>
      <rPr>
        <b/>
        <sz val="11"/>
        <color indexed="10"/>
        <rFont val="ＭＳ Ｐゴシック"/>
        <family val="3"/>
        <charset val="128"/>
      </rPr>
      <t xml:space="preserve">/ </t>
    </r>
    <r>
      <rPr>
        <sz val="11"/>
        <color indexed="10"/>
        <rFont val="ＭＳ Ｐゴシック"/>
        <family val="3"/>
        <charset val="128"/>
      </rPr>
      <t>【1時間での平均消費電流】</t>
    </r>
  </si>
  <si>
    <t>【電池使用可能動作時間】 / 24時間</t>
  </si>
  <si>
    <t>基板単価計算</t>
  </si>
  <si>
    <t>1元</t>
  </si>
  <si>
    <t>＝</t>
  </si>
  <si>
    <t>$</t>
  </si>
  <si>
    <t>◆FR-1片面</t>
  </si>
  <si>
    <t>1200*1200</t>
  </si>
  <si>
    <t>元</t>
  </si>
  <si>
    <t>◆FR-4片面</t>
  </si>
  <si>
    <t>→</t>
  </si>
  <si>
    <t>◆FR-4両面</t>
  </si>
  <si>
    <t>基板サイズ縦</t>
  </si>
  <si>
    <t>基板サイズ横</t>
  </si>
  <si>
    <t>面付け縦枚数</t>
  </si>
  <si>
    <t>枚</t>
  </si>
  <si>
    <t>面付け横枚数</t>
  </si>
  <si>
    <t>集合後長さ縦</t>
  </si>
  <si>
    <t>集合後長さ横</t>
  </si>
  <si>
    <t>集合基板内での枚数</t>
  </si>
  <si>
    <t>ワークサイズ内での集合基板枚数</t>
  </si>
  <si>
    <t>基板単価</t>
  </si>
  <si>
    <t>http://www.nippon-heater.co.jp/material/resistance/resistance.html</t>
  </si>
  <si>
    <t>時間（1ヶ月）</t>
  </si>
  <si>
    <t>◆トランス巻数比</t>
  </si>
  <si>
    <t>T</t>
  </si>
  <si>
    <t>mH</t>
  </si>
  <si>
    <t>ON/OFF試験</t>
  </si>
  <si>
    <t>秒ON･OFF/回</t>
  </si>
  <si>
    <t>1分辺り</t>
  </si>
  <si>
    <t>回/分</t>
  </si>
  <si>
    <t>1時間辺り</t>
  </si>
  <si>
    <t>回/時間</t>
  </si>
  <si>
    <t>合計回数</t>
  </si>
  <si>
    <t>回/日</t>
  </si>
  <si>
    <t>回</t>
  </si>
  <si>
    <t>◆UVランプ</t>
  </si>
  <si>
    <t>◆ターン数を変更した際の容量変更値</t>
  </si>
  <si>
    <t>2次側</t>
  </si>
  <si>
    <t>1次側</t>
  </si>
  <si>
    <t>変更前</t>
  </si>
  <si>
    <t>変更後</t>
  </si>
  <si>
    <t>倍（ターン数）</t>
  </si>
  <si>
    <t>ターン数</t>
  </si>
  <si>
    <t>02 - 18</t>
  </si>
  <si>
    <t>倍（容量）</t>
  </si>
  <si>
    <t>容量比</t>
  </si>
  <si>
    <t>◆ターン数をどのくらい減らすか？</t>
  </si>
  <si>
    <t>⇒
⇒
⇒</t>
  </si>
  <si>
    <t>IR2153</t>
  </si>
  <si>
    <t>◆周波数計算</t>
  </si>
  <si>
    <t>RT</t>
  </si>
  <si>
    <t>CT</t>
  </si>
  <si>
    <t>◆抵抗値計算</t>
  </si>
  <si>
    <t>◆共振周波数</t>
  </si>
  <si>
    <t>◆±0</t>
  </si>
  <si>
    <t>◆+10%</t>
  </si>
  <si>
    <t>◆-10%</t>
  </si>
  <si>
    <t>C</t>
  </si>
  <si>
    <t>L</t>
  </si>
  <si>
    <t>　　　　目次　　　　</t>
  </si>
  <si>
    <t>NCP603SNADJT1G　出力電圧計算</t>
  </si>
  <si>
    <t>バイアス</t>
  </si>
  <si>
    <t>目的出力電圧</t>
  </si>
  <si>
    <t>最適R1</t>
  </si>
  <si>
    <t>1データ数</t>
  </si>
  <si>
    <t>CH数</t>
  </si>
  <si>
    <t>CH→→→</t>
  </si>
  <si>
    <t>10CHの1データ</t>
  </si>
  <si>
    <t>ｻﾝﾌﾟﾘﾝｸﾞ</t>
  </si>
  <si>
    <t>積算時間1</t>
  </si>
  <si>
    <t>秒→→→</t>
  </si>
  <si>
    <t>1CHﾃﾞｰﾀ量</t>
  </si>
  <si>
    <t>積算時間2</t>
  </si>
  <si>
    <t>個</t>
  </si>
  <si>
    <t>1CHデータ量</t>
  </si>
  <si>
    <t>kByte</t>
  </si>
  <si>
    <t>MByte</t>
  </si>
  <si>
    <t>合計データ量</t>
  </si>
  <si>
    <t>※R1&lt;200kΩ</t>
  </si>
  <si>
    <t>◆速度対パルス周波数</t>
  </si>
  <si>
    <t>基準速度</t>
  </si>
  <si>
    <t>km/h</t>
  </si>
  <si>
    <t>1km走行でのワイヤ回転数</t>
  </si>
  <si>
    <t>回転</t>
  </si>
  <si>
    <t>1回転のパルス数</t>
  </si>
  <si>
    <t>発/rad</t>
  </si>
  <si>
    <t>ターゲット速度</t>
  </si>
  <si>
    <t>走行時のワイヤ回転数</t>
  </si>
  <si>
    <t>発/km</t>
  </si>
  <si>
    <t>rad/分(60km/h)</t>
  </si>
  <si>
    <t>パルス数</t>
  </si>
  <si>
    <t>発/分(60km/h)</t>
  </si>
  <si>
    <t>発/秒(60km/h)</t>
  </si>
  <si>
    <t>パルス周期</t>
  </si>
  <si>
    <t>パルス周波数</t>
  </si>
  <si>
    <t>◆エンジンパルス周波数</t>
  </si>
  <si>
    <t>周波数 = エンジン回転数 * 1回転のパルス数 / 60</t>
  </si>
  <si>
    <t>エンジン回転数 = 6.0 * 周波数 * / 1回転のパルス数</t>
  </si>
  <si>
    <t>エンジン回転数</t>
  </si>
  <si>
    <t>rpm</t>
  </si>
  <si>
    <t>入力パルス周波数</t>
  </si>
  <si>
    <t>回/rad</t>
  </si>
  <si>
    <t>DC-DCコンバータ</t>
  </si>
  <si>
    <t>リチウム充電IC</t>
  </si>
  <si>
    <t>TPS73001</t>
  </si>
  <si>
    <t>LM2700</t>
  </si>
  <si>
    <t>L6920DB</t>
  </si>
  <si>
    <t>MCP73831-2ACI/OT</t>
  </si>
  <si>
    <t>出力電圧と保証コンデンサの計算</t>
  </si>
  <si>
    <t>出力電圧の算出</t>
  </si>
  <si>
    <t>出力計算</t>
  </si>
  <si>
    <t>充電電流計算</t>
  </si>
  <si>
    <t>Vout</t>
  </si>
  <si>
    <t>充電電流</t>
  </si>
  <si>
    <t>Vfb</t>
  </si>
  <si>
    <t>逆算</t>
  </si>
  <si>
    <t>保証C</t>
  </si>
  <si>
    <t>R1 = R2(Vout/Vfb - 1)</t>
  </si>
  <si>
    <t>Vout = R1 * Vfb / R2 + Vfb</t>
  </si>
  <si>
    <t>R1 = Vout * R2/F - R2</t>
  </si>
  <si>
    <t>R2 = R1 * (Vfb / (Vout - Vfb))</t>
  </si>
  <si>
    <t>ｋΩ</t>
  </si>
  <si>
    <t xml:space="preserve"> </t>
  </si>
  <si>
    <t>Rc</t>
  </si>
  <si>
    <t>Cc</t>
  </si>
  <si>
    <t>pF　　　⇛</t>
  </si>
  <si>
    <t>◆BQ247x充電電流計算</t>
  </si>
  <si>
    <t>K Iset(固定値)</t>
  </si>
  <si>
    <t>AΩ（固定値）</t>
  </si>
  <si>
    <t>I CHC</t>
  </si>
  <si>
    <t>◆BQ247x入力電流制限計算</t>
  </si>
  <si>
    <t>KILIM(固定値)</t>
  </si>
  <si>
    <t>AΩ</t>
  </si>
  <si>
    <t>I_MAX</t>
  </si>
  <si>
    <t>抵抗RLIM</t>
  </si>
  <si>
    <t>LTC4065</t>
  </si>
  <si>
    <t>チャージ電流計算</t>
  </si>
  <si>
    <t>目的チャージ電流</t>
  </si>
  <si>
    <t>電源マルチプレクサ</t>
  </si>
  <si>
    <t>TPS2115A</t>
  </si>
  <si>
    <t>電流制限</t>
  </si>
  <si>
    <t>RILIM</t>
  </si>
  <si>
    <t>◆PIC16F1708</t>
  </si>
  <si>
    <t>◆LT3508EFE</t>
  </si>
  <si>
    <t>ZCD直列抵抗</t>
  </si>
  <si>
    <t>ピーク電圧</t>
  </si>
  <si>
    <t>◆LMZ1420H</t>
  </si>
  <si>
    <t>◆出力電圧</t>
  </si>
  <si>
    <t>R FBT</t>
  </si>
  <si>
    <t>R FBB</t>
  </si>
  <si>
    <t>◆TPS54260</t>
  </si>
  <si>
    <t>◆出力電圧計算</t>
  </si>
  <si>
    <t>Vout = R1 * 0.8 / R2 + 0.8</t>
  </si>
  <si>
    <t>◆ｽｲｯﾁﾝｸﾞ周波数</t>
  </si>
  <si>
    <t xml:space="preserve">Fsw(maxskip)　= </t>
  </si>
  <si>
    <t>*</t>
  </si>
  <si>
    <t>インダクタ電流 * インダクタ抵抗 + 出力電圧 + D電圧降下</t>
  </si>
  <si>
    <t>制御可能ON時間</t>
  </si>
  <si>
    <t>入力電圧 - インダクタ電流 * スイッチON抵抗 + D電圧降下</t>
  </si>
  <si>
    <t xml:space="preserve">Fsw(shift) = </t>
  </si>
  <si>
    <t>分周数</t>
  </si>
  <si>
    <t>インダクタ電流 * インダクタ抵抗 + 短絡時出力電圧 + D電圧降下</t>
  </si>
  <si>
    <t>インダクタ抵抗</t>
  </si>
  <si>
    <t>インダクタ電流</t>
  </si>
  <si>
    <t>最大入力電圧</t>
  </si>
  <si>
    <t>短絡時出力電圧</t>
  </si>
  <si>
    <t>ﾀﾞｲｵｰﾄﾞ電圧降下</t>
  </si>
  <si>
    <t>スイッチON抵抗</t>
  </si>
  <si>
    <t>nS</t>
  </si>
  <si>
    <t>分周(1/2/4/8)</t>
  </si>
  <si>
    <t>最大SW周波数</t>
  </si>
  <si>
    <t>D-NASⅣ　パルスLPF</t>
  </si>
  <si>
    <t>※分圧が発生する為、R2の電圧を高くすることになるのだが、</t>
  </si>
  <si>
    <t>　 R2を高くすることで、立ち下がりの周波数特性が10kHz以下と</t>
  </si>
  <si>
    <t>　 なってしまう為、使えない。</t>
  </si>
  <si>
    <t>電源電圧</t>
  </si>
  <si>
    <t>VCE(sat)</t>
  </si>
  <si>
    <t>mV</t>
  </si>
  <si>
    <t>kHz周期</t>
  </si>
  <si>
    <t>IR4</t>
  </si>
  <si>
    <t>抵抗：Ω　コンデンサ：pF</t>
  </si>
  <si>
    <t>IR5</t>
  </si>
  <si>
    <t>車速パルス</t>
  </si>
  <si>
    <t>ｴﾝｼﾞﾝパルス</t>
  </si>
  <si>
    <t>Lo周波数</t>
  </si>
  <si>
    <t>Hi周波数</t>
  </si>
  <si>
    <t>Hi時定数</t>
  </si>
  <si>
    <t>分圧</t>
  </si>
  <si>
    <t>全抵抗の合成抵抗</t>
  </si>
  <si>
    <t>Lo時定数</t>
  </si>
  <si>
    <t>%立下り時間</t>
  </si>
  <si>
    <t>充電抵抗</t>
  </si>
  <si>
    <t>R1消費電流</t>
  </si>
  <si>
    <t>V充電時間</t>
  </si>
  <si>
    <t>R2消費電流</t>
  </si>
  <si>
    <t>立上りFc</t>
  </si>
  <si>
    <t>C1充電抵抗</t>
  </si>
  <si>
    <t>コレクタ電流</t>
  </si>
  <si>
    <t>C1放電抵抗</t>
  </si>
  <si>
    <t>C1充電電流</t>
  </si>
  <si>
    <t>C1放電抵抗値</t>
  </si>
  <si>
    <t>V放電時間</t>
  </si>
  <si>
    <t>C1放電電流</t>
  </si>
  <si>
    <t>立下りFc</t>
  </si>
  <si>
    <t>High周波数</t>
  </si>
  <si>
    <t>立上りカットオフ</t>
  </si>
  <si>
    <t>Low周波数</t>
  </si>
  <si>
    <t>◆コンデンサ放電</t>
  </si>
  <si>
    <t>入力分圧</t>
  </si>
  <si>
    <t>プルアップ抵抗</t>
  </si>
  <si>
    <t>プルダウン抵抗</t>
  </si>
  <si>
    <t>スレッシュ電圧</t>
  </si>
  <si>
    <t>分圧率</t>
  </si>
  <si>
    <t>　　  　目次　  　　</t>
  </si>
  <si>
    <t>CR発振計算</t>
  </si>
  <si>
    <t>R</t>
  </si>
  <si>
    <t>データ数</t>
  </si>
  <si>
    <t>通信速度</t>
  </si>
  <si>
    <t>1秒間の通信量</t>
  </si>
  <si>
    <t>通信時間(秒)</t>
  </si>
  <si>
    <t>通信時間(分)</t>
  </si>
  <si>
    <t>パターンj抵抗</t>
  </si>
  <si>
    <t>R ＝ 0.0168 x L / （W x T） ［mΩ］　</t>
  </si>
  <si>
    <t>パターン長【L】</t>
  </si>
  <si>
    <t>[mm]</t>
  </si>
  <si>
    <t>パターン幅【W】</t>
  </si>
  <si>
    <t>銅箔厚【T】</t>
  </si>
  <si>
    <t>パターン抵抗値【R】</t>
  </si>
  <si>
    <t>[mΩ]</t>
  </si>
  <si>
    <t xml:space="preserve">    　目次　   </t>
  </si>
  <si>
    <t>円換算</t>
  </si>
  <si>
    <t>米ドル</t>
  </si>
  <si>
    <t>円/ドル</t>
  </si>
  <si>
    <t>価格1</t>
  </si>
  <si>
    <t>ドル</t>
  </si>
  <si>
    <t>価格2</t>
  </si>
  <si>
    <t>価格3</t>
  </si>
  <si>
    <t>価格4</t>
  </si>
  <si>
    <t>価格5</t>
  </si>
  <si>
    <t>価格6</t>
  </si>
  <si>
    <t>価格7</t>
  </si>
  <si>
    <t>価格8</t>
  </si>
  <si>
    <t>価格9</t>
  </si>
  <si>
    <t>価格10</t>
  </si>
  <si>
    <t>周波数⇔周期</t>
  </si>
  <si>
    <t>1周期</t>
  </si>
  <si>
    <t>半周期</t>
  </si>
  <si>
    <t>ns</t>
  </si>
  <si>
    <t>周期⇔周波数</t>
  </si>
  <si>
    <t>ｋHz</t>
  </si>
  <si>
    <t xml:space="preserve">  　目次　  </t>
  </si>
  <si>
    <t>通信速度計算</t>
  </si>
  <si>
    <t>通信周波数</t>
  </si>
  <si>
    <t>1セットデータ数</t>
  </si>
  <si>
    <t>Byte/set</t>
  </si>
  <si>
    <t>セット数</t>
  </si>
  <si>
    <t>set</t>
  </si>
  <si>
    <t>速度</t>
  </si>
  <si>
    <t>sec/Byte</t>
  </si>
  <si>
    <t>通信完了時間</t>
  </si>
  <si>
    <t>→フレームレート/時間</t>
  </si>
  <si>
    <t xml:space="preserve">• SD画質 → 480p ＝ 画素数：720×480  →　345600
• HD画質 → 720p ＝ 画素数：1280×720 →　921600
• フルHD → 1080p ＝ 画素数：1920×1080　→　2073600　
• 4K（UHD） → 2160p＝画素数：4096×2160 or 3840×2160　→　8847360 or 829440
      </t>
  </si>
  <si>
    <t>フレームレート</t>
  </si>
  <si>
    <t>fps</t>
  </si>
  <si>
    <t>通信時間</t>
  </si>
  <si>
    <t>→通信速度計算</t>
  </si>
  <si>
    <t>1LSB/変換精度計算</t>
  </si>
  <si>
    <t>電圧値</t>
  </si>
  <si>
    <t>1LSB</t>
  </si>
  <si>
    <t>V/LSB</t>
  </si>
  <si>
    <t>mV/LSB</t>
  </si>
  <si>
    <t>uV/LSB</t>
  </si>
  <si>
    <t>変換精度</t>
  </si>
  <si>
    <t>sinθ1/sinθ2 = n2/n1</t>
  </si>
  <si>
    <t>入射角θ2</t>
  </si>
  <si>
    <t>°</t>
  </si>
  <si>
    <t>媒質1屈折率A</t>
  </si>
  <si>
    <t>媒質B屈折率B</t>
  </si>
  <si>
    <t>sinθ1</t>
  </si>
  <si>
    <t>屈折率一覧表</t>
  </si>
  <si>
    <t>http://ww1.tiki.ne.jp/~uri-works/tmp/</t>
  </si>
  <si>
    <t>焦点距離</t>
  </si>
  <si>
    <t>1/f = (N-1) (1/R1 + 1/R2)</t>
  </si>
  <si>
    <r>
      <rPr>
        <sz val="10"/>
        <color theme="1"/>
        <rFont val="Verdana"/>
        <family val="2"/>
      </rPr>
      <t>N</t>
    </r>
    <r>
      <rPr>
        <sz val="10"/>
        <color theme="1"/>
        <rFont val="MS Gothic"/>
        <family val="3"/>
      </rPr>
      <t>：ガラスの屈折率</t>
    </r>
    <r>
      <rPr>
        <sz val="10"/>
        <color theme="1"/>
        <rFont val="Verdana"/>
        <family val="2"/>
      </rPr>
      <t xml:space="preserve"> </t>
    </r>
  </si>
  <si>
    <t xml:space="preserve">R1：ガラス前面の曲率半径 </t>
  </si>
  <si>
    <t>R2：ガラス後面の曲率半径</t>
  </si>
  <si>
    <t>N</t>
  </si>
  <si>
    <t>※無限大(平レンズ)＝0</t>
  </si>
  <si>
    <t>焦点距離(R2 = 0の場合)</t>
  </si>
  <si>
    <t>コイルの巻数とインダクタンス計算</t>
  </si>
  <si>
    <t>Ｌ（インダクタンス）＝ｋ×u0×π×ａ^2×ｎ^2／ｂ</t>
  </si>
  <si>
    <t>長岡係数(k)</t>
  </si>
  <si>
    <t>（2ａ／ｂ＝0.60の時）</t>
  </si>
  <si>
    <t>真空の透磁率(u0)</t>
  </si>
  <si>
    <t>4Π*10^-7</t>
  </si>
  <si>
    <t>コイル半径(a)</t>
  </si>
  <si>
    <t>コイル長(b)</t>
  </si>
  <si>
    <t>コイル巻き数(n)</t>
  </si>
  <si>
    <t>H</t>
  </si>
  <si>
    <t>トランス変圧</t>
  </si>
  <si>
    <t>【磁束密度】</t>
  </si>
  <si>
    <t>【磁束密度計算】</t>
  </si>
  <si>
    <t>変圧比a = E1 / E2 = V1 / V2= n1 / n2 = (L1 / L2)^2</t>
  </si>
  <si>
    <t>磁束密度 B =ur * u0 * n * I</t>
  </si>
  <si>
    <t>１次側電力(E1)</t>
  </si>
  <si>
    <t>２次側電力(E2)</t>
  </si>
  <si>
    <t>２次側電圧(E2)</t>
  </si>
  <si>
    <t>定数）鉄ur</t>
  </si>
  <si>
    <t>コイルの印加電圧(V)</t>
  </si>
  <si>
    <t>定数）空気ur</t>
  </si>
  <si>
    <t>電圧の印加時間(t)</t>
  </si>
  <si>
    <t>１次側巻き数(n1)</t>
  </si>
  <si>
    <t>定数）真空の透磁率</t>
  </si>
  <si>
    <t>コイル巻き数(N)</t>
  </si>
  <si>
    <t>２次側巻き数(n2)</t>
  </si>
  <si>
    <t>→→</t>
  </si>
  <si>
    <t>コア半径</t>
  </si>
  <si>
    <t>1次側インダクタンス(L1)</t>
  </si>
  <si>
    <t>コアの断面積(Ae)</t>
  </si>
  <si>
    <t>cm＾2</t>
  </si>
  <si>
    <t>2次側インダクタンス(L2)</t>
  </si>
  <si>
    <t>印加1次側電圧</t>
  </si>
  <si>
    <t>目的2次側電圧</t>
  </si>
  <si>
    <t>◆各項目から比の計算</t>
  </si>
  <si>
    <t>変圧比(E1/E2)</t>
  </si>
  <si>
    <t>変圧比(V1/V2)</t>
  </si>
  <si>
    <t>巻数比(n1/n2)</t>
  </si>
  <si>
    <t>巻数比((L1/L2)^2)</t>
  </si>
  <si>
    <t>◆目的電圧から計算</t>
  </si>
  <si>
    <t>n1とaからn2を</t>
  </si>
  <si>
    <t>L1とaからL2を</t>
  </si>
  <si>
    <t>ﾌﾗｲﾊﾞｯｸ電圧</t>
  </si>
  <si>
    <t>ﾌﾗｲﾊﾞｯｸ電圧(VOR)とはVOにトランスの巻線比を掛けた値</t>
  </si>
  <si>
    <t>※VO：二次側Voutに、二次側ダイオードD6のVFを加えたもの</t>
  </si>
  <si>
    <t>電圧比 = N1/N2 = (L1 / L2 )^2</t>
  </si>
  <si>
    <t>Np</t>
  </si>
  <si>
    <t>Lp</t>
  </si>
  <si>
    <t>Vf</t>
  </si>
  <si>
    <t>Duty</t>
  </si>
  <si>
    <t>Ns</t>
  </si>
  <si>
    <t>Ls</t>
  </si>
  <si>
    <t>VOR</t>
  </si>
  <si>
    <t>スナバ回路損失</t>
  </si>
  <si>
    <t>Ploss = Fsw * Csnb * Vin^2</t>
  </si>
  <si>
    <t>ｺﾝﾃﾞﾝｻ容量</t>
  </si>
  <si>
    <t>SW周波数</t>
  </si>
  <si>
    <t>損失</t>
  </si>
  <si>
    <t>トランス設計</t>
  </si>
  <si>
    <t>　　参考：</t>
  </si>
  <si>
    <t>http://www.momose.com/hirofumi/elec/dcdc/</t>
  </si>
  <si>
    <t>磁束密度B、透磁率μ、起磁力H、巻数N、電流I、磁路長lの関係 。</t>
  </si>
  <si>
    <t>(電磁気の基本の式)</t>
  </si>
  <si>
    <t>必要な情報</t>
  </si>
  <si>
    <t>①</t>
  </si>
  <si>
    <t>使用するコア材の最大磁束密度</t>
  </si>
  <si>
    <t>→カタログのグラフを見て最大と判断できる磁束密度</t>
  </si>
  <si>
    <t>Φ(大文字)：磁束密度、∮(小文字)：小文字、巻数N、磁束密度B、断面積S　</t>
  </si>
  <si>
    <t>　 PC40材が入手しやすい → 飽和時磁束密度：300mT</t>
  </si>
  <si>
    <t>Bの中にNがあるため、ΦはNの二乗に比例することがわかる</t>
  </si>
  <si>
    <t>②</t>
  </si>
  <si>
    <t>使用するコアの実効断面積</t>
  </si>
  <si>
    <t>インダクタンスLの定義式</t>
  </si>
  <si>
    <t>→カタログより、断面積</t>
  </si>
  <si>
    <t>　1-2W程度の小電源であれば何でもOK</t>
  </si>
  <si>
    <t>　E16 あたりが手ごろなサイズ　→　実効断面積：19.8mm^2</t>
  </si>
  <si>
    <t>　※小さいと巻き辛い。</t>
  </si>
  <si>
    <t>電流IとインダクタンスL、電圧V、時間tの関係式</t>
  </si>
  <si>
    <t>但し、ここではVが時間に関係ない(=直流)として扱う。</t>
  </si>
  <si>
    <t>③</t>
  </si>
  <si>
    <t xml:space="preserve">入力電圧 / PLL周波数 / デューティ比  </t>
  </si>
  <si>
    <t>以上の事より、巻き数Nを求める式は、この様になる。</t>
  </si>
  <si>
    <t>④</t>
  </si>
  <si>
    <t>エナメル線太さ</t>
  </si>
  <si>
    <t>→太すぎると回数を巻けない</t>
  </si>
  <si>
    <t>ｔは矩形波がONになっている時間なので、周波数fとデューティ比dで置き換える。</t>
  </si>
  <si>
    <t>　電流が多い方だけを太くする。</t>
  </si>
  <si>
    <t>　どこから巻いても良い</t>
  </si>
  <si>
    <t>例題）</t>
  </si>
  <si>
    <t>電圧5V、周波数50kHz、デューティは50%、断面積19.8mm2、磁束密度300mTの巻線</t>
  </si>
  <si>
    <t>1次側入力電圧(V)</t>
  </si>
  <si>
    <t>PLL周波数(ｆ)</t>
  </si>
  <si>
    <t>ﾃﾞｭｰﾃｨ比(d)</t>
  </si>
  <si>
    <t>コア断面積(S)</t>
  </si>
  <si>
    <t>mm^2</t>
  </si>
  <si>
    <t>コア材磁束密度(B)</t>
  </si>
  <si>
    <t>mT</t>
  </si>
  <si>
    <t>1次側巻数(N)</t>
  </si>
  <si>
    <t>2次側出力電圧</t>
  </si>
  <si>
    <t>1次側巻数</t>
  </si>
  <si>
    <t>2次側巻数</t>
  </si>
  <si>
    <t>巻数(N)</t>
  </si>
  <si>
    <t>電流(I)</t>
  </si>
  <si>
    <t>作業時間計算</t>
  </si>
  <si>
    <t>作業1時間</t>
  </si>
  <si>
    <t>作業2時間</t>
  </si>
  <si>
    <t>作業3時間</t>
  </si>
  <si>
    <t>作業回数</t>
  </si>
  <si>
    <t>セット</t>
  </si>
  <si>
    <t>作業時間</t>
  </si>
  <si>
    <t>距離</t>
  </si>
  <si>
    <t>ｺﾝﾃﾞﾝｻ充電電圧</t>
  </si>
  <si>
    <t>ﾄﾗﾝｼﾞｽﾀVce</t>
  </si>
  <si>
    <t>ﾀﾞｲｵｰﾄﾞ Vf</t>
  </si>
  <si>
    <t>ﾀﾞｲｵｰﾄﾞ Ir</t>
  </si>
  <si>
    <t>uA</t>
  </si>
  <si>
    <t>直列抵抗 R1</t>
  </si>
  <si>
    <t>放電抵抗 R2</t>
  </si>
  <si>
    <t>ｺﾚｸﾀ電流</t>
  </si>
  <si>
    <t>0Ω</t>
  </si>
  <si>
    <t>33Ω</t>
  </si>
  <si>
    <t>100Ω</t>
  </si>
  <si>
    <t>信号Max</t>
  </si>
  <si>
    <t>%Down</t>
  </si>
  <si>
    <t>ｵｰﾊﾞｰｼｭｰﾄ電圧</t>
  </si>
  <si>
    <t>信号Min</t>
  </si>
  <si>
    <t>-2</t>
  </si>
  <si>
    <t>ｱﾝﾀﾞｰｼｭｰﾄ電圧</t>
  </si>
  <si>
    <t>P-P</t>
  </si>
  <si>
    <t>＋</t>
  </si>
  <si>
    <t>+4.2</t>
  </si>
  <si>
    <t>+3.8</t>
  </si>
  <si>
    <t>+1</t>
  </si>
  <si>
    <t>電圧差</t>
  </si>
  <si>
    <t>-3</t>
  </si>
  <si>
    <t>-0.5</t>
  </si>
  <si>
    <t>基準抵抗</t>
  </si>
  <si>
    <t>実装抵抗</t>
  </si>
  <si>
    <t>抵抗値が3倍になった際の
ｵｰﾊﾞｰ電圧降下値</t>
  </si>
  <si>
    <t>ダンピング抵抗</t>
  </si>
  <si>
    <t>ｵｰﾊﾞｰ電圧</t>
  </si>
  <si>
    <t>磁束密度計算</t>
  </si>
  <si>
    <t>定数）鉄(ur)</t>
  </si>
  <si>
    <t>定数）空気(ur)</t>
  </si>
  <si>
    <t>定数）真空の透磁率(u0)</t>
  </si>
  <si>
    <t>　　損失と距離　　</t>
    <rPh sb="2" eb="4">
      <t>ソンシツ</t>
    </rPh>
    <rPh sb="5" eb="7">
      <t>キョリ</t>
    </rPh>
    <phoneticPr fontId="42"/>
  </si>
  <si>
    <t>周波数</t>
    <rPh sb="0" eb="3">
      <t>シュウハスウ</t>
    </rPh>
    <phoneticPr fontId="42"/>
  </si>
  <si>
    <t>Hz</t>
    <phoneticPr fontId="42"/>
  </si>
  <si>
    <t>m</t>
    <phoneticPr fontId="42"/>
  </si>
  <si>
    <t>伝搬速度</t>
    <rPh sb="0" eb="2">
      <t>デンパン</t>
    </rPh>
    <rPh sb="2" eb="4">
      <t>ソクド</t>
    </rPh>
    <phoneticPr fontId="42"/>
  </si>
  <si>
    <t>◆伝搬速度</t>
    <rPh sb="1" eb="3">
      <t>デンパン</t>
    </rPh>
    <rPh sb="3" eb="5">
      <t>ソクド</t>
    </rPh>
    <phoneticPr fontId="42"/>
  </si>
  <si>
    <t>音波(空気中)</t>
    <rPh sb="0" eb="2">
      <t>オンパ</t>
    </rPh>
    <rPh sb="3" eb="6">
      <t>クウキチュウ</t>
    </rPh>
    <phoneticPr fontId="42"/>
  </si>
  <si>
    <t>音波(海水中)</t>
    <rPh sb="0" eb="2">
      <t>オンパ</t>
    </rPh>
    <rPh sb="3" eb="6">
      <t>カイスイチュウ</t>
    </rPh>
    <phoneticPr fontId="42"/>
  </si>
  <si>
    <t>電磁波(光速)</t>
    <rPh sb="0" eb="3">
      <t>デンジハ</t>
    </rPh>
    <rPh sb="4" eb="6">
      <t>コウソク</t>
    </rPh>
    <phoneticPr fontId="42"/>
  </si>
  <si>
    <t>1波長</t>
    <rPh sb="1" eb="3">
      <t>ハチョウ</t>
    </rPh>
    <phoneticPr fontId="42"/>
  </si>
  <si>
    <t>m</t>
    <phoneticPr fontId="42"/>
  </si>
  <si>
    <r>
      <t>d</t>
    </r>
    <r>
      <rPr>
        <sz val="11"/>
        <color theme="1"/>
        <rFont val="ＭＳ Ｐゴシック"/>
        <family val="3"/>
        <charset val="128"/>
        <scheme val="minor"/>
      </rPr>
      <t>B</t>
    </r>
    <phoneticPr fontId="42"/>
  </si>
  <si>
    <t>◎無線通信距離計算１</t>
    <phoneticPr fontId="42"/>
  </si>
  <si>
    <t xml:space="preserve">    dbm→mWに変換(RL=50Ω)</t>
    <rPh sb="11" eb="13">
      <t>ヘンカン</t>
    </rPh>
    <phoneticPr fontId="45"/>
  </si>
  <si>
    <t xml:space="preserve"> W→dbm Vに変換(RL=50Ω)</t>
    <rPh sb="9" eb="11">
      <t>ヘンカン</t>
    </rPh>
    <phoneticPr fontId="45"/>
  </si>
  <si>
    <t>真数をｄｂ（電力比）に変換</t>
    <rPh sb="0" eb="2">
      <t>シンスウ</t>
    </rPh>
    <rPh sb="6" eb="8">
      <t>デンリョク</t>
    </rPh>
    <rPh sb="8" eb="9">
      <t>ヒ</t>
    </rPh>
    <rPh sb="11" eb="13">
      <t>ヘンカン</t>
    </rPh>
    <phoneticPr fontId="45"/>
  </si>
  <si>
    <t>dbm</t>
    <phoneticPr fontId="45"/>
  </si>
  <si>
    <t>パワー</t>
    <phoneticPr fontId="45"/>
  </si>
  <si>
    <t>電圧(rms)</t>
    <rPh sb="0" eb="2">
      <t>デンアツ</t>
    </rPh>
    <phoneticPr fontId="45"/>
  </si>
  <si>
    <t>真数入力</t>
    <rPh sb="0" eb="2">
      <t>シンスウ</t>
    </rPh>
    <rPh sb="2" eb="4">
      <t>ニュウリョク</t>
    </rPh>
    <phoneticPr fontId="45"/>
  </si>
  <si>
    <r>
      <t>ｄＢ（電力比</t>
    </r>
    <r>
      <rPr>
        <sz val="11"/>
        <color theme="1"/>
        <rFont val="ＭＳ Ｐゴシック"/>
        <family val="3"/>
        <charset val="128"/>
        <scheme val="minor"/>
      </rPr>
      <t>）</t>
    </r>
    <rPh sb="3" eb="5">
      <t>デンリョク</t>
    </rPh>
    <rPh sb="5" eb="6">
      <t>ヒ</t>
    </rPh>
    <phoneticPr fontId="45"/>
  </si>
  <si>
    <t>電圧(尖頭値)</t>
    <rPh sb="0" eb="2">
      <t>デンアツ</t>
    </rPh>
    <rPh sb="3" eb="4">
      <t>セン</t>
    </rPh>
    <rPh sb="4" eb="5">
      <t>アタマ</t>
    </rPh>
    <rPh sb="5" eb="6">
      <t>アタイ</t>
    </rPh>
    <phoneticPr fontId="45"/>
  </si>
  <si>
    <t>dbを真数（電力比）に変換</t>
    <rPh sb="3" eb="5">
      <t>シンスウ</t>
    </rPh>
    <rPh sb="6" eb="8">
      <t>デンリョク</t>
    </rPh>
    <rPh sb="8" eb="9">
      <t>ヒ</t>
    </rPh>
    <rPh sb="11" eb="13">
      <t>ヘンカン</t>
    </rPh>
    <phoneticPr fontId="45"/>
  </si>
  <si>
    <t>ｄＢ入力（電力比）</t>
    <rPh sb="2" eb="4">
      <t>ニュウリョク</t>
    </rPh>
    <rPh sb="5" eb="7">
      <t>デンリョク</t>
    </rPh>
    <rPh sb="7" eb="8">
      <t>ヒ</t>
    </rPh>
    <phoneticPr fontId="45"/>
  </si>
  <si>
    <t>真数</t>
    <rPh sb="0" eb="2">
      <t>シンスウ</t>
    </rPh>
    <phoneticPr fontId="45"/>
  </si>
  <si>
    <t>電圧(rms)→電力 , dbmに変換(RL=50Ω)</t>
    <rPh sb="0" eb="2">
      <t>デンアツ</t>
    </rPh>
    <rPh sb="8" eb="10">
      <t>デンリョク</t>
    </rPh>
    <rPh sb="17" eb="19">
      <t>ヘンカン</t>
    </rPh>
    <phoneticPr fontId="45"/>
  </si>
  <si>
    <t xml:space="preserve"> 電圧(尖頭値)→電力 , dbmに変換(RL=50Ω)</t>
    <rPh sb="1" eb="3">
      <t>デンアツ</t>
    </rPh>
    <rPh sb="4" eb="5">
      <t>セン</t>
    </rPh>
    <rPh sb="5" eb="6">
      <t>アタマ</t>
    </rPh>
    <rPh sb="6" eb="7">
      <t>チ</t>
    </rPh>
    <rPh sb="9" eb="11">
      <t>デンリョク</t>
    </rPh>
    <rPh sb="18" eb="20">
      <t>ヘンカン</t>
    </rPh>
    <phoneticPr fontId="45"/>
  </si>
  <si>
    <t>パワー</t>
    <phoneticPr fontId="45"/>
  </si>
  <si>
    <t>ｄｂｍ</t>
    <phoneticPr fontId="45"/>
  </si>
  <si>
    <t>この色のセルに半角で入力</t>
    <rPh sb="2" eb="3">
      <t>イロ</t>
    </rPh>
    <rPh sb="7" eb="9">
      <t>ハンカク</t>
    </rPh>
    <rPh sb="10" eb="12">
      <t>ニュウリョク</t>
    </rPh>
    <phoneticPr fontId="45"/>
  </si>
  <si>
    <t>ｋ</t>
    <phoneticPr fontId="45"/>
  </si>
  <si>
    <t>dBm  &lt;-&gt; W変換</t>
    <phoneticPr fontId="42"/>
  </si>
  <si>
    <t>　目次　</t>
    <phoneticPr fontId="42"/>
  </si>
  <si>
    <t>http://www.excel.studio-kazu.jp/func/log.html</t>
    <phoneticPr fontId="42"/>
  </si>
  <si>
    <t>◆番外　Excel操作</t>
    <rPh sb="1" eb="3">
      <t>バンガイ</t>
    </rPh>
    <rPh sb="9" eb="11">
      <t>ソウサ</t>
    </rPh>
    <phoneticPr fontId="42"/>
  </si>
  <si>
    <t>　　LOG　　</t>
    <phoneticPr fontId="42"/>
  </si>
  <si>
    <t xml:space="preserve">y[dB] = 10log_10 x </t>
    <phoneticPr fontId="42"/>
  </si>
  <si>
    <t>倍率[x]→デシベル[ｙ]</t>
    <rPh sb="0" eb="2">
      <t>バイリツ</t>
    </rPh>
    <phoneticPr fontId="42"/>
  </si>
  <si>
    <t>倍率</t>
    <rPh sb="0" eb="2">
      <t>バイリツ</t>
    </rPh>
    <phoneticPr fontId="42"/>
  </si>
  <si>
    <t>デシベル</t>
    <phoneticPr fontId="42"/>
  </si>
  <si>
    <t>倍</t>
    <rPh sb="0" eb="1">
      <t>バイ</t>
    </rPh>
    <phoneticPr fontId="42"/>
  </si>
  <si>
    <t>dB</t>
    <phoneticPr fontId="42"/>
  </si>
  <si>
    <t>デシベル[ｙ] →　倍率[x]</t>
    <phoneticPr fontId="42"/>
  </si>
  <si>
    <t>x=10^(y/10)</t>
    <phoneticPr fontId="42"/>
  </si>
  <si>
    <r>
      <t>d</t>
    </r>
    <r>
      <rPr>
        <sz val="11"/>
        <color theme="1"/>
        <rFont val="ＭＳ Ｐゴシック"/>
        <family val="3"/>
        <charset val="128"/>
        <scheme val="minor"/>
      </rPr>
      <t>B</t>
    </r>
    <phoneticPr fontId="42"/>
  </si>
  <si>
    <t>自由空間損失</t>
    <rPh sb="0" eb="2">
      <t>ジユウ</t>
    </rPh>
    <rPh sb="2" eb="4">
      <t>クウカン</t>
    </rPh>
    <rPh sb="4" eb="6">
      <t>ソンシツ</t>
    </rPh>
    <phoneticPr fontId="42"/>
  </si>
  <si>
    <t>ｆｔ</t>
    <phoneticPr fontId="42"/>
  </si>
  <si>
    <t>m</t>
    <phoneticPr fontId="42"/>
  </si>
  <si>
    <t>ロス</t>
    <phoneticPr fontId="42"/>
  </si>
  <si>
    <r>
      <t>f</t>
    </r>
    <r>
      <rPr>
        <sz val="11"/>
        <color theme="1"/>
        <rFont val="ＭＳ Ｐゴシック"/>
        <family val="3"/>
        <charset val="128"/>
        <scheme val="minor"/>
      </rPr>
      <t>t</t>
    </r>
    <phoneticPr fontId="42"/>
  </si>
  <si>
    <t>※この計算式でもほぼ同じ値になる</t>
    <rPh sb="3" eb="6">
      <t>ケイサンシキ</t>
    </rPh>
    <rPh sb="10" eb="11">
      <t>オナ</t>
    </rPh>
    <rPh sb="12" eb="13">
      <t>アタイ</t>
    </rPh>
    <phoneticPr fontId="42"/>
  </si>
  <si>
    <t>同軸ケーブル損失</t>
    <rPh sb="0" eb="2">
      <t>ドウジク</t>
    </rPh>
    <rPh sb="6" eb="8">
      <t>ソンシツ</t>
    </rPh>
    <phoneticPr fontId="49"/>
  </si>
  <si>
    <t>dB/m</t>
    <phoneticPr fontId="49"/>
  </si>
  <si>
    <t>倍</t>
    <rPh sb="0" eb="1">
      <t>バイ</t>
    </rPh>
    <phoneticPr fontId="49"/>
  </si>
  <si>
    <t>出力レベル[dBm]</t>
    <rPh sb="0" eb="2">
      <t>シュツリョク</t>
    </rPh>
    <phoneticPr fontId="49"/>
  </si>
  <si>
    <t>dBm</t>
    <phoneticPr fontId="49"/>
  </si>
  <si>
    <t>出力レベル[mW]</t>
    <rPh sb="0" eb="2">
      <t>シュツリョク</t>
    </rPh>
    <phoneticPr fontId="49"/>
  </si>
  <si>
    <t>mW</t>
    <phoneticPr fontId="49"/>
  </si>
  <si>
    <t>通信周波数</t>
    <rPh sb="0" eb="2">
      <t>ツウシン</t>
    </rPh>
    <rPh sb="2" eb="5">
      <t>シュウハスウ</t>
    </rPh>
    <phoneticPr fontId="49"/>
  </si>
  <si>
    <t>MHz</t>
    <phoneticPr fontId="49"/>
  </si>
  <si>
    <t>送信側アンテナGain[dBi]</t>
    <rPh sb="0" eb="2">
      <t>ソウシン</t>
    </rPh>
    <rPh sb="2" eb="3">
      <t>ガワ</t>
    </rPh>
    <phoneticPr fontId="49"/>
  </si>
  <si>
    <t>dBi</t>
    <phoneticPr fontId="49"/>
  </si>
  <si>
    <t>受信側アンテナGain[dBi]</t>
    <rPh sb="0" eb="2">
      <t>ジュシン</t>
    </rPh>
    <rPh sb="2" eb="3">
      <t>ガワ</t>
    </rPh>
    <phoneticPr fontId="49"/>
  </si>
  <si>
    <t>受信側感度[dBm]</t>
    <rPh sb="0" eb="2">
      <t>ジュシン</t>
    </rPh>
    <rPh sb="2" eb="3">
      <t>ガワ</t>
    </rPh>
    <rPh sb="3" eb="5">
      <t>カンド</t>
    </rPh>
    <phoneticPr fontId="49"/>
  </si>
  <si>
    <t>dBm</t>
    <phoneticPr fontId="49"/>
  </si>
  <si>
    <t>m</t>
    <phoneticPr fontId="49"/>
  </si>
  <si>
    <t>減衰後 通信距離[計算値]</t>
    <rPh sb="0" eb="2">
      <t>ゲンスイ</t>
    </rPh>
    <rPh sb="2" eb="3">
      <t>アト</t>
    </rPh>
    <rPh sb="4" eb="6">
      <t>ツウシン</t>
    </rPh>
    <rPh sb="6" eb="8">
      <t>キョリ</t>
    </rPh>
    <rPh sb="9" eb="12">
      <t>ケイサンチ</t>
    </rPh>
    <phoneticPr fontId="49"/>
  </si>
  <si>
    <t>減衰率</t>
    <rPh sb="0" eb="2">
      <t>ゲンスイ</t>
    </rPh>
    <rPh sb="2" eb="3">
      <t>リツ</t>
    </rPh>
    <phoneticPr fontId="49"/>
  </si>
  <si>
    <t>%</t>
    <phoneticPr fontId="49"/>
  </si>
  <si>
    <t>ケーブルロスによる通信距離計算</t>
    <rPh sb="9" eb="11">
      <t>ツウシン</t>
    </rPh>
    <rPh sb="11" eb="13">
      <t>キョリ</t>
    </rPh>
    <rPh sb="13" eb="15">
      <t>ケイサン</t>
    </rPh>
    <phoneticPr fontId="42"/>
  </si>
  <si>
    <t>ｹｰﾌﾞﾙLossによる通信距離</t>
    <phoneticPr fontId="42"/>
  </si>
  <si>
    <t>http://jp.rs-online.com/web/p/coaxial-cable/5218391/?cm_mmc=JP-PPC-_-google-_-DSA_JP_JP_Cable_Wires-_-&amp;mkwid=svSe5N086-dc|pcrid|186689151272|pkw|_inurl%3A%2Fp%2Fcoaxial-cable%2F|pmt|b|prd|</t>
    <phoneticPr fontId="42"/>
  </si>
  <si>
    <t>RG214/U</t>
    <phoneticPr fontId="42"/>
  </si>
  <si>
    <t>◆通信距離計算</t>
    <rPh sb="1" eb="3">
      <t>ツウシン</t>
    </rPh>
    <rPh sb="3" eb="5">
      <t>キョリ</t>
    </rPh>
    <rPh sb="5" eb="7">
      <t>ケイサン</t>
    </rPh>
    <phoneticPr fontId="42"/>
  </si>
  <si>
    <t>OR</t>
    <phoneticPr fontId="42"/>
  </si>
  <si>
    <t>◆dBm　-&gt;　電力(mW)</t>
    <rPh sb="8" eb="10">
      <t>デンリョク</t>
    </rPh>
    <phoneticPr fontId="42"/>
  </si>
  <si>
    <t>10^(B6/10)</t>
    <phoneticPr fontId="42"/>
  </si>
  <si>
    <t>Low Loss　部品</t>
    <rPh sb="9" eb="11">
      <t>ブヒン</t>
    </rPh>
    <phoneticPr fontId="42"/>
  </si>
  <si>
    <t>m</t>
    <phoneticPr fontId="42"/>
  </si>
  <si>
    <t>減衰前通信距離</t>
    <rPh sb="0" eb="2">
      <t>ゲンスイ</t>
    </rPh>
    <rPh sb="2" eb="3">
      <t>マエ</t>
    </rPh>
    <rPh sb="3" eb="5">
      <t>ツウシン</t>
    </rPh>
    <rPh sb="5" eb="7">
      <t>キョリ</t>
    </rPh>
    <phoneticPr fontId="49"/>
  </si>
  <si>
    <t>※その他損失を考慮しない場合</t>
    <rPh sb="3" eb="4">
      <t>タ</t>
    </rPh>
    <rPh sb="4" eb="6">
      <t>ソンシツ</t>
    </rPh>
    <rPh sb="7" eb="9">
      <t>コウリョ</t>
    </rPh>
    <rPh sb="12" eb="14">
      <t>バアイ</t>
    </rPh>
    <phoneticPr fontId="42"/>
  </si>
  <si>
    <t>　(自由空間損失等)</t>
    <rPh sb="2" eb="4">
      <t>ジユウ</t>
    </rPh>
    <rPh sb="4" eb="6">
      <t>クウカン</t>
    </rPh>
    <rPh sb="6" eb="8">
      <t>ソンシツ</t>
    </rPh>
    <rPh sb="8" eb="9">
      <t>トウ</t>
    </rPh>
    <phoneticPr fontId="42"/>
  </si>
  <si>
    <t>・同軸ケーブル損失より、電力倍率を算出</t>
    <rPh sb="1" eb="3">
      <t>ドウジク</t>
    </rPh>
    <rPh sb="7" eb="9">
      <t>ソンシツ</t>
    </rPh>
    <rPh sb="12" eb="14">
      <t>デンリョク</t>
    </rPh>
    <rPh sb="14" eb="16">
      <t>バイリツ</t>
    </rPh>
    <rPh sb="17" eb="19">
      <t>サンシュツ</t>
    </rPh>
    <phoneticPr fontId="42"/>
  </si>
  <si>
    <t>電力倍率</t>
    <rPh sb="0" eb="2">
      <t>デンリョク</t>
    </rPh>
    <rPh sb="2" eb="4">
      <t>バイリツ</t>
    </rPh>
    <phoneticPr fontId="49"/>
  </si>
  <si>
    <t>・出力レベルに、電力倍率を与え、dBm換算</t>
    <rPh sb="1" eb="3">
      <t>シュツリョク</t>
    </rPh>
    <rPh sb="8" eb="10">
      <t>デンリョク</t>
    </rPh>
    <rPh sb="10" eb="12">
      <t>バイリツ</t>
    </rPh>
    <rPh sb="13" eb="14">
      <t>アタ</t>
    </rPh>
    <rPh sb="19" eb="21">
      <t>カンザン</t>
    </rPh>
    <phoneticPr fontId="42"/>
  </si>
  <si>
    <t>ｹｰﾌﾞﾙ損失後 出力レベル[dBm]</t>
    <rPh sb="5" eb="7">
      <t>ソンシツ</t>
    </rPh>
    <rPh sb="7" eb="8">
      <t>ゴ</t>
    </rPh>
    <rPh sb="9" eb="11">
      <t>シュツリョク</t>
    </rPh>
    <phoneticPr fontId="49"/>
  </si>
  <si>
    <t>ｹｰﾌﾞﾙ損失後 出力レベル［mW］</t>
    <rPh sb="5" eb="7">
      <t>ソンシツ</t>
    </rPh>
    <rPh sb="7" eb="8">
      <t>ゴ</t>
    </rPh>
    <rPh sb="9" eb="11">
      <t>シュツリョク</t>
    </rPh>
    <phoneticPr fontId="49"/>
  </si>
  <si>
    <t>・通信距離計算より、損失前後の距離を算出し、比較</t>
    <rPh sb="1" eb="3">
      <t>ツウシン</t>
    </rPh>
    <rPh sb="3" eb="5">
      <t>キョリ</t>
    </rPh>
    <rPh sb="5" eb="7">
      <t>ケイサン</t>
    </rPh>
    <rPh sb="10" eb="12">
      <t>ソンシツ</t>
    </rPh>
    <rPh sb="12" eb="14">
      <t>ゼンゴ</t>
    </rPh>
    <rPh sb="15" eb="17">
      <t>キョリ</t>
    </rPh>
    <rPh sb="18" eb="20">
      <t>サンシュツ</t>
    </rPh>
    <rPh sb="22" eb="24">
      <t>ヒカク</t>
    </rPh>
    <phoneticPr fontId="42"/>
  </si>
  <si>
    <t>dB/m</t>
    <phoneticPr fontId="49"/>
  </si>
  <si>
    <t>dBm</t>
    <phoneticPr fontId="49"/>
  </si>
  <si>
    <t>mW</t>
    <phoneticPr fontId="49"/>
  </si>
  <si>
    <t>dBm</t>
    <phoneticPr fontId="49"/>
  </si>
  <si>
    <t>mW</t>
    <phoneticPr fontId="49"/>
  </si>
  <si>
    <t>OR</t>
    <phoneticPr fontId="42"/>
  </si>
  <si>
    <t>MHz</t>
    <phoneticPr fontId="49"/>
  </si>
  <si>
    <t>dBi</t>
    <phoneticPr fontId="49"/>
  </si>
  <si>
    <t>m</t>
    <phoneticPr fontId="49"/>
  </si>
  <si>
    <t>m</t>
    <phoneticPr fontId="42"/>
  </si>
  <si>
    <r>
      <t>同軸ケーブル1</t>
    </r>
    <r>
      <rPr>
        <sz val="11"/>
        <color theme="1"/>
        <rFont val="ＭＳ Ｐゴシック"/>
        <family val="3"/>
        <charset val="128"/>
        <scheme val="minor"/>
      </rPr>
      <t>mの</t>
    </r>
    <r>
      <rPr>
        <sz val="11"/>
        <color theme="1"/>
        <rFont val="ＭＳ Ｐゴシック"/>
        <family val="2"/>
        <charset val="128"/>
        <scheme val="minor"/>
      </rPr>
      <t>減衰率</t>
    </r>
    <rPh sb="0" eb="2">
      <t>ドウジク</t>
    </rPh>
    <rPh sb="9" eb="11">
      <t>ゲンスイ</t>
    </rPh>
    <rPh sb="11" eb="12">
      <t>リツ</t>
    </rPh>
    <phoneticPr fontId="49"/>
  </si>
  <si>
    <r>
      <t>%</t>
    </r>
    <r>
      <rPr>
        <sz val="11"/>
        <color theme="1"/>
        <rFont val="ＭＳ Ｐゴシック"/>
        <family val="3"/>
        <charset val="128"/>
        <scheme val="minor"/>
      </rPr>
      <t xml:space="preserve"> / m</t>
    </r>
    <phoneticPr fontId="49"/>
  </si>
  <si>
    <t>同軸ケーブル長</t>
    <rPh sb="0" eb="2">
      <t>ドウジク</t>
    </rPh>
    <rPh sb="6" eb="7">
      <t>チョウ</t>
    </rPh>
    <phoneticPr fontId="49"/>
  </si>
  <si>
    <t>%</t>
    <phoneticPr fontId="49"/>
  </si>
  <si>
    <t>RG214/U</t>
    <phoneticPr fontId="42"/>
  </si>
  <si>
    <t>http://jp.rs-online.com/web/p/coaxial-cable/5218391/?cm_mmc=JP-PPC-_-google-_-DSA_JP_JP_Cable_Wires-_-&amp;mkwid=svSe5N086-dc|pcrid|186689151272|pkw|_inurl%3A%2Fp%2Fcoaxial-cable%2F|pmt|b|prd|</t>
    <phoneticPr fontId="42"/>
  </si>
  <si>
    <t>年</t>
    <rPh sb="0" eb="1">
      <t>ネン</t>
    </rPh>
    <phoneticPr fontId="42"/>
  </si>
  <si>
    <t>電池使用可能動作年数</t>
    <rPh sb="8" eb="9">
      <t>ネン</t>
    </rPh>
    <phoneticPr fontId="42"/>
  </si>
  <si>
    <t>電圧変換効率</t>
    <rPh sb="0" eb="2">
      <t>デンアツ</t>
    </rPh>
    <rPh sb="2" eb="4">
      <t>ヘンカン</t>
    </rPh>
    <phoneticPr fontId="42"/>
  </si>
  <si>
    <t>mA/時間</t>
    <phoneticPr fontId="42"/>
  </si>
  <si>
    <t>電池寿命(簡潔動作)</t>
    <phoneticPr fontId="42"/>
  </si>
  <si>
    <t>電池電圧</t>
    <rPh sb="0" eb="2">
      <t>デンチ</t>
    </rPh>
    <rPh sb="2" eb="4">
      <t>デンアツ</t>
    </rPh>
    <phoneticPr fontId="42"/>
  </si>
  <si>
    <t>電圧増幅率</t>
    <rPh sb="0" eb="2">
      <t>デンアツ</t>
    </rPh>
    <phoneticPr fontId="42"/>
  </si>
  <si>
    <t>駆動時）電池消費電流</t>
    <rPh sb="0" eb="2">
      <t>クドウ</t>
    </rPh>
    <rPh sb="2" eb="3">
      <t>ジ</t>
    </rPh>
    <rPh sb="4" eb="6">
      <t>デンチ</t>
    </rPh>
    <rPh sb="6" eb="8">
      <t>ショウヒ</t>
    </rPh>
    <rPh sb="8" eb="10">
      <t>デンリュウ</t>
    </rPh>
    <phoneticPr fontId="42"/>
  </si>
  <si>
    <t>駆動時）消費電流</t>
    <rPh sb="0" eb="2">
      <t>クドウ</t>
    </rPh>
    <rPh sb="2" eb="3">
      <t>ジ</t>
    </rPh>
    <rPh sb="4" eb="6">
      <t>ショウヒ</t>
    </rPh>
    <rPh sb="6" eb="8">
      <t>デンリュウ</t>
    </rPh>
    <phoneticPr fontId="42"/>
  </si>
  <si>
    <t>電圧変換後</t>
    <phoneticPr fontId="42"/>
  </si>
  <si>
    <r>
      <t>A</t>
    </r>
    <r>
      <rPr>
        <sz val="11"/>
        <color theme="1"/>
        <rFont val="ＭＳ Ｐゴシック"/>
        <family val="3"/>
        <charset val="128"/>
        <scheme val="minor"/>
      </rPr>
      <t>time</t>
    </r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</si>
  <si>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s</t>
    </r>
    <phoneticPr fontId="42"/>
  </si>
  <si>
    <r>
      <t>g</t>
    </r>
    <r>
      <rPr>
        <sz val="11"/>
        <color theme="1"/>
        <rFont val="ＭＳ Ｐゴシック"/>
        <family val="3"/>
        <charset val="128"/>
        <scheme val="minor"/>
      </rPr>
      <t>ain</t>
    </r>
    <phoneticPr fontId="42"/>
  </si>
  <si>
    <r>
      <t>g</t>
    </r>
    <r>
      <rPr>
        <sz val="11"/>
        <color theme="1"/>
        <rFont val="ＭＳ Ｐゴシック"/>
        <family val="3"/>
        <charset val="128"/>
        <scheme val="minor"/>
      </rPr>
      <t>a</t>
    </r>
    <phoneticPr fontId="42"/>
  </si>
  <si>
    <r>
      <t>C</t>
    </r>
    <r>
      <rPr>
        <sz val="11"/>
        <color theme="1"/>
        <rFont val="ＭＳ Ｐゴシック"/>
        <family val="3"/>
        <charset val="128"/>
        <scheme val="minor"/>
      </rPr>
      <t>PL</t>
    </r>
    <phoneticPr fontId="42"/>
  </si>
  <si>
    <t>C1DATA</t>
    <phoneticPr fontId="42"/>
  </si>
  <si>
    <t>Lux1</t>
    <phoneticPr fontId="42"/>
  </si>
  <si>
    <t>Lux2</t>
    <phoneticPr fontId="42"/>
  </si>
  <si>
    <t>Lux</t>
    <phoneticPr fontId="42"/>
  </si>
  <si>
    <r>
      <t>C</t>
    </r>
    <r>
      <rPr>
        <sz val="11"/>
        <color theme="1"/>
        <rFont val="ＭＳ Ｐゴシック"/>
        <family val="3"/>
        <charset val="128"/>
        <scheme val="minor"/>
      </rPr>
      <t>0DATA</t>
    </r>
    <phoneticPr fontId="42"/>
  </si>
  <si>
    <t>■間欠動作時</t>
    <phoneticPr fontId="42"/>
  </si>
  <si>
    <t>　目次　</t>
    <phoneticPr fontId="42"/>
  </si>
  <si>
    <t>リチウム電源の場合</t>
    <rPh sb="4" eb="6">
      <t>デンゲン</t>
    </rPh>
    <rPh sb="7" eb="9">
      <t>バアイ</t>
    </rPh>
    <phoneticPr fontId="42"/>
  </si>
  <si>
    <t>ｍA/時間</t>
    <rPh sb="3" eb="5">
      <t>ジカン</t>
    </rPh>
    <phoneticPr fontId="42"/>
  </si>
  <si>
    <t>日</t>
    <rPh sb="0" eb="1">
      <t>ニチ</t>
    </rPh>
    <phoneticPr fontId="42"/>
  </si>
  <si>
    <t>時間</t>
    <rPh sb="0" eb="2">
      <t>ジカン</t>
    </rPh>
    <phoneticPr fontId="42"/>
  </si>
  <si>
    <t>トータル(1+2)</t>
    <phoneticPr fontId="42"/>
  </si>
  <si>
    <t>トータル(1+2+3)</t>
    <phoneticPr fontId="42"/>
  </si>
  <si>
    <t>1</t>
    <phoneticPr fontId="42"/>
  </si>
  <si>
    <t>センサ数</t>
    <rPh sb="3" eb="4">
      <t>スウ</t>
    </rPh>
    <phoneticPr fontId="49"/>
  </si>
  <si>
    <t>台</t>
    <rPh sb="0" eb="1">
      <t>ダイ</t>
    </rPh>
    <phoneticPr fontId="49"/>
  </si>
  <si>
    <t>Byte</t>
    <phoneticPr fontId="49"/>
  </si>
  <si>
    <t>間欠時間</t>
    <rPh sb="0" eb="2">
      <t>カンケツ</t>
    </rPh>
    <rPh sb="2" eb="4">
      <t>ジカン</t>
    </rPh>
    <phoneticPr fontId="49"/>
  </si>
  <si>
    <t>秒</t>
    <rPh sb="0" eb="1">
      <t>ビョウ</t>
    </rPh>
    <phoneticPr fontId="49"/>
  </si>
  <si>
    <t>ログ時間</t>
    <rPh sb="2" eb="4">
      <t>ジカン</t>
    </rPh>
    <phoneticPr fontId="49"/>
  </si>
  <si>
    <t>分</t>
    <rPh sb="0" eb="1">
      <t>フン</t>
    </rPh>
    <phoneticPr fontId="49"/>
  </si>
  <si>
    <t>時間</t>
    <rPh sb="0" eb="2">
      <t>ジカン</t>
    </rPh>
    <phoneticPr fontId="49"/>
  </si>
  <si>
    <t>Byte</t>
    <phoneticPr fontId="49"/>
  </si>
  <si>
    <t>電池容量</t>
    <rPh sb="0" eb="2">
      <t>デンチ</t>
    </rPh>
    <rPh sb="2" eb="4">
      <t>ヨウリョウ</t>
    </rPh>
    <phoneticPr fontId="42"/>
  </si>
  <si>
    <t>電池マージン</t>
    <rPh sb="0" eb="2">
      <t>デンチ</t>
    </rPh>
    <phoneticPr fontId="42"/>
  </si>
  <si>
    <t>土壌水分センサ10HS</t>
    <rPh sb="0" eb="2">
      <t>ドジョウ</t>
    </rPh>
    <rPh sb="2" eb="4">
      <t>スイブン</t>
    </rPh>
    <phoneticPr fontId="42"/>
  </si>
  <si>
    <t>乗算値</t>
    <rPh sb="0" eb="1">
      <t>ジョウ</t>
    </rPh>
    <rPh sb="1" eb="2">
      <t>サン</t>
    </rPh>
    <rPh sb="2" eb="3">
      <t>チ</t>
    </rPh>
    <phoneticPr fontId="42"/>
  </si>
  <si>
    <t>減算値</t>
    <rPh sb="0" eb="3">
      <t>ゲンサンチ</t>
    </rPh>
    <phoneticPr fontId="42"/>
  </si>
  <si>
    <t>■本場(トマト)</t>
    <rPh sb="1" eb="3">
      <t>ホンジョウ</t>
    </rPh>
    <phoneticPr fontId="42"/>
  </si>
  <si>
    <t>VWC = 0.713 * Vout - 0.3408</t>
    <phoneticPr fontId="42"/>
  </si>
  <si>
    <t>■分場</t>
    <rPh sb="1" eb="2">
      <t>ブン</t>
    </rPh>
    <rPh sb="2" eb="3">
      <t>バ</t>
    </rPh>
    <phoneticPr fontId="42"/>
  </si>
  <si>
    <t>VWC = ？ * Vout -？</t>
    <phoneticPr fontId="42"/>
  </si>
  <si>
    <t>出力電圧</t>
    <rPh sb="0" eb="2">
      <t>シュツリョク</t>
    </rPh>
    <rPh sb="2" eb="4">
      <t>デンアツ</t>
    </rPh>
    <phoneticPr fontId="42"/>
  </si>
  <si>
    <t>V</t>
    <phoneticPr fontId="42"/>
  </si>
  <si>
    <t>体積含水率</t>
    <rPh sb="0" eb="2">
      <t>タイセキ</t>
    </rPh>
    <rPh sb="2" eb="5">
      <t>ガンスイリツ</t>
    </rPh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</si>
  <si>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3/m3</t>
    </r>
    <phoneticPr fontId="42"/>
  </si>
  <si>
    <t>%</t>
    <phoneticPr fontId="42"/>
  </si>
  <si>
    <t>10HS 体積含水率(福岡県農業IoT)</t>
    <rPh sb="5" eb="7">
      <t>タイセキ</t>
    </rPh>
    <rPh sb="7" eb="10">
      <t>ガンスイリツ</t>
    </rPh>
    <rPh sb="11" eb="14">
      <t>フクオカケン</t>
    </rPh>
    <rPh sb="14" eb="16">
      <t>ノウギョウ</t>
    </rPh>
    <phoneticPr fontId="42"/>
  </si>
  <si>
    <t>供給電圧</t>
    <rPh sb="0" eb="2">
      <t>キョウキュウ</t>
    </rPh>
    <rPh sb="2" eb="4">
      <t>デンアツ</t>
    </rPh>
    <phoneticPr fontId="42"/>
  </si>
  <si>
    <t>V</t>
    <phoneticPr fontId="42"/>
  </si>
  <si>
    <t>kΩ</t>
    <phoneticPr fontId="55"/>
  </si>
  <si>
    <t>R1</t>
    <phoneticPr fontId="55"/>
  </si>
  <si>
    <t>R2</t>
    <phoneticPr fontId="55"/>
  </si>
  <si>
    <t>kΩ</t>
    <phoneticPr fontId="55"/>
  </si>
  <si>
    <t>Vo</t>
    <phoneticPr fontId="55"/>
  </si>
  <si>
    <t>MPM3820 出力計算</t>
    <rPh sb="8" eb="10">
      <t>シュツリョク</t>
    </rPh>
    <rPh sb="10" eb="12">
      <t>ケイサン</t>
    </rPh>
    <phoneticPr fontId="55"/>
  </si>
  <si>
    <t>V</t>
    <phoneticPr fontId="55"/>
  </si>
  <si>
    <r>
      <t>F</t>
    </r>
    <r>
      <rPr>
        <sz val="11"/>
        <color theme="1"/>
        <rFont val="ＭＳ Ｐゴシック"/>
        <family val="3"/>
        <charset val="128"/>
        <scheme val="minor"/>
      </rPr>
      <t>B</t>
    </r>
    <phoneticPr fontId="55"/>
  </si>
  <si>
    <t>R2から出力電圧を求める</t>
    <rPh sb="4" eb="6">
      <t>シュツリョク</t>
    </rPh>
    <rPh sb="6" eb="8">
      <t>デンアツ</t>
    </rPh>
    <rPh sb="9" eb="10">
      <t>モト</t>
    </rPh>
    <phoneticPr fontId="55"/>
  </si>
  <si>
    <t>出力電圧からR2を求める</t>
    <rPh sb="0" eb="2">
      <t>シュツリョク</t>
    </rPh>
    <rPh sb="2" eb="4">
      <t>デンアツ</t>
    </rPh>
    <rPh sb="9" eb="10">
      <t>モト</t>
    </rPh>
    <phoneticPr fontId="55"/>
  </si>
  <si>
    <t>MPM3820 出力計算</t>
    <phoneticPr fontId="42"/>
  </si>
  <si>
    <t>　</t>
    <phoneticPr fontId="55"/>
  </si>
  <si>
    <t>Ref</t>
    <phoneticPr fontId="49"/>
  </si>
  <si>
    <t>R1</t>
    <phoneticPr fontId="49"/>
  </si>
  <si>
    <t>R2</t>
    <phoneticPr fontId="49"/>
  </si>
  <si>
    <t>◆LD1085C</t>
    <phoneticPr fontId="55"/>
  </si>
  <si>
    <t>3GRay電源計算</t>
    <rPh sb="5" eb="7">
      <t>デンゲン</t>
    </rPh>
    <rPh sb="7" eb="9">
      <t>ケイサン</t>
    </rPh>
    <phoneticPr fontId="55"/>
  </si>
  <si>
    <t>3GRay電源</t>
    <rPh sb="5" eb="7">
      <t>デンゲン</t>
    </rPh>
    <phoneticPr fontId="42"/>
  </si>
  <si>
    <t>R1</t>
    <phoneticPr fontId="55"/>
  </si>
  <si>
    <t>R2</t>
    <phoneticPr fontId="55"/>
  </si>
  <si>
    <t>Vref</t>
    <phoneticPr fontId="55"/>
  </si>
  <si>
    <t>V</t>
    <phoneticPr fontId="55"/>
  </si>
  <si>
    <t>Ω</t>
    <phoneticPr fontId="55"/>
  </si>
  <si>
    <t>Ω</t>
    <phoneticPr fontId="55"/>
  </si>
  <si>
    <t>Vout</t>
    <phoneticPr fontId="55"/>
  </si>
  <si>
    <t>V</t>
    <phoneticPr fontId="55"/>
  </si>
  <si>
    <t>◆LM317</t>
    <phoneticPr fontId="55"/>
  </si>
  <si>
    <t>555発発振回路</t>
    <rPh sb="3" eb="4">
      <t>ハツ</t>
    </rPh>
    <rPh sb="4" eb="6">
      <t>ハッシン</t>
    </rPh>
    <rPh sb="6" eb="8">
      <t>カイロ</t>
    </rPh>
    <phoneticPr fontId="42"/>
  </si>
  <si>
    <t>Ω</t>
    <phoneticPr fontId="42"/>
  </si>
  <si>
    <t>uF</t>
    <phoneticPr fontId="42"/>
  </si>
  <si>
    <r>
      <t>R</t>
    </r>
    <r>
      <rPr>
        <sz val="11"/>
        <color theme="1"/>
        <rFont val="ＭＳ Ｐゴシック"/>
        <family val="3"/>
        <charset val="128"/>
        <scheme val="minor"/>
      </rPr>
      <t>a</t>
    </r>
    <phoneticPr fontId="42"/>
  </si>
  <si>
    <r>
      <t>R</t>
    </r>
    <r>
      <rPr>
        <sz val="11"/>
        <color theme="1"/>
        <rFont val="ＭＳ Ｐゴシック"/>
        <family val="3"/>
        <charset val="128"/>
        <scheme val="minor"/>
      </rPr>
      <t>b</t>
    </r>
    <phoneticPr fontId="42"/>
  </si>
  <si>
    <t>Ω</t>
    <phoneticPr fontId="42"/>
  </si>
  <si>
    <t>C</t>
    <phoneticPr fontId="42"/>
  </si>
  <si>
    <t>ｓ</t>
    <phoneticPr fontId="42"/>
  </si>
  <si>
    <t>ｓ</t>
    <phoneticPr fontId="42"/>
  </si>
  <si>
    <t>Hｚ</t>
    <phoneticPr fontId="42"/>
  </si>
  <si>
    <t>デューティ比</t>
    <rPh sb="5" eb="6">
      <t>ヒ</t>
    </rPh>
    <phoneticPr fontId="42"/>
  </si>
  <si>
    <t>%</t>
    <phoneticPr fontId="42"/>
  </si>
  <si>
    <r>
      <t>High時間</t>
    </r>
    <r>
      <rPr>
        <sz val="11"/>
        <color theme="1"/>
        <rFont val="ＭＳ Ｐゴシック"/>
        <family val="3"/>
        <charset val="128"/>
        <scheme val="minor"/>
      </rPr>
      <t>(TH)</t>
    </r>
    <rPh sb="4" eb="6">
      <t>ジカン</t>
    </rPh>
    <phoneticPr fontId="42"/>
  </si>
  <si>
    <r>
      <t>Low時間</t>
    </r>
    <r>
      <rPr>
        <sz val="11"/>
        <color theme="1"/>
        <rFont val="ＭＳ Ｐゴシック"/>
        <family val="3"/>
        <charset val="128"/>
        <scheme val="minor"/>
      </rPr>
      <t>(TL)</t>
    </r>
    <rPh sb="3" eb="5">
      <t>ジカン</t>
    </rPh>
    <phoneticPr fontId="42"/>
  </si>
  <si>
    <t>周期</t>
    <rPh sb="0" eb="2">
      <t>シュウキ</t>
    </rPh>
    <phoneticPr fontId="42"/>
  </si>
  <si>
    <t>555発振回路</t>
    <rPh sb="3" eb="5">
      <t>ハッシン</t>
    </rPh>
    <rPh sb="5" eb="7">
      <t>カイロ</t>
    </rPh>
    <phoneticPr fontId="42"/>
  </si>
  <si>
    <t>http://www.zea.jp/audio/schematic/sc_file/018.htm</t>
    <phoneticPr fontId="42"/>
  </si>
  <si>
    <t>%</t>
    <phoneticPr fontId="42"/>
  </si>
  <si>
    <t>Low比率」</t>
    <rPh sb="3" eb="5">
      <t>ヒリツ</t>
    </rPh>
    <phoneticPr fontId="42"/>
  </si>
  <si>
    <t>昇降圧電流計算</t>
    <phoneticPr fontId="42"/>
  </si>
  <si>
    <t>昇降圧電流計算</t>
    <phoneticPr fontId="42"/>
  </si>
  <si>
    <t>入力電流</t>
    <rPh sb="0" eb="2">
      <t>ニュウリョク</t>
    </rPh>
    <rPh sb="2" eb="4">
      <t>デンリュウ</t>
    </rPh>
    <phoneticPr fontId="42"/>
  </si>
  <si>
    <t>出力電流</t>
    <rPh sb="0" eb="2">
      <t>シュツリョク</t>
    </rPh>
    <rPh sb="2" eb="4">
      <t>デンリュウ</t>
    </rPh>
    <phoneticPr fontId="42"/>
  </si>
  <si>
    <t>入力電圧</t>
    <rPh sb="0" eb="2">
      <t>ニュウリョク</t>
    </rPh>
    <rPh sb="2" eb="4">
      <t>デンアツ</t>
    </rPh>
    <phoneticPr fontId="42"/>
  </si>
  <si>
    <t>mA</t>
    <phoneticPr fontId="42"/>
  </si>
  <si>
    <t>V</t>
    <phoneticPr fontId="42"/>
  </si>
  <si>
    <t>V</t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</si>
  <si>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A</t>
    </r>
    <phoneticPr fontId="42"/>
  </si>
  <si>
    <t>増幅度</t>
    <rPh sb="0" eb="2">
      <t>ゾウフク</t>
    </rPh>
    <rPh sb="2" eb="3">
      <t>ド</t>
    </rPh>
    <phoneticPr fontId="42"/>
  </si>
  <si>
    <t>効率</t>
    <rPh sb="0" eb="2">
      <t>コウリツ</t>
    </rPh>
    <phoneticPr fontId="42"/>
  </si>
  <si>
    <t>%</t>
    <phoneticPr fontId="42"/>
  </si>
  <si>
    <t>入力損失電流</t>
    <rPh sb="0" eb="2">
      <t>ニュウリョク</t>
    </rPh>
    <rPh sb="2" eb="4">
      <t>ソンシツ</t>
    </rPh>
    <rPh sb="4" eb="6">
      <t>デンリュウ</t>
    </rPh>
    <phoneticPr fontId="42"/>
  </si>
  <si>
    <t>単体ﾃﾞﾀｰﾀｻｲｽﾞ</t>
    <rPh sb="0" eb="2">
      <t>タンタイ</t>
    </rPh>
    <phoneticPr fontId="49"/>
  </si>
  <si>
    <t>Byte/data</t>
    <phoneticPr fontId="49"/>
  </si>
  <si>
    <t>Hz</t>
    <phoneticPr fontId="49"/>
  </si>
  <si>
    <t>メモリ</t>
    <phoneticPr fontId="49"/>
  </si>
  <si>
    <t>MByte</t>
    <phoneticPr fontId="49"/>
  </si>
  <si>
    <t>s</t>
    <phoneticPr fontId="49"/>
  </si>
  <si>
    <t>kByte</t>
    <phoneticPr fontId="49"/>
  </si>
  <si>
    <t>個/メモリ</t>
    <rPh sb="0" eb="1">
      <t>コ</t>
    </rPh>
    <phoneticPr fontId="49"/>
  </si>
  <si>
    <t>日</t>
    <rPh sb="0" eb="1">
      <t>ニチ</t>
    </rPh>
    <phoneticPr fontId="49"/>
  </si>
  <si>
    <t>ｻﾝﾌﾟﾘﾝｸﾞ周波数</t>
    <rPh sb="8" eb="11">
      <t>シュウハスウ</t>
    </rPh>
    <phoneticPr fontId="49"/>
  </si>
  <si>
    <t>1波長</t>
    <rPh sb="1" eb="3">
      <t>ハチョウ</t>
    </rPh>
    <phoneticPr fontId="42"/>
  </si>
  <si>
    <t>分解能</t>
    <rPh sb="0" eb="3">
      <t>ブンカイノウ</t>
    </rPh>
    <phoneticPr fontId="42"/>
  </si>
  <si>
    <t>bit</t>
    <phoneticPr fontId="42"/>
  </si>
  <si>
    <t>　　メモリ容量計算　　</t>
    <rPh sb="5" eb="7">
      <t>ヨウリョウ</t>
    </rPh>
    <rPh sb="7" eb="9">
      <t>ケイサン</t>
    </rPh>
    <phoneticPr fontId="42"/>
  </si>
  <si>
    <t>センサデータ</t>
    <phoneticPr fontId="49"/>
  </si>
  <si>
    <t>G</t>
    <phoneticPr fontId="42"/>
  </si>
  <si>
    <r>
      <t>*</t>
    </r>
    <r>
      <rPr>
        <sz val="11"/>
        <color theme="1"/>
        <rFont val="ＭＳ Ｐゴシック"/>
        <family val="3"/>
        <charset val="128"/>
        <scheme val="minor"/>
      </rPr>
      <t>256</t>
    </r>
    <phoneticPr fontId="42"/>
  </si>
  <si>
    <r>
      <t>*</t>
    </r>
    <r>
      <rPr>
        <sz val="11"/>
        <color theme="1"/>
        <rFont val="ＭＳ Ｐゴシック"/>
        <family val="3"/>
        <charset val="128"/>
        <scheme val="minor"/>
      </rPr>
      <t>128</t>
    </r>
    <phoneticPr fontId="42"/>
  </si>
  <si>
    <t>g</t>
    <phoneticPr fontId="42"/>
  </si>
  <si>
    <t>g</t>
    <phoneticPr fontId="42"/>
  </si>
  <si>
    <t>g</t>
    <phoneticPr fontId="42"/>
  </si>
  <si>
    <r>
      <t>b</t>
    </r>
    <r>
      <rPr>
        <sz val="11"/>
        <color theme="1"/>
        <rFont val="ＭＳ Ｐゴシック"/>
        <family val="3"/>
        <charset val="128"/>
        <scheme val="minor"/>
      </rPr>
      <t>it</t>
    </r>
    <phoneticPr fontId="42"/>
  </si>
  <si>
    <r>
      <t>L</t>
    </r>
    <r>
      <rPr>
        <sz val="11"/>
        <color theme="1"/>
        <rFont val="ＭＳ Ｐゴシック"/>
        <family val="3"/>
        <charset val="128"/>
        <scheme val="minor"/>
      </rPr>
      <t>SB</t>
    </r>
    <phoneticPr fontId="42"/>
  </si>
  <si>
    <t>LSB</t>
    <phoneticPr fontId="42"/>
  </si>
  <si>
    <t>感度</t>
    <rPh sb="0" eb="2">
      <t>カンド</t>
    </rPh>
    <phoneticPr fontId="42"/>
  </si>
  <si>
    <t>分解能</t>
    <rPh sb="0" eb="3">
      <t>ブンカイノウ</t>
    </rPh>
    <phoneticPr fontId="42"/>
  </si>
  <si>
    <t>ステップ数</t>
    <rPh sb="4" eb="5">
      <t>スウ</t>
    </rPh>
    <phoneticPr fontId="42"/>
  </si>
  <si>
    <t>1G</t>
    <phoneticPr fontId="42"/>
  </si>
  <si>
    <t>LSB/g</t>
    <phoneticPr fontId="42"/>
  </si>
  <si>
    <t>0.0023-27</t>
    <phoneticPr fontId="42"/>
  </si>
  <si>
    <t>g/LSB</t>
    <phoneticPr fontId="42"/>
  </si>
  <si>
    <t>秒</t>
    <rPh sb="0" eb="1">
      <t>ビョウ</t>
    </rPh>
    <phoneticPr fontId="42"/>
  </si>
  <si>
    <t>分</t>
    <phoneticPr fontId="42"/>
  </si>
  <si>
    <t>土壌水分センサ</t>
    <rPh sb="0" eb="2">
      <t>ドジョウ</t>
    </rPh>
    <rPh sb="2" eb="4">
      <t>スイブンン</t>
    </rPh>
    <phoneticPr fontId="42"/>
  </si>
  <si>
    <t>V</t>
    <phoneticPr fontId="49"/>
  </si>
  <si>
    <t>m/m</t>
    <phoneticPr fontId="49"/>
  </si>
  <si>
    <t>Y = 0.713 * X - 0.3408</t>
    <phoneticPr fontId="42"/>
  </si>
  <si>
    <t>m/m</t>
    <phoneticPr fontId="42"/>
  </si>
  <si>
    <t>土壌水分センサ　計算</t>
    <rPh sb="0" eb="4">
      <t>ドジョウスイブン</t>
    </rPh>
    <rPh sb="8" eb="10">
      <t>ケイサン</t>
    </rPh>
    <phoneticPr fontId="42"/>
  </si>
  <si>
    <t>　目次　</t>
    <phoneticPr fontId="42"/>
  </si>
  <si>
    <t>キャパシタンス</t>
    <phoneticPr fontId="42"/>
  </si>
  <si>
    <t>電圧</t>
    <rPh sb="0" eb="2">
      <t>デンアツ</t>
    </rPh>
    <phoneticPr fontId="42"/>
  </si>
  <si>
    <t>キャパシタンス</t>
    <phoneticPr fontId="42"/>
  </si>
  <si>
    <t>60F</t>
    <phoneticPr fontId="42"/>
  </si>
  <si>
    <t>2.5V</t>
    <phoneticPr fontId="42"/>
  </si>
  <si>
    <t>◆例</t>
    <rPh sb="1" eb="2">
      <t>レイ</t>
    </rPh>
    <phoneticPr fontId="42"/>
  </si>
  <si>
    <t>uF</t>
    <phoneticPr fontId="42"/>
  </si>
  <si>
    <t>mF</t>
    <phoneticPr fontId="42"/>
  </si>
  <si>
    <t>F</t>
    <phoneticPr fontId="42"/>
  </si>
  <si>
    <t>V</t>
    <phoneticPr fontId="42"/>
  </si>
  <si>
    <t>使用停止電圧</t>
    <rPh sb="0" eb="2">
      <t>シヨウ</t>
    </rPh>
    <rPh sb="2" eb="4">
      <t>テイシ</t>
    </rPh>
    <rPh sb="4" eb="6">
      <t>デンアツ</t>
    </rPh>
    <phoneticPr fontId="42"/>
  </si>
  <si>
    <t>V</t>
    <phoneticPr fontId="42"/>
  </si>
  <si>
    <t>%</t>
    <phoneticPr fontId="42"/>
  </si>
  <si>
    <t>使用率</t>
    <rPh sb="0" eb="3">
      <t>シヨウリツ</t>
    </rPh>
    <phoneticPr fontId="42"/>
  </si>
  <si>
    <t>バッテリ特性</t>
    <rPh sb="4" eb="6">
      <t>トクセイ</t>
    </rPh>
    <phoneticPr fontId="42"/>
  </si>
  <si>
    <t>mAh</t>
    <phoneticPr fontId="42"/>
  </si>
  <si>
    <t>F</t>
    <phoneticPr fontId="42"/>
  </si>
  <si>
    <t>電池容量とキャパシタンス</t>
    <rPh sb="0" eb="2">
      <t>デンチ</t>
    </rPh>
    <rPh sb="2" eb="4">
      <t>ヨウリョウ</t>
    </rPh>
    <phoneticPr fontId="42"/>
  </si>
  <si>
    <t>電池容量とキャパシタンス</t>
    <rPh sb="0" eb="4">
      <t>デンチヨウリョウ</t>
    </rPh>
    <phoneticPr fontId="42"/>
  </si>
  <si>
    <t>理想サンプリング周波数</t>
    <rPh sb="0" eb="2">
      <t>リソウ</t>
    </rPh>
    <rPh sb="8" eb="11">
      <t>シュウハスウ</t>
    </rPh>
    <phoneticPr fontId="42"/>
  </si>
  <si>
    <t>理想サンプリング周波数</t>
    <rPh sb="0" eb="2">
      <t>リソウ</t>
    </rPh>
    <rPh sb="8" eb="11">
      <t>シュウハスウ</t>
    </rPh>
    <phoneticPr fontId="42"/>
  </si>
  <si>
    <t>http://www.mech.tohoku-gakuin.ac.jp/rde/contents/course/controlII/digicont.html</t>
    <phoneticPr fontId="42"/>
  </si>
  <si>
    <t>対象信号の周波数</t>
    <rPh sb="0" eb="2">
      <t>タイショウ</t>
    </rPh>
    <rPh sb="2" eb="4">
      <t>シンゴウ</t>
    </rPh>
    <rPh sb="5" eb="8">
      <t>シュウハスウ</t>
    </rPh>
    <phoneticPr fontId="42"/>
  </si>
  <si>
    <t>1周期のサンプル数</t>
    <rPh sb="1" eb="3">
      <t>シュウキ</t>
    </rPh>
    <rPh sb="8" eb="9">
      <t>スウ</t>
    </rPh>
    <phoneticPr fontId="42"/>
  </si>
  <si>
    <t>サンプル</t>
    <phoneticPr fontId="42"/>
  </si>
  <si>
    <t>理想サンプリングF</t>
    <rPh sb="0" eb="2">
      <t>リソウ</t>
    </rPh>
    <phoneticPr fontId="42"/>
  </si>
  <si>
    <t>s</t>
    <phoneticPr fontId="42"/>
  </si>
  <si>
    <t>1サンプル時間</t>
    <rPh sb="5" eb="7">
      <t>ジカン</t>
    </rPh>
    <phoneticPr fontId="42"/>
  </si>
  <si>
    <r>
      <t>H</t>
    </r>
    <r>
      <rPr>
        <sz val="11"/>
        <color theme="1"/>
        <rFont val="ＭＳ Ｐゴシック"/>
        <family val="3"/>
        <charset val="128"/>
        <scheme val="minor"/>
      </rPr>
      <t>z</t>
    </r>
    <phoneticPr fontId="42"/>
  </si>
  <si>
    <r>
      <t>H</t>
    </r>
    <r>
      <rPr>
        <sz val="11"/>
        <color theme="1"/>
        <rFont val="ＭＳ Ｐゴシック"/>
        <family val="3"/>
        <charset val="128"/>
        <scheme val="minor"/>
      </rPr>
      <t>z</t>
    </r>
    <phoneticPr fontId="42"/>
  </si>
  <si>
    <t>ms</t>
    <phoneticPr fontId="42"/>
  </si>
  <si>
    <t>s</t>
    <phoneticPr fontId="42"/>
  </si>
  <si>
    <t>m</t>
    <phoneticPr fontId="42"/>
  </si>
  <si>
    <t>h</t>
    <phoneticPr fontId="42"/>
  </si>
  <si>
    <t>電圧変換後の消費電流</t>
    <rPh sb="0" eb="2">
      <t>デンアツ</t>
    </rPh>
    <rPh sb="2" eb="4">
      <t>ヘンカン</t>
    </rPh>
    <rPh sb="4" eb="5">
      <t>ゴ</t>
    </rPh>
    <rPh sb="6" eb="8">
      <t>ショウヒ</t>
    </rPh>
    <rPh sb="8" eb="10">
      <t>デンリュウ</t>
    </rPh>
    <phoneticPr fontId="42"/>
  </si>
  <si>
    <t>電圧変換後の消費電流</t>
    <rPh sb="0" eb="2">
      <t>デンアツ</t>
    </rPh>
    <rPh sb="2" eb="5">
      <t>ヘンカンゴ</t>
    </rPh>
    <rPh sb="6" eb="8">
      <t>ショウヒ</t>
    </rPh>
    <rPh sb="8" eb="10">
      <t>デンリュウ</t>
    </rPh>
    <phoneticPr fontId="42"/>
  </si>
  <si>
    <t>変換率</t>
    <rPh sb="0" eb="2">
      <t>ヘンカン</t>
    </rPh>
    <rPh sb="2" eb="3">
      <t>リツ</t>
    </rPh>
    <phoneticPr fontId="42"/>
  </si>
  <si>
    <t>１次側電圧</t>
    <rPh sb="1" eb="2">
      <t>ジ</t>
    </rPh>
    <rPh sb="2" eb="3">
      <t>ガワ</t>
    </rPh>
    <rPh sb="3" eb="5">
      <t>デンアツ</t>
    </rPh>
    <phoneticPr fontId="42"/>
  </si>
  <si>
    <t>2次側電圧</t>
    <rPh sb="1" eb="2">
      <t>ジ</t>
    </rPh>
    <rPh sb="2" eb="3">
      <t>ガワ</t>
    </rPh>
    <rPh sb="3" eb="5">
      <t>デンアツ</t>
    </rPh>
    <phoneticPr fontId="42"/>
  </si>
  <si>
    <t>V</t>
    <phoneticPr fontId="42"/>
  </si>
  <si>
    <t>2次側電流</t>
    <rPh sb="1" eb="2">
      <t>ジ</t>
    </rPh>
    <rPh sb="2" eb="3">
      <t>ガワ</t>
    </rPh>
    <rPh sb="3" eb="5">
      <t>デンリュウ</t>
    </rPh>
    <phoneticPr fontId="42"/>
  </si>
  <si>
    <t>1次側電流</t>
    <rPh sb="1" eb="2">
      <t>ジ</t>
    </rPh>
    <rPh sb="2" eb="3">
      <t>ガワ</t>
    </rPh>
    <rPh sb="3" eb="5">
      <t>デンリュウ</t>
    </rPh>
    <phoneticPr fontId="42"/>
  </si>
  <si>
    <t>光量変換</t>
    <rPh sb="0" eb="2">
      <t>コウリョウ</t>
    </rPh>
    <rPh sb="2" eb="4">
      <t>ヘンカン</t>
    </rPh>
    <phoneticPr fontId="42"/>
  </si>
  <si>
    <t>光度：カンデラ(cd)</t>
    <rPh sb="0" eb="2">
      <t>コウド</t>
    </rPh>
    <phoneticPr fontId="42"/>
  </si>
  <si>
    <t>照度：ルクス(lx)</t>
    <rPh sb="0" eb="2">
      <t>ショウド</t>
    </rPh>
    <phoneticPr fontId="42"/>
  </si>
  <si>
    <r>
      <t>lx</t>
    </r>
    <r>
      <rPr>
        <sz val="11"/>
        <color theme="1"/>
        <rFont val="ＭＳ Ｐゴシック"/>
        <family val="3"/>
        <charset val="128"/>
        <scheme val="minor"/>
      </rPr>
      <t xml:space="preserve"> = cd / m^2</t>
    </r>
    <phoneticPr fontId="42"/>
  </si>
  <si>
    <t>光度</t>
    <rPh sb="0" eb="2">
      <t>コウド</t>
    </rPh>
    <phoneticPr fontId="42"/>
  </si>
  <si>
    <t>cd</t>
    <phoneticPr fontId="42"/>
  </si>
  <si>
    <t>距離</t>
    <rPh sb="0" eb="2">
      <t>キョリ</t>
    </rPh>
    <phoneticPr fontId="42"/>
  </si>
  <si>
    <r>
      <t>l</t>
    </r>
    <r>
      <rPr>
        <sz val="11"/>
        <color theme="1"/>
        <rFont val="ＭＳ Ｐゴシック"/>
        <family val="3"/>
        <charset val="128"/>
        <scheme val="minor"/>
      </rPr>
      <t>x</t>
    </r>
    <phoneticPr fontId="42"/>
  </si>
  <si>
    <t>照度</t>
    <rPh sb="0" eb="2">
      <t>ショウド</t>
    </rPh>
    <phoneticPr fontId="42"/>
  </si>
  <si>
    <t>lx</t>
    <phoneticPr fontId="42"/>
  </si>
  <si>
    <t>◆光度と照度</t>
    <rPh sb="1" eb="3">
      <t>コウド</t>
    </rPh>
    <rPh sb="4" eb="6">
      <t>ショウド</t>
    </rPh>
    <phoneticPr fontId="42"/>
  </si>
  <si>
    <t>◆照度と光エネルギー</t>
    <rPh sb="1" eb="3">
      <t>ショウド</t>
    </rPh>
    <rPh sb="4" eb="5">
      <t>ヒカリ</t>
    </rPh>
    <phoneticPr fontId="42"/>
  </si>
  <si>
    <t>照度：ルクス(ｌｘ)</t>
    <rPh sb="0" eb="2">
      <t>ショウド</t>
    </rPh>
    <phoneticPr fontId="42"/>
  </si>
  <si>
    <t>光エネルギー</t>
    <rPh sb="0" eb="1">
      <t>ヒカリ</t>
    </rPh>
    <phoneticPr fontId="42"/>
  </si>
  <si>
    <t>光エネルギー(mW/m^2)</t>
    <rPh sb="0" eb="1">
      <t>ヒカリ</t>
    </rPh>
    <phoneticPr fontId="42"/>
  </si>
  <si>
    <t>可視光スペクトルの中間555nmにおいて</t>
    <rPh sb="0" eb="3">
      <t>カシコウ</t>
    </rPh>
    <rPh sb="9" eb="11">
      <t>チュウカン</t>
    </rPh>
    <phoneticPr fontId="42"/>
  </si>
  <si>
    <t xml:space="preserve"> </t>
    <phoneticPr fontId="42"/>
  </si>
  <si>
    <t>1lx = 1.46mW / m^2</t>
    <phoneticPr fontId="42"/>
  </si>
  <si>
    <t>mW/m^2</t>
    <phoneticPr fontId="42"/>
  </si>
  <si>
    <t>1lxのエネルギー</t>
    <phoneticPr fontId="42"/>
  </si>
  <si>
    <t>　　光量変換　　</t>
    <phoneticPr fontId="42"/>
  </si>
  <si>
    <t>　DB-&gt;倍率　</t>
    <phoneticPr fontId="42"/>
  </si>
  <si>
    <t>目次</t>
    <rPh sb="0" eb="2">
      <t>モクジ</t>
    </rPh>
    <phoneticPr fontId="42"/>
  </si>
  <si>
    <t>○反転増幅回路①</t>
    <phoneticPr fontId="42"/>
  </si>
  <si>
    <r>
      <t>R</t>
    </r>
    <r>
      <rPr>
        <sz val="11"/>
        <color theme="1"/>
        <rFont val="ＭＳ Ｐゴシック"/>
        <family val="3"/>
        <charset val="128"/>
        <scheme val="minor"/>
      </rPr>
      <t>i</t>
    </r>
    <phoneticPr fontId="42"/>
  </si>
  <si>
    <t>増幅電圧</t>
    <phoneticPr fontId="42"/>
  </si>
  <si>
    <t>TL317CLPR</t>
    <phoneticPr fontId="42"/>
  </si>
  <si>
    <t>R1</t>
    <phoneticPr fontId="42"/>
  </si>
  <si>
    <t>R2</t>
    <phoneticPr fontId="42"/>
  </si>
  <si>
    <t>Ω</t>
    <phoneticPr fontId="42"/>
  </si>
  <si>
    <t>Vref</t>
    <phoneticPr fontId="42"/>
  </si>
  <si>
    <t>V</t>
    <phoneticPr fontId="42"/>
  </si>
  <si>
    <t>※1.2～1.3(Typ1.25)</t>
    <phoneticPr fontId="42"/>
  </si>
  <si>
    <t>Iadj</t>
    <phoneticPr fontId="42"/>
  </si>
  <si>
    <t>uA</t>
    <phoneticPr fontId="42"/>
  </si>
  <si>
    <t>※Max100uA</t>
    <phoneticPr fontId="42"/>
  </si>
  <si>
    <t>出力電圧</t>
    <rPh sb="0" eb="2">
      <t>シュツリョク</t>
    </rPh>
    <rPh sb="2" eb="4">
      <t>デンアツ</t>
    </rPh>
    <phoneticPr fontId="42"/>
  </si>
  <si>
    <r>
      <t>b</t>
    </r>
    <r>
      <rPr>
        <sz val="11"/>
        <color theme="1"/>
        <rFont val="ＭＳ Ｐゴシック"/>
        <family val="3"/>
        <charset val="128"/>
        <scheme val="minor"/>
      </rPr>
      <t>it0</t>
    </r>
    <phoneticPr fontId="42"/>
  </si>
  <si>
    <t>bit1</t>
    <phoneticPr fontId="42"/>
  </si>
  <si>
    <r>
      <t>b</t>
    </r>
    <r>
      <rPr>
        <sz val="11"/>
        <color theme="1"/>
        <rFont val="ＭＳ Ｐゴシック"/>
        <family val="3"/>
        <charset val="128"/>
        <scheme val="minor"/>
      </rPr>
      <t>it2</t>
    </r>
    <r>
      <rPr>
        <sz val="11"/>
        <color theme="1"/>
        <rFont val="ＭＳ Ｐゴシック"/>
        <family val="2"/>
        <charset val="128"/>
        <scheme val="minor"/>
      </rPr>
      <t/>
    </r>
  </si>
  <si>
    <t>bit3</t>
  </si>
  <si>
    <r>
      <t>b</t>
    </r>
    <r>
      <rPr>
        <sz val="11"/>
        <color theme="1"/>
        <rFont val="ＭＳ Ｐゴシック"/>
        <family val="3"/>
        <charset val="128"/>
        <scheme val="minor"/>
      </rPr>
      <t>it4</t>
    </r>
    <r>
      <rPr>
        <sz val="11"/>
        <color theme="1"/>
        <rFont val="ＭＳ Ｐゴシック"/>
        <family val="2"/>
        <charset val="128"/>
        <scheme val="minor"/>
      </rPr>
      <t/>
    </r>
  </si>
  <si>
    <t>bit5</t>
  </si>
  <si>
    <r>
      <t>b</t>
    </r>
    <r>
      <rPr>
        <sz val="11"/>
        <color theme="1"/>
        <rFont val="ＭＳ Ｐゴシック"/>
        <family val="3"/>
        <charset val="128"/>
        <scheme val="minor"/>
      </rPr>
      <t>it6</t>
    </r>
    <r>
      <rPr>
        <sz val="11"/>
        <color theme="1"/>
        <rFont val="ＭＳ Ｐゴシック"/>
        <family val="2"/>
        <charset val="128"/>
        <scheme val="minor"/>
      </rPr>
      <t/>
    </r>
  </si>
  <si>
    <t>bit7</t>
  </si>
  <si>
    <t>16進数</t>
    <rPh sb="2" eb="4">
      <t>シンスウ</t>
    </rPh>
    <phoneticPr fontId="42"/>
  </si>
  <si>
    <t>10進数</t>
    <rPh sb="2" eb="4">
      <t>シンスウ</t>
    </rPh>
    <phoneticPr fontId="42"/>
  </si>
  <si>
    <t>2進数⇒16進数</t>
    <rPh sb="1" eb="3">
      <t>シンスウ</t>
    </rPh>
    <rPh sb="6" eb="8">
      <t>シンスウ</t>
    </rPh>
    <phoneticPr fontId="42"/>
  </si>
  <si>
    <t>メモ</t>
    <phoneticPr fontId="42"/>
  </si>
  <si>
    <t>PIC</t>
    <phoneticPr fontId="42"/>
  </si>
  <si>
    <t>0：出力</t>
    <rPh sb="2" eb="4">
      <t>シュツリョク</t>
    </rPh>
    <phoneticPr fontId="42"/>
  </si>
  <si>
    <t>1：入力</t>
    <rPh sb="2" eb="4">
      <t>ニュウリョク</t>
    </rPh>
    <phoneticPr fontId="42"/>
  </si>
  <si>
    <t>K</t>
    <phoneticPr fontId="42"/>
  </si>
  <si>
    <t>充電電流</t>
    <rPh sb="0" eb="2">
      <t>ジュウデン</t>
    </rPh>
    <rPh sb="2" eb="4">
      <t>デンリュウ</t>
    </rPh>
    <phoneticPr fontId="42"/>
  </si>
  <si>
    <t>250mA &lt;= Iout &lt; 800mA</t>
    <phoneticPr fontId="42"/>
  </si>
  <si>
    <t>50mA &lt;= Iout &lt; 250mA</t>
    <phoneticPr fontId="42"/>
  </si>
  <si>
    <t>10mA &lt;= Iout &lt; 50mA</t>
    <phoneticPr fontId="42"/>
  </si>
  <si>
    <t>A</t>
    <phoneticPr fontId="42"/>
  </si>
  <si>
    <t>current factor</t>
    <phoneticPr fontId="42"/>
  </si>
  <si>
    <t>bq24210充電</t>
    <phoneticPr fontId="42"/>
  </si>
  <si>
    <t>◆充電電流　→　抵抗値</t>
    <rPh sb="1" eb="3">
      <t>ジュウデン</t>
    </rPh>
    <rPh sb="3" eb="5">
      <t>デンリュウ</t>
    </rPh>
    <rPh sb="8" eb="11">
      <t>テイコウチ</t>
    </rPh>
    <phoneticPr fontId="42"/>
  </si>
  <si>
    <t>◆抵抗値 　→　充電電流</t>
    <rPh sb="1" eb="4">
      <t>テイコウチ</t>
    </rPh>
    <rPh sb="8" eb="10">
      <t>ジュウデン</t>
    </rPh>
    <rPh sb="10" eb="12">
      <t>デンリュウ</t>
    </rPh>
    <phoneticPr fontId="42"/>
  </si>
  <si>
    <t>R Iset</t>
    <phoneticPr fontId="42"/>
  </si>
  <si>
    <t>インチ</t>
    <phoneticPr fontId="42"/>
  </si>
  <si>
    <t>メトリック</t>
    <phoneticPr fontId="42"/>
  </si>
  <si>
    <r>
      <t>i</t>
    </r>
    <r>
      <rPr>
        <sz val="11"/>
        <color theme="1"/>
        <rFont val="ＭＳ Ｐゴシック"/>
        <family val="3"/>
        <charset val="128"/>
        <scheme val="minor"/>
      </rPr>
      <t>nch</t>
    </r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</si>
  <si>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m</t>
    </r>
    <phoneticPr fontId="42"/>
  </si>
  <si>
    <t>　インチ変換　</t>
    <rPh sb="4" eb="6">
      <t>ヘンカン</t>
    </rPh>
    <phoneticPr fontId="42"/>
  </si>
  <si>
    <t>電流</t>
    <rPh sb="0" eb="2">
      <t>デンリュウ</t>
    </rPh>
    <phoneticPr fontId="42"/>
  </si>
  <si>
    <t>A</t>
    <phoneticPr fontId="42"/>
  </si>
  <si>
    <t>bq24210充電</t>
  </si>
  <si>
    <t>バッテリ電圧設定</t>
    <rPh sb="4" eb="6">
      <t>デンアツ</t>
    </rPh>
    <rPh sb="6" eb="8">
      <t>セッテイ</t>
    </rPh>
    <phoneticPr fontId="42"/>
  </si>
  <si>
    <t>R1抵抗</t>
    <rPh sb="2" eb="4">
      <t>テイコウ</t>
    </rPh>
    <phoneticPr fontId="42"/>
  </si>
  <si>
    <t>R2抵抗</t>
    <rPh sb="2" eb="4">
      <t>テイコウ</t>
    </rPh>
    <phoneticPr fontId="42"/>
  </si>
  <si>
    <t>Ω</t>
    <phoneticPr fontId="42"/>
  </si>
  <si>
    <t>V</t>
    <phoneticPr fontId="42"/>
  </si>
  <si>
    <t>出力電圧</t>
    <rPh sb="0" eb="2">
      <t>シュツリョク</t>
    </rPh>
    <rPh sb="2" eb="4">
      <t>デンアツ</t>
    </rPh>
    <phoneticPr fontId="42"/>
  </si>
  <si>
    <t>bq24650充電</t>
  </si>
  <si>
    <t>■バッテリ電圧</t>
    <rPh sb="5" eb="7">
      <t>デンアツ</t>
    </rPh>
    <phoneticPr fontId="42"/>
  </si>
  <si>
    <t>■入力電圧</t>
    <rPh sb="1" eb="3">
      <t>ニュウリョク</t>
    </rPh>
    <rPh sb="3" eb="5">
      <t>デンアツ</t>
    </rPh>
    <phoneticPr fontId="42"/>
  </si>
  <si>
    <r>
      <t>V</t>
    </r>
    <r>
      <rPr>
        <sz val="8"/>
        <color theme="1"/>
        <rFont val="ＭＳ Ｐゴシック"/>
        <family val="3"/>
        <charset val="128"/>
        <scheme val="minor"/>
      </rPr>
      <t>MPPSET</t>
    </r>
    <phoneticPr fontId="42"/>
  </si>
  <si>
    <t>R3抵抗</t>
    <rPh sb="2" eb="4">
      <t>テイコウ</t>
    </rPh>
    <phoneticPr fontId="42"/>
  </si>
  <si>
    <t>R4抵抗</t>
    <rPh sb="2" eb="4">
      <t>テイコウ</t>
    </rPh>
    <phoneticPr fontId="42"/>
  </si>
  <si>
    <t>■充電電流</t>
    <rPh sb="1" eb="3">
      <t>ジュウデン</t>
    </rPh>
    <rPh sb="3" eb="5">
      <t>デンリュウ</t>
    </rPh>
    <phoneticPr fontId="42"/>
  </si>
  <si>
    <t>RSR</t>
    <phoneticPr fontId="42"/>
  </si>
  <si>
    <t>mΩ</t>
    <phoneticPr fontId="42"/>
  </si>
  <si>
    <t>電流</t>
    <rPh sb="0" eb="2">
      <t>デンリュウ</t>
    </rPh>
    <phoneticPr fontId="42"/>
  </si>
  <si>
    <t>A</t>
    <phoneticPr fontId="42"/>
  </si>
  <si>
    <t>.</t>
    <phoneticPr fontId="42"/>
  </si>
  <si>
    <r>
      <t>I</t>
    </r>
    <r>
      <rPr>
        <sz val="11"/>
        <color theme="1"/>
        <rFont val="ＭＳ Ｐゴシック"/>
        <family val="3"/>
        <charset val="128"/>
        <scheme val="minor"/>
      </rPr>
      <t xml:space="preserve"> DISCH</t>
    </r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</si>
  <si>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A</t>
    </r>
    <phoneticPr fontId="42"/>
  </si>
  <si>
    <t>t DISCH</t>
    <phoneticPr fontId="42"/>
  </si>
  <si>
    <t>S</t>
    <phoneticPr fontId="42"/>
  </si>
  <si>
    <r>
      <t>C</t>
    </r>
    <r>
      <rPr>
        <sz val="11"/>
        <color theme="1"/>
        <rFont val="ＭＳ Ｐゴシック"/>
        <family val="3"/>
        <charset val="128"/>
        <scheme val="minor"/>
      </rPr>
      <t xml:space="preserve"> </t>
    </r>
    <r>
      <rPr>
        <sz val="11"/>
        <color theme="1"/>
        <rFont val="ＭＳ Ｐゴシック"/>
        <family val="3"/>
        <charset val="128"/>
        <scheme val="minor"/>
      </rPr>
      <t>MAX</t>
    </r>
    <phoneticPr fontId="42"/>
  </si>
  <si>
    <t>mF</t>
    <phoneticPr fontId="42"/>
  </si>
  <si>
    <t>トータル(1+2+3+4+5)</t>
    <phoneticPr fontId="42"/>
  </si>
  <si>
    <t>平均消費電流</t>
    <phoneticPr fontId="42"/>
  </si>
  <si>
    <t>分</t>
    <phoneticPr fontId="42"/>
  </si>
  <si>
    <t>起動時間換算　秒→分</t>
    <rPh sb="0" eb="2">
      <t>キドウ</t>
    </rPh>
    <rPh sb="4" eb="6">
      <t>カンザン</t>
    </rPh>
    <rPh sb="7" eb="8">
      <t>ビョウ</t>
    </rPh>
    <rPh sb="9" eb="10">
      <t>フン</t>
    </rPh>
    <phoneticPr fontId="42"/>
  </si>
  <si>
    <t>動作時間の割合</t>
    <rPh sb="0" eb="2">
      <t>ドウサ</t>
    </rPh>
    <rPh sb="2" eb="4">
      <t>ジカン</t>
    </rPh>
    <rPh sb="5" eb="7">
      <t>ワリアイ</t>
    </rPh>
    <phoneticPr fontId="42"/>
  </si>
  <si>
    <t>Vin電圧</t>
    <rPh sb="3" eb="5">
      <t>デンアツ</t>
    </rPh>
    <phoneticPr fontId="42"/>
  </si>
  <si>
    <t>Rin抵抗</t>
    <rPh sb="3" eb="5">
      <t>テイコウ</t>
    </rPh>
    <phoneticPr fontId="42"/>
  </si>
  <si>
    <t>LTC4071充電</t>
  </si>
  <si>
    <t>LTC4071充電</t>
    <rPh sb="7" eb="9">
      <t>ジュウデン</t>
    </rPh>
    <phoneticPr fontId="42"/>
  </si>
  <si>
    <t>Bat電圧</t>
    <rPh sb="3" eb="5">
      <t>デンアツ</t>
    </rPh>
    <phoneticPr fontId="42"/>
  </si>
  <si>
    <t>R SET</t>
    <phoneticPr fontId="42"/>
  </si>
  <si>
    <t>出力周波数</t>
    <rPh sb="0" eb="2">
      <t>シュツリョク</t>
    </rPh>
    <rPh sb="2" eb="5">
      <t>シュウハスウ</t>
    </rPh>
    <phoneticPr fontId="42"/>
  </si>
  <si>
    <t>MHz</t>
    <phoneticPr fontId="42"/>
  </si>
  <si>
    <t>LTC1799発信周波数計算</t>
    <rPh sb="7" eb="9">
      <t>ハッシン</t>
    </rPh>
    <rPh sb="9" eb="12">
      <t>シュウハスウ</t>
    </rPh>
    <rPh sb="12" eb="14">
      <t>ケイサン</t>
    </rPh>
    <phoneticPr fontId="42"/>
  </si>
  <si>
    <t>LTC1799発信周波数</t>
    <phoneticPr fontId="42"/>
  </si>
  <si>
    <t>LM1084出力計算</t>
    <rPh sb="6" eb="8">
      <t>シュツリョク</t>
    </rPh>
    <rPh sb="8" eb="10">
      <t>ケイサン</t>
    </rPh>
    <phoneticPr fontId="42"/>
  </si>
  <si>
    <t>LM1084出力電圧</t>
    <rPh sb="6" eb="8">
      <t>シュツリョク</t>
    </rPh>
    <rPh sb="8" eb="10">
      <t>デンアツ</t>
    </rPh>
    <phoneticPr fontId="42"/>
  </si>
  <si>
    <t>※100単位(誤差を無視する為)</t>
    <rPh sb="4" eb="6">
      <t>タンイ</t>
    </rPh>
    <rPh sb="7" eb="9">
      <t>ゴサ</t>
    </rPh>
    <rPh sb="10" eb="12">
      <t>ムシ</t>
    </rPh>
    <rPh sb="14" eb="15">
      <t>タメ</t>
    </rPh>
    <phoneticPr fontId="42"/>
  </si>
  <si>
    <t>■R1・出力電圧 → R2</t>
    <rPh sb="4" eb="6">
      <t>シュツリョク</t>
    </rPh>
    <rPh sb="6" eb="8">
      <t>デンアツ</t>
    </rPh>
    <phoneticPr fontId="42"/>
  </si>
  <si>
    <t>■R1・2 → 出力電圧</t>
    <rPh sb="10" eb="12">
      <t>デンアツ</t>
    </rPh>
    <phoneticPr fontId="42"/>
  </si>
  <si>
    <t>LTC6908発信周波数計算</t>
    <rPh sb="7" eb="9">
      <t>ハッシン</t>
    </rPh>
    <rPh sb="9" eb="12">
      <t>シュウハスウ</t>
    </rPh>
    <rPh sb="12" eb="14">
      <t>ケイサン</t>
    </rPh>
    <phoneticPr fontId="42"/>
  </si>
  <si>
    <t>R SET</t>
  </si>
  <si>
    <t>LTC6908発信周波数</t>
    <phoneticPr fontId="42"/>
  </si>
  <si>
    <t>電力</t>
    <rPh sb="0" eb="2">
      <t>デンリョク</t>
    </rPh>
    <phoneticPr fontId="42"/>
  </si>
  <si>
    <t>W</t>
    <phoneticPr fontId="42"/>
  </si>
  <si>
    <t>C1</t>
    <phoneticPr fontId="42"/>
  </si>
  <si>
    <t>R1</t>
    <phoneticPr fontId="42"/>
  </si>
  <si>
    <t>○積分増幅回路（三角波）</t>
    <rPh sb="1" eb="3">
      <t>セキブン</t>
    </rPh>
    <rPh sb="3" eb="5">
      <t>ゾウフク</t>
    </rPh>
    <rPh sb="5" eb="7">
      <t>カイロ</t>
    </rPh>
    <rPh sb="8" eb="10">
      <t>サンカク</t>
    </rPh>
    <rPh sb="10" eb="11">
      <t>ハ</t>
    </rPh>
    <phoneticPr fontId="42"/>
  </si>
  <si>
    <t>周波数特性</t>
    <rPh sb="0" eb="3">
      <t>シュウハスウ</t>
    </rPh>
    <rPh sb="3" eb="5">
      <t>トクセイ</t>
    </rPh>
    <phoneticPr fontId="42"/>
  </si>
  <si>
    <t>Hz</t>
    <phoneticPr fontId="42"/>
  </si>
  <si>
    <t>pF</t>
    <phoneticPr fontId="42"/>
  </si>
  <si>
    <t>Ω</t>
    <phoneticPr fontId="42"/>
  </si>
  <si>
    <t>R2</t>
    <phoneticPr fontId="42"/>
  </si>
  <si>
    <t>増幅</t>
    <rPh sb="0" eb="2">
      <t>ゾウフク</t>
    </rPh>
    <phoneticPr fontId="42"/>
  </si>
  <si>
    <t>倍</t>
    <rPh sb="0" eb="1">
      <t>バイ</t>
    </rPh>
    <phoneticPr fontId="42"/>
  </si>
  <si>
    <t>出力電力</t>
    <rPh sb="0" eb="2">
      <t>シュツリョク</t>
    </rPh>
    <rPh sb="2" eb="4">
      <t>デンリョク</t>
    </rPh>
    <phoneticPr fontId="42"/>
  </si>
  <si>
    <t>入力電力</t>
    <rPh sb="0" eb="2">
      <t>ニュウリョク</t>
    </rPh>
    <rPh sb="2" eb="4">
      <t>デンリョク</t>
    </rPh>
    <phoneticPr fontId="42"/>
  </si>
  <si>
    <t>DCDCコンバータ　入出力電力</t>
    <rPh sb="10" eb="13">
      <t>ニュウシュツリョク</t>
    </rPh>
    <rPh sb="13" eb="15">
      <t>デンリョク</t>
    </rPh>
    <phoneticPr fontId="42"/>
  </si>
  <si>
    <t>DCDC入出力電力</t>
    <phoneticPr fontId="42"/>
  </si>
  <si>
    <t>LM5007出力電流</t>
    <rPh sb="6" eb="8">
      <t>シュツリョク</t>
    </rPh>
    <rPh sb="8" eb="10">
      <t>デンリュウ</t>
    </rPh>
    <phoneticPr fontId="42"/>
  </si>
  <si>
    <t>LM5007出力電流</t>
    <phoneticPr fontId="42"/>
  </si>
  <si>
    <t>pF</t>
    <phoneticPr fontId="42"/>
  </si>
  <si>
    <t>容量</t>
    <rPh sb="0" eb="2">
      <t>ヨウリョウ</t>
    </rPh>
    <phoneticPr fontId="42"/>
  </si>
  <si>
    <t>1/容量</t>
    <rPh sb="2" eb="4">
      <t>ヨウリョウ</t>
    </rPh>
    <phoneticPr fontId="42"/>
  </si>
  <si>
    <t>合成容量</t>
    <phoneticPr fontId="42"/>
  </si>
  <si>
    <t>uF</t>
    <phoneticPr fontId="42"/>
  </si>
  <si>
    <t>磁束密度B、透磁率μ、起磁力H、巻数N、電流I、磁路長lの関係 。</t>
    <phoneticPr fontId="42"/>
  </si>
  <si>
    <t>デューティ</t>
    <phoneticPr fontId="42"/>
  </si>
  <si>
    <t>mT</t>
    <phoneticPr fontId="42"/>
  </si>
  <si>
    <t>飽和磁束密度</t>
    <rPh sb="0" eb="2">
      <t>ホウワ</t>
    </rPh>
    <rPh sb="2" eb="4">
      <t>ジソク</t>
    </rPh>
    <rPh sb="4" eb="6">
      <t>ミツド</t>
    </rPh>
    <phoneticPr fontId="42"/>
  </si>
  <si>
    <t>残留磁束密度</t>
    <rPh sb="0" eb="2">
      <t>ザンリュウ</t>
    </rPh>
    <rPh sb="2" eb="4">
      <t>ジソク</t>
    </rPh>
    <rPh sb="4" eb="6">
      <t>ミツド</t>
    </rPh>
    <phoneticPr fontId="42"/>
  </si>
  <si>
    <t>マージン</t>
    <phoneticPr fontId="42"/>
  </si>
  <si>
    <t>最大磁束密度</t>
    <rPh sb="0" eb="2">
      <t>サイダイ</t>
    </rPh>
    <rPh sb="2" eb="4">
      <t>ジソク</t>
    </rPh>
    <rPh sb="4" eb="6">
      <t>ミツド</t>
    </rPh>
    <phoneticPr fontId="42"/>
  </si>
  <si>
    <t>最大動作磁束密度</t>
    <rPh sb="0" eb="2">
      <t>サイダイ</t>
    </rPh>
    <rPh sb="2" eb="4">
      <t>ドウサ</t>
    </rPh>
    <rPh sb="4" eb="6">
      <t>ジソク</t>
    </rPh>
    <rPh sb="6" eb="8">
      <t>ミツド</t>
    </rPh>
    <phoneticPr fontId="42"/>
  </si>
  <si>
    <t>Bs</t>
    <phoneticPr fontId="42"/>
  </si>
  <si>
    <t>Br</t>
    <phoneticPr fontId="42"/>
  </si>
  <si>
    <t>Bmax</t>
    <phoneticPr fontId="42"/>
  </si>
  <si>
    <t>ΔBmax</t>
    <phoneticPr fontId="42"/>
  </si>
  <si>
    <t>■最大磁束密度/最大動作磁束密度の計算</t>
    <rPh sb="1" eb="3">
      <t>サイダイ</t>
    </rPh>
    <rPh sb="3" eb="5">
      <t>ジソク</t>
    </rPh>
    <rPh sb="5" eb="7">
      <t>ミツド</t>
    </rPh>
    <rPh sb="8" eb="10">
      <t>サイダイ</t>
    </rPh>
    <rPh sb="10" eb="12">
      <t>ドウサ</t>
    </rPh>
    <rPh sb="12" eb="14">
      <t>ジソク</t>
    </rPh>
    <rPh sb="14" eb="16">
      <t>ミツド</t>
    </rPh>
    <rPh sb="17" eb="19">
      <t>ケイサン</t>
    </rPh>
    <phoneticPr fontId="42"/>
  </si>
  <si>
    <t>■仕様</t>
    <rPh sb="1" eb="3">
      <t>シヨウ</t>
    </rPh>
    <phoneticPr fontId="42"/>
  </si>
  <si>
    <t>■巻数比</t>
    <rPh sb="1" eb="2">
      <t>マ</t>
    </rPh>
    <rPh sb="2" eb="3">
      <t>スウ</t>
    </rPh>
    <rPh sb="3" eb="4">
      <t>ヒ</t>
    </rPh>
    <phoneticPr fontId="42"/>
  </si>
  <si>
    <t>VF</t>
    <phoneticPr fontId="42"/>
  </si>
  <si>
    <t>Vd</t>
    <phoneticPr fontId="42"/>
  </si>
  <si>
    <t>2次側その他電圧降下</t>
    <rPh sb="1" eb="2">
      <t>ジ</t>
    </rPh>
    <rPh sb="2" eb="3">
      <t>ガワ</t>
    </rPh>
    <rPh sb="5" eb="6">
      <t>タ</t>
    </rPh>
    <rPh sb="6" eb="8">
      <t>デンアツ</t>
    </rPh>
    <rPh sb="8" eb="10">
      <t>コウカ</t>
    </rPh>
    <phoneticPr fontId="42"/>
  </si>
  <si>
    <t>2次側ダイオードVF</t>
    <rPh sb="1" eb="2">
      <t>ジ</t>
    </rPh>
    <rPh sb="2" eb="3">
      <t>ガワ</t>
    </rPh>
    <phoneticPr fontId="42"/>
  </si>
  <si>
    <t>巻数比</t>
    <rPh sb="0" eb="1">
      <t>マ</t>
    </rPh>
    <rPh sb="1" eb="2">
      <t>スウ</t>
    </rPh>
    <rPh sb="2" eb="3">
      <t>ヒ</t>
    </rPh>
    <phoneticPr fontId="42"/>
  </si>
  <si>
    <t>D</t>
    <phoneticPr fontId="42"/>
  </si>
  <si>
    <t>Vin</t>
    <phoneticPr fontId="42"/>
  </si>
  <si>
    <t>Vo</t>
    <phoneticPr fontId="42"/>
  </si>
  <si>
    <t>Ae</t>
    <phoneticPr fontId="42"/>
  </si>
  <si>
    <t>実効中足断面積</t>
    <rPh sb="0" eb="2">
      <t>ジッコウ</t>
    </rPh>
    <rPh sb="2" eb="3">
      <t>ナカ</t>
    </rPh>
    <rPh sb="3" eb="4">
      <t>アシ</t>
    </rPh>
    <rPh sb="4" eb="7">
      <t>ダンメンセキ</t>
    </rPh>
    <phoneticPr fontId="42"/>
  </si>
  <si>
    <t>mm^2</t>
    <phoneticPr fontId="42"/>
  </si>
  <si>
    <t>Ton</t>
    <phoneticPr fontId="42"/>
  </si>
  <si>
    <t>ON時間</t>
    <rPh sb="2" eb="4">
      <t>ジカン</t>
    </rPh>
    <phoneticPr fontId="42"/>
  </si>
  <si>
    <t>※ON時間の比率</t>
    <rPh sb="3" eb="5">
      <t>ジカン</t>
    </rPh>
    <rPh sb="6" eb="8">
      <t>ヒリツ</t>
    </rPh>
    <phoneticPr fontId="42"/>
  </si>
  <si>
    <t>Acpmin</t>
    <phoneticPr fontId="42"/>
  </si>
  <si>
    <t>最小中足断面積</t>
    <phoneticPr fontId="42"/>
  </si>
  <si>
    <t>1次巻数</t>
    <rPh sb="1" eb="2">
      <t>ジ</t>
    </rPh>
    <rPh sb="2" eb="3">
      <t>マキ</t>
    </rPh>
    <rPh sb="3" eb="4">
      <t>スウ</t>
    </rPh>
    <phoneticPr fontId="42"/>
  </si>
  <si>
    <t>T</t>
    <phoneticPr fontId="42"/>
  </si>
  <si>
    <t>Vin(max)</t>
    <phoneticPr fontId="42"/>
  </si>
  <si>
    <t>Np</t>
    <phoneticPr fontId="42"/>
  </si>
  <si>
    <t>←これ以上のターンが必要とされる</t>
    <rPh sb="3" eb="5">
      <t>イジョウ</t>
    </rPh>
    <rPh sb="10" eb="12">
      <t>ヒツヨウ</t>
    </rPh>
    <phoneticPr fontId="42"/>
  </si>
  <si>
    <t>http://www.tokyo-seiden.co.jp/old_site/gijyutu/report/fwd.html</t>
    <phoneticPr fontId="42"/>
  </si>
  <si>
    <t>Ns</t>
    <phoneticPr fontId="42"/>
  </si>
  <si>
    <t>2次巻数</t>
    <rPh sb="1" eb="2">
      <t>ジ</t>
    </rPh>
    <rPh sb="2" eb="3">
      <t>マキ</t>
    </rPh>
    <rPh sb="3" eb="4">
      <t>スウ</t>
    </rPh>
    <phoneticPr fontId="42"/>
  </si>
  <si>
    <t>■最低巻数</t>
    <rPh sb="1" eb="3">
      <t>サイテイ</t>
    </rPh>
    <rPh sb="3" eb="4">
      <t>マ</t>
    </rPh>
    <rPh sb="4" eb="5">
      <t>スウ</t>
    </rPh>
    <phoneticPr fontId="42"/>
  </si>
  <si>
    <t>1次最低巻数</t>
    <rPh sb="1" eb="2">
      <t>ジ</t>
    </rPh>
    <rPh sb="2" eb="4">
      <t>サイテイ</t>
    </rPh>
    <rPh sb="4" eb="5">
      <t>マキ</t>
    </rPh>
    <rPh sb="5" eb="6">
      <t>スウ</t>
    </rPh>
    <phoneticPr fontId="42"/>
  </si>
  <si>
    <t>2次最低巻数</t>
    <rPh sb="1" eb="2">
      <t>ジ</t>
    </rPh>
    <rPh sb="2" eb="4">
      <t>サイテイ</t>
    </rPh>
    <rPh sb="4" eb="5">
      <t>マキ</t>
    </rPh>
    <rPh sb="5" eb="6">
      <t>スウ</t>
    </rPh>
    <phoneticPr fontId="42"/>
  </si>
  <si>
    <t>■最低入力電圧の確認</t>
    <rPh sb="1" eb="3">
      <t>サイテイ</t>
    </rPh>
    <rPh sb="3" eb="5">
      <t>ニュウリョク</t>
    </rPh>
    <rPh sb="5" eb="7">
      <t>デンアツ</t>
    </rPh>
    <rPh sb="8" eb="10">
      <t>カクニン</t>
    </rPh>
    <phoneticPr fontId="42"/>
  </si>
  <si>
    <t>最低入力電圧</t>
    <rPh sb="0" eb="2">
      <t>サイテイ</t>
    </rPh>
    <rPh sb="2" eb="4">
      <t>ニュウリョク</t>
    </rPh>
    <rPh sb="4" eb="6">
      <t>デンアツ</t>
    </rPh>
    <phoneticPr fontId="42"/>
  </si>
  <si>
    <t>Vu</t>
    <phoneticPr fontId="42"/>
  </si>
  <si>
    <t>■最大動作磁束密度</t>
    <rPh sb="1" eb="3">
      <t>サイダイ</t>
    </rPh>
    <rPh sb="3" eb="5">
      <t>ドウサ</t>
    </rPh>
    <rPh sb="5" eb="7">
      <t>ジソク</t>
    </rPh>
    <rPh sb="7" eb="9">
      <t>ミツド</t>
    </rPh>
    <phoneticPr fontId="42"/>
  </si>
  <si>
    <t>■巻数計算</t>
    <rPh sb="1" eb="2">
      <t>マ</t>
    </rPh>
    <rPh sb="2" eb="3">
      <t>スウ</t>
    </rPh>
    <rPh sb="3" eb="5">
      <t>ケイサン</t>
    </rPh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</si>
  <si>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T</t>
    </r>
    <phoneticPr fontId="42"/>
  </si>
  <si>
    <t>最大動作磁束密度</t>
    <phoneticPr fontId="42"/>
  </si>
  <si>
    <t>Vin(min)</t>
    <phoneticPr fontId="42"/>
  </si>
  <si>
    <t>■コア損失</t>
    <rPh sb="3" eb="5">
      <t>ソンシツ</t>
    </rPh>
    <phoneticPr fontId="42"/>
  </si>
  <si>
    <t>入出力定格時のﾃﾞｭｰﾃｨ</t>
    <rPh sb="0" eb="3">
      <t>ニュウシュツリョク</t>
    </rPh>
    <rPh sb="3" eb="5">
      <t>テイカク</t>
    </rPh>
    <rPh sb="5" eb="6">
      <t>ジ</t>
    </rPh>
    <phoneticPr fontId="42"/>
  </si>
  <si>
    <t>ΔB</t>
    <phoneticPr fontId="42"/>
  </si>
  <si>
    <t>Ton時間</t>
    <rPh sb="3" eb="5">
      <t>ジカン</t>
    </rPh>
    <phoneticPr fontId="42"/>
  </si>
  <si>
    <t>Bm</t>
    <phoneticPr fontId="42"/>
  </si>
  <si>
    <t>動作磁束密度</t>
    <rPh sb="0" eb="2">
      <t>ドウサ</t>
    </rPh>
    <rPh sb="2" eb="4">
      <t>ジソク</t>
    </rPh>
    <rPh sb="4" eb="6">
      <t>ミツド</t>
    </rPh>
    <phoneticPr fontId="42"/>
  </si>
  <si>
    <t>※参考)＜図1＞グラフより,ｆ=100kHz Bm=131mT→Pcv＝150〔kW／m3〕</t>
    <rPh sb="1" eb="3">
      <t>サンコウ</t>
    </rPh>
    <phoneticPr fontId="42"/>
  </si>
  <si>
    <t>Pcv</t>
    <phoneticPr fontId="42"/>
  </si>
  <si>
    <t>体積当たりのコア損</t>
    <rPh sb="0" eb="2">
      <t>タイセキ</t>
    </rPh>
    <rPh sb="2" eb="3">
      <t>ア</t>
    </rPh>
    <rPh sb="8" eb="9">
      <t>ソン</t>
    </rPh>
    <phoneticPr fontId="42"/>
  </si>
  <si>
    <t>kW／m^3</t>
    <phoneticPr fontId="42"/>
  </si>
  <si>
    <t>Ve</t>
    <phoneticPr fontId="42"/>
  </si>
  <si>
    <t>メーカーカタログより、コアボリューム(Ve)を確認する。</t>
    <rPh sb="23" eb="25">
      <t>カクニン</t>
    </rPh>
    <phoneticPr fontId="42"/>
  </si>
  <si>
    <t>メーカグラフより、周波数、Bmから体積当たりのコア損(Pcv)を読取る。</t>
    <phoneticPr fontId="42"/>
  </si>
  <si>
    <t>コアボリューム</t>
    <phoneticPr fontId="42"/>
  </si>
  <si>
    <t>n(ﾅﾉ)</t>
    <phoneticPr fontId="42"/>
  </si>
  <si>
    <t>Pc</t>
    <phoneticPr fontId="42"/>
  </si>
  <si>
    <t>コア損失</t>
    <rPh sb="2" eb="4">
      <t>ソンシツ</t>
    </rPh>
    <phoneticPr fontId="42"/>
  </si>
  <si>
    <t>自然空冷時トランスの温度上昇目標値を決め、メーカグラフより、許容トランス損失を読み取る。</t>
    <phoneticPr fontId="42"/>
  </si>
  <si>
    <t>許容トランス損失</t>
    <phoneticPr fontId="42"/>
  </si>
  <si>
    <t>巻線損失</t>
    <rPh sb="0" eb="2">
      <t>マキセン</t>
    </rPh>
    <rPh sb="2" eb="4">
      <t>ソンシツ</t>
    </rPh>
    <phoneticPr fontId="42"/>
  </si>
  <si>
    <t>トランス全体の巻線損失</t>
    <rPh sb="4" eb="6">
      <t>ゼンタイ</t>
    </rPh>
    <rPh sb="7" eb="9">
      <t>マキセン</t>
    </rPh>
    <rPh sb="9" eb="11">
      <t>ソンシツ</t>
    </rPh>
    <phoneticPr fontId="42"/>
  </si>
  <si>
    <t>■トランス巻線損失</t>
    <rPh sb="5" eb="7">
      <t>マキセン</t>
    </rPh>
    <rPh sb="7" eb="9">
      <t>ソンシツ</t>
    </rPh>
    <phoneticPr fontId="42"/>
  </si>
  <si>
    <t>■線径の計算</t>
    <rPh sb="1" eb="2">
      <t>セン</t>
    </rPh>
    <rPh sb="2" eb="3">
      <t>ケイ</t>
    </rPh>
    <rPh sb="4" eb="6">
      <t>ケイサン</t>
    </rPh>
    <phoneticPr fontId="42"/>
  </si>
  <si>
    <t>δ</t>
    <phoneticPr fontId="42"/>
  </si>
  <si>
    <t>線径</t>
    <rPh sb="0" eb="1">
      <t>セン</t>
    </rPh>
    <rPh sb="1" eb="2">
      <t>ケイ</t>
    </rPh>
    <phoneticPr fontId="42"/>
  </si>
  <si>
    <t>基準線径</t>
    <rPh sb="0" eb="2">
      <t>キジュン</t>
    </rPh>
    <rPh sb="2" eb="3">
      <t>セン</t>
    </rPh>
    <rPh sb="3" eb="4">
      <t>ケイ</t>
    </rPh>
    <phoneticPr fontId="42"/>
  </si>
  <si>
    <t>mm</t>
    <phoneticPr fontId="42"/>
  </si>
  <si>
    <t>※基準線径の2倍であれば、表皮効果は無視できる事となる。</t>
    <rPh sb="1" eb="3">
      <t>キジュン</t>
    </rPh>
    <rPh sb="3" eb="4">
      <t>セン</t>
    </rPh>
    <rPh sb="4" eb="5">
      <t>ケイ</t>
    </rPh>
    <rPh sb="7" eb="8">
      <t>バイ</t>
    </rPh>
    <rPh sb="13" eb="15">
      <t>ヒョウヒ</t>
    </rPh>
    <rPh sb="15" eb="17">
      <t>コウカ</t>
    </rPh>
    <rPh sb="18" eb="20">
      <t>ムシ</t>
    </rPh>
    <rPh sb="23" eb="24">
      <t>コト</t>
    </rPh>
    <phoneticPr fontId="42"/>
  </si>
  <si>
    <t>■電流計算</t>
    <rPh sb="1" eb="3">
      <t>デンリュウ</t>
    </rPh>
    <rPh sb="3" eb="5">
      <t>ケイサン</t>
    </rPh>
    <phoneticPr fontId="42"/>
  </si>
  <si>
    <t>Arms</t>
    <phoneticPr fontId="42"/>
  </si>
  <si>
    <t>Ip</t>
    <phoneticPr fontId="42"/>
  </si>
  <si>
    <t>Irms</t>
    <phoneticPr fontId="42"/>
  </si>
  <si>
    <t>■巻線抵抗</t>
    <rPh sb="1" eb="3">
      <t>マキセン</t>
    </rPh>
    <rPh sb="3" eb="5">
      <t>テイコウ</t>
    </rPh>
    <phoneticPr fontId="42"/>
  </si>
  <si>
    <t>Pwire</t>
    <phoneticPr fontId="42"/>
  </si>
  <si>
    <t>トランスターミナル数</t>
    <rPh sb="9" eb="10">
      <t>スウ</t>
    </rPh>
    <phoneticPr fontId="42"/>
  </si>
  <si>
    <t>ｸﾞﾙｰﾌﾟ</t>
    <phoneticPr fontId="42"/>
  </si>
  <si>
    <t>Rac</t>
    <phoneticPr fontId="42"/>
  </si>
  <si>
    <t>Ω*mm</t>
    <phoneticPr fontId="42"/>
  </si>
  <si>
    <t>ρ</t>
    <phoneticPr fontId="42"/>
  </si>
  <si>
    <t>導体抵抗率</t>
    <rPh sb="0" eb="2">
      <t>ドウタイ</t>
    </rPh>
    <rPh sb="2" eb="5">
      <t>テイコウリツ</t>
    </rPh>
    <phoneticPr fontId="42"/>
  </si>
  <si>
    <t>断面積</t>
    <rPh sb="0" eb="3">
      <t>ダンメンセキ</t>
    </rPh>
    <phoneticPr fontId="42"/>
  </si>
  <si>
    <t>Sp</t>
    <phoneticPr fontId="42"/>
  </si>
  <si>
    <t>Iw</t>
    <phoneticPr fontId="42"/>
  </si>
  <si>
    <t>平均巻線長</t>
    <rPh sb="0" eb="2">
      <t>ヘイキン</t>
    </rPh>
    <rPh sb="2" eb="4">
      <t>マキセン</t>
    </rPh>
    <rPh sb="4" eb="5">
      <t>チョウ</t>
    </rPh>
    <phoneticPr fontId="42"/>
  </si>
  <si>
    <t>※メーカーカタログより</t>
    <phoneticPr fontId="42"/>
  </si>
  <si>
    <t>2次側</t>
    <rPh sb="1" eb="2">
      <t>ジ</t>
    </rPh>
    <rPh sb="2" eb="3">
      <t>ガワ</t>
    </rPh>
    <phoneticPr fontId="42"/>
  </si>
  <si>
    <t>1次側</t>
    <rPh sb="1" eb="2">
      <t>ジ</t>
    </rPh>
    <rPh sb="2" eb="3">
      <t>ガワ</t>
    </rPh>
    <phoneticPr fontId="42"/>
  </si>
  <si>
    <t>Isrms</t>
    <phoneticPr fontId="42"/>
  </si>
  <si>
    <t>2次側実効電流</t>
    <rPh sb="1" eb="2">
      <t>ジ</t>
    </rPh>
    <rPh sb="2" eb="3">
      <t>ガワ</t>
    </rPh>
    <rPh sb="3" eb="5">
      <t>ジッコウ</t>
    </rPh>
    <rPh sb="5" eb="7">
      <t>デンリュウ</t>
    </rPh>
    <phoneticPr fontId="42"/>
  </si>
  <si>
    <t>2次側巻線抵抗</t>
    <phoneticPr fontId="42"/>
  </si>
  <si>
    <t>1次巻線電流</t>
    <rPh sb="2" eb="4">
      <t>マキセン</t>
    </rPh>
    <rPh sb="4" eb="6">
      <t>デンリュウ</t>
    </rPh>
    <phoneticPr fontId="42"/>
  </si>
  <si>
    <t>1次側矩形波の実効電流</t>
    <rPh sb="2" eb="3">
      <t>ガワ</t>
    </rPh>
    <rPh sb="3" eb="6">
      <t>クケイハ</t>
    </rPh>
    <rPh sb="7" eb="9">
      <t>ジッコウ</t>
    </rPh>
    <rPh sb="9" eb="11">
      <t>デンリュウ</t>
    </rPh>
    <phoneticPr fontId="42"/>
  </si>
  <si>
    <t>1次側巻線抵抗</t>
    <rPh sb="2" eb="3">
      <t>ガワ</t>
    </rPh>
    <rPh sb="3" eb="5">
      <t>マキセン</t>
    </rPh>
    <rPh sb="5" eb="7">
      <t>テイコウ</t>
    </rPh>
    <phoneticPr fontId="42"/>
  </si>
  <si>
    <t>Ss</t>
    <phoneticPr fontId="42"/>
  </si>
  <si>
    <t>表皮効果 無視可能線径</t>
    <rPh sb="0" eb="2">
      <t>ヒョウヒ</t>
    </rPh>
    <rPh sb="2" eb="4">
      <t>コウカ</t>
    </rPh>
    <rPh sb="5" eb="7">
      <t>ムシ</t>
    </rPh>
    <rPh sb="7" eb="9">
      <t>カノウ</t>
    </rPh>
    <rPh sb="9" eb="10">
      <t>セン</t>
    </rPh>
    <rPh sb="10" eb="11">
      <t>ケイ</t>
    </rPh>
    <phoneticPr fontId="42"/>
  </si>
  <si>
    <t>δ*2</t>
    <phoneticPr fontId="42"/>
  </si>
  <si>
    <t>←導体から離れると、表皮効果が発生する為、無視できるレベルに。</t>
    <rPh sb="1" eb="3">
      <t>ドウタイ</t>
    </rPh>
    <rPh sb="5" eb="6">
      <t>ハナ</t>
    </rPh>
    <rPh sb="10" eb="12">
      <t>ヒョウヒ</t>
    </rPh>
    <rPh sb="12" eb="14">
      <t>コウカ</t>
    </rPh>
    <rPh sb="15" eb="17">
      <t>ハッセイ</t>
    </rPh>
    <rPh sb="19" eb="20">
      <t>タメ</t>
    </rPh>
    <rPh sb="21" eb="23">
      <t>ムシ</t>
    </rPh>
    <phoneticPr fontId="42"/>
  </si>
  <si>
    <t>n</t>
    <phoneticPr fontId="42"/>
  </si>
  <si>
    <t>想定線径</t>
    <rPh sb="0" eb="2">
      <t>ソウテイ</t>
    </rPh>
    <rPh sb="2" eb="3">
      <t>セン</t>
    </rPh>
    <rPh sb="3" eb="4">
      <t>ケイ</t>
    </rPh>
    <phoneticPr fontId="42"/>
  </si>
  <si>
    <t>本</t>
    <rPh sb="0" eb="1">
      <t>ホン</t>
    </rPh>
    <phoneticPr fontId="42"/>
  </si>
  <si>
    <t>想定線径時の理想本数</t>
    <rPh sb="0" eb="2">
      <t>ソウテイ</t>
    </rPh>
    <rPh sb="2" eb="3">
      <t>セン</t>
    </rPh>
    <rPh sb="3" eb="4">
      <t>ケイ</t>
    </rPh>
    <rPh sb="4" eb="5">
      <t>トキ</t>
    </rPh>
    <rPh sb="6" eb="8">
      <t>リソウ</t>
    </rPh>
    <rPh sb="8" eb="10">
      <t>ホンスウ</t>
    </rPh>
    <phoneticPr fontId="42"/>
  </si>
  <si>
    <t>電流密度</t>
    <rPh sb="0" eb="2">
      <t>デンリュウ</t>
    </rPh>
    <rPh sb="2" eb="4">
      <t>ミツド</t>
    </rPh>
    <phoneticPr fontId="42"/>
  </si>
  <si>
    <t>I</t>
    <phoneticPr fontId="42"/>
  </si>
  <si>
    <t>最小入力電圧</t>
    <rPh sb="0" eb="2">
      <t>サイショウ</t>
    </rPh>
    <rPh sb="2" eb="4">
      <t>ニュウリョク</t>
    </rPh>
    <rPh sb="4" eb="6">
      <t>デンアツ</t>
    </rPh>
    <phoneticPr fontId="42"/>
  </si>
  <si>
    <t>最大入力電圧</t>
    <rPh sb="0" eb="2">
      <t>サイダイ</t>
    </rPh>
    <rPh sb="2" eb="4">
      <t>ニュウリョク</t>
    </rPh>
    <rPh sb="4" eb="6">
      <t>デンアツ</t>
    </rPh>
    <phoneticPr fontId="42"/>
  </si>
  <si>
    <t>抵抗値</t>
    <rPh sb="0" eb="3">
      <t>テイコウチ</t>
    </rPh>
    <phoneticPr fontId="42"/>
  </si>
  <si>
    <t>■オームの法則</t>
    <rPh sb="5" eb="7">
      <t>ホウソク</t>
    </rPh>
    <phoneticPr fontId="42"/>
  </si>
  <si>
    <t>　目次　</t>
    <phoneticPr fontId="42"/>
  </si>
  <si>
    <t>速度</t>
    <rPh sb="0" eb="2">
      <t>ソクド</t>
    </rPh>
    <phoneticPr fontId="42"/>
  </si>
  <si>
    <t>km/h</t>
    <phoneticPr fontId="42"/>
  </si>
  <si>
    <t>W</t>
    <phoneticPr fontId="42"/>
  </si>
  <si>
    <t>V</t>
    <phoneticPr fontId="42"/>
  </si>
  <si>
    <t>減衰後電力</t>
    <rPh sb="0" eb="2">
      <t>ゲンスイ</t>
    </rPh>
    <rPh sb="2" eb="3">
      <t>ゴ</t>
    </rPh>
    <rPh sb="3" eb="5">
      <t>デンリョク</t>
    </rPh>
    <phoneticPr fontId="42"/>
  </si>
  <si>
    <t>減衰後電圧</t>
    <rPh sb="0" eb="2">
      <t>ゲンスイ</t>
    </rPh>
    <rPh sb="2" eb="3">
      <t>ゴ</t>
    </rPh>
    <rPh sb="3" eb="5">
      <t>デンアツ</t>
    </rPh>
    <phoneticPr fontId="42"/>
  </si>
  <si>
    <t>元電力</t>
    <rPh sb="0" eb="1">
      <t>モト</t>
    </rPh>
    <rPh sb="1" eb="3">
      <t>デンリョク</t>
    </rPh>
    <phoneticPr fontId="42"/>
  </si>
  <si>
    <t>元電圧</t>
    <rPh sb="0" eb="1">
      <t>モト</t>
    </rPh>
    <rPh sb="1" eb="3">
      <t>デンアツ</t>
    </rPh>
    <phoneticPr fontId="42"/>
  </si>
  <si>
    <t>dB⇔倍率</t>
    <phoneticPr fontId="42"/>
  </si>
  <si>
    <t>利得</t>
    <rPh sb="0" eb="2">
      <t>リトク</t>
    </rPh>
    <phoneticPr fontId="42"/>
  </si>
  <si>
    <t>ｄB</t>
    <phoneticPr fontId="42"/>
  </si>
  <si>
    <t>電圧倍率</t>
    <rPh sb="0" eb="2">
      <t>デンアツ</t>
    </rPh>
    <rPh sb="2" eb="4">
      <t>バイリツ</t>
    </rPh>
    <phoneticPr fontId="42"/>
  </si>
  <si>
    <t>電力倍率</t>
    <rPh sb="0" eb="2">
      <t>デンリョク</t>
    </rPh>
    <rPh sb="2" eb="4">
      <t>バイリツ</t>
    </rPh>
    <phoneticPr fontId="42"/>
  </si>
  <si>
    <t xml:space="preserve">  dB⇔倍率  </t>
    <rPh sb="5" eb="7">
      <t>バイリツ</t>
    </rPh>
    <phoneticPr fontId="42"/>
  </si>
  <si>
    <t>SI</t>
    <phoneticPr fontId="42"/>
  </si>
  <si>
    <t>1G =</t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</si>
  <si>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/s^2</t>
    </r>
    <phoneticPr fontId="42"/>
  </si>
  <si>
    <t>m/s^2</t>
    <phoneticPr fontId="42"/>
  </si>
  <si>
    <t>加速度G⇔SI</t>
    <phoneticPr fontId="42"/>
  </si>
  <si>
    <t xml:space="preserve">  加速度G⇔SI  </t>
    <phoneticPr fontId="42"/>
  </si>
  <si>
    <t>チャンネル数</t>
    <rPh sb="5" eb="6">
      <t>スウ</t>
    </rPh>
    <phoneticPr fontId="42"/>
  </si>
  <si>
    <t>個</t>
    <rPh sb="0" eb="1">
      <t>コ</t>
    </rPh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</si>
  <si>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Sec</t>
    </r>
    <phoneticPr fontId="42"/>
  </si>
  <si>
    <t>mSec/CH</t>
    <phoneticPr fontId="42"/>
  </si>
  <si>
    <t>AD変換速度</t>
    <rPh sb="2" eb="4">
      <t>ヘンカン</t>
    </rPh>
    <rPh sb="4" eb="6">
      <t>ソクド</t>
    </rPh>
    <phoneticPr fontId="42"/>
  </si>
  <si>
    <t>合計AD変換速度</t>
    <rPh sb="0" eb="2">
      <t>ゴウケイ</t>
    </rPh>
    <rPh sb="6" eb="8">
      <t>ソクド</t>
    </rPh>
    <phoneticPr fontId="42"/>
  </si>
  <si>
    <t>AD変換速度→周波数</t>
    <phoneticPr fontId="42"/>
  </si>
  <si>
    <t>HDL</t>
    <phoneticPr fontId="42"/>
  </si>
  <si>
    <t>クロック周波数と時間</t>
    <rPh sb="4" eb="7">
      <t>シュウハスウ</t>
    </rPh>
    <rPh sb="8" eb="10">
      <t>ジカン</t>
    </rPh>
    <phoneticPr fontId="42"/>
  </si>
  <si>
    <t>クロック周波数と時間</t>
    <rPh sb="4" eb="7">
      <t>シュウハスウ</t>
    </rPh>
    <rPh sb="8" eb="10">
      <t>ジカン</t>
    </rPh>
    <phoneticPr fontId="42"/>
  </si>
  <si>
    <t>クロック周波数</t>
    <rPh sb="4" eb="7">
      <t>シュウハスウ</t>
    </rPh>
    <phoneticPr fontId="42"/>
  </si>
  <si>
    <t>目的時間</t>
    <rPh sb="0" eb="2">
      <t>モクテキ</t>
    </rPh>
    <rPh sb="2" eb="4">
      <t>ジカン</t>
    </rPh>
    <phoneticPr fontId="42"/>
  </si>
  <si>
    <t>㎐</t>
    <phoneticPr fontId="42"/>
  </si>
  <si>
    <t>カウンタbit数</t>
    <rPh sb="7" eb="8">
      <t>スウ</t>
    </rPh>
    <phoneticPr fontId="42"/>
  </si>
  <si>
    <t>カウンタ最大値</t>
    <rPh sb="4" eb="7">
      <t>サイダイチ</t>
    </rPh>
    <phoneticPr fontId="42"/>
  </si>
  <si>
    <t>１秒間のループ数</t>
    <rPh sb="1" eb="2">
      <t>ビョウ</t>
    </rPh>
    <rPh sb="2" eb="3">
      <t>カン</t>
    </rPh>
    <rPh sb="7" eb="8">
      <t>スウ</t>
    </rPh>
    <phoneticPr fontId="42"/>
  </si>
  <si>
    <t>ループ/秒</t>
    <rPh sb="4" eb="5">
      <t>ビョウ</t>
    </rPh>
    <phoneticPr fontId="42"/>
  </si>
  <si>
    <t>必要ループ回数</t>
    <rPh sb="0" eb="2">
      <t>ヒツヨウ</t>
    </rPh>
    <rPh sb="5" eb="7">
      <t>カイスウ</t>
    </rPh>
    <phoneticPr fontId="42"/>
  </si>
  <si>
    <t>ループ</t>
    <phoneticPr fontId="42"/>
  </si>
  <si>
    <t>bit数</t>
    <rPh sb="3" eb="4">
      <t>スウ</t>
    </rPh>
    <phoneticPr fontId="42"/>
  </si>
  <si>
    <t>data</t>
    <phoneticPr fontId="42"/>
  </si>
  <si>
    <t>HEX</t>
    <phoneticPr fontId="42"/>
  </si>
  <si>
    <t>DEC</t>
    <phoneticPr fontId="42"/>
  </si>
  <si>
    <t>　レジスタ　</t>
    <phoneticPr fontId="42"/>
  </si>
  <si>
    <t>レジスタ</t>
    <phoneticPr fontId="42"/>
  </si>
  <si>
    <t>F</t>
    <phoneticPr fontId="42"/>
  </si>
  <si>
    <t>【MLX90640】</t>
    <phoneticPr fontId="42"/>
  </si>
  <si>
    <t>0ｘ8000</t>
    <phoneticPr fontId="42"/>
  </si>
  <si>
    <t>ステータスレジスタ</t>
    <phoneticPr fontId="42"/>
  </si>
  <si>
    <t>内容</t>
    <rPh sb="0" eb="2">
      <t>ナイヨウ</t>
    </rPh>
    <phoneticPr fontId="42"/>
  </si>
  <si>
    <t>Reserved</t>
    <phoneticPr fontId="42"/>
  </si>
  <si>
    <t>Last measured subpage controlled by MLX90641
0 0 0 ： Measurement of subpage 0 has been measured
0 0 1 ： Measurement of subpage 1 has been measured
0 1 0 ： Melxis reserved
0 1 1 ： Melxis reserved
1 0 0 ： Melxis reserved
1 0 1 ： Melxis reserved
1 1 0 ： Melxis reserved
1 1 1 ： Melxis reserved</t>
    <phoneticPr fontId="42"/>
  </si>
  <si>
    <t>New data available in RAM
0 ： No new data is available in RAM (must be reset be the customer)
1 ： A new data is available in RAM</t>
    <phoneticPr fontId="42"/>
  </si>
  <si>
    <t>Enable overwrite
0 ： Data in RAM overwrite is disabled
1 ： Data in RAM overwrite is enabled</t>
    <phoneticPr fontId="42"/>
  </si>
  <si>
    <t>コントロールレジスタ</t>
    <phoneticPr fontId="42"/>
  </si>
  <si>
    <t>0ｘ800D</t>
    <phoneticPr fontId="42"/>
  </si>
  <si>
    <t>Enable subpages mode
0 ： No subpages, only one page will be measured
1 ： Subpade mode is activated (default)</t>
    <phoneticPr fontId="42"/>
  </si>
  <si>
    <t>Melexis reserved
0 ： Keep this bit = "0" (default)</t>
    <phoneticPr fontId="42"/>
  </si>
  <si>
    <t>Enable data hold
0 ： Transfer the data into storage RAM at each measured frame (default)
1 ： Transfer the data into storage RAM only if en_overwrite = 1 (check 0x8000)</t>
    <phoneticPr fontId="42"/>
  </si>
  <si>
    <t>Enable subpages repeat
0 ： Toggles between subpage "0" and subpage "1" if Enable subpages mode = "1" (default)
1 ： Select subpage determines which subpage to be measured if Enable subpages mode = "1"</t>
    <phoneticPr fontId="42"/>
  </si>
  <si>
    <t>Refresh rate control
0 0 0 ： IR refresh rate = 0.5Hz
0 0 1 ： IR refresh rate = 1Hz
0 1 0 ： IR refresh rate = 2Hz (default)
0 1 1 ： IR refresh rate = 4Hz
1 0 0 ： IR refresh rate = 8Hz
1 0 1 ： IR refresh rate = 16Hz
1 1 0 ： IR refresh rate = 32Hz
1 1 1 ： IR refresh rate = 64Hz</t>
    <phoneticPr fontId="42"/>
  </si>
  <si>
    <t>Select subpage
0 0 0 ： Subpage 0 is selected (default)
0 0 1 ： Subpage 1 is selected
0 1 0 ： Not Applicable
0 1 1 ： Not Applicable
1 0 0 ： Not Applicable
1 0 1 ： Not Applicable
1 1 0 ： Not Applicable
1 1 1 ： Not Applicable</t>
    <phoneticPr fontId="42"/>
  </si>
  <si>
    <t>Resolution control
0 0 ： ADC set to 16 bit resolution
0 1 ： ADC set to 17 bit resolution
1 0 ： ADC set to 18 bit resolution (default)
1 1 ： ADC set to 19 bit resolution</t>
    <phoneticPr fontId="42"/>
  </si>
  <si>
    <t>Reading pattern
0 ： Interleaved (TV) mode
1 ： Chess pattern (default)</t>
    <phoneticPr fontId="42"/>
  </si>
  <si>
    <t>Melexis reserved</t>
  </si>
  <si>
    <t>Melexis reserved</t>
    <phoneticPr fontId="42"/>
  </si>
  <si>
    <t>I2Cコンフィギュレーション</t>
    <phoneticPr fontId="42"/>
  </si>
  <si>
    <t>0ｘ800F</t>
    <phoneticPr fontId="42"/>
  </si>
  <si>
    <t>FM+ disable
0 ： FM+ mode enabled (default)
1 ： FM+ mode disabled</t>
    <phoneticPr fontId="42"/>
  </si>
  <si>
    <t>I2C threshold levels
0 ： VDD reffered threshold (normal mode) (default)
1 ： 1.8V reffered threshold (1.8V mode)</t>
    <phoneticPr fontId="42"/>
  </si>
  <si>
    <t>SDA driver current limit control
0 ： SDA driver current limit is ON (default)
1 ： SDA driver current limit is OFF</t>
    <phoneticPr fontId="42"/>
  </si>
  <si>
    <t>サーミスタ計算</t>
    <rPh sb="5" eb="7">
      <t>ケイサン</t>
    </rPh>
    <phoneticPr fontId="42"/>
  </si>
  <si>
    <t>B</t>
    <phoneticPr fontId="49"/>
  </si>
  <si>
    <t>基準温度抵抗</t>
    <rPh sb="0" eb="2">
      <t>キジュン</t>
    </rPh>
    <rPh sb="2" eb="4">
      <t>オンド</t>
    </rPh>
    <rPh sb="4" eb="6">
      <t>テイコウ</t>
    </rPh>
    <phoneticPr fontId="49"/>
  </si>
  <si>
    <t>℃</t>
    <phoneticPr fontId="42"/>
  </si>
  <si>
    <t>基準温度</t>
    <rPh sb="0" eb="2">
      <t>キジュン</t>
    </rPh>
    <rPh sb="2" eb="4">
      <t>オンド</t>
    </rPh>
    <phoneticPr fontId="49"/>
  </si>
  <si>
    <t>対象温度</t>
    <rPh sb="0" eb="2">
      <t>タイショウ</t>
    </rPh>
    <rPh sb="2" eb="4">
      <t>オンド</t>
    </rPh>
    <phoneticPr fontId="49"/>
  </si>
  <si>
    <t>三重点(？)</t>
    <rPh sb="0" eb="2">
      <t>ミエ</t>
    </rPh>
    <rPh sb="2" eb="3">
      <t>テン</t>
    </rPh>
    <phoneticPr fontId="42"/>
  </si>
  <si>
    <t>http://www.ohizumi-mfg.jp/products/tech01.html</t>
    <phoneticPr fontId="42"/>
  </si>
  <si>
    <t>https://keisan.casio.jp/exec/user/1248569182</t>
    <phoneticPr fontId="42"/>
  </si>
  <si>
    <t>サーミスタ抵抗の計算</t>
    <rPh sb="5" eb="7">
      <t>テイコウ</t>
    </rPh>
    <rPh sb="8" eb="10">
      <t>ケイサン</t>
    </rPh>
    <phoneticPr fontId="42"/>
  </si>
  <si>
    <t>一周の長さ</t>
    <rPh sb="0" eb="2">
      <t>イッシュウ</t>
    </rPh>
    <rPh sb="3" eb="4">
      <t>ナガ</t>
    </rPh>
    <phoneticPr fontId="42"/>
  </si>
  <si>
    <t>磁界</t>
    <rPh sb="0" eb="2">
      <t>ジカイ</t>
    </rPh>
    <phoneticPr fontId="42"/>
  </si>
  <si>
    <t>A/m</t>
    <phoneticPr fontId="42"/>
  </si>
  <si>
    <t>■電流と周回路の法則</t>
    <rPh sb="1" eb="3">
      <t>デンリュウ</t>
    </rPh>
    <rPh sb="4" eb="5">
      <t>シュウ</t>
    </rPh>
    <rPh sb="5" eb="7">
      <t>カイロ</t>
    </rPh>
    <rPh sb="8" eb="10">
      <t>ホウソク</t>
    </rPh>
    <phoneticPr fontId="42"/>
  </si>
  <si>
    <t>Hl = I</t>
    <phoneticPr fontId="42"/>
  </si>
  <si>
    <t>H：磁界</t>
    <rPh sb="2" eb="4">
      <t>ジカイ</t>
    </rPh>
    <phoneticPr fontId="42"/>
  </si>
  <si>
    <t>ｌ：一周の長さ</t>
    <rPh sb="2" eb="4">
      <t>イッシュウ</t>
    </rPh>
    <rPh sb="5" eb="6">
      <t>ナガ</t>
    </rPh>
    <phoneticPr fontId="42"/>
  </si>
  <si>
    <t>I：電流</t>
    <rPh sb="2" eb="4">
      <t>デンリュウ</t>
    </rPh>
    <phoneticPr fontId="42"/>
  </si>
  <si>
    <t>直径</t>
    <rPh sb="0" eb="2">
      <t>チョッケイ</t>
    </rPh>
    <phoneticPr fontId="42"/>
  </si>
  <si>
    <t>円周率</t>
    <rPh sb="0" eb="3">
      <t>エンシュウリツ</t>
    </rPh>
    <phoneticPr fontId="42"/>
  </si>
  <si>
    <t>円周</t>
    <rPh sb="0" eb="2">
      <t>エンシュウ</t>
    </rPh>
    <phoneticPr fontId="42"/>
  </si>
  <si>
    <t>H</t>
    <phoneticPr fontId="42"/>
  </si>
  <si>
    <t>r ：導体からの距離</t>
    <rPh sb="3" eb="5">
      <t>ドウタイ</t>
    </rPh>
    <rPh sb="8" eb="10">
      <t>キョリ</t>
    </rPh>
    <phoneticPr fontId="42"/>
  </si>
  <si>
    <t>I ：電流</t>
    <rPh sb="3" eb="5">
      <t>デンリュウ</t>
    </rPh>
    <phoneticPr fontId="42"/>
  </si>
  <si>
    <t>l</t>
    <phoneticPr fontId="42"/>
  </si>
  <si>
    <t>r</t>
    <phoneticPr fontId="42"/>
  </si>
  <si>
    <t>導体からの距離</t>
    <rPh sb="0" eb="2">
      <t>ドウタイ</t>
    </rPh>
    <rPh sb="5" eb="7">
      <t>キョリ</t>
    </rPh>
    <phoneticPr fontId="42"/>
  </si>
  <si>
    <t>補助計算/固定値</t>
    <rPh sb="5" eb="7">
      <t>コテイ</t>
    </rPh>
    <rPh sb="7" eb="8">
      <t>アタイ</t>
    </rPh>
    <phoneticPr fontId="42"/>
  </si>
  <si>
    <t>コイル電流と磁界</t>
    <rPh sb="3" eb="5">
      <t>デンリュウ</t>
    </rPh>
    <rPh sb="6" eb="8">
      <t>ジカイ</t>
    </rPh>
    <phoneticPr fontId="42"/>
  </si>
  <si>
    <t>r ：半径</t>
    <rPh sb="3" eb="5">
      <t>ハンケイ</t>
    </rPh>
    <phoneticPr fontId="42"/>
  </si>
  <si>
    <t>半径</t>
    <rPh sb="0" eb="2">
      <t>ハンケイ</t>
    </rPh>
    <phoneticPr fontId="42"/>
  </si>
  <si>
    <t>■直線電流と磁界</t>
    <rPh sb="1" eb="3">
      <t>チョクセン</t>
    </rPh>
    <rPh sb="3" eb="5">
      <t>デンリュウ</t>
    </rPh>
    <rPh sb="6" eb="8">
      <t>ジカイ</t>
    </rPh>
    <phoneticPr fontId="42"/>
  </si>
  <si>
    <t>■円形電流と磁界</t>
    <rPh sb="1" eb="3">
      <t>エンケイ</t>
    </rPh>
    <rPh sb="3" eb="5">
      <t>デンリュウ</t>
    </rPh>
    <rPh sb="6" eb="8">
      <t>ジカイ</t>
    </rPh>
    <phoneticPr fontId="42"/>
  </si>
  <si>
    <t>■n巻きコイルの中心にできる磁界</t>
    <rPh sb="2" eb="3">
      <t>マ</t>
    </rPh>
    <rPh sb="8" eb="10">
      <t>チュウシン</t>
    </rPh>
    <rPh sb="14" eb="16">
      <t>ジカイ</t>
    </rPh>
    <phoneticPr fontId="42"/>
  </si>
  <si>
    <t>n：コイル巻数</t>
    <rPh sb="5" eb="6">
      <t>マ</t>
    </rPh>
    <rPh sb="6" eb="7">
      <t>スウ</t>
    </rPh>
    <phoneticPr fontId="42"/>
  </si>
  <si>
    <t>ｒ：半径</t>
    <rPh sb="2" eb="4">
      <t>ハンケイ</t>
    </rPh>
    <phoneticPr fontId="42"/>
  </si>
  <si>
    <t>巻数</t>
    <rPh sb="0" eb="1">
      <t>マ</t>
    </rPh>
    <rPh sb="1" eb="2">
      <t>スウ</t>
    </rPh>
    <phoneticPr fontId="42"/>
  </si>
  <si>
    <t>ターン</t>
    <phoneticPr fontId="42"/>
  </si>
  <si>
    <t>V</t>
    <phoneticPr fontId="42"/>
  </si>
  <si>
    <t>→</t>
    <phoneticPr fontId="42"/>
  </si>
  <si>
    <t>音圧レベル</t>
    <rPh sb="0" eb="2">
      <t>オンアツ</t>
    </rPh>
    <phoneticPr fontId="42"/>
  </si>
  <si>
    <t>倍</t>
    <rPh sb="0" eb="1">
      <t>バイ</t>
    </rPh>
    <phoneticPr fontId="42"/>
  </si>
  <si>
    <t>電圧</t>
    <rPh sb="0" eb="2">
      <t>デンアツ</t>
    </rPh>
    <phoneticPr fontId="42"/>
  </si>
  <si>
    <t>音圧</t>
    <rPh sb="0" eb="2">
      <t>オンアツ</t>
    </rPh>
    <phoneticPr fontId="42"/>
  </si>
  <si>
    <t>Pa</t>
    <phoneticPr fontId="42"/>
  </si>
  <si>
    <t>参照固定値</t>
    <rPh sb="0" eb="2">
      <t>サンショウ</t>
    </rPh>
    <rPh sb="2" eb="5">
      <t>コテイチ</t>
    </rPh>
    <phoneticPr fontId="42"/>
  </si>
  <si>
    <t>dB</t>
    <phoneticPr fontId="42"/>
  </si>
  <si>
    <t>倍率</t>
    <rPh sb="0" eb="2">
      <t>バイリツ</t>
    </rPh>
    <phoneticPr fontId="42"/>
  </si>
  <si>
    <t>出力電圧</t>
    <rPh sb="0" eb="2">
      <t>シュツリョク</t>
    </rPh>
    <rPh sb="2" eb="4">
      <t>デンアツ</t>
    </rPh>
    <phoneticPr fontId="42"/>
  </si>
  <si>
    <t>マイク最大入力</t>
    <rPh sb="3" eb="5">
      <t>サイダイ</t>
    </rPh>
    <rPh sb="5" eb="7">
      <t>ニュウリョク</t>
    </rPh>
    <phoneticPr fontId="42"/>
  </si>
  <si>
    <t>マイク感度倍率</t>
    <rPh sb="3" eb="5">
      <t>カンド</t>
    </rPh>
    <rPh sb="5" eb="7">
      <t>バイリツ</t>
    </rPh>
    <phoneticPr fontId="42"/>
  </si>
  <si>
    <t>最大入力倍率</t>
    <rPh sb="0" eb="2">
      <t>サイダイ</t>
    </rPh>
    <rPh sb="2" eb="4">
      <t>ニュウリョク</t>
    </rPh>
    <rPh sb="4" eb="6">
      <t>バイリツ</t>
    </rPh>
    <phoneticPr fontId="42"/>
  </si>
  <si>
    <t>最大入力音圧</t>
    <rPh sb="0" eb="2">
      <t>サイダイ</t>
    </rPh>
    <rPh sb="2" eb="4">
      <t>ニュウリョク</t>
    </rPh>
    <rPh sb="4" eb="6">
      <t>オンアツ</t>
    </rPh>
    <phoneticPr fontId="42"/>
  </si>
  <si>
    <t>最大入力時電圧</t>
    <rPh sb="0" eb="2">
      <t>サイダイ</t>
    </rPh>
    <rPh sb="2" eb="4">
      <t>ニュウリョク</t>
    </rPh>
    <rPh sb="4" eb="5">
      <t>ジ</t>
    </rPh>
    <rPh sb="5" eb="7">
      <t>デンアツ</t>
    </rPh>
    <phoneticPr fontId="42"/>
  </si>
  <si>
    <t>倍（V/Pa）</t>
    <rPh sb="0" eb="1">
      <t>バイ</t>
    </rPh>
    <phoneticPr fontId="42"/>
  </si>
  <si>
    <t>◆ECM-100Uのマイク性能計算</t>
    <rPh sb="13" eb="15">
      <t>セイノウ</t>
    </rPh>
    <rPh sb="15" eb="17">
      <t>ケイサン</t>
    </rPh>
    <phoneticPr fontId="42"/>
  </si>
  <si>
    <t>マイク感度</t>
    <rPh sb="3" eb="5">
      <t>カンド</t>
    </rPh>
    <phoneticPr fontId="42"/>
  </si>
  <si>
    <t>マイク入力</t>
    <rPh sb="3" eb="5">
      <t>ニュウリョク</t>
    </rPh>
    <phoneticPr fontId="42"/>
  </si>
  <si>
    <t>ｄB</t>
    <phoneticPr fontId="42"/>
  </si>
  <si>
    <t>マイク感度：-41dBSPL</t>
    <rPh sb="3" eb="5">
      <t>カンド</t>
    </rPh>
    <phoneticPr fontId="42"/>
  </si>
  <si>
    <t>◆ECM-100情報</t>
    <rPh sb="8" eb="10">
      <t>ジョウホウ</t>
    </rPh>
    <phoneticPr fontId="42"/>
  </si>
  <si>
    <t>最大入力音圧：142dBSPL</t>
    <rPh sb="0" eb="2">
      <t>サイダイ</t>
    </rPh>
    <rPh sb="2" eb="4">
      <t>ニュウリョク</t>
    </rPh>
    <rPh sb="4" eb="6">
      <t>オンアツ</t>
    </rPh>
    <phoneticPr fontId="42"/>
  </si>
  <si>
    <t>◆マイク感度0dBmのマイク入力音圧 対 マイク出力電圧</t>
    <rPh sb="4" eb="6">
      <t>カンド</t>
    </rPh>
    <rPh sb="14" eb="16">
      <t>ニュウリョク</t>
    </rPh>
    <rPh sb="16" eb="18">
      <t>オンアツ</t>
    </rPh>
    <rPh sb="19" eb="20">
      <t>タイ</t>
    </rPh>
    <rPh sb="24" eb="26">
      <t>シュツリョク</t>
    </rPh>
    <rPh sb="26" eb="28">
      <t>デンアツ</t>
    </rPh>
    <phoneticPr fontId="42"/>
  </si>
  <si>
    <t>(１V/Pa)</t>
    <phoneticPr fontId="42"/>
  </si>
  <si>
    <t>1Pa ＝ １V</t>
    <phoneticPr fontId="42"/>
  </si>
  <si>
    <t>※マイク感度0dBmのマイクにおいて</t>
    <rPh sb="4" eb="6">
      <t>カンド</t>
    </rPh>
    <phoneticPr fontId="42"/>
  </si>
  <si>
    <t>→</t>
    <phoneticPr fontId="42"/>
  </si>
  <si>
    <t>　 音圧1Paの入力で1Vの電圧が出力される。</t>
    <rPh sb="2" eb="4">
      <t>オンアツ</t>
    </rPh>
    <rPh sb="8" eb="10">
      <t>ニュウリョク</t>
    </rPh>
    <rPh sb="14" eb="16">
      <t>デンアツ</t>
    </rPh>
    <rPh sb="17" eb="19">
      <t>シュツリョク</t>
    </rPh>
    <phoneticPr fontId="42"/>
  </si>
  <si>
    <t>音圧参照値(0dBSPL時)</t>
    <rPh sb="0" eb="2">
      <t>オンアツ</t>
    </rPh>
    <rPh sb="2" eb="4">
      <t>サンショウ</t>
    </rPh>
    <rPh sb="4" eb="5">
      <t>チ</t>
    </rPh>
    <phoneticPr fontId="42"/>
  </si>
  <si>
    <t>電圧参照値(0dBu時)</t>
    <rPh sb="0" eb="2">
      <t>デンアツ</t>
    </rPh>
    <rPh sb="2" eb="4">
      <t>サンショウ</t>
    </rPh>
    <rPh sb="4" eb="5">
      <t>チ</t>
    </rPh>
    <rPh sb="10" eb="11">
      <t>ジ</t>
    </rPh>
    <phoneticPr fontId="42"/>
  </si>
  <si>
    <t>利得/音圧/電圧/マイク</t>
    <rPh sb="0" eb="2">
      <t>リトク</t>
    </rPh>
    <rPh sb="3" eb="5">
      <t>オンアツ</t>
    </rPh>
    <rPh sb="6" eb="8">
      <t>デンアツ</t>
    </rPh>
    <phoneticPr fontId="42"/>
  </si>
  <si>
    <t>V/Pa</t>
    <phoneticPr fontId="42"/>
  </si>
  <si>
    <t>感度0dBmマイクの1Paでの出力電圧</t>
    <rPh sb="0" eb="2">
      <t>カンド</t>
    </rPh>
    <rPh sb="15" eb="17">
      <t>シュツリョク</t>
    </rPh>
    <rPh sb="17" eb="19">
      <t>デンアツ</t>
    </rPh>
    <phoneticPr fontId="42"/>
  </si>
  <si>
    <t>0dBu時の電圧(基準値)</t>
    <rPh sb="4" eb="5">
      <t>ジ</t>
    </rPh>
    <rPh sb="6" eb="8">
      <t>デンアツ</t>
    </rPh>
    <rPh sb="9" eb="11">
      <t>キジュン</t>
    </rPh>
    <rPh sb="11" eb="12">
      <t>チ</t>
    </rPh>
    <phoneticPr fontId="42"/>
  </si>
  <si>
    <t>0dBu時の音圧(基準値)</t>
    <rPh sb="4" eb="5">
      <t>ジ</t>
    </rPh>
    <rPh sb="6" eb="8">
      <t>オンアツ</t>
    </rPh>
    <rPh sb="11" eb="12">
      <t>チ</t>
    </rPh>
    <phoneticPr fontId="42"/>
  </si>
  <si>
    <t>0dBm時の電力(基準値)</t>
    <rPh sb="4" eb="5">
      <t>ジ</t>
    </rPh>
    <rPh sb="6" eb="8">
      <t>デンリョク</t>
    </rPh>
    <rPh sb="11" eb="12">
      <t>チ</t>
    </rPh>
    <phoneticPr fontId="42"/>
  </si>
  <si>
    <t>dBSPL</t>
    <phoneticPr fontId="42"/>
  </si>
  <si>
    <t>1Pa入力時のマイク出力電圧</t>
    <rPh sb="3" eb="5">
      <t>ニュウリョク</t>
    </rPh>
    <rPh sb="5" eb="6">
      <t>ジ</t>
    </rPh>
    <rPh sb="10" eb="12">
      <t>シュツリョク</t>
    </rPh>
    <rPh sb="12" eb="14">
      <t>デンアツ</t>
    </rPh>
    <phoneticPr fontId="42"/>
  </si>
  <si>
    <t>マイク入力音圧</t>
    <rPh sb="3" eb="5">
      <t>ニュウリョク</t>
    </rPh>
    <rPh sb="5" eb="7">
      <t>オンアツ</t>
    </rPh>
    <phoneticPr fontId="42"/>
  </si>
  <si>
    <t>マイク出力電圧</t>
    <rPh sb="3" eb="5">
      <t>シュツリョク</t>
    </rPh>
    <rPh sb="5" eb="7">
      <t>デンアツ</t>
    </rPh>
    <phoneticPr fontId="42"/>
  </si>
  <si>
    <t>マイク入力音圧(Pa)</t>
    <rPh sb="3" eb="5">
      <t>ニュウリョク</t>
    </rPh>
    <rPh sb="5" eb="7">
      <t>オンアツ</t>
    </rPh>
    <phoneticPr fontId="42"/>
  </si>
  <si>
    <t>マイク入力音圧利得</t>
    <rPh sb="3" eb="5">
      <t>ニュウリョク</t>
    </rPh>
    <rPh sb="5" eb="7">
      <t>オンアツ</t>
    </rPh>
    <rPh sb="7" eb="9">
      <t>リトク</t>
    </rPh>
    <phoneticPr fontId="42"/>
  </si>
  <si>
    <t>電圧or音圧倍率</t>
    <rPh sb="0" eb="2">
      <t>デンアツ</t>
    </rPh>
    <rPh sb="4" eb="6">
      <t>オンアツ</t>
    </rPh>
    <rPh sb="6" eb="8">
      <t>バイリツ</t>
    </rPh>
    <phoneticPr fontId="42"/>
  </si>
  <si>
    <t>◆利得 VS 電圧・音圧・電力</t>
    <rPh sb="1" eb="3">
      <t>リトク</t>
    </rPh>
    <rPh sb="7" eb="9">
      <t>デンアツ</t>
    </rPh>
    <rPh sb="10" eb="12">
      <t>オンアツ</t>
    </rPh>
    <rPh sb="13" eb="15">
      <t>デンリョク</t>
    </rPh>
    <phoneticPr fontId="42"/>
  </si>
  <si>
    <t>ｄBSPLの出力電圧</t>
    <rPh sb="6" eb="8">
      <t>シュツリョク</t>
    </rPh>
    <rPh sb="8" eb="10">
      <t>デンアツ</t>
    </rPh>
    <phoneticPr fontId="42"/>
  </si>
  <si>
    <t>音圧利得に対する音圧</t>
    <rPh sb="0" eb="2">
      <t>オンアツ</t>
    </rPh>
    <rPh sb="2" eb="4">
      <t>リトク</t>
    </rPh>
    <rPh sb="5" eb="6">
      <t>タイ</t>
    </rPh>
    <rPh sb="8" eb="10">
      <t>オンアツ</t>
    </rPh>
    <phoneticPr fontId="42"/>
  </si>
  <si>
    <t>音圧利得に対す倍率</t>
    <rPh sb="0" eb="2">
      <t>オンアツ</t>
    </rPh>
    <rPh sb="2" eb="4">
      <t>リトク</t>
    </rPh>
    <rPh sb="5" eb="6">
      <t>タイ</t>
    </rPh>
    <rPh sb="7" eb="9">
      <t>バイリツ</t>
    </rPh>
    <phoneticPr fontId="42"/>
  </si>
  <si>
    <t>・マイク入力音圧　→　マイク出力電圧</t>
    <rPh sb="4" eb="6">
      <t>ニュウリョク</t>
    </rPh>
    <rPh sb="6" eb="8">
      <t>オンアツ</t>
    </rPh>
    <rPh sb="14" eb="16">
      <t>シュツリョク</t>
    </rPh>
    <rPh sb="16" eb="18">
      <t>デンアツ</t>
    </rPh>
    <phoneticPr fontId="42"/>
  </si>
  <si>
    <t>・マイク出力電圧→音圧・利得</t>
    <rPh sb="4" eb="6">
      <t>シュツリョク</t>
    </rPh>
    <rPh sb="6" eb="8">
      <t>デンアツ</t>
    </rPh>
    <rPh sb="9" eb="11">
      <t>オンアツ</t>
    </rPh>
    <rPh sb="12" eb="14">
      <t>リトク</t>
    </rPh>
    <phoneticPr fontId="42"/>
  </si>
  <si>
    <t>・マイク入力音圧利得→音圧・マイク出力電圧</t>
    <rPh sb="4" eb="6">
      <t>ニュウリョク</t>
    </rPh>
    <rPh sb="6" eb="8">
      <t>オンアツ</t>
    </rPh>
    <rPh sb="8" eb="10">
      <t>リトク</t>
    </rPh>
    <rPh sb="11" eb="13">
      <t>オンアツ</t>
    </rPh>
    <rPh sb="17" eb="19">
      <t>シュツリョク</t>
    </rPh>
    <rPh sb="19" eb="21">
      <t>デンアツ</t>
    </rPh>
    <phoneticPr fontId="42"/>
  </si>
  <si>
    <t>◆マイク感度が</t>
    <rPh sb="4" eb="6">
      <t>カンド</t>
    </rPh>
    <phoneticPr fontId="42"/>
  </si>
  <si>
    <t>利得-音圧-電圧-マイク</t>
    <phoneticPr fontId="42"/>
  </si>
  <si>
    <t>◆利得→電力</t>
    <rPh sb="1" eb="3">
      <t>リトク</t>
    </rPh>
    <rPh sb="4" eb="6">
      <t>デンリョク</t>
    </rPh>
    <phoneticPr fontId="42"/>
  </si>
  <si>
    <t>◆計算式）利得→電圧or音圧</t>
    <rPh sb="1" eb="4">
      <t>ケイサンシキ</t>
    </rPh>
    <rPh sb="5" eb="7">
      <t>リトク</t>
    </rPh>
    <rPh sb="8" eb="10">
      <t>デンアツ</t>
    </rPh>
    <rPh sb="12" eb="14">
      <t>オンアツ</t>
    </rPh>
    <phoneticPr fontId="42"/>
  </si>
  <si>
    <t>◆計算式）電圧or音圧→利得</t>
    <rPh sb="1" eb="4">
      <t>ケイサンシキ</t>
    </rPh>
    <rPh sb="5" eb="7">
      <t>デンアツ</t>
    </rPh>
    <rPh sb="9" eb="11">
      <t>オンアツ</t>
    </rPh>
    <rPh sb="12" eb="14">
      <t>リトク</t>
    </rPh>
    <phoneticPr fontId="42"/>
  </si>
  <si>
    <t>◆計算式）電力→利得</t>
    <rPh sb="1" eb="4">
      <t>ケイサンシキ</t>
    </rPh>
    <rPh sb="5" eb="7">
      <t>デンリョク</t>
    </rPh>
    <rPh sb="8" eb="10">
      <t>リトク</t>
    </rPh>
    <phoneticPr fontId="42"/>
  </si>
  <si>
    <t>◆各基準値</t>
    <rPh sb="1" eb="2">
      <t>カク</t>
    </rPh>
    <rPh sb="2" eb="5">
      <t>キジュンチ</t>
    </rPh>
    <phoneticPr fontId="42"/>
  </si>
  <si>
    <t>◆ECM-100情報（ただのメモ）</t>
    <rPh sb="8" eb="10">
      <t>ジョウホウ</t>
    </rPh>
    <phoneticPr fontId="42"/>
  </si>
  <si>
    <t>参考URL</t>
    <rPh sb="0" eb="2">
      <t>サンコウ</t>
    </rPh>
    <phoneticPr fontId="42"/>
  </si>
  <si>
    <t>消費電流</t>
    <rPh sb="0" eb="2">
      <t>ショウヒ</t>
    </rPh>
    <rPh sb="2" eb="4">
      <t>デンリュウ</t>
    </rPh>
    <phoneticPr fontId="42"/>
  </si>
  <si>
    <t>合計</t>
    <rPh sb="0" eb="2">
      <t>ゴウケイ</t>
    </rPh>
    <phoneticPr fontId="42"/>
  </si>
  <si>
    <t>モード名</t>
    <rPh sb="3" eb="4">
      <t>メイ</t>
    </rPh>
    <phoneticPr fontId="42"/>
  </si>
  <si>
    <t>-----</t>
    <phoneticPr fontId="42"/>
  </si>
  <si>
    <t>加速度センサ</t>
    <rPh sb="0" eb="3">
      <t>カソクド</t>
    </rPh>
    <phoneticPr fontId="42"/>
  </si>
  <si>
    <t>動作時間</t>
    <rPh sb="0" eb="2">
      <t>ドウサ</t>
    </rPh>
    <rPh sb="2" eb="4">
      <t>ジカン</t>
    </rPh>
    <phoneticPr fontId="42"/>
  </si>
  <si>
    <t>スリープモード</t>
    <phoneticPr fontId="42"/>
  </si>
  <si>
    <t>◆モード3</t>
    <phoneticPr fontId="42"/>
  </si>
  <si>
    <t>◆モード2</t>
    <phoneticPr fontId="42"/>
  </si>
  <si>
    <t>◆モード１</t>
    <phoneticPr fontId="42"/>
  </si>
  <si>
    <t>待機モード</t>
    <rPh sb="0" eb="2">
      <t>タイキ</t>
    </rPh>
    <phoneticPr fontId="42"/>
  </si>
  <si>
    <t>測定モード</t>
    <rPh sb="0" eb="2">
      <t>ソクテイ</t>
    </rPh>
    <phoneticPr fontId="42"/>
  </si>
  <si>
    <t>平均電流</t>
    <rPh sb="0" eb="2">
      <t>ヘイキン</t>
    </rPh>
    <rPh sb="2" eb="4">
      <t>デンリュウ</t>
    </rPh>
    <phoneticPr fontId="42"/>
  </si>
  <si>
    <t>mA/h</t>
    <phoneticPr fontId="42"/>
  </si>
  <si>
    <t>持ち時間</t>
    <rPh sb="0" eb="1">
      <t>モ</t>
    </rPh>
    <rPh sb="2" eb="4">
      <t>ジカン</t>
    </rPh>
    <phoneticPr fontId="42"/>
  </si>
  <si>
    <t>ADC</t>
    <phoneticPr fontId="42"/>
  </si>
  <si>
    <t>MCU</t>
    <phoneticPr fontId="42"/>
  </si>
  <si>
    <t>メイン電圧</t>
    <rPh sb="3" eb="5">
      <t>デンアツ</t>
    </rPh>
    <phoneticPr fontId="42"/>
  </si>
  <si>
    <t>昇降圧効率</t>
    <rPh sb="0" eb="1">
      <t>ノボル</t>
    </rPh>
    <rPh sb="1" eb="3">
      <t>コウアツ</t>
    </rPh>
    <rPh sb="3" eb="5">
      <t>コウリツ</t>
    </rPh>
    <phoneticPr fontId="42"/>
  </si>
  <si>
    <t>※DCDC使用時</t>
    <rPh sb="5" eb="7">
      <t>シヨウ</t>
    </rPh>
    <rPh sb="7" eb="8">
      <t>ジ</t>
    </rPh>
    <phoneticPr fontId="42"/>
  </si>
  <si>
    <t>電池電力容量</t>
    <rPh sb="0" eb="2">
      <t>デンチ</t>
    </rPh>
    <rPh sb="2" eb="4">
      <t>デンリョク</t>
    </rPh>
    <rPh sb="4" eb="6">
      <t>ヨウリョウ</t>
    </rPh>
    <phoneticPr fontId="42"/>
  </si>
  <si>
    <t>電源消費</t>
    <rPh sb="0" eb="2">
      <t>デンゲン</t>
    </rPh>
    <rPh sb="2" eb="4">
      <t>ショウヒ</t>
    </rPh>
    <phoneticPr fontId="42"/>
  </si>
  <si>
    <t>mWh</t>
    <phoneticPr fontId="42"/>
  </si>
  <si>
    <t>カラー情報→白黒情報</t>
    <rPh sb="3" eb="5">
      <t>ジョウホウ</t>
    </rPh>
    <rPh sb="6" eb="8">
      <t>シロクロ</t>
    </rPh>
    <rPh sb="8" eb="10">
      <t>ジョウホウ</t>
    </rPh>
    <phoneticPr fontId="42"/>
  </si>
  <si>
    <t>カラー情報から白黒情報への計算</t>
    <rPh sb="3" eb="5">
      <t>ジョウホウ</t>
    </rPh>
    <rPh sb="7" eb="9">
      <t>シロクロ</t>
    </rPh>
    <rPh sb="9" eb="11">
      <t>ジョウホウ</t>
    </rPh>
    <rPh sb="13" eb="15">
      <t>ケイサン</t>
    </rPh>
    <phoneticPr fontId="42"/>
  </si>
  <si>
    <t>R輝度</t>
    <rPh sb="1" eb="3">
      <t>キド</t>
    </rPh>
    <phoneticPr fontId="42"/>
  </si>
  <si>
    <t>G輝度</t>
    <phoneticPr fontId="42"/>
  </si>
  <si>
    <t>B輝度</t>
    <phoneticPr fontId="42"/>
  </si>
  <si>
    <t>R補正値</t>
    <rPh sb="1" eb="4">
      <t>ホセイチ</t>
    </rPh>
    <phoneticPr fontId="42"/>
  </si>
  <si>
    <t>G補正値</t>
    <rPh sb="1" eb="4">
      <t>ホセイチ</t>
    </rPh>
    <phoneticPr fontId="42"/>
  </si>
  <si>
    <t>B補正値</t>
    <rPh sb="1" eb="4">
      <t>ホセイチ</t>
    </rPh>
    <phoneticPr fontId="42"/>
  </si>
  <si>
    <t>http://www.catnet.ne.jp/triceps/pub/sample/ws251.pdf</t>
    <phoneticPr fontId="42"/>
  </si>
  <si>
    <t>白黒情報</t>
    <rPh sb="0" eb="2">
      <t>シロクロ</t>
    </rPh>
    <rPh sb="2" eb="4">
      <t>ジョウホウ</t>
    </rPh>
    <phoneticPr fontId="42"/>
  </si>
  <si>
    <t>光信号とケーブルロス</t>
    <rPh sb="0" eb="1">
      <t>ヒカリ</t>
    </rPh>
    <rPh sb="1" eb="3">
      <t>シンゴウ</t>
    </rPh>
    <phoneticPr fontId="42"/>
  </si>
  <si>
    <t>参考：</t>
    <rPh sb="0" eb="2">
      <t>サンコウ</t>
    </rPh>
    <phoneticPr fontId="42"/>
  </si>
  <si>
    <t>https://www.apresia.jp/technical/transmission/distance.html</t>
    <phoneticPr fontId="42"/>
  </si>
  <si>
    <t>光信号とケーブルロス</t>
    <phoneticPr fontId="42"/>
  </si>
  <si>
    <t>km</t>
    <phoneticPr fontId="42"/>
  </si>
  <si>
    <t>dB/km</t>
    <phoneticPr fontId="42"/>
  </si>
  <si>
    <t>光ファイバーロス</t>
    <rPh sb="0" eb="1">
      <t>ヒカリ</t>
    </rPh>
    <phoneticPr fontId="42"/>
  </si>
  <si>
    <t>伝送ロス</t>
    <rPh sb="0" eb="2">
      <t>デンソウ</t>
    </rPh>
    <phoneticPr fontId="42"/>
  </si>
  <si>
    <t>電力</t>
    <rPh sb="0" eb="2">
      <t>デンリョク</t>
    </rPh>
    <phoneticPr fontId="42"/>
  </si>
  <si>
    <t>W</t>
    <phoneticPr fontId="42"/>
  </si>
  <si>
    <t>電力参照値(0dBm時)</t>
    <rPh sb="0" eb="2">
      <t>デンリョク</t>
    </rPh>
    <rPh sb="2" eb="4">
      <t>サンショウ</t>
    </rPh>
    <rPh sb="4" eb="5">
      <t>チ</t>
    </rPh>
    <rPh sb="10" eb="11">
      <t>ジ</t>
    </rPh>
    <phoneticPr fontId="42"/>
  </si>
  <si>
    <t>↘</t>
    <phoneticPr fontId="42"/>
  </si>
  <si>
    <t>　I2Cプルアップ抵抗　</t>
    <rPh sb="9" eb="11">
      <t>テイコウ</t>
    </rPh>
    <phoneticPr fontId="42"/>
  </si>
  <si>
    <t>Vdd電圧</t>
    <rPh sb="3" eb="5">
      <t>デンアツ</t>
    </rPh>
    <phoneticPr fontId="42"/>
  </si>
  <si>
    <t>on電圧</t>
    <rPh sb="2" eb="4">
      <t>デンアツ</t>
    </rPh>
    <phoneticPr fontId="42"/>
  </si>
  <si>
    <t>Rp　＞　（Vdd－０．４）／ドライバシンク電流</t>
    <rPh sb="22" eb="24">
      <t>デンリュウ</t>
    </rPh>
    <phoneticPr fontId="42"/>
  </si>
  <si>
    <t>最小プルアップ抵抗</t>
    <rPh sb="0" eb="2">
      <t>サイショウ</t>
    </rPh>
    <rPh sb="7" eb="9">
      <t>テイコウ</t>
    </rPh>
    <phoneticPr fontId="42"/>
  </si>
  <si>
    <t>dBP = 10log (A)</t>
    <phoneticPr fontId="42"/>
  </si>
  <si>
    <t>dBm</t>
    <phoneticPr fontId="42"/>
  </si>
  <si>
    <t>加速度</t>
    <rPh sb="0" eb="3">
      <t>カソクド</t>
    </rPh>
    <phoneticPr fontId="42"/>
  </si>
  <si>
    <t>エイリアシング計算</t>
    <rPh sb="7" eb="9">
      <t>ケイサン</t>
    </rPh>
    <phoneticPr fontId="42"/>
  </si>
  <si>
    <t>エイリアシング計算</t>
    <rPh sb="7" eb="9">
      <t>ケイサン</t>
    </rPh>
    <phoneticPr fontId="42"/>
  </si>
  <si>
    <t>サンプリング周波数</t>
    <rPh sb="6" eb="9">
      <t>シュウハスウ</t>
    </rPh>
    <phoneticPr fontId="42"/>
  </si>
  <si>
    <t>ナイキスト周波数</t>
    <rPh sb="5" eb="8">
      <t>シュウハスウ</t>
    </rPh>
    <phoneticPr fontId="42"/>
  </si>
  <si>
    <t>入力周波数</t>
    <rPh sb="0" eb="2">
      <t>ニュウリョク</t>
    </rPh>
    <rPh sb="2" eb="5">
      <t>シュウハスウ</t>
    </rPh>
    <phoneticPr fontId="42"/>
  </si>
  <si>
    <t>Hz</t>
    <phoneticPr fontId="42"/>
  </si>
  <si>
    <t>測定周波数(ｴｲﾘｱｼﾝｸﾞ)</t>
    <rPh sb="0" eb="2">
      <t>ソクテイ</t>
    </rPh>
    <rPh sb="2" eb="5">
      <t>シュウハスウ</t>
    </rPh>
    <phoneticPr fontId="42"/>
  </si>
  <si>
    <t>差動アンプ</t>
    <rPh sb="0" eb="2">
      <t>サドウ</t>
    </rPh>
    <phoneticPr fontId="42"/>
  </si>
  <si>
    <t>R3</t>
    <phoneticPr fontId="42"/>
  </si>
  <si>
    <t>R4</t>
    <phoneticPr fontId="42"/>
  </si>
  <si>
    <r>
      <t>V</t>
    </r>
    <r>
      <rPr>
        <sz val="11"/>
        <color theme="1"/>
        <rFont val="ＭＳ Ｐゴシック"/>
        <family val="3"/>
        <charset val="128"/>
        <scheme val="minor"/>
      </rPr>
      <t>out</t>
    </r>
    <phoneticPr fontId="42"/>
  </si>
  <si>
    <t>Vin-</t>
    <phoneticPr fontId="42"/>
  </si>
  <si>
    <t>Vin+</t>
    <phoneticPr fontId="42"/>
  </si>
  <si>
    <t>非反転差動増幅回路</t>
    <rPh sb="0" eb="1">
      <t>ヒ</t>
    </rPh>
    <rPh sb="1" eb="3">
      <t>ハンテン</t>
    </rPh>
    <rPh sb="3" eb="5">
      <t>サドウ</t>
    </rPh>
    <rPh sb="5" eb="7">
      <t>ゾウフク</t>
    </rPh>
    <rPh sb="7" eb="9">
      <t>カイロ</t>
    </rPh>
    <phoneticPr fontId="42"/>
  </si>
  <si>
    <t>　差動アンプ　</t>
    <rPh sb="1" eb="3">
      <t>サドウ</t>
    </rPh>
    <phoneticPr fontId="42"/>
  </si>
  <si>
    <t xml:space="preserve">        </t>
    <phoneticPr fontId="42"/>
  </si>
  <si>
    <t xml:space="preserve">     </t>
    <phoneticPr fontId="42"/>
  </si>
  <si>
    <t xml:space="preserve">          </t>
    <phoneticPr fontId="42"/>
  </si>
  <si>
    <t xml:space="preserve">      </t>
    <phoneticPr fontId="42"/>
  </si>
  <si>
    <t>目標達成シート</t>
    <rPh sb="0" eb="2">
      <t>モクヒョウ</t>
    </rPh>
    <rPh sb="2" eb="4">
      <t>タッセイ</t>
    </rPh>
    <phoneticPr fontId="42"/>
  </si>
  <si>
    <t>目標達成シート　ラズパイ</t>
    <rPh sb="0" eb="2">
      <t>モクヒョウ</t>
    </rPh>
    <rPh sb="2" eb="4">
      <t>タッセイ</t>
    </rPh>
    <phoneticPr fontId="42"/>
  </si>
  <si>
    <t>ラズパイマスター</t>
    <phoneticPr fontId="42"/>
  </si>
  <si>
    <t>音声合成</t>
    <rPh sb="0" eb="2">
      <t>オンセイ</t>
    </rPh>
    <rPh sb="2" eb="4">
      <t>ゴウセイ</t>
    </rPh>
    <phoneticPr fontId="42"/>
  </si>
  <si>
    <t>相関係数を求める</t>
    <rPh sb="0" eb="2">
      <t>ソウカン</t>
    </rPh>
    <rPh sb="2" eb="4">
      <t>ケイスウ</t>
    </rPh>
    <rPh sb="5" eb="6">
      <t>モト</t>
    </rPh>
    <phoneticPr fontId="42"/>
  </si>
  <si>
    <t>光量</t>
    <rPh sb="0" eb="1">
      <t>ヒカリ</t>
    </rPh>
    <rPh sb="1" eb="2">
      <t>リョウ</t>
    </rPh>
    <phoneticPr fontId="42"/>
  </si>
  <si>
    <t>Step1</t>
    <phoneticPr fontId="42"/>
  </si>
  <si>
    <t>平均値</t>
    <rPh sb="0" eb="3">
      <t>ヘイキンチ</t>
    </rPh>
    <phoneticPr fontId="42"/>
  </si>
  <si>
    <t>Step2</t>
    <phoneticPr fontId="42"/>
  </si>
  <si>
    <t>偏差</t>
    <rPh sb="0" eb="2">
      <t>ヘンサ</t>
    </rPh>
    <phoneticPr fontId="42"/>
  </si>
  <si>
    <t>　　　　光量の偏差 = 光量 - 光量の平均値</t>
    <rPh sb="4" eb="6">
      <t>コウリョウ</t>
    </rPh>
    <rPh sb="7" eb="9">
      <t>ヘンサ</t>
    </rPh>
    <rPh sb="12" eb="14">
      <t>コウリョウ</t>
    </rPh>
    <rPh sb="17" eb="19">
      <t>コウリョウ</t>
    </rPh>
    <rPh sb="20" eb="22">
      <t>ヘイキン</t>
    </rPh>
    <rPh sb="22" eb="23">
      <t>チ</t>
    </rPh>
    <phoneticPr fontId="42"/>
  </si>
  <si>
    <t>光量の偏差</t>
    <rPh sb="0" eb="2">
      <t>コウリョウ</t>
    </rPh>
    <rPh sb="3" eb="5">
      <t>ヘンサ</t>
    </rPh>
    <phoneticPr fontId="42"/>
  </si>
  <si>
    <t>Step3</t>
    <phoneticPr fontId="42"/>
  </si>
  <si>
    <t>分散</t>
    <rPh sb="0" eb="2">
      <t>ブンサン</t>
    </rPh>
    <phoneticPr fontId="42"/>
  </si>
  <si>
    <t>分散（偏差の二乗の平均）</t>
    <rPh sb="0" eb="2">
      <t>ブンサン</t>
    </rPh>
    <rPh sb="3" eb="5">
      <t>ヘンサ</t>
    </rPh>
    <rPh sb="6" eb="8">
      <t>ジジョウ</t>
    </rPh>
    <rPh sb="9" eb="11">
      <t>ヘイキン</t>
    </rPh>
    <phoneticPr fontId="42"/>
  </si>
  <si>
    <t>Step4</t>
    <phoneticPr fontId="42"/>
  </si>
  <si>
    <t>標準偏差</t>
    <rPh sb="0" eb="2">
      <t>ヒョウジュン</t>
    </rPh>
    <rPh sb="2" eb="4">
      <t>ヘンサ</t>
    </rPh>
    <phoneticPr fontId="42"/>
  </si>
  <si>
    <t>光量の標準偏差</t>
    <rPh sb="0" eb="2">
      <t>コウリョウ</t>
    </rPh>
    <rPh sb="3" eb="5">
      <t>ヒョウジュン</t>
    </rPh>
    <rPh sb="5" eb="7">
      <t>ヘンサ</t>
    </rPh>
    <phoneticPr fontId="42"/>
  </si>
  <si>
    <t xml:space="preserve"> 標準偏差 = √分散</t>
    <rPh sb="1" eb="3">
      <t>ヒョウジュン</t>
    </rPh>
    <rPh sb="3" eb="5">
      <t>ヘンサ</t>
    </rPh>
    <rPh sb="9" eb="11">
      <t>ブンサン</t>
    </rPh>
    <phoneticPr fontId="42"/>
  </si>
  <si>
    <t>Step5</t>
    <phoneticPr fontId="42"/>
  </si>
  <si>
    <t>共分散</t>
    <rPh sb="0" eb="3">
      <t>キョウブンサン</t>
    </rPh>
    <phoneticPr fontId="42"/>
  </si>
  <si>
    <t>偏差の積</t>
    <rPh sb="0" eb="2">
      <t>ヘンサ</t>
    </rPh>
    <rPh sb="3" eb="4">
      <t>セキ</t>
    </rPh>
    <phoneticPr fontId="42"/>
  </si>
  <si>
    <t>Step6</t>
    <phoneticPr fontId="42"/>
  </si>
  <si>
    <t>偏差の積の平均</t>
    <phoneticPr fontId="42"/>
  </si>
  <si>
    <t>相関係数</t>
    <rPh sb="0" eb="2">
      <t>ソウカン</t>
    </rPh>
    <rPh sb="2" eb="4">
      <t>ケイスウ</t>
    </rPh>
    <phoneticPr fontId="42"/>
  </si>
  <si>
    <t>偏差の積 = サイクル量の偏差 × 光量の偏差</t>
    <rPh sb="0" eb="2">
      <t>ヘンサ</t>
    </rPh>
    <rPh sb="3" eb="4">
      <t>セキ</t>
    </rPh>
    <rPh sb="11" eb="12">
      <t>リョウ</t>
    </rPh>
    <rPh sb="13" eb="15">
      <t>ヘンサ</t>
    </rPh>
    <rPh sb="18" eb="20">
      <t>コウリョウ</t>
    </rPh>
    <rPh sb="21" eb="23">
      <t>ヘンサ</t>
    </rPh>
    <phoneticPr fontId="42"/>
  </si>
  <si>
    <t>光量の平均値</t>
    <rPh sb="0" eb="2">
      <t>コウリョウ</t>
    </rPh>
    <rPh sb="3" eb="6">
      <t>ヘイキンチ</t>
    </rPh>
    <phoneticPr fontId="42"/>
  </si>
  <si>
    <t>濃度</t>
    <phoneticPr fontId="42"/>
  </si>
  <si>
    <t>濃度の平均値</t>
    <rPh sb="3" eb="5">
      <t>ヘイキン</t>
    </rPh>
    <rPh sb="5" eb="6">
      <t>チ</t>
    </rPh>
    <phoneticPr fontId="42"/>
  </si>
  <si>
    <t>濃度の偏差 = 濃度 - 濃度の平均値</t>
    <rPh sb="3" eb="5">
      <t>ヘンサ</t>
    </rPh>
    <rPh sb="16" eb="18">
      <t>ヘイキン</t>
    </rPh>
    <rPh sb="18" eb="19">
      <t>チ</t>
    </rPh>
    <phoneticPr fontId="42"/>
  </si>
  <si>
    <t>濃度の偏差</t>
    <rPh sb="3" eb="5">
      <t>ヘンサ</t>
    </rPh>
    <phoneticPr fontId="42"/>
  </si>
  <si>
    <t>濃度の分散</t>
    <rPh sb="3" eb="5">
      <t>ブンサン</t>
    </rPh>
    <phoneticPr fontId="42"/>
  </si>
  <si>
    <t>濃度の標準偏差</t>
    <rPh sb="3" eb="5">
      <t>ヒョウジュン</t>
    </rPh>
    <rPh sb="5" eb="7">
      <t>ヘンサ</t>
    </rPh>
    <phoneticPr fontId="42"/>
  </si>
  <si>
    <t>r = 共分散 / (濃度の標準偏差　× 光量の標準偏差)</t>
    <rPh sb="4" eb="7">
      <t>キョウブンサン</t>
    </rPh>
    <rPh sb="14" eb="16">
      <t>ヒョウジュン</t>
    </rPh>
    <rPh sb="16" eb="18">
      <t>ヘンサ</t>
    </rPh>
    <rPh sb="21" eb="23">
      <t>コウリョウ</t>
    </rPh>
    <rPh sb="24" eb="26">
      <t>ヒョウジュン</t>
    </rPh>
    <rPh sb="26" eb="28">
      <t>ヘンサ</t>
    </rPh>
    <phoneticPr fontId="42"/>
  </si>
  <si>
    <t>偏差の二乗の平均</t>
    <phoneticPr fontId="42"/>
  </si>
  <si>
    <t>相関係数を計算</t>
    <rPh sb="0" eb="2">
      <t>ソウカン</t>
    </rPh>
    <rPh sb="2" eb="4">
      <t>ケイスウ</t>
    </rPh>
    <rPh sb="5" eb="7">
      <t>ケイサン</t>
    </rPh>
    <phoneticPr fontId="42"/>
  </si>
  <si>
    <t>蛍光量</t>
    <phoneticPr fontId="42"/>
  </si>
  <si>
    <t>蛍光量の平均値</t>
    <rPh sb="4" eb="7">
      <t>ヘイキンチ</t>
    </rPh>
    <phoneticPr fontId="42"/>
  </si>
  <si>
    <t>　　　　蛍光量の偏差 = 蛍光量 - 蛍光量の平均値</t>
    <rPh sb="8" eb="10">
      <t>ヘンサ</t>
    </rPh>
    <rPh sb="23" eb="25">
      <t>ヘイキン</t>
    </rPh>
    <rPh sb="25" eb="26">
      <t>チ</t>
    </rPh>
    <phoneticPr fontId="42"/>
  </si>
  <si>
    <t>蛍光量の偏差</t>
    <rPh sb="4" eb="6">
      <t>ヘンサ</t>
    </rPh>
    <phoneticPr fontId="42"/>
  </si>
  <si>
    <t>蛍光量の標準偏差</t>
    <rPh sb="4" eb="6">
      <t>ヒョウジュン</t>
    </rPh>
    <rPh sb="6" eb="8">
      <t>ヘンサ</t>
    </rPh>
    <phoneticPr fontId="42"/>
  </si>
  <si>
    <t>偏差の積 = サイクル量の偏差 × 蛍光量の偏差</t>
    <rPh sb="0" eb="2">
      <t>ヘンサ</t>
    </rPh>
    <rPh sb="3" eb="4">
      <t>セキ</t>
    </rPh>
    <rPh sb="11" eb="12">
      <t>リョウ</t>
    </rPh>
    <rPh sb="13" eb="15">
      <t>ヘンサ</t>
    </rPh>
    <rPh sb="22" eb="24">
      <t>ヘンサ</t>
    </rPh>
    <phoneticPr fontId="42"/>
  </si>
  <si>
    <t>r = 共分散 / (濃度の標準偏差　× 蛍光量の標準偏差)</t>
    <rPh sb="4" eb="7">
      <t>キョウブンサン</t>
    </rPh>
    <rPh sb="14" eb="16">
      <t>ヒョウジュン</t>
    </rPh>
    <rPh sb="16" eb="18">
      <t>ヘンサ</t>
    </rPh>
    <rPh sb="25" eb="27">
      <t>ヒョウジュン</t>
    </rPh>
    <rPh sb="27" eb="29">
      <t>ヘンサ</t>
    </rPh>
    <phoneticPr fontId="42"/>
  </si>
  <si>
    <t>画像のファイル容量計算</t>
    <rPh sb="0" eb="2">
      <t>ガゾウ</t>
    </rPh>
    <rPh sb="7" eb="9">
      <t>ヨウリョウ</t>
    </rPh>
    <rPh sb="9" eb="11">
      <t>ケイサン</t>
    </rPh>
    <phoneticPr fontId="42"/>
  </si>
  <si>
    <t>縦サイズ</t>
    <rPh sb="0" eb="1">
      <t>タテ</t>
    </rPh>
    <phoneticPr fontId="42"/>
  </si>
  <si>
    <t>pixel</t>
    <phoneticPr fontId="42"/>
  </si>
  <si>
    <t>横サイズ</t>
    <rPh sb="0" eb="1">
      <t>ヨコ</t>
    </rPh>
    <phoneticPr fontId="42"/>
  </si>
  <si>
    <t>【24bitカラー】</t>
    <phoneticPr fontId="42"/>
  </si>
  <si>
    <t>【グレースケール】</t>
    <phoneticPr fontId="42"/>
  </si>
  <si>
    <t>1pixel容量</t>
    <rPh sb="6" eb="8">
      <t>ヨウリョウ</t>
    </rPh>
    <phoneticPr fontId="42"/>
  </si>
  <si>
    <t>byte(R G B  1byte×3)</t>
    <phoneticPr fontId="42"/>
  </si>
  <si>
    <t>byte</t>
    <phoneticPr fontId="42"/>
  </si>
  <si>
    <t>ファイルサイズ</t>
    <phoneticPr fontId="42"/>
  </si>
  <si>
    <t>kbyte</t>
    <phoneticPr fontId="42"/>
  </si>
  <si>
    <t>Mbyte</t>
    <phoneticPr fontId="42"/>
  </si>
  <si>
    <t xml:space="preserve"> 配線遅延 </t>
    <rPh sb="1" eb="3">
      <t>ハイセン</t>
    </rPh>
    <rPh sb="3" eb="5">
      <t>チエン</t>
    </rPh>
    <phoneticPr fontId="42"/>
  </si>
  <si>
    <t>配線遅延</t>
    <rPh sb="0" eb="2">
      <t>ハイセン</t>
    </rPh>
    <rPh sb="2" eb="4">
      <t>チエン</t>
    </rPh>
    <phoneticPr fontId="42"/>
  </si>
  <si>
    <t>ps/mm</t>
    <phoneticPr fontId="42"/>
  </si>
  <si>
    <t>基準値</t>
    <rPh sb="0" eb="3">
      <t>キジュンチ</t>
    </rPh>
    <phoneticPr fontId="42"/>
  </si>
  <si>
    <t>1配線長</t>
    <rPh sb="1" eb="3">
      <t>ハイセン</t>
    </rPh>
    <rPh sb="3" eb="4">
      <t>チョウ</t>
    </rPh>
    <phoneticPr fontId="42"/>
  </si>
  <si>
    <t>2配線長</t>
    <rPh sb="1" eb="3">
      <t>ハイセン</t>
    </rPh>
    <rPh sb="3" eb="4">
      <t>チョウ</t>
    </rPh>
    <phoneticPr fontId="42"/>
  </si>
  <si>
    <t>誤差</t>
    <rPh sb="0" eb="2">
      <t>ゴサ</t>
    </rPh>
    <phoneticPr fontId="42"/>
  </si>
  <si>
    <t>ps</t>
    <phoneticPr fontId="42"/>
  </si>
  <si>
    <t>配線遅延計算</t>
    <rPh sb="0" eb="2">
      <t>ハイセン</t>
    </rPh>
    <rPh sb="2" eb="4">
      <t>チエン</t>
    </rPh>
    <rPh sb="4" eb="6">
      <t>ケイサン</t>
    </rPh>
    <phoneticPr fontId="42"/>
  </si>
  <si>
    <t>遅延の許容範囲</t>
    <rPh sb="0" eb="2">
      <t>チエン</t>
    </rPh>
    <rPh sb="3" eb="5">
      <t>キョヨウ</t>
    </rPh>
    <rPh sb="5" eb="7">
      <t>ハンイ</t>
    </rPh>
    <phoneticPr fontId="42"/>
  </si>
  <si>
    <t>ns</t>
    <phoneticPr fontId="42"/>
  </si>
  <si>
    <t>波長λ</t>
    <rPh sb="0" eb="2">
      <t>ハチョウ</t>
    </rPh>
    <phoneticPr fontId="42"/>
  </si>
  <si>
    <t>Rise/Fall Time</t>
    <phoneticPr fontId="42"/>
  </si>
  <si>
    <t>許容差</t>
    <rPh sb="0" eb="3">
      <t>キョヨウサ</t>
    </rPh>
    <phoneticPr fontId="42"/>
  </si>
  <si>
    <t>※立上り/立下り時間として、20%のマージン</t>
    <rPh sb="1" eb="2">
      <t>タ</t>
    </rPh>
    <rPh sb="2" eb="3">
      <t>アガ</t>
    </rPh>
    <rPh sb="5" eb="7">
      <t>タチサガ</t>
    </rPh>
    <rPh sb="8" eb="10">
      <t>ジカン</t>
    </rPh>
    <phoneticPr fontId="42"/>
  </si>
  <si>
    <t>補助</t>
    <phoneticPr fontId="42"/>
  </si>
  <si>
    <t>FET駆動電流(Ig)</t>
    <rPh sb="3" eb="5">
      <t>クドウ</t>
    </rPh>
    <rPh sb="5" eb="7">
      <t>デンリュウ</t>
    </rPh>
    <phoneticPr fontId="42"/>
  </si>
  <si>
    <t>FET駆動電流</t>
    <rPh sb="3" eb="5">
      <t>クドウ</t>
    </rPh>
    <rPh sb="5" eb="7">
      <t>デンリュウ</t>
    </rPh>
    <phoneticPr fontId="42"/>
  </si>
  <si>
    <t>https://www.marutsu.co.jp/pc/static/large_order/fet_3</t>
    <phoneticPr fontId="42"/>
  </si>
  <si>
    <t>電化（Qg）</t>
    <rPh sb="0" eb="2">
      <t>デンカ</t>
    </rPh>
    <phoneticPr fontId="42"/>
  </si>
  <si>
    <t>立ち上がり時間（ｔ）</t>
    <rPh sb="0" eb="1">
      <t>タ</t>
    </rPh>
    <rPh sb="2" eb="3">
      <t>ア</t>
    </rPh>
    <rPh sb="5" eb="7">
      <t>ジカン</t>
    </rPh>
    <phoneticPr fontId="42"/>
  </si>
  <si>
    <t>nC</t>
    <phoneticPr fontId="42"/>
  </si>
  <si>
    <t>us</t>
    <phoneticPr fontId="42"/>
  </si>
  <si>
    <t>駆動電流（Ig）</t>
    <rPh sb="0" eb="2">
      <t>クドウ</t>
    </rPh>
    <rPh sb="2" eb="4">
      <t>デンリュウ</t>
    </rPh>
    <phoneticPr fontId="42"/>
  </si>
  <si>
    <t>○サレンキー型ローパスフィルタ</t>
    <rPh sb="6" eb="7">
      <t>ガタ</t>
    </rPh>
    <phoneticPr fontId="42"/>
  </si>
  <si>
    <t>音階と周波数</t>
    <rPh sb="0" eb="2">
      <t>オンカイ</t>
    </rPh>
    <rPh sb="3" eb="6">
      <t>シュウハスウ</t>
    </rPh>
    <phoneticPr fontId="42"/>
  </si>
  <si>
    <t>B7</t>
  </si>
  <si>
    <t>シ7</t>
  </si>
  <si>
    <t>B6</t>
  </si>
  <si>
    <t>シ6</t>
  </si>
  <si>
    <t>B5</t>
  </si>
  <si>
    <t>シ5</t>
  </si>
  <si>
    <t>B4</t>
  </si>
  <si>
    <t>シ4</t>
  </si>
  <si>
    <t>B3</t>
  </si>
  <si>
    <t>シ3</t>
  </si>
  <si>
    <t>B2</t>
  </si>
  <si>
    <t>シ2</t>
  </si>
  <si>
    <t>B1</t>
  </si>
  <si>
    <t>シ1</t>
  </si>
  <si>
    <t>A#7</t>
  </si>
  <si>
    <t>ラ#7</t>
  </si>
  <si>
    <t>A#6</t>
  </si>
  <si>
    <t>ラ#6</t>
  </si>
  <si>
    <t>A#5</t>
  </si>
  <si>
    <t>ラ#5</t>
  </si>
  <si>
    <t>A#4</t>
  </si>
  <si>
    <t>ラ#4</t>
  </si>
  <si>
    <t>A#3</t>
  </si>
  <si>
    <t>ラ#3</t>
  </si>
  <si>
    <t>A#2</t>
  </si>
  <si>
    <t>ラ#2</t>
  </si>
  <si>
    <t>A#1</t>
  </si>
  <si>
    <t>ラ#1</t>
  </si>
  <si>
    <t>A7</t>
  </si>
  <si>
    <t>ラ7</t>
  </si>
  <si>
    <t>A6</t>
  </si>
  <si>
    <t>ラ6</t>
  </si>
  <si>
    <t>A5</t>
  </si>
  <si>
    <t>ラ5</t>
  </si>
  <si>
    <t>A4</t>
  </si>
  <si>
    <t>ラ4</t>
  </si>
  <si>
    <t>A3</t>
  </si>
  <si>
    <t>ラ3</t>
  </si>
  <si>
    <t>A2</t>
  </si>
  <si>
    <t>ラ2</t>
  </si>
  <si>
    <t>A1</t>
  </si>
  <si>
    <t>ラ1</t>
  </si>
  <si>
    <t>G#7</t>
  </si>
  <si>
    <t>ソ#7</t>
  </si>
  <si>
    <t>G#6</t>
  </si>
  <si>
    <t>ソ#6</t>
  </si>
  <si>
    <t>G#5</t>
  </si>
  <si>
    <t>ソ#5</t>
  </si>
  <si>
    <t>G#4</t>
  </si>
  <si>
    <t>ソ#4</t>
  </si>
  <si>
    <t>G#3</t>
  </si>
  <si>
    <t>ソ#3</t>
  </si>
  <si>
    <t>G#2</t>
  </si>
  <si>
    <t>ソ#2</t>
  </si>
  <si>
    <t>G#1</t>
  </si>
  <si>
    <t>ソ#1</t>
  </si>
  <si>
    <t>G7</t>
  </si>
  <si>
    <t>ソ7</t>
  </si>
  <si>
    <t>G6</t>
  </si>
  <si>
    <t>ソ6</t>
  </si>
  <si>
    <t>G5</t>
  </si>
  <si>
    <t>ソ5</t>
  </si>
  <si>
    <t>G4</t>
  </si>
  <si>
    <t>ソ4</t>
  </si>
  <si>
    <t>G3</t>
  </si>
  <si>
    <t>ソ3</t>
  </si>
  <si>
    <t>G2</t>
  </si>
  <si>
    <t>ソ2</t>
  </si>
  <si>
    <t>G1</t>
  </si>
  <si>
    <t>ソ1</t>
  </si>
  <si>
    <t>F#7</t>
  </si>
  <si>
    <t>ファ#7</t>
  </si>
  <si>
    <t>F#6</t>
  </si>
  <si>
    <t>ファ#6</t>
  </si>
  <si>
    <t>F#5</t>
  </si>
  <si>
    <t>ファ#5</t>
  </si>
  <si>
    <t>F#4</t>
  </si>
  <si>
    <t>ファ#4</t>
  </si>
  <si>
    <t>F#3</t>
  </si>
  <si>
    <t>ファ#3</t>
  </si>
  <si>
    <t>F#2</t>
  </si>
  <si>
    <t>ファ#2</t>
  </si>
  <si>
    <t>F#1</t>
  </si>
  <si>
    <t>ファ#1</t>
  </si>
  <si>
    <t>F7</t>
  </si>
  <si>
    <t>ファ7</t>
  </si>
  <si>
    <t>F6</t>
  </si>
  <si>
    <t>ファ6</t>
  </si>
  <si>
    <t>F5</t>
  </si>
  <si>
    <t>ファ5</t>
  </si>
  <si>
    <t>F4</t>
  </si>
  <si>
    <t>ファ4</t>
  </si>
  <si>
    <t>F3</t>
  </si>
  <si>
    <t>ファ3</t>
  </si>
  <si>
    <t>F2</t>
  </si>
  <si>
    <t>ファ2</t>
  </si>
  <si>
    <t>F1</t>
  </si>
  <si>
    <t>ファ1</t>
  </si>
  <si>
    <t>E7</t>
  </si>
  <si>
    <t>ミ7</t>
  </si>
  <si>
    <t>E6</t>
  </si>
  <si>
    <t>ミ6</t>
  </si>
  <si>
    <t>E5</t>
  </si>
  <si>
    <t>ミ5</t>
  </si>
  <si>
    <t>E4</t>
  </si>
  <si>
    <t>ミ4</t>
  </si>
  <si>
    <t>E3</t>
  </si>
  <si>
    <t>ミ3</t>
  </si>
  <si>
    <t>E2</t>
  </si>
  <si>
    <t>ミ2</t>
  </si>
  <si>
    <t>E1</t>
  </si>
  <si>
    <t>ミ1</t>
  </si>
  <si>
    <t>D#7</t>
  </si>
  <si>
    <t>レ#7</t>
  </si>
  <si>
    <t>D#6</t>
  </si>
  <si>
    <t>レ#6</t>
  </si>
  <si>
    <t>D#5</t>
  </si>
  <si>
    <t>レ#5</t>
  </si>
  <si>
    <t>D#4</t>
  </si>
  <si>
    <t>レ#4</t>
  </si>
  <si>
    <t>D#3</t>
  </si>
  <si>
    <t>レ#3</t>
  </si>
  <si>
    <t>D#2</t>
  </si>
  <si>
    <t>レ#2</t>
  </si>
  <si>
    <t>D#1</t>
  </si>
  <si>
    <t>レ#1</t>
  </si>
  <si>
    <t>D7</t>
  </si>
  <si>
    <t>レ7</t>
  </si>
  <si>
    <t>D6</t>
  </si>
  <si>
    <t>レ6</t>
  </si>
  <si>
    <t>D5</t>
  </si>
  <si>
    <t>レ5</t>
  </si>
  <si>
    <t>D4</t>
  </si>
  <si>
    <t>レ4</t>
  </si>
  <si>
    <t>D3</t>
  </si>
  <si>
    <t>レ3</t>
  </si>
  <si>
    <t>D2</t>
  </si>
  <si>
    <t>レ2</t>
  </si>
  <si>
    <t>D1</t>
  </si>
  <si>
    <t>レ1</t>
  </si>
  <si>
    <t>B0</t>
  </si>
  <si>
    <t>シ0</t>
  </si>
  <si>
    <t>C#7</t>
  </si>
  <si>
    <t>ド#7</t>
  </si>
  <si>
    <t>C#6</t>
  </si>
  <si>
    <t>ド#6</t>
  </si>
  <si>
    <t>C#5</t>
  </si>
  <si>
    <t>ド#5</t>
  </si>
  <si>
    <t>C#4</t>
  </si>
  <si>
    <t>ド#4</t>
  </si>
  <si>
    <t>C#3</t>
  </si>
  <si>
    <t>ド#3</t>
  </si>
  <si>
    <t>C#2</t>
  </si>
  <si>
    <t>ド#2</t>
  </si>
  <si>
    <t>C#1</t>
  </si>
  <si>
    <t>ド#1</t>
  </si>
  <si>
    <t>A#0</t>
  </si>
  <si>
    <t>ラ#0</t>
  </si>
  <si>
    <t>C8</t>
  </si>
  <si>
    <t>ド8</t>
  </si>
  <si>
    <t>C7</t>
  </si>
  <si>
    <t>ド7</t>
  </si>
  <si>
    <t>C6</t>
  </si>
  <si>
    <t>ド6</t>
  </si>
  <si>
    <t>ド5</t>
  </si>
  <si>
    <t>ド4</t>
  </si>
  <si>
    <t>ド3</t>
  </si>
  <si>
    <t>ド2</t>
  </si>
  <si>
    <t>ド1</t>
  </si>
  <si>
    <t>A0</t>
  </si>
  <si>
    <t>ラ0</t>
  </si>
  <si>
    <t>(Hz)</t>
  </si>
  <si>
    <t>音階名※</t>
  </si>
  <si>
    <t>音階と周波数</t>
    <rPh sb="0" eb="2">
      <t>オンカイ</t>
    </rPh>
    <rPh sb="3" eb="6">
      <t>シュウハスウ</t>
    </rPh>
    <phoneticPr fontId="42"/>
  </si>
  <si>
    <t>ArduinoTimer</t>
    <phoneticPr fontId="42"/>
  </si>
  <si>
    <t>動作周波数</t>
    <rPh sb="0" eb="2">
      <t>ドウサ</t>
    </rPh>
    <rPh sb="2" eb="5">
      <t>シュウハスウ</t>
    </rPh>
    <phoneticPr fontId="42"/>
  </si>
  <si>
    <t>mSec</t>
    <phoneticPr fontId="42"/>
  </si>
  <si>
    <t>最大時間</t>
    <rPh sb="0" eb="2">
      <t>サイダイ</t>
    </rPh>
    <rPh sb="2" eb="4">
      <t>ジカン</t>
    </rPh>
    <phoneticPr fontId="42"/>
  </si>
  <si>
    <t>ターゲット時間</t>
    <rPh sb="5" eb="7">
      <t>ジカン</t>
    </rPh>
    <phoneticPr fontId="42"/>
  </si>
  <si>
    <t>ｍSec</t>
    <phoneticPr fontId="42"/>
  </si>
  <si>
    <t>カウント</t>
    <phoneticPr fontId="42"/>
  </si>
  <si>
    <t>カウント数</t>
    <rPh sb="4" eb="5">
      <t>スウ</t>
    </rPh>
    <phoneticPr fontId="42"/>
  </si>
  <si>
    <t>周期</t>
    <rPh sb="0" eb="2">
      <t>シュウキ</t>
    </rPh>
    <phoneticPr fontId="42"/>
  </si>
  <si>
    <t>1カウント時間</t>
    <rPh sb="5" eb="7">
      <t>ジカン</t>
    </rPh>
    <phoneticPr fontId="42"/>
  </si>
  <si>
    <t>mSec/カウント</t>
    <phoneticPr fontId="42"/>
  </si>
  <si>
    <t>uSec/カウント</t>
    <phoneticPr fontId="42"/>
  </si>
  <si>
    <t>ArduinoTimer</t>
    <phoneticPr fontId="42"/>
  </si>
  <si>
    <t>.</t>
    <phoneticPr fontId="42"/>
  </si>
  <si>
    <t>分周</t>
    <rPh sb="0" eb="2">
      <t>ブンシュウ</t>
    </rPh>
    <phoneticPr fontId="42"/>
  </si>
  <si>
    <t>カウンター周期</t>
    <rPh sb="5" eb="7">
      <t>シュウキ</t>
    </rPh>
    <phoneticPr fontId="42"/>
  </si>
  <si>
    <t>mS</t>
    <phoneticPr fontId="42"/>
  </si>
  <si>
    <t>ジャストカウント数</t>
    <rPh sb="8" eb="9">
      <t>スウ</t>
    </rPh>
    <phoneticPr fontId="42"/>
  </si>
  <si>
    <t>カウンタ初期値</t>
    <rPh sb="4" eb="7">
      <t>ショキチ</t>
    </rPh>
    <phoneticPr fontId="42"/>
  </si>
  <si>
    <t>■1周期を目的の時間にするためのカウンタ初期値</t>
    <rPh sb="2" eb="4">
      <t>シュウキ</t>
    </rPh>
    <rPh sb="5" eb="7">
      <t>モクテキ</t>
    </rPh>
    <rPh sb="8" eb="10">
      <t>ジカン</t>
    </rPh>
    <rPh sb="20" eb="23">
      <t>ショキチ</t>
    </rPh>
    <phoneticPr fontId="42"/>
  </si>
  <si>
    <t>距離と速度と時間</t>
    <phoneticPr fontId="42"/>
  </si>
  <si>
    <r>
      <t>m</t>
    </r>
    <r>
      <rPr>
        <sz val="11"/>
        <color theme="1"/>
        <rFont val="ＭＳ Ｐゴシック"/>
        <family val="3"/>
        <charset val="128"/>
        <scheme val="minor"/>
      </rPr>
      <t>/s</t>
    </r>
    <phoneticPr fontId="42"/>
  </si>
  <si>
    <t>待ち時間</t>
    <rPh sb="0" eb="1">
      <t>マ</t>
    </rPh>
    <rPh sb="2" eb="4">
      <t>ジカン</t>
    </rPh>
    <phoneticPr fontId="42"/>
  </si>
  <si>
    <t>MT3608出力電圧</t>
    <rPh sb="6" eb="8">
      <t>シュツリョク</t>
    </rPh>
    <rPh sb="8" eb="10">
      <t>デンアツ</t>
    </rPh>
    <phoneticPr fontId="42"/>
  </si>
  <si>
    <t>Datasheet</t>
    <phoneticPr fontId="42"/>
  </si>
  <si>
    <t>https://datasheet.octopart.com/MT3608-Aerosemi-datasheet-138895667.pdf</t>
    <phoneticPr fontId="42"/>
  </si>
  <si>
    <t>入力電流</t>
    <rPh sb="0" eb="2">
      <t>ニュウリョク</t>
    </rPh>
    <phoneticPr fontId="42"/>
  </si>
  <si>
    <t>参考URL</t>
    <rPh sb="0" eb="2">
      <t>サンコウ</t>
    </rPh>
    <phoneticPr fontId="42"/>
  </si>
  <si>
    <t>http://www.picfun.com/midi2c02.html</t>
    <phoneticPr fontId="42"/>
  </si>
  <si>
    <t>ドライバシンク電流</t>
    <rPh sb="7" eb="9">
      <t>デンリュウ</t>
    </rPh>
    <phoneticPr fontId="4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</si>
</sst>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&quot;dbm&quot;"/>
    <numFmt numFmtId="177" formatCode="0.00&quot;mW&quot;"/>
    <numFmt numFmtId="178" formatCode="0.000&quot;V&quot;"/>
    <numFmt numFmtId="179" formatCode="0.000&quot;mV&quot;"/>
    <numFmt numFmtId="180" formatCode="0.0&quot;mW&quot;"/>
    <numFmt numFmtId="181" formatCode="0.00&quot;dbm&quot;"/>
    <numFmt numFmtId="182" formatCode="0.0000_ "/>
    <numFmt numFmtId="183" formatCode="0.000_ "/>
    <numFmt numFmtId="184" formatCode="0.0000&quot;W&quot;"/>
    <numFmt numFmtId="185" formatCode="0.00&quot;μV&quot;"/>
    <numFmt numFmtId="186" formatCode="0.000&quot;W&quot;"/>
    <numFmt numFmtId="187" formatCode="0.00&quot;V(rms)&quot;"/>
    <numFmt numFmtId="188" formatCode="0.000&quot;V(尖頭値)&quot;"/>
    <numFmt numFmtId="189" formatCode="0.00&quot;V(尖頭値)&quot;"/>
  </numFmts>
  <fonts count="88">
    <font>
      <sz val="11"/>
      <color theme="1"/>
      <name val="ＭＳ Ｐゴシック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1"/>
      <color theme="1"/>
      <name val="MS UI Gothic"/>
      <family val="3"/>
      <charset val="128"/>
    </font>
    <font>
      <b/>
      <u/>
      <sz val="11"/>
      <color theme="1"/>
      <name val="ＭＳ Ｐゴシック"/>
      <family val="3"/>
      <charset val="128"/>
      <scheme val="minor"/>
    </font>
    <font>
      <sz val="10"/>
      <color theme="1"/>
      <name val="Verdana"/>
      <family val="2"/>
    </font>
    <font>
      <sz val="22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4"/>
      <color indexed="8"/>
      <name val="ＭＳ Ｐゴシック"/>
      <family val="3"/>
      <charset val="128"/>
    </font>
    <font>
      <b/>
      <u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2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8"/>
      <color indexed="8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8"/>
      <color indexed="8"/>
      <name val="ＭＳ Ｐゴシック"/>
      <family val="3"/>
      <charset val="128"/>
    </font>
    <font>
      <b/>
      <sz val="12"/>
      <color indexed="8"/>
      <name val="ＭＳ Ｐゴシック"/>
      <family val="3"/>
      <charset val="128"/>
    </font>
    <font>
      <sz val="9"/>
      <color indexed="8"/>
      <name val="Verdana"/>
      <family val="2"/>
    </font>
    <font>
      <b/>
      <sz val="16"/>
      <color indexed="8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u/>
      <sz val="18"/>
      <color indexed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b/>
      <u/>
      <sz val="12"/>
      <color indexed="8"/>
      <name val="ＭＳ Ｐゴシック"/>
      <family val="3"/>
      <charset val="128"/>
    </font>
    <font>
      <b/>
      <sz val="14"/>
      <color indexed="10"/>
      <name val="ＭＳ Ｐゴシック"/>
      <family val="3"/>
      <charset val="128"/>
    </font>
    <font>
      <u/>
      <sz val="11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8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2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11"/>
      <color theme="10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0"/>
      <color theme="1"/>
      <name val="MS Gothic"/>
      <family val="3"/>
    </font>
    <font>
      <sz val="18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6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6"/>
      <color indexed="8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u/>
      <sz val="11"/>
      <color indexed="8"/>
      <name val="ＭＳ Ｐゴシック"/>
      <family val="3"/>
      <charset val="128"/>
    </font>
    <font>
      <sz val="16"/>
      <color indexed="8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u/>
      <sz val="10"/>
      <color theme="1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u/>
      <sz val="14"/>
      <color theme="10"/>
      <name val="ＭＳ Ｐゴシック"/>
      <family val="3"/>
      <charset val="128"/>
      <scheme val="minor"/>
    </font>
    <font>
      <sz val="14"/>
      <color rgb="FFFF0000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sz val="9"/>
      <color theme="1"/>
      <name val="ＭＳ Ｐゴシック"/>
      <family val="3"/>
      <charset val="128"/>
      <scheme val="minor"/>
    </font>
    <font>
      <i/>
      <sz val="11"/>
      <color theme="1"/>
      <name val="ＭＳ Ｐゴシック"/>
      <family val="2"/>
      <charset val="128"/>
      <scheme val="minor"/>
    </font>
    <font>
      <sz val="11"/>
      <color rgb="FF000000"/>
      <name val="Meiryo"/>
      <family val="3"/>
      <charset val="128"/>
    </font>
    <font>
      <i/>
      <sz val="11"/>
      <color rgb="FF000000"/>
      <name val="Meiryo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0F0F0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4">
    <xf numFmtId="0" fontId="0" fillId="0" borderId="0">
      <alignment vertical="center"/>
    </xf>
    <xf numFmtId="0" fontId="20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40" fillId="0" borderId="0">
      <alignment vertical="center"/>
    </xf>
    <xf numFmtId="0" fontId="44" fillId="0" borderId="0"/>
    <xf numFmtId="0" fontId="11" fillId="0" borderId="0">
      <alignment vertical="center"/>
    </xf>
    <xf numFmtId="0" fontId="48" fillId="0" borderId="0" applyNumberFormat="0" applyFill="0" applyBorder="0" applyAlignment="0" applyProtection="0">
      <alignment vertical="center"/>
    </xf>
    <xf numFmtId="0" fontId="3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>
      <alignment vertical="center"/>
    </xf>
  </cellStyleXfs>
  <cellXfs count="1314">
    <xf numFmtId="0" fontId="0" fillId="0" borderId="0" xfId="0">
      <alignment vertical="center"/>
    </xf>
    <xf numFmtId="0" fontId="12" fillId="0" borderId="0" xfId="2" applyAlignment="1">
      <alignment horizontal="center"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0" fillId="0" borderId="0" xfId="0" applyFill="1" applyBorder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2" borderId="0" xfId="0" applyFill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5" fillId="0" borderId="0" xfId="0" applyFont="1">
      <alignment vertical="center"/>
    </xf>
    <xf numFmtId="0" fontId="0" fillId="5" borderId="0" xfId="0" applyFill="1">
      <alignment vertical="center"/>
    </xf>
    <xf numFmtId="0" fontId="12" fillId="0" borderId="0" xfId="2">
      <alignment vertical="center"/>
    </xf>
    <xf numFmtId="0" fontId="16" fillId="0" borderId="0" xfId="0" applyFont="1">
      <alignment vertical="center"/>
    </xf>
    <xf numFmtId="0" fontId="0" fillId="4" borderId="0" xfId="0" applyFill="1" applyBorder="1">
      <alignment vertical="center"/>
    </xf>
    <xf numFmtId="0" fontId="18" fillId="0" borderId="0" xfId="0" applyFont="1">
      <alignment vertical="center"/>
    </xf>
    <xf numFmtId="0" fontId="0" fillId="4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5" borderId="0" xfId="0" applyFill="1" applyAlignment="1">
      <alignment horizontal="right" vertical="center"/>
    </xf>
    <xf numFmtId="0" fontId="19" fillId="0" borderId="0" xfId="0" applyFont="1">
      <alignment vertical="center"/>
    </xf>
    <xf numFmtId="0" fontId="0" fillId="0" borderId="3" xfId="0" applyBorder="1">
      <alignment vertical="center"/>
    </xf>
    <xf numFmtId="0" fontId="0" fillId="4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4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0" borderId="0" xfId="0" applyFill="1" applyAlignment="1">
      <alignment horizontal="right" vertical="center"/>
    </xf>
    <xf numFmtId="0" fontId="0" fillId="10" borderId="0" xfId="0" applyFill="1">
      <alignment vertical="center"/>
    </xf>
    <xf numFmtId="0" fontId="20" fillId="9" borderId="0" xfId="0" applyFont="1" applyFill="1">
      <alignment vertical="center"/>
    </xf>
    <xf numFmtId="0" fontId="20" fillId="10" borderId="0" xfId="0" applyFont="1" applyFill="1">
      <alignment vertical="center"/>
    </xf>
    <xf numFmtId="0" fontId="20" fillId="0" borderId="0" xfId="1">
      <alignment vertical="center"/>
    </xf>
    <xf numFmtId="0" fontId="20" fillId="0" borderId="0" xfId="1" applyFill="1">
      <alignment vertical="center"/>
    </xf>
    <xf numFmtId="0" fontId="20" fillId="9" borderId="0" xfId="1" applyFill="1">
      <alignment vertical="center"/>
    </xf>
    <xf numFmtId="0" fontId="20" fillId="10" borderId="0" xfId="1" applyFill="1">
      <alignment vertical="center"/>
    </xf>
    <xf numFmtId="0" fontId="0" fillId="11" borderId="0" xfId="0" applyFill="1">
      <alignment vertical="center"/>
    </xf>
    <xf numFmtId="0" fontId="40" fillId="0" borderId="0" xfId="4">
      <alignment vertical="center"/>
    </xf>
    <xf numFmtId="0" fontId="0" fillId="0" borderId="5" xfId="0" applyBorder="1">
      <alignment vertical="center"/>
    </xf>
    <xf numFmtId="0" fontId="0" fillId="4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10" xfId="0" applyBorder="1">
      <alignment vertical="center"/>
    </xf>
    <xf numFmtId="0" fontId="0" fillId="5" borderId="11" xfId="0" applyFill="1" applyBorder="1">
      <alignment vertical="center"/>
    </xf>
    <xf numFmtId="0" fontId="0" fillId="0" borderId="12" xfId="0" applyBorder="1">
      <alignment vertical="center"/>
    </xf>
    <xf numFmtId="0" fontId="0" fillId="0" borderId="5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0" xfId="0" applyBorder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14" fontId="0" fillId="0" borderId="0" xfId="0" applyNumberFormat="1">
      <alignment vertical="center"/>
    </xf>
    <xf numFmtId="0" fontId="0" fillId="11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2" fillId="0" borderId="14" xfId="0" applyFont="1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9" borderId="13" xfId="0" applyFill="1" applyBorder="1">
      <alignment vertical="center"/>
    </xf>
    <xf numFmtId="0" fontId="0" fillId="15" borderId="13" xfId="0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16" borderId="0" xfId="0" applyFill="1">
      <alignment vertical="center"/>
    </xf>
    <xf numFmtId="0" fontId="20" fillId="0" borderId="0" xfId="1" applyAlignment="1">
      <alignment horizontal="center" vertical="center"/>
    </xf>
    <xf numFmtId="0" fontId="20" fillId="0" borderId="0" xfId="1" applyFont="1">
      <alignment vertical="center"/>
    </xf>
    <xf numFmtId="0" fontId="20" fillId="17" borderId="0" xfId="1" applyFill="1">
      <alignment vertical="center"/>
    </xf>
    <xf numFmtId="0" fontId="20" fillId="0" borderId="0" xfId="1" applyFont="1" applyFill="1">
      <alignment vertical="center"/>
    </xf>
    <xf numFmtId="0" fontId="20" fillId="4" borderId="0" xfId="1" applyFill="1">
      <alignment vertical="center"/>
    </xf>
    <xf numFmtId="0" fontId="20" fillId="0" borderId="21" xfId="1" applyBorder="1">
      <alignment vertical="center"/>
    </xf>
    <xf numFmtId="0" fontId="20" fillId="0" borderId="21" xfId="1" applyFont="1" applyBorder="1">
      <alignment vertical="center"/>
    </xf>
    <xf numFmtId="0" fontId="20" fillId="10" borderId="21" xfId="1" applyFill="1" applyBorder="1">
      <alignment vertical="center"/>
    </xf>
    <xf numFmtId="0" fontId="23" fillId="0" borderId="0" xfId="1" applyFont="1">
      <alignment vertical="center"/>
    </xf>
    <xf numFmtId="0" fontId="23" fillId="0" borderId="0" xfId="1" applyFont="1" applyFill="1" applyBorder="1">
      <alignment vertical="center"/>
    </xf>
    <xf numFmtId="0" fontId="20" fillId="0" borderId="0" xfId="1" applyFont="1" applyAlignment="1">
      <alignment horizontal="center" vertical="center"/>
    </xf>
    <xf numFmtId="0" fontId="20" fillId="16" borderId="0" xfId="1" applyFill="1">
      <alignment vertical="center"/>
    </xf>
    <xf numFmtId="0" fontId="0" fillId="18" borderId="13" xfId="0" applyFill="1" applyBorder="1">
      <alignment vertical="center"/>
    </xf>
    <xf numFmtId="0" fontId="20" fillId="7" borderId="21" xfId="1" applyFill="1" applyBorder="1">
      <alignment vertical="center"/>
    </xf>
    <xf numFmtId="0" fontId="20" fillId="7" borderId="0" xfId="1" applyFill="1">
      <alignment vertical="center"/>
    </xf>
    <xf numFmtId="0" fontId="24" fillId="0" borderId="0" xfId="0" applyFont="1">
      <alignment vertical="center"/>
    </xf>
    <xf numFmtId="0" fontId="25" fillId="8" borderId="0" xfId="3" applyFont="1" applyFill="1">
      <alignment vertical="center"/>
    </xf>
    <xf numFmtId="0" fontId="25" fillId="0" borderId="0" xfId="3" applyFont="1">
      <alignment vertical="center"/>
    </xf>
    <xf numFmtId="0" fontId="26" fillId="0" borderId="0" xfId="3" applyFont="1">
      <alignment vertical="center"/>
    </xf>
    <xf numFmtId="0" fontId="27" fillId="9" borderId="0" xfId="3" applyFont="1" applyFill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25" fillId="0" borderId="0" xfId="3" applyFont="1" applyAlignment="1">
      <alignment vertical="center"/>
    </xf>
    <xf numFmtId="0" fontId="25" fillId="0" borderId="0" xfId="3" applyFont="1" applyFill="1">
      <alignment vertical="center"/>
    </xf>
    <xf numFmtId="0" fontId="25" fillId="0" borderId="0" xfId="3" applyFont="1" applyFill="1" applyAlignment="1">
      <alignment horizontal="center" vertical="center"/>
    </xf>
    <xf numFmtId="0" fontId="25" fillId="0" borderId="0" xfId="3" applyFont="1" applyFill="1" applyAlignment="1">
      <alignment vertical="center"/>
    </xf>
    <xf numFmtId="0" fontId="25" fillId="8" borderId="0" xfId="3" applyFont="1" applyFill="1" applyAlignment="1">
      <alignment horizontal="center" vertical="center"/>
    </xf>
    <xf numFmtId="0" fontId="25" fillId="8" borderId="0" xfId="3" applyFont="1" applyFill="1" applyAlignment="1">
      <alignment vertical="center"/>
    </xf>
    <xf numFmtId="0" fontId="25" fillId="9" borderId="0" xfId="3" applyFont="1" applyFill="1" applyAlignment="1">
      <alignment vertical="center"/>
    </xf>
    <xf numFmtId="0" fontId="17" fillId="0" borderId="0" xfId="0" applyFont="1">
      <alignment vertical="center"/>
    </xf>
    <xf numFmtId="0" fontId="0" fillId="0" borderId="17" xfId="0" applyBorder="1" applyAlignment="1">
      <alignment horizontal="center" vertical="center"/>
    </xf>
    <xf numFmtId="0" fontId="29" fillId="0" borderId="0" xfId="0" applyFont="1">
      <alignment vertical="center"/>
    </xf>
    <xf numFmtId="0" fontId="0" fillId="15" borderId="0" xfId="0" applyFill="1">
      <alignment vertical="center"/>
    </xf>
    <xf numFmtId="0" fontId="0" fillId="0" borderId="21" xfId="0" applyBorder="1">
      <alignment vertical="center"/>
    </xf>
    <xf numFmtId="0" fontId="30" fillId="0" borderId="0" xfId="0" applyFont="1">
      <alignment vertical="center"/>
    </xf>
    <xf numFmtId="0" fontId="0" fillId="0" borderId="13" xfId="0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10" borderId="0" xfId="0" applyFill="1" applyAlignment="1">
      <alignment horizontal="right" vertical="center"/>
    </xf>
    <xf numFmtId="0" fontId="31" fillId="0" borderId="0" xfId="0" applyFont="1">
      <alignment vertical="center"/>
    </xf>
    <xf numFmtId="0" fontId="0" fillId="0" borderId="14" xfId="0" applyBorder="1">
      <alignment vertical="center"/>
    </xf>
    <xf numFmtId="0" fontId="22" fillId="0" borderId="0" xfId="0" applyFont="1" applyBorder="1">
      <alignment vertical="center"/>
    </xf>
    <xf numFmtId="0" fontId="0" fillId="9" borderId="0" xfId="0" applyFill="1" applyBorder="1">
      <alignment vertical="center"/>
    </xf>
    <xf numFmtId="0" fontId="0" fillId="10" borderId="0" xfId="0" applyFill="1" applyBorder="1">
      <alignment vertical="center"/>
    </xf>
    <xf numFmtId="0" fontId="0" fillId="0" borderId="17" xfId="0" applyBorder="1" applyAlignment="1">
      <alignment horizontal="right" vertical="center"/>
    </xf>
    <xf numFmtId="0" fontId="0" fillId="10" borderId="17" xfId="0" applyFill="1" applyBorder="1">
      <alignment vertical="center"/>
    </xf>
    <xf numFmtId="0" fontId="32" fillId="0" borderId="0" xfId="0" applyFont="1" applyBorder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33" fillId="0" borderId="0" xfId="0" applyFont="1">
      <alignment vertical="center"/>
    </xf>
    <xf numFmtId="0" fontId="0" fillId="15" borderId="0" xfId="0" applyFill="1" applyBorder="1">
      <alignment vertical="center"/>
    </xf>
    <xf numFmtId="0" fontId="0" fillId="0" borderId="19" xfId="0" applyFill="1" applyBorder="1">
      <alignment vertical="center"/>
    </xf>
    <xf numFmtId="0" fontId="0" fillId="10" borderId="5" xfId="0" applyFill="1" applyBorder="1">
      <alignment vertical="center"/>
    </xf>
    <xf numFmtId="0" fontId="0" fillId="10" borderId="6" xfId="0" applyFill="1" applyBorder="1">
      <alignment vertical="center"/>
    </xf>
    <xf numFmtId="0" fontId="0" fillId="10" borderId="7" xfId="0" applyFill="1" applyBorder="1">
      <alignment vertical="center"/>
    </xf>
    <xf numFmtId="0" fontId="0" fillId="10" borderId="5" xfId="0" applyFill="1" applyBorder="1" applyAlignment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25" fillId="0" borderId="14" xfId="0" applyFont="1" applyBorder="1">
      <alignment vertical="center"/>
    </xf>
    <xf numFmtId="0" fontId="25" fillId="0" borderId="13" xfId="0" applyFont="1" applyBorder="1">
      <alignment vertical="center"/>
    </xf>
    <xf numFmtId="0" fontId="25" fillId="0" borderId="15" xfId="0" applyFont="1" applyBorder="1">
      <alignment vertical="center"/>
    </xf>
    <xf numFmtId="0" fontId="25" fillId="9" borderId="0" xfId="0" applyFont="1" applyFill="1" applyBorder="1">
      <alignment vertical="center"/>
    </xf>
    <xf numFmtId="0" fontId="25" fillId="0" borderId="0" xfId="0" applyFont="1" applyBorder="1">
      <alignment vertical="center"/>
    </xf>
    <xf numFmtId="0" fontId="25" fillId="10" borderId="5" xfId="0" applyFont="1" applyFill="1" applyBorder="1">
      <alignment vertical="center"/>
    </xf>
    <xf numFmtId="0" fontId="25" fillId="10" borderId="6" xfId="0" applyFont="1" applyFill="1" applyBorder="1">
      <alignment vertical="center"/>
    </xf>
    <xf numFmtId="0" fontId="25" fillId="10" borderId="7" xfId="0" applyFont="1" applyFill="1" applyBorder="1">
      <alignment vertical="center"/>
    </xf>
    <xf numFmtId="0" fontId="25" fillId="10" borderId="5" xfId="0" applyFont="1" applyFill="1" applyBorder="1" applyAlignment="1">
      <alignment vertical="center"/>
    </xf>
    <xf numFmtId="0" fontId="25" fillId="10" borderId="11" xfId="0" applyFont="1" applyFill="1" applyBorder="1">
      <alignment vertical="center"/>
    </xf>
    <xf numFmtId="0" fontId="25" fillId="10" borderId="12" xfId="0" applyFont="1" applyFill="1" applyBorder="1">
      <alignment vertical="center"/>
    </xf>
    <xf numFmtId="0" fontId="25" fillId="0" borderId="16" xfId="0" applyFont="1" applyBorder="1">
      <alignment vertical="center"/>
    </xf>
    <xf numFmtId="0" fontId="25" fillId="0" borderId="17" xfId="0" applyFont="1" applyBorder="1">
      <alignment vertical="center"/>
    </xf>
    <xf numFmtId="0" fontId="25" fillId="0" borderId="18" xfId="0" applyFont="1" applyBorder="1">
      <alignment vertical="center"/>
    </xf>
    <xf numFmtId="0" fontId="25" fillId="10" borderId="0" xfId="0" applyFont="1" applyFill="1" applyBorder="1">
      <alignment vertical="center"/>
    </xf>
    <xf numFmtId="0" fontId="25" fillId="0" borderId="19" xfId="0" applyFont="1" applyBorder="1">
      <alignment vertical="center"/>
    </xf>
    <xf numFmtId="0" fontId="25" fillId="0" borderId="20" xfId="0" applyFont="1" applyBorder="1">
      <alignment vertical="center"/>
    </xf>
    <xf numFmtId="0" fontId="34" fillId="10" borderId="12" xfId="0" applyFont="1" applyFill="1" applyBorder="1">
      <alignment vertical="center"/>
    </xf>
    <xf numFmtId="0" fontId="0" fillId="10" borderId="0" xfId="0" applyFill="1" applyBorder="1" applyAlignment="1">
      <alignment vertical="center"/>
    </xf>
    <xf numFmtId="0" fontId="0" fillId="20" borderId="0" xfId="0" applyFill="1" applyBorder="1">
      <alignment vertical="center"/>
    </xf>
    <xf numFmtId="0" fontId="22" fillId="0" borderId="0" xfId="0" applyFont="1">
      <alignment vertical="center"/>
    </xf>
    <xf numFmtId="0" fontId="0" fillId="20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20" fillId="10" borderId="0" xfId="0" applyFont="1" applyFill="1" applyAlignment="1">
      <alignment vertical="center"/>
    </xf>
    <xf numFmtId="0" fontId="0" fillId="9" borderId="0" xfId="0" applyFill="1" applyBorder="1" applyAlignment="1">
      <alignment vertical="center"/>
    </xf>
    <xf numFmtId="0" fontId="0" fillId="20" borderId="0" xfId="0" applyFill="1" applyBorder="1" applyAlignment="1">
      <alignment vertical="center"/>
    </xf>
    <xf numFmtId="0" fontId="0" fillId="0" borderId="17" xfId="0" applyFill="1" applyBorder="1">
      <alignment vertical="center"/>
    </xf>
    <xf numFmtId="0" fontId="35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34" fillId="10" borderId="8" xfId="0" applyFont="1" applyFill="1" applyBorder="1">
      <alignment vertical="center"/>
    </xf>
    <xf numFmtId="0" fontId="34" fillId="10" borderId="0" xfId="0" applyFont="1" applyFill="1" applyBorder="1">
      <alignment vertical="center"/>
    </xf>
    <xf numFmtId="0" fontId="0" fillId="0" borderId="11" xfId="0" applyBorder="1">
      <alignment vertical="center"/>
    </xf>
    <xf numFmtId="0" fontId="27" fillId="10" borderId="0" xfId="0" applyFont="1" applyFill="1" applyBorder="1">
      <alignment vertical="center"/>
    </xf>
    <xf numFmtId="0" fontId="0" fillId="10" borderId="8" xfId="0" applyFill="1" applyBorder="1">
      <alignment vertical="center"/>
    </xf>
    <xf numFmtId="0" fontId="0" fillId="0" borderId="13" xfId="0" applyFill="1" applyBorder="1">
      <alignment vertical="center"/>
    </xf>
    <xf numFmtId="0" fontId="0" fillId="9" borderId="6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6" xfId="0" applyBorder="1">
      <alignment vertical="center"/>
    </xf>
    <xf numFmtId="0" fontId="0" fillId="0" borderId="11" xfId="0" applyFill="1" applyBorder="1">
      <alignment vertical="center"/>
    </xf>
    <xf numFmtId="0" fontId="0" fillId="9" borderId="9" xfId="0" applyFill="1" applyBorder="1">
      <alignment vertical="center"/>
    </xf>
    <xf numFmtId="0" fontId="34" fillId="10" borderId="0" xfId="0" applyFont="1" applyFill="1" applyBorder="1" applyAlignment="1">
      <alignment horizontal="center" vertical="center"/>
    </xf>
    <xf numFmtId="0" fontId="0" fillId="10" borderId="9" xfId="0" applyFill="1" applyBorder="1">
      <alignment vertical="center"/>
    </xf>
    <xf numFmtId="0" fontId="0" fillId="10" borderId="9" xfId="0" applyFill="1" applyBorder="1" applyAlignment="1">
      <alignment vertical="center"/>
    </xf>
    <xf numFmtId="0" fontId="0" fillId="0" borderId="10" xfId="0" applyFill="1" applyBorder="1">
      <alignment vertical="center"/>
    </xf>
    <xf numFmtId="0" fontId="36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9" borderId="9" xfId="0" applyFill="1" applyBorder="1" applyAlignment="1">
      <alignment horizontal="center" vertical="center"/>
    </xf>
    <xf numFmtId="0" fontId="27" fillId="0" borderId="0" xfId="0" applyFont="1">
      <alignment vertical="center"/>
    </xf>
    <xf numFmtId="0" fontId="0" fillId="11" borderId="0" xfId="0" applyFill="1" applyBorder="1">
      <alignment vertical="center"/>
    </xf>
    <xf numFmtId="0" fontId="25" fillId="0" borderId="5" xfId="0" applyFont="1" applyFill="1" applyBorder="1">
      <alignment vertical="center"/>
    </xf>
    <xf numFmtId="0" fontId="25" fillId="0" borderId="6" xfId="0" applyFont="1" applyFill="1" applyBorder="1">
      <alignment vertical="center"/>
    </xf>
    <xf numFmtId="0" fontId="25" fillId="0" borderId="8" xfId="0" applyFont="1" applyFill="1" applyBorder="1">
      <alignment vertical="center"/>
    </xf>
    <xf numFmtId="0" fontId="37" fillId="0" borderId="0" xfId="0" applyFont="1" applyFill="1" applyBorder="1">
      <alignment vertical="center"/>
    </xf>
    <xf numFmtId="0" fontId="25" fillId="0" borderId="0" xfId="0" applyFont="1" applyFill="1" applyBorder="1">
      <alignment vertical="center"/>
    </xf>
    <xf numFmtId="0" fontId="25" fillId="0" borderId="0" xfId="0" applyFont="1" applyFill="1" applyBorder="1" applyAlignment="1">
      <alignment vertical="center"/>
    </xf>
    <xf numFmtId="0" fontId="25" fillId="0" borderId="10" xfId="0" applyFont="1" applyFill="1" applyBorder="1">
      <alignment vertical="center"/>
    </xf>
    <xf numFmtId="0" fontId="25" fillId="0" borderId="11" xfId="0" applyFont="1" applyFill="1" applyBorder="1">
      <alignment vertical="center"/>
    </xf>
    <xf numFmtId="0" fontId="12" fillId="0" borderId="0" xfId="2" applyBorder="1">
      <alignment vertical="center"/>
    </xf>
    <xf numFmtId="0" fontId="25" fillId="0" borderId="7" xfId="0" applyFont="1" applyFill="1" applyBorder="1">
      <alignment vertical="center"/>
    </xf>
    <xf numFmtId="0" fontId="25" fillId="0" borderId="9" xfId="0" applyFont="1" applyFill="1" applyBorder="1">
      <alignment vertical="center"/>
    </xf>
    <xf numFmtId="0" fontId="25" fillId="0" borderId="12" xfId="0" applyFont="1" applyFill="1" applyBorder="1">
      <alignment vertical="center"/>
    </xf>
    <xf numFmtId="0" fontId="31" fillId="0" borderId="15" xfId="0" applyFont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22" xfId="0" applyBorder="1">
      <alignment vertical="center"/>
    </xf>
    <xf numFmtId="0" fontId="0" fillId="0" borderId="22" xfId="0" applyBorder="1" applyAlignment="1">
      <alignment horizontal="right" vertical="center"/>
    </xf>
    <xf numFmtId="0" fontId="0" fillId="0" borderId="22" xfId="0" applyFill="1" applyBorder="1" applyAlignment="1">
      <alignment vertical="center"/>
    </xf>
    <xf numFmtId="0" fontId="0" fillId="0" borderId="21" xfId="0" applyFill="1" applyBorder="1">
      <alignment vertical="center"/>
    </xf>
    <xf numFmtId="0" fontId="0" fillId="0" borderId="22" xfId="0" applyFill="1" applyBorder="1">
      <alignment vertical="center"/>
    </xf>
    <xf numFmtId="0" fontId="0" fillId="0" borderId="37" xfId="0" applyBorder="1">
      <alignment vertical="center"/>
    </xf>
    <xf numFmtId="0" fontId="0" fillId="0" borderId="38" xfId="0" applyBorder="1">
      <alignment vertical="center"/>
    </xf>
    <xf numFmtId="0" fontId="32" fillId="0" borderId="35" xfId="0" applyFont="1" applyBorder="1">
      <alignment vertical="center"/>
    </xf>
    <xf numFmtId="0" fontId="0" fillId="0" borderId="35" xfId="0" applyFill="1" applyBorder="1">
      <alignment vertical="center"/>
    </xf>
    <xf numFmtId="0" fontId="0" fillId="0" borderId="39" xfId="0" applyBorder="1">
      <alignment vertical="center"/>
    </xf>
    <xf numFmtId="0" fontId="12" fillId="0" borderId="3" xfId="2" applyBorder="1" applyAlignment="1">
      <alignment horizontal="center" vertical="center"/>
    </xf>
    <xf numFmtId="56" fontId="0" fillId="0" borderId="0" xfId="0" quotePrefix="1" applyNumberFormat="1">
      <alignment vertical="center"/>
    </xf>
    <xf numFmtId="0" fontId="0" fillId="0" borderId="3" xfId="0" quotePrefix="1" applyBorder="1" applyAlignment="1">
      <alignment horizontal="center" vertical="center"/>
    </xf>
    <xf numFmtId="0" fontId="12" fillId="0" borderId="0" xfId="2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12" fillId="0" borderId="0" xfId="2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5"/>
    <xf numFmtId="0" fontId="44" fillId="0" borderId="40" xfId="5" applyBorder="1"/>
    <xf numFmtId="0" fontId="44" fillId="0" borderId="41" xfId="5" applyBorder="1"/>
    <xf numFmtId="0" fontId="46" fillId="0" borderId="42" xfId="5" applyFont="1" applyBorder="1"/>
    <xf numFmtId="0" fontId="46" fillId="0" borderId="41" xfId="5" applyFont="1" applyBorder="1"/>
    <xf numFmtId="0" fontId="44" fillId="0" borderId="0" xfId="5" applyBorder="1" applyAlignment="1">
      <alignment horizontal="center"/>
    </xf>
    <xf numFmtId="0" fontId="44" fillId="0" borderId="0" xfId="5" applyAlignment="1">
      <alignment horizontal="center"/>
    </xf>
    <xf numFmtId="0" fontId="47" fillId="0" borderId="43" xfId="5" applyFont="1" applyBorder="1" applyAlignment="1">
      <alignment horizontal="center"/>
    </xf>
    <xf numFmtId="0" fontId="46" fillId="0" borderId="43" xfId="5" applyFont="1" applyBorder="1"/>
    <xf numFmtId="179" fontId="44" fillId="0" borderId="44" xfId="5" applyNumberFormat="1" applyBorder="1"/>
    <xf numFmtId="0" fontId="46" fillId="0" borderId="40" xfId="5" applyFont="1" applyBorder="1"/>
    <xf numFmtId="185" fontId="44" fillId="0" borderId="45" xfId="5" applyNumberFormat="1" applyBorder="1"/>
    <xf numFmtId="186" fontId="44" fillId="0" borderId="0" xfId="5" applyNumberFormat="1"/>
    <xf numFmtId="0" fontId="46" fillId="0" borderId="0" xfId="5" applyFont="1" applyAlignment="1">
      <alignment horizontal="center"/>
    </xf>
    <xf numFmtId="0" fontId="47" fillId="0" borderId="44" xfId="5" applyFont="1" applyBorder="1"/>
    <xf numFmtId="0" fontId="44" fillId="0" borderId="44" xfId="5" applyBorder="1" applyAlignment="1">
      <alignment horizontal="center"/>
    </xf>
    <xf numFmtId="0" fontId="44" fillId="0" borderId="0" xfId="5" applyBorder="1"/>
    <xf numFmtId="0" fontId="44" fillId="0" borderId="42" xfId="5" applyBorder="1"/>
    <xf numFmtId="0" fontId="44" fillId="0" borderId="46" xfId="5" applyBorder="1"/>
    <xf numFmtId="189" fontId="47" fillId="0" borderId="0" xfId="5" applyNumberFormat="1" applyFont="1"/>
    <xf numFmtId="0" fontId="47" fillId="0" borderId="46" xfId="5" applyFont="1" applyBorder="1"/>
    <xf numFmtId="0" fontId="44" fillId="0" borderId="0" xfId="5" applyNumberFormat="1"/>
    <xf numFmtId="182" fontId="44" fillId="0" borderId="0" xfId="5" applyNumberFormat="1"/>
    <xf numFmtId="0" fontId="12" fillId="0" borderId="0" xfId="2">
      <alignment vertical="center"/>
    </xf>
    <xf numFmtId="0" fontId="11" fillId="0" borderId="0" xfId="6">
      <alignment vertical="center"/>
    </xf>
    <xf numFmtId="0" fontId="11" fillId="0" borderId="0" xfId="6" applyFill="1" applyBorder="1">
      <alignment vertical="center"/>
    </xf>
    <xf numFmtId="0" fontId="50" fillId="0" borderId="0" xfId="6" applyFont="1">
      <alignment vertical="center"/>
    </xf>
    <xf numFmtId="0" fontId="10" fillId="0" borderId="0" xfId="6" applyFont="1">
      <alignment vertical="center"/>
    </xf>
    <xf numFmtId="0" fontId="0" fillId="0" borderId="0" xfId="0">
      <alignment vertical="center"/>
    </xf>
    <xf numFmtId="0" fontId="9" fillId="0" borderId="0" xfId="6" applyFont="1">
      <alignment vertical="center"/>
    </xf>
    <xf numFmtId="0" fontId="11" fillId="0" borderId="0" xfId="6">
      <alignment vertical="center"/>
    </xf>
    <xf numFmtId="0" fontId="8" fillId="0" borderId="0" xfId="6" applyFont="1">
      <alignment vertical="center"/>
    </xf>
    <xf numFmtId="0" fontId="38" fillId="0" borderId="0" xfId="0" applyFont="1" applyAlignment="1">
      <alignment horizontal="left" vertical="center"/>
    </xf>
    <xf numFmtId="0" fontId="7" fillId="0" borderId="0" xfId="6" applyFont="1">
      <alignment vertical="center"/>
    </xf>
    <xf numFmtId="0" fontId="38" fillId="0" borderId="0" xfId="8">
      <alignment vertical="center"/>
    </xf>
    <xf numFmtId="0" fontId="38" fillId="4" borderId="0" xfId="8" applyFill="1">
      <alignment vertical="center"/>
    </xf>
    <xf numFmtId="0" fontId="38" fillId="7" borderId="0" xfId="8" applyFill="1">
      <alignment vertical="center"/>
    </xf>
    <xf numFmtId="0" fontId="38" fillId="6" borderId="0" xfId="8" applyFill="1">
      <alignment vertical="center"/>
    </xf>
    <xf numFmtId="0" fontId="7" fillId="0" borderId="0" xfId="9">
      <alignment vertical="center"/>
    </xf>
    <xf numFmtId="0" fontId="50" fillId="0" borderId="0" xfId="9" applyFont="1">
      <alignment vertical="center"/>
    </xf>
    <xf numFmtId="0" fontId="7" fillId="0" borderId="0" xfId="9" applyFont="1">
      <alignment vertical="center"/>
    </xf>
    <xf numFmtId="0" fontId="7" fillId="0" borderId="0" xfId="9" applyFill="1" applyBorder="1">
      <alignment vertical="center"/>
    </xf>
    <xf numFmtId="0" fontId="38" fillId="0" borderId="0" xfId="8" applyFont="1" applyAlignment="1">
      <alignment horizontal="left" vertical="center"/>
    </xf>
    <xf numFmtId="0" fontId="0" fillId="0" borderId="0" xfId="9" applyFont="1">
      <alignment vertical="center"/>
    </xf>
    <xf numFmtId="0" fontId="48" fillId="0" borderId="0" xfId="7">
      <alignment vertical="center"/>
    </xf>
    <xf numFmtId="0" fontId="44" fillId="0" borderId="0" xfId="1" applyFont="1" applyFill="1">
      <alignment vertical="center"/>
    </xf>
    <xf numFmtId="0" fontId="44" fillId="0" borderId="0" xfId="1" applyFont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12" fillId="0" borderId="0" xfId="2" applyAlignment="1">
      <alignment horizontal="center"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54" fillId="0" borderId="0" xfId="2" applyFont="1" applyAlignment="1">
      <alignment horizontal="left"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6" fillId="0" borderId="0" xfId="10">
      <alignment vertical="center"/>
    </xf>
    <xf numFmtId="0" fontId="5" fillId="0" borderId="0" xfId="10" applyFont="1">
      <alignment vertical="center"/>
    </xf>
    <xf numFmtId="0" fontId="50" fillId="0" borderId="0" xfId="10" applyFont="1">
      <alignment vertical="center"/>
    </xf>
    <xf numFmtId="0" fontId="0" fillId="0" borderId="0" xfId="0">
      <alignment vertical="center"/>
    </xf>
    <xf numFmtId="0" fontId="12" fillId="0" borderId="0" xfId="2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4" fillId="0" borderId="0" xfId="10" applyFont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56" fillId="0" borderId="0" xfId="0" applyFont="1">
      <alignment vertical="center"/>
    </xf>
    <xf numFmtId="0" fontId="38" fillId="2" borderId="0" xfId="0" applyFont="1" applyFill="1">
      <alignment vertical="center"/>
    </xf>
    <xf numFmtId="0" fontId="0" fillId="21" borderId="0" xfId="0" applyFill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58" fillId="0" borderId="0" xfId="0" applyFont="1">
      <alignment vertical="center"/>
    </xf>
    <xf numFmtId="0" fontId="59" fillId="0" borderId="0" xfId="1" applyFont="1">
      <alignment vertical="center"/>
    </xf>
    <xf numFmtId="0" fontId="59" fillId="9" borderId="0" xfId="1" applyFont="1" applyFill="1">
      <alignment vertical="center"/>
    </xf>
    <xf numFmtId="0" fontId="59" fillId="2" borderId="0" xfId="1" applyFont="1" applyFill="1">
      <alignment vertical="center"/>
    </xf>
    <xf numFmtId="0" fontId="59" fillId="0" borderId="0" xfId="1" applyFont="1" applyFill="1">
      <alignment vertical="center"/>
    </xf>
    <xf numFmtId="0" fontId="59" fillId="0" borderId="21" xfId="1" applyFont="1" applyBorder="1">
      <alignment vertical="center"/>
    </xf>
    <xf numFmtId="0" fontId="59" fillId="10" borderId="21" xfId="1" applyFont="1" applyFill="1" applyBorder="1">
      <alignment vertical="center"/>
    </xf>
    <xf numFmtId="0" fontId="59" fillId="10" borderId="0" xfId="1" applyFont="1" applyFill="1">
      <alignment vertical="center"/>
    </xf>
    <xf numFmtId="0" fontId="59" fillId="0" borderId="0" xfId="1" applyFont="1" applyAlignment="1">
      <alignment vertical="center"/>
    </xf>
    <xf numFmtId="0" fontId="59" fillId="0" borderId="0" xfId="1" applyFont="1" applyAlignment="1">
      <alignment horizontal="center" vertical="center"/>
    </xf>
    <xf numFmtId="0" fontId="59" fillId="0" borderId="0" xfId="1" applyFont="1" applyAlignment="1">
      <alignment horizontal="right" vertical="center"/>
    </xf>
    <xf numFmtId="0" fontId="59" fillId="23" borderId="0" xfId="1" applyFont="1" applyFill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60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1" fillId="0" borderId="0" xfId="0" applyFont="1">
      <alignment vertical="center"/>
    </xf>
    <xf numFmtId="0" fontId="61" fillId="2" borderId="3" xfId="0" applyFont="1" applyFill="1" applyBorder="1" applyAlignment="1">
      <alignment horizontal="center" vertical="center"/>
    </xf>
    <xf numFmtId="0" fontId="62" fillId="0" borderId="3" xfId="2" applyFont="1" applyBorder="1" applyAlignment="1">
      <alignment horizontal="center" vertical="center"/>
    </xf>
    <xf numFmtId="0" fontId="62" fillId="0" borderId="0" xfId="2" applyFont="1" applyAlignment="1">
      <alignment horizontal="center" vertical="center"/>
    </xf>
    <xf numFmtId="0" fontId="61" fillId="0" borderId="3" xfId="0" applyFont="1" applyBorder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65" fillId="0" borderId="0" xfId="0" applyFont="1">
      <alignment vertical="center"/>
    </xf>
    <xf numFmtId="0" fontId="65" fillId="4" borderId="0" xfId="0" applyFont="1" applyFill="1">
      <alignment vertical="center"/>
    </xf>
    <xf numFmtId="0" fontId="64" fillId="0" borderId="0" xfId="2" applyFont="1">
      <alignment vertical="center"/>
    </xf>
    <xf numFmtId="0" fontId="65" fillId="7" borderId="0" xfId="0" applyFont="1" applyFill="1">
      <alignment vertical="center"/>
    </xf>
    <xf numFmtId="0" fontId="65" fillId="6" borderId="0" xfId="0" applyFont="1" applyFill="1">
      <alignment vertical="center"/>
    </xf>
    <xf numFmtId="0" fontId="66" fillId="0" borderId="0" xfId="0" applyFont="1">
      <alignment vertical="center"/>
    </xf>
    <xf numFmtId="0" fontId="65" fillId="5" borderId="0" xfId="0" applyFont="1" applyFill="1">
      <alignment vertical="center"/>
    </xf>
    <xf numFmtId="0" fontId="38" fillId="0" borderId="0" xfId="0" applyFont="1" applyAlignment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68" fillId="0" borderId="0" xfId="0" applyFont="1">
      <alignment vertical="center"/>
    </xf>
    <xf numFmtId="0" fontId="68" fillId="0" borderId="14" xfId="0" applyFont="1" applyBorder="1">
      <alignment vertical="center"/>
    </xf>
    <xf numFmtId="0" fontId="68" fillId="0" borderId="13" xfId="0" applyFont="1" applyBorder="1">
      <alignment vertical="center"/>
    </xf>
    <xf numFmtId="0" fontId="68" fillId="0" borderId="18" xfId="0" applyFont="1" applyBorder="1">
      <alignment vertical="center"/>
    </xf>
    <xf numFmtId="0" fontId="68" fillId="0" borderId="15" xfId="0" applyFont="1" applyBorder="1">
      <alignment vertical="center"/>
    </xf>
    <xf numFmtId="0" fontId="69" fillId="0" borderId="0" xfId="0" applyFont="1" applyBorder="1">
      <alignment vertical="center"/>
    </xf>
    <xf numFmtId="0" fontId="68" fillId="0" borderId="0" xfId="0" applyFont="1" applyBorder="1">
      <alignment vertical="center"/>
    </xf>
    <xf numFmtId="0" fontId="68" fillId="0" borderId="19" xfId="0" applyFont="1" applyBorder="1">
      <alignment vertical="center"/>
    </xf>
    <xf numFmtId="0" fontId="69" fillId="9" borderId="0" xfId="0" applyFont="1" applyFill="1" applyBorder="1">
      <alignment vertical="center"/>
    </xf>
    <xf numFmtId="0" fontId="68" fillId="9" borderId="0" xfId="0" applyFont="1" applyFill="1" applyBorder="1">
      <alignment vertical="center"/>
    </xf>
    <xf numFmtId="0" fontId="70" fillId="0" borderId="0" xfId="0" applyFont="1" applyBorder="1">
      <alignment vertical="center"/>
    </xf>
    <xf numFmtId="0" fontId="69" fillId="10" borderId="0" xfId="0" applyFont="1" applyFill="1" applyBorder="1">
      <alignment vertical="center"/>
    </xf>
    <xf numFmtId="0" fontId="68" fillId="10" borderId="0" xfId="0" applyFont="1" applyFill="1" applyBorder="1">
      <alignment vertical="center"/>
    </xf>
    <xf numFmtId="0" fontId="71" fillId="0" borderId="0" xfId="0" applyFont="1" applyBorder="1">
      <alignment vertical="center"/>
    </xf>
    <xf numFmtId="0" fontId="68" fillId="0" borderId="23" xfId="0" applyFont="1" applyBorder="1">
      <alignment vertical="center"/>
    </xf>
    <xf numFmtId="0" fontId="68" fillId="0" borderId="27" xfId="0" applyFont="1" applyBorder="1">
      <alignment vertical="center"/>
    </xf>
    <xf numFmtId="0" fontId="68" fillId="0" borderId="28" xfId="0" applyFont="1" applyBorder="1">
      <alignment vertical="center"/>
    </xf>
    <xf numFmtId="0" fontId="68" fillId="0" borderId="24" xfId="0" applyFont="1" applyBorder="1">
      <alignment vertical="center"/>
    </xf>
    <xf numFmtId="0" fontId="68" fillId="0" borderId="29" xfId="0" applyFont="1" applyBorder="1">
      <alignment vertical="center"/>
    </xf>
    <xf numFmtId="0" fontId="68" fillId="0" borderId="30" xfId="0" applyFont="1" applyBorder="1">
      <alignment vertical="center"/>
    </xf>
    <xf numFmtId="0" fontId="68" fillId="10" borderId="0" xfId="0" applyFont="1" applyFill="1" applyBorder="1" applyAlignment="1">
      <alignment vertical="center"/>
    </xf>
    <xf numFmtId="0" fontId="68" fillId="0" borderId="19" xfId="0" applyFont="1" applyBorder="1" applyAlignment="1">
      <alignment vertical="center"/>
    </xf>
    <xf numFmtId="0" fontId="68" fillId="0" borderId="25" xfId="0" applyFont="1" applyBorder="1">
      <alignment vertical="center"/>
    </xf>
    <xf numFmtId="0" fontId="68" fillId="0" borderId="33" xfId="0" applyFont="1" applyBorder="1">
      <alignment vertical="center"/>
    </xf>
    <xf numFmtId="0" fontId="68" fillId="0" borderId="28" xfId="0" applyFont="1" applyBorder="1" applyAlignment="1">
      <alignment vertical="center"/>
    </xf>
    <xf numFmtId="0" fontId="68" fillId="0" borderId="16" xfId="0" applyFont="1" applyBorder="1">
      <alignment vertical="center"/>
    </xf>
    <xf numFmtId="0" fontId="68" fillId="0" borderId="17" xfId="0" applyFont="1" applyBorder="1">
      <alignment vertical="center"/>
    </xf>
    <xf numFmtId="0" fontId="68" fillId="0" borderId="20" xfId="0" applyFont="1" applyBorder="1">
      <alignment vertical="center"/>
    </xf>
    <xf numFmtId="0" fontId="68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0" xfId="0" applyFill="1" applyBorder="1">
      <alignment vertical="center"/>
    </xf>
    <xf numFmtId="0" fontId="38" fillId="0" borderId="0" xfId="0" applyFont="1">
      <alignment vertical="center"/>
    </xf>
    <xf numFmtId="0" fontId="38" fillId="0" borderId="0" xfId="0" applyFont="1">
      <alignment vertical="center"/>
    </xf>
    <xf numFmtId="0" fontId="38" fillId="0" borderId="13" xfId="0" applyFont="1" applyBorder="1">
      <alignment vertical="center"/>
    </xf>
    <xf numFmtId="0" fontId="38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0" fillId="5" borderId="0" xfId="0" applyFill="1" applyBorder="1">
      <alignment vertical="center"/>
    </xf>
    <xf numFmtId="0" fontId="14" fillId="0" borderId="14" xfId="0" applyFont="1" applyBorder="1">
      <alignment vertical="center"/>
    </xf>
    <xf numFmtId="0" fontId="38" fillId="0" borderId="15" xfId="0" applyFont="1" applyBorder="1">
      <alignment vertical="center"/>
    </xf>
    <xf numFmtId="0" fontId="0" fillId="2" borderId="0" xfId="0" applyFill="1" applyBorder="1">
      <alignment vertical="center"/>
    </xf>
    <xf numFmtId="0" fontId="73" fillId="5" borderId="0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38" fillId="0" borderId="0" xfId="0" applyFont="1" applyBorder="1" applyAlignment="1">
      <alignment horizontal="right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74" fillId="0" borderId="0" xfId="0" applyFont="1">
      <alignment vertical="center"/>
    </xf>
    <xf numFmtId="0" fontId="75" fillId="0" borderId="0" xfId="0" applyFont="1">
      <alignment vertical="center"/>
    </xf>
    <xf numFmtId="0" fontId="59" fillId="0" borderId="0" xfId="1" applyFont="1" applyAlignment="1">
      <alignment horizontal="center"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20" fillId="0" borderId="0" xfId="1" applyFont="1" applyAlignment="1">
      <alignment horizontal="right"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0" xfId="0" applyFill="1" applyBorder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38" fillId="0" borderId="5" xfId="0" applyFont="1" applyBorder="1">
      <alignment vertical="center"/>
    </xf>
    <xf numFmtId="0" fontId="38" fillId="0" borderId="8" xfId="0" applyFont="1" applyBorder="1">
      <alignment vertical="center"/>
    </xf>
    <xf numFmtId="0" fontId="14" fillId="0" borderId="0" xfId="0" applyFont="1" applyBorder="1">
      <alignment vertical="center"/>
    </xf>
    <xf numFmtId="0" fontId="0" fillId="23" borderId="0" xfId="0" applyFill="1" applyBorder="1">
      <alignment vertical="center"/>
    </xf>
    <xf numFmtId="0" fontId="0" fillId="0" borderId="8" xfId="0" applyFont="1" applyBorder="1">
      <alignment vertical="center"/>
    </xf>
    <xf numFmtId="0" fontId="0" fillId="4" borderId="0" xfId="0" applyFill="1" applyBorder="1">
      <alignment vertical="center"/>
    </xf>
    <xf numFmtId="0" fontId="3" fillId="0" borderId="0" xfId="11">
      <alignment vertical="center"/>
    </xf>
    <xf numFmtId="0" fontId="3" fillId="24" borderId="0" xfId="11" applyFill="1">
      <alignment vertical="center"/>
    </xf>
    <xf numFmtId="0" fontId="38" fillId="24" borderId="0" xfId="11" applyFont="1" applyFill="1">
      <alignment vertical="center"/>
    </xf>
    <xf numFmtId="0" fontId="3" fillId="4" borderId="0" xfId="11" applyFill="1">
      <alignment vertical="center"/>
    </xf>
    <xf numFmtId="0" fontId="3" fillId="7" borderId="0" xfId="11" applyFill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Font="1">
      <alignment vertical="center"/>
    </xf>
    <xf numFmtId="0" fontId="38" fillId="4" borderId="0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12" fillId="0" borderId="0" xfId="2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12" fillId="0" borderId="0" xfId="2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38" fillId="15" borderId="0" xfId="0" applyFont="1" applyFill="1" applyAlignme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63" fillId="0" borderId="0" xfId="0" applyFont="1">
      <alignment vertical="center"/>
    </xf>
    <xf numFmtId="0" fontId="63" fillId="4" borderId="0" xfId="0" applyFont="1" applyFill="1">
      <alignment vertical="center"/>
    </xf>
    <xf numFmtId="0" fontId="63" fillId="7" borderId="0" xfId="0" applyFont="1" applyFill="1">
      <alignment vertical="center"/>
    </xf>
    <xf numFmtId="0" fontId="63" fillId="6" borderId="0" xfId="0" applyFont="1" applyFill="1">
      <alignment vertical="center"/>
    </xf>
    <xf numFmtId="0" fontId="77" fillId="0" borderId="0" xfId="2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26" borderId="0" xfId="0" applyFill="1">
      <alignment vertical="center"/>
    </xf>
    <xf numFmtId="0" fontId="76" fillId="26" borderId="0" xfId="0" applyFont="1" applyFill="1">
      <alignment vertical="center"/>
    </xf>
    <xf numFmtId="0" fontId="38" fillId="26" borderId="0" xfId="0" applyFont="1" applyFill="1">
      <alignment vertical="center"/>
    </xf>
    <xf numFmtId="0" fontId="63" fillId="26" borderId="0" xfId="0" applyFont="1" applyFill="1">
      <alignment vertical="center"/>
    </xf>
    <xf numFmtId="0" fontId="0" fillId="2" borderId="0" xfId="0" applyFill="1">
      <alignment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178" fontId="44" fillId="5" borderId="40" xfId="5" applyNumberFormat="1" applyFill="1" applyBorder="1"/>
    <xf numFmtId="184" fontId="44" fillId="5" borderId="40" xfId="5" applyNumberFormat="1" applyFill="1" applyBorder="1"/>
    <xf numFmtId="177" fontId="44" fillId="5" borderId="40" xfId="5" applyNumberFormat="1" applyFill="1" applyBorder="1"/>
    <xf numFmtId="181" fontId="44" fillId="5" borderId="40" xfId="5" applyNumberFormat="1" applyFill="1" applyBorder="1"/>
    <xf numFmtId="186" fontId="44" fillId="5" borderId="40" xfId="5" applyNumberFormat="1" applyFill="1" applyBorder="1"/>
    <xf numFmtId="183" fontId="44" fillId="5" borderId="40" xfId="5" applyNumberFormat="1" applyFill="1" applyBorder="1"/>
    <xf numFmtId="182" fontId="44" fillId="5" borderId="40" xfId="5" applyNumberFormat="1" applyFill="1" applyBorder="1"/>
    <xf numFmtId="183" fontId="44" fillId="5" borderId="45" xfId="5" applyNumberFormat="1" applyFill="1" applyBorder="1"/>
    <xf numFmtId="182" fontId="44" fillId="5" borderId="45" xfId="5" applyNumberFormat="1" applyFill="1" applyBorder="1"/>
    <xf numFmtId="178" fontId="44" fillId="5" borderId="40" xfId="5" applyNumberFormat="1" applyFill="1" applyBorder="1" applyAlignment="1">
      <alignment horizontal="right"/>
    </xf>
    <xf numFmtId="180" fontId="44" fillId="4" borderId="40" xfId="5" applyNumberFormat="1" applyFill="1" applyBorder="1"/>
    <xf numFmtId="188" fontId="46" fillId="4" borderId="40" xfId="5" applyNumberFormat="1" applyFont="1" applyFill="1" applyBorder="1"/>
    <xf numFmtId="176" fontId="44" fillId="4" borderId="40" xfId="5" applyNumberFormat="1" applyFill="1" applyBorder="1"/>
    <xf numFmtId="187" fontId="44" fillId="4" borderId="40" xfId="5" applyNumberFormat="1" applyFill="1" applyBorder="1"/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78" fillId="0" borderId="0" xfId="0" applyFont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38" fillId="2" borderId="3" xfId="0" applyFont="1" applyFill="1" applyBorder="1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27" borderId="3" xfId="0" applyFill="1" applyBorder="1">
      <alignment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12" fillId="0" borderId="0" xfId="2">
      <alignment vertical="center"/>
    </xf>
    <xf numFmtId="0" fontId="0" fillId="6" borderId="0" xfId="0" applyFill="1">
      <alignment vertical="center"/>
    </xf>
    <xf numFmtId="0" fontId="0" fillId="28" borderId="0" xfId="0" applyFill="1">
      <alignment vertical="center"/>
    </xf>
    <xf numFmtId="0" fontId="38" fillId="28" borderId="0" xfId="0" applyFont="1" applyFill="1">
      <alignment vertical="center"/>
    </xf>
    <xf numFmtId="0" fontId="0" fillId="21" borderId="3" xfId="0" applyFill="1" applyBorder="1">
      <alignment vertical="center"/>
    </xf>
    <xf numFmtId="0" fontId="0" fillId="2" borderId="3" xfId="0" applyFill="1" applyBorder="1">
      <alignment vertical="center"/>
    </xf>
    <xf numFmtId="0" fontId="12" fillId="0" borderId="0" xfId="2">
      <alignment vertical="center"/>
    </xf>
    <xf numFmtId="0" fontId="0" fillId="10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right" vertical="center"/>
    </xf>
    <xf numFmtId="0" fontId="38" fillId="0" borderId="0" xfId="0" applyFont="1" applyAlignment="1">
      <alignment horizontal="right"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right" vertical="center"/>
    </xf>
    <xf numFmtId="0" fontId="0" fillId="6" borderId="0" xfId="0" applyFill="1">
      <alignment vertical="center"/>
    </xf>
    <xf numFmtId="0" fontId="38" fillId="27" borderId="0" xfId="0" applyFont="1" applyFill="1">
      <alignment vertical="center"/>
    </xf>
    <xf numFmtId="0" fontId="0" fillId="27" borderId="0" xfId="0" applyFill="1">
      <alignment vertical="center"/>
    </xf>
    <xf numFmtId="0" fontId="0" fillId="0" borderId="0" xfId="0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right" vertical="center"/>
    </xf>
    <xf numFmtId="0" fontId="12" fillId="0" borderId="0" xfId="2">
      <alignment vertical="center"/>
    </xf>
    <xf numFmtId="0" fontId="38" fillId="0" borderId="0" xfId="0" applyFont="1" applyFill="1" applyBorder="1">
      <alignment vertical="center"/>
    </xf>
    <xf numFmtId="0" fontId="0" fillId="6" borderId="0" xfId="0" applyFill="1">
      <alignment vertical="center"/>
    </xf>
    <xf numFmtId="0" fontId="12" fillId="0" borderId="3" xfId="2" applyFont="1" applyBorder="1" applyAlignment="1">
      <alignment horizontal="center" vertical="center"/>
    </xf>
    <xf numFmtId="0" fontId="0" fillId="0" borderId="21" xfId="0" applyBorder="1" applyAlignment="1">
      <alignment horizontal="right" vertical="center"/>
    </xf>
    <xf numFmtId="0" fontId="14" fillId="0" borderId="0" xfId="0" applyFont="1" applyAlignment="1">
      <alignment vertical="center"/>
    </xf>
    <xf numFmtId="0" fontId="14" fillId="0" borderId="21" xfId="0" applyFont="1" applyBorder="1">
      <alignment vertical="center"/>
    </xf>
    <xf numFmtId="0" fontId="79" fillId="0" borderId="0" xfId="0" applyFont="1">
      <alignment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12" fillId="0" borderId="0" xfId="2">
      <alignment vertical="center"/>
    </xf>
    <xf numFmtId="0" fontId="38" fillId="0" borderId="0" xfId="0" applyFont="1" applyAlignment="1">
      <alignment horizontal="right"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38" fillId="6" borderId="0" xfId="0" applyFont="1" applyFill="1">
      <alignment vertical="center"/>
    </xf>
    <xf numFmtId="0" fontId="80" fillId="6" borderId="0" xfId="0" applyFont="1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12" fillId="0" borderId="0" xfId="2">
      <alignment vertical="center"/>
    </xf>
    <xf numFmtId="0" fontId="0" fillId="6" borderId="0" xfId="0" applyFill="1">
      <alignment vertical="center"/>
    </xf>
    <xf numFmtId="0" fontId="38" fillId="37" borderId="0" xfId="0" applyFont="1" applyFill="1">
      <alignment vertical="center"/>
    </xf>
    <xf numFmtId="0" fontId="0" fillId="37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>
      <alignment vertical="center"/>
    </xf>
    <xf numFmtId="0" fontId="2" fillId="0" borderId="0" xfId="13">
      <alignment vertical="center"/>
    </xf>
    <xf numFmtId="0" fontId="85" fillId="0" borderId="0" xfId="13" applyFont="1">
      <alignment vertical="center"/>
    </xf>
    <xf numFmtId="0" fontId="86" fillId="38" borderId="84" xfId="13" applyFont="1" applyFill="1" applyBorder="1" applyAlignment="1">
      <alignment vertical="center" wrapText="1"/>
    </xf>
    <xf numFmtId="0" fontId="87" fillId="38" borderId="84" xfId="13" applyFont="1" applyFill="1" applyBorder="1" applyAlignment="1">
      <alignment vertical="center" wrapText="1"/>
    </xf>
    <xf numFmtId="0" fontId="87" fillId="38" borderId="87" xfId="13" applyFont="1" applyFill="1" applyBorder="1" applyAlignment="1">
      <alignment vertical="center" wrapText="1"/>
    </xf>
    <xf numFmtId="0" fontId="87" fillId="38" borderId="90" xfId="13" applyFont="1" applyFill="1" applyBorder="1" applyAlignment="1">
      <alignment vertical="center" wrapText="1"/>
    </xf>
    <xf numFmtId="0" fontId="13" fillId="0" borderId="0" xfId="13" applyFont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6" borderId="0" xfId="0" applyFill="1">
      <alignment vertical="center"/>
    </xf>
    <xf numFmtId="0" fontId="12" fillId="0" borderId="0" xfId="2" applyAlignment="1">
      <alignment horizontal="center" vertical="center"/>
    </xf>
    <xf numFmtId="0" fontId="38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38" fillId="0" borderId="3" xfId="0" applyFont="1" applyBorder="1">
      <alignment vertical="center"/>
    </xf>
    <xf numFmtId="0" fontId="38" fillId="0" borderId="0" xfId="0" applyFont="1">
      <alignment vertical="center"/>
    </xf>
    <xf numFmtId="0" fontId="38" fillId="0" borderId="0" xfId="0" applyFont="1">
      <alignment vertical="center"/>
    </xf>
    <xf numFmtId="0" fontId="12" fillId="0" borderId="0" xfId="2" applyAlignment="1">
      <alignment horizontal="center" vertical="center"/>
    </xf>
    <xf numFmtId="0" fontId="86" fillId="38" borderId="89" xfId="13" applyFont="1" applyFill="1" applyBorder="1" applyAlignment="1">
      <alignment vertical="center" wrapText="1"/>
    </xf>
    <xf numFmtId="0" fontId="86" fillId="38" borderId="88" xfId="13" applyFont="1" applyFill="1" applyBorder="1" applyAlignment="1">
      <alignment vertical="center" wrapText="1"/>
    </xf>
    <xf numFmtId="0" fontId="86" fillId="38" borderId="86" xfId="13" applyFont="1" applyFill="1" applyBorder="1" applyAlignment="1">
      <alignment vertical="center" wrapText="1"/>
    </xf>
    <xf numFmtId="0" fontId="86" fillId="38" borderId="85" xfId="13" applyFont="1" applyFill="1" applyBorder="1" applyAlignment="1">
      <alignment vertical="center" wrapText="1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49" fontId="38" fillId="9" borderId="0" xfId="0" applyNumberFormat="1" applyFont="1" applyFill="1" applyBorder="1" applyAlignment="1">
      <alignment horizontal="center" vertical="center"/>
    </xf>
    <xf numFmtId="49" fontId="0" fillId="9" borderId="38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38" xfId="0" applyFill="1" applyBorder="1" applyAlignment="1">
      <alignment horizontal="center" vertical="center"/>
    </xf>
    <xf numFmtId="1" fontId="0" fillId="10" borderId="0" xfId="0" applyNumberFormat="1" applyFill="1" applyBorder="1" applyAlignment="1">
      <alignment horizontal="center" vertical="center"/>
    </xf>
    <xf numFmtId="0" fontId="48" fillId="0" borderId="0" xfId="2" applyFont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10" borderId="0" xfId="0" applyFill="1" applyBorder="1" applyAlignment="1" applyProtection="1">
      <alignment horizontal="center" vertical="center"/>
    </xf>
    <xf numFmtId="56" fontId="0" fillId="0" borderId="0" xfId="0" quotePrefix="1" applyNumberFormat="1" applyBorder="1" applyAlignment="1">
      <alignment horizontal="center" vertical="center"/>
    </xf>
    <xf numFmtId="56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38" fillId="0" borderId="0" xfId="0" applyFont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13" xfId="0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0" fillId="10" borderId="13" xfId="0" applyFont="1" applyFill="1" applyBorder="1" applyAlignment="1">
      <alignment horizontal="center" vertical="center"/>
    </xf>
    <xf numFmtId="0" fontId="0" fillId="9" borderId="0" xfId="0" applyNumberFormat="1" applyFill="1" applyBorder="1" applyAlignment="1">
      <alignment horizontal="center" vertical="center"/>
    </xf>
    <xf numFmtId="0" fontId="25" fillId="5" borderId="0" xfId="0" applyFont="1" applyFill="1" applyBorder="1" applyAlignment="1">
      <alignment horizontal="center" vertical="center"/>
    </xf>
    <xf numFmtId="0" fontId="25" fillId="4" borderId="0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9" borderId="0" xfId="0" applyFill="1" applyAlignment="1">
      <alignment horizontal="right" vertical="center"/>
    </xf>
    <xf numFmtId="0" fontId="0" fillId="15" borderId="0" xfId="0" applyFill="1" applyAlignment="1">
      <alignment horizontal="right" vertical="center"/>
    </xf>
    <xf numFmtId="0" fontId="0" fillId="9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0" fillId="10" borderId="0" xfId="0" applyFont="1" applyFill="1" applyBorder="1" applyAlignment="1">
      <alignment horizontal="center" vertical="center"/>
    </xf>
    <xf numFmtId="0" fontId="0" fillId="10" borderId="9" xfId="0" applyFon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4" fillId="10" borderId="8" xfId="0" applyFont="1" applyFill="1" applyBorder="1" applyAlignment="1">
      <alignment horizontal="center" vertical="center"/>
    </xf>
    <xf numFmtId="0" fontId="34" fillId="10" borderId="0" xfId="0" applyFont="1" applyFill="1" applyBorder="1" applyAlignment="1">
      <alignment horizontal="center" vertical="center"/>
    </xf>
    <xf numFmtId="0" fontId="0" fillId="15" borderId="0" xfId="0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0" fillId="10" borderId="0" xfId="0" applyFill="1" applyBorder="1" applyAlignment="1">
      <alignment vertical="center"/>
    </xf>
    <xf numFmtId="0" fontId="0" fillId="10" borderId="9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20" fillId="1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15" borderId="0" xfId="0" applyFill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7" fillId="0" borderId="0" xfId="2" applyFont="1" applyAlignment="1">
      <alignment horizontal="center" vertical="center"/>
    </xf>
    <xf numFmtId="0" fontId="68" fillId="9" borderId="26" xfId="0" applyFont="1" applyFill="1" applyBorder="1" applyAlignment="1">
      <alignment horizontal="right" vertical="center"/>
    </xf>
    <xf numFmtId="0" fontId="68" fillId="9" borderId="27" xfId="0" applyFont="1" applyFill="1" applyBorder="1" applyAlignment="1">
      <alignment horizontal="right" vertical="center"/>
    </xf>
    <xf numFmtId="0" fontId="68" fillId="9" borderId="0" xfId="0" applyFont="1" applyFill="1" applyBorder="1" applyAlignment="1">
      <alignment horizontal="center" vertical="center"/>
    </xf>
    <xf numFmtId="0" fontId="68" fillId="15" borderId="0" xfId="0" applyFont="1" applyFill="1" applyBorder="1" applyAlignment="1">
      <alignment horizontal="center" vertical="center"/>
    </xf>
    <xf numFmtId="0" fontId="68" fillId="10" borderId="31" xfId="0" applyFont="1" applyFill="1" applyBorder="1" applyAlignment="1">
      <alignment horizontal="right" vertical="center"/>
    </xf>
    <xf numFmtId="0" fontId="68" fillId="10" borderId="32" xfId="0" applyFont="1" applyFill="1" applyBorder="1" applyAlignment="1">
      <alignment horizontal="right" vertical="center"/>
    </xf>
    <xf numFmtId="0" fontId="68" fillId="10" borderId="29" xfId="0" applyFont="1" applyFill="1" applyBorder="1" applyAlignment="1">
      <alignment horizontal="right" vertical="center"/>
    </xf>
    <xf numFmtId="0" fontId="68" fillId="10" borderId="0" xfId="0" applyFont="1" applyFill="1" applyBorder="1" applyAlignment="1">
      <alignment horizontal="right" vertical="center"/>
    </xf>
    <xf numFmtId="0" fontId="68" fillId="0" borderId="0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10" borderId="0" xfId="0" applyFont="1" applyFill="1" applyBorder="1" applyAlignment="1">
      <alignment horizontal="center" vertical="center"/>
    </xf>
    <xf numFmtId="0" fontId="72" fillId="10" borderId="0" xfId="0" applyFont="1" applyFill="1" applyBorder="1" applyAlignment="1">
      <alignment horizontal="right" vertical="center"/>
    </xf>
    <xf numFmtId="0" fontId="0" fillId="10" borderId="5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25" fillId="10" borderId="10" xfId="0" applyFont="1" applyFill="1" applyBorder="1" applyAlignment="1">
      <alignment horizontal="center" vertical="center"/>
    </xf>
    <xf numFmtId="0" fontId="25" fillId="10" borderId="11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25" fillId="10" borderId="0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24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11" xfId="0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vertical="center"/>
    </xf>
    <xf numFmtId="0" fontId="0" fillId="0" borderId="0" xfId="0" applyFill="1" applyAlignment="1">
      <alignment horizontal="right" vertical="center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5" borderId="22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11" borderId="21" xfId="0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59" fillId="0" borderId="0" xfId="1" applyFont="1" applyAlignment="1">
      <alignment horizontal="center" vertical="center"/>
    </xf>
    <xf numFmtId="0" fontId="59" fillId="0" borderId="0" xfId="1" applyFont="1" applyAlignment="1">
      <alignment horizontal="center" vertical="center" wrapText="1"/>
    </xf>
    <xf numFmtId="0" fontId="57" fillId="0" borderId="0" xfId="2" applyFont="1" applyAlignment="1">
      <alignment horizontal="center" vertical="center"/>
    </xf>
    <xf numFmtId="0" fontId="0" fillId="0" borderId="0" xfId="0" quotePrefix="1" applyAlignment="1">
      <alignment horizontal="right" vertical="center"/>
    </xf>
    <xf numFmtId="0" fontId="0" fillId="0" borderId="0" xfId="0" applyAlignment="1">
      <alignment horizontal="right" vertical="center"/>
    </xf>
    <xf numFmtId="0" fontId="27" fillId="9" borderId="0" xfId="3" applyFont="1" applyFill="1" applyAlignment="1">
      <alignment horizontal="center" vertical="center"/>
    </xf>
    <xf numFmtId="0" fontId="27" fillId="10" borderId="0" xfId="3" applyFont="1" applyFill="1" applyAlignment="1">
      <alignment horizontal="center" vertical="center"/>
    </xf>
    <xf numFmtId="0" fontId="21" fillId="9" borderId="0" xfId="3" applyFont="1" applyFill="1" applyAlignment="1">
      <alignment horizontal="center" vertical="center"/>
    </xf>
    <xf numFmtId="0" fontId="25" fillId="9" borderId="0" xfId="3" applyFont="1" applyFill="1" applyAlignment="1">
      <alignment horizontal="center" vertical="center"/>
    </xf>
    <xf numFmtId="0" fontId="28" fillId="10" borderId="0" xfId="3" applyFont="1" applyFill="1" applyAlignment="1">
      <alignment horizontal="center" vertical="center"/>
    </xf>
    <xf numFmtId="0" fontId="20" fillId="0" borderId="0" xfId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Alignment="1">
      <alignment horizontal="center" vertical="center" wrapText="1"/>
    </xf>
    <xf numFmtId="0" fontId="20" fillId="9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0" fillId="12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3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12" fillId="0" borderId="0" xfId="2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>
      <alignment vertical="center"/>
    </xf>
    <xf numFmtId="0" fontId="0" fillId="2" borderId="0" xfId="0" applyFill="1" applyAlignment="1">
      <alignment horizontal="right" vertical="center"/>
    </xf>
    <xf numFmtId="0" fontId="0" fillId="4" borderId="0" xfId="0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0" fontId="0" fillId="3" borderId="0" xfId="0" applyFill="1" applyBorder="1">
      <alignment vertical="center"/>
    </xf>
    <xf numFmtId="0" fontId="0" fillId="3" borderId="0" xfId="0" applyFill="1">
      <alignment vertical="center"/>
    </xf>
    <xf numFmtId="0" fontId="17" fillId="0" borderId="0" xfId="0" applyFont="1" applyFill="1" applyBorder="1">
      <alignment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Border="1" applyAlignment="1">
      <alignment vertical="center"/>
    </xf>
    <xf numFmtId="0" fontId="38" fillId="0" borderId="0" xfId="0" applyFont="1" applyFill="1" applyBorder="1">
      <alignment vertical="center"/>
    </xf>
    <xf numFmtId="0" fontId="51" fillId="0" borderId="0" xfId="6" applyFont="1" applyAlignment="1">
      <alignment horizontal="center" vertical="center"/>
    </xf>
    <xf numFmtId="0" fontId="52" fillId="0" borderId="0" xfId="6" applyFont="1" applyAlignment="1">
      <alignment horizontal="center" vertical="center"/>
    </xf>
    <xf numFmtId="0" fontId="11" fillId="0" borderId="0" xfId="6">
      <alignment vertical="center"/>
    </xf>
    <xf numFmtId="0" fontId="11" fillId="4" borderId="0" xfId="6" applyFill="1">
      <alignment vertical="center"/>
    </xf>
    <xf numFmtId="0" fontId="7" fillId="0" borderId="0" xfId="6" applyFont="1">
      <alignment vertical="center"/>
    </xf>
    <xf numFmtId="0" fontId="11" fillId="21" borderId="0" xfId="6" applyFill="1">
      <alignment vertical="center"/>
    </xf>
    <xf numFmtId="0" fontId="11" fillId="0" borderId="0" xfId="6" applyFill="1" applyBorder="1">
      <alignment vertical="center"/>
    </xf>
    <xf numFmtId="0" fontId="7" fillId="0" borderId="0" xfId="6" applyFont="1" applyFill="1" applyBorder="1">
      <alignment vertical="center"/>
    </xf>
    <xf numFmtId="0" fontId="11" fillId="5" borderId="0" xfId="6" applyFill="1">
      <alignment vertical="center"/>
    </xf>
    <xf numFmtId="0" fontId="11" fillId="22" borderId="0" xfId="6" applyFill="1">
      <alignment vertical="center"/>
    </xf>
    <xf numFmtId="0" fontId="11" fillId="4" borderId="0" xfId="6" applyFill="1" applyBorder="1">
      <alignment vertical="center"/>
    </xf>
    <xf numFmtId="0" fontId="7" fillId="0" borderId="0" xfId="9">
      <alignment vertical="center"/>
    </xf>
    <xf numFmtId="0" fontId="7" fillId="4" borderId="0" xfId="9" applyFill="1">
      <alignment vertical="center"/>
    </xf>
    <xf numFmtId="0" fontId="48" fillId="0" borderId="0" xfId="7" applyAlignment="1">
      <alignment horizontal="center" vertical="center"/>
    </xf>
    <xf numFmtId="0" fontId="7" fillId="0" borderId="0" xfId="9" applyFont="1">
      <alignment vertical="center"/>
    </xf>
    <xf numFmtId="0" fontId="7" fillId="21" borderId="0" xfId="9" applyFill="1">
      <alignment vertical="center"/>
    </xf>
    <xf numFmtId="0" fontId="7" fillId="0" borderId="0" xfId="9" applyFill="1" applyBorder="1">
      <alignment vertical="center"/>
    </xf>
    <xf numFmtId="0" fontId="7" fillId="0" borderId="0" xfId="9" applyFont="1" applyFill="1" applyBorder="1">
      <alignment vertical="center"/>
    </xf>
    <xf numFmtId="0" fontId="51" fillId="0" borderId="0" xfId="9" applyFont="1" applyAlignment="1">
      <alignment horizontal="center" vertical="center"/>
    </xf>
    <xf numFmtId="0" fontId="52" fillId="0" borderId="0" xfId="9" applyFont="1" applyAlignment="1">
      <alignment horizontal="center" vertical="center"/>
    </xf>
    <xf numFmtId="0" fontId="7" fillId="4" borderId="0" xfId="9" applyFill="1" applyBorder="1">
      <alignment vertical="center"/>
    </xf>
    <xf numFmtId="0" fontId="7" fillId="22" borderId="0" xfId="9" applyFill="1">
      <alignment vertical="center"/>
    </xf>
    <xf numFmtId="0" fontId="0" fillId="0" borderId="0" xfId="9" applyFont="1" applyFill="1" applyBorder="1">
      <alignment vertical="center"/>
    </xf>
    <xf numFmtId="0" fontId="7" fillId="5" borderId="0" xfId="9" applyFill="1">
      <alignment vertical="center"/>
    </xf>
    <xf numFmtId="0" fontId="7" fillId="5" borderId="0" xfId="9" applyFill="1" applyAlignment="1">
      <alignment horizontal="center" vertical="center"/>
    </xf>
    <xf numFmtId="0" fontId="64" fillId="0" borderId="0" xfId="2" applyFont="1" applyAlignment="1">
      <alignment horizontal="center" vertical="center"/>
    </xf>
    <xf numFmtId="0" fontId="65" fillId="0" borderId="0" xfId="0" applyFont="1">
      <alignment vertical="center"/>
    </xf>
    <xf numFmtId="0" fontId="65" fillId="0" borderId="0" xfId="0" applyFont="1" applyAlignment="1">
      <alignment horizontal="right" vertical="center"/>
    </xf>
    <xf numFmtId="0" fontId="38" fillId="0" borderId="0" xfId="0" applyFont="1" applyAlignment="1">
      <alignment horizontal="right" vertical="center"/>
    </xf>
    <xf numFmtId="0" fontId="63" fillId="0" borderId="0" xfId="0" applyFont="1" applyAlignment="1">
      <alignment horizontal="right" vertical="center"/>
    </xf>
    <xf numFmtId="0" fontId="0" fillId="23" borderId="0" xfId="0" applyFill="1">
      <alignment vertical="center"/>
    </xf>
    <xf numFmtId="0" fontId="38" fillId="4" borderId="0" xfId="0" applyFont="1" applyFill="1">
      <alignment vertical="center"/>
    </xf>
    <xf numFmtId="0" fontId="3" fillId="23" borderId="0" xfId="11" applyFill="1" applyAlignment="1">
      <alignment vertical="center"/>
    </xf>
    <xf numFmtId="0" fontId="38" fillId="24" borderId="0" xfId="11" applyFont="1" applyFill="1" applyAlignment="1">
      <alignment horizontal="right" vertical="center"/>
    </xf>
    <xf numFmtId="0" fontId="3" fillId="4" borderId="0" xfId="11" applyFill="1" applyAlignment="1">
      <alignment vertical="center"/>
    </xf>
    <xf numFmtId="0" fontId="0" fillId="0" borderId="0" xfId="0" applyFont="1" applyFill="1" applyBorder="1">
      <alignment vertical="center"/>
    </xf>
    <xf numFmtId="0" fontId="38" fillId="0" borderId="0" xfId="0" applyFont="1" applyFill="1" applyBorder="1" applyAlignment="1">
      <alignment horizontal="right" vertical="center"/>
    </xf>
    <xf numFmtId="0" fontId="0" fillId="6" borderId="0" xfId="0" applyFill="1">
      <alignment vertical="center"/>
    </xf>
    <xf numFmtId="0" fontId="38" fillId="0" borderId="0" xfId="0" applyFont="1" applyAlignment="1">
      <alignment vertical="center"/>
    </xf>
    <xf numFmtId="0" fontId="14" fillId="4" borderId="0" xfId="0" applyFont="1" applyFill="1" applyAlignment="1">
      <alignment vertical="center"/>
    </xf>
    <xf numFmtId="0" fontId="38" fillId="0" borderId="0" xfId="0" applyFont="1" applyBorder="1" applyAlignment="1">
      <alignment vertical="center"/>
    </xf>
    <xf numFmtId="0" fontId="38" fillId="0" borderId="0" xfId="0" applyFont="1" applyFill="1" applyBorder="1" applyAlignment="1">
      <alignment vertical="center"/>
    </xf>
    <xf numFmtId="0" fontId="38" fillId="0" borderId="22" xfId="0" applyFont="1" applyBorder="1" applyAlignment="1">
      <alignment vertical="center"/>
    </xf>
    <xf numFmtId="0" fontId="0" fillId="21" borderId="0" xfId="0" applyFill="1">
      <alignment vertical="center"/>
    </xf>
    <xf numFmtId="0" fontId="38" fillId="27" borderId="3" xfId="0" applyFont="1" applyFill="1" applyBorder="1">
      <alignment vertical="center"/>
    </xf>
    <xf numFmtId="0" fontId="38" fillId="27" borderId="3" xfId="0" applyFont="1" applyFill="1" applyBorder="1" applyAlignment="1">
      <alignment horizontal="center" vertical="center"/>
    </xf>
    <xf numFmtId="0" fontId="38" fillId="27" borderId="5" xfId="0" applyFont="1" applyFill="1" applyBorder="1" applyAlignment="1">
      <alignment horizontal="center" vertical="center"/>
    </xf>
    <xf numFmtId="0" fontId="38" fillId="27" borderId="6" xfId="0" applyFont="1" applyFill="1" applyBorder="1" applyAlignment="1">
      <alignment horizontal="center" vertical="center"/>
    </xf>
    <xf numFmtId="0" fontId="38" fillId="27" borderId="7" xfId="0" applyFont="1" applyFill="1" applyBorder="1" applyAlignment="1">
      <alignment horizontal="center" vertical="center"/>
    </xf>
    <xf numFmtId="0" fontId="38" fillId="27" borderId="10" xfId="0" applyFont="1" applyFill="1" applyBorder="1" applyAlignment="1">
      <alignment horizontal="center" vertical="center"/>
    </xf>
    <xf numFmtId="0" fontId="38" fillId="27" borderId="11" xfId="0" applyFont="1" applyFill="1" applyBorder="1" applyAlignment="1">
      <alignment horizontal="center" vertical="center"/>
    </xf>
    <xf numFmtId="0" fontId="38" fillId="27" borderId="12" xfId="0" applyFont="1" applyFill="1" applyBorder="1" applyAlignment="1">
      <alignment horizontal="center" vertical="center"/>
    </xf>
    <xf numFmtId="0" fontId="38" fillId="0" borderId="5" xfId="0" applyFont="1" applyBorder="1" applyAlignment="1">
      <alignment horizontal="left" vertical="center" wrapText="1"/>
    </xf>
    <xf numFmtId="0" fontId="38" fillId="0" borderId="6" xfId="0" applyFont="1" applyBorder="1" applyAlignment="1">
      <alignment horizontal="left" vertical="center" wrapText="1"/>
    </xf>
    <xf numFmtId="0" fontId="38" fillId="0" borderId="7" xfId="0" applyFont="1" applyBorder="1" applyAlignment="1">
      <alignment horizontal="left" vertical="center" wrapText="1"/>
    </xf>
    <xf numFmtId="0" fontId="38" fillId="0" borderId="8" xfId="0" applyFont="1" applyBorder="1" applyAlignment="1">
      <alignment horizontal="left" vertical="center" wrapText="1"/>
    </xf>
    <xf numFmtId="0" fontId="38" fillId="0" borderId="0" xfId="0" applyFont="1" applyBorder="1" applyAlignment="1">
      <alignment horizontal="left" vertical="center" wrapText="1"/>
    </xf>
    <xf numFmtId="0" fontId="38" fillId="0" borderId="9" xfId="0" applyFont="1" applyBorder="1" applyAlignment="1">
      <alignment horizontal="left" vertical="center" wrapText="1"/>
    </xf>
    <xf numFmtId="0" fontId="38" fillId="0" borderId="10" xfId="0" applyFont="1" applyBorder="1" applyAlignment="1">
      <alignment horizontal="left" vertical="center" wrapText="1"/>
    </xf>
    <xf numFmtId="0" fontId="38" fillId="0" borderId="11" xfId="0" applyFont="1" applyBorder="1" applyAlignment="1">
      <alignment horizontal="left" vertical="center" wrapText="1"/>
    </xf>
    <xf numFmtId="0" fontId="38" fillId="0" borderId="12" xfId="0" applyFont="1" applyBorder="1" applyAlignment="1">
      <alignment horizontal="left" vertical="center" wrapText="1"/>
    </xf>
    <xf numFmtId="0" fontId="0" fillId="21" borderId="1" xfId="0" applyFill="1" applyBorder="1" applyAlignment="1">
      <alignment vertical="center"/>
    </xf>
    <xf numFmtId="0" fontId="0" fillId="21" borderId="4" xfId="0" applyFill="1" applyBorder="1" applyAlignment="1">
      <alignment vertical="center"/>
    </xf>
    <xf numFmtId="0" fontId="0" fillId="21" borderId="2" xfId="0" applyFill="1" applyBorder="1" applyAlignment="1">
      <alignment vertical="center"/>
    </xf>
    <xf numFmtId="0" fontId="38" fillId="0" borderId="1" xfId="0" applyFont="1" applyBorder="1" applyAlignment="1">
      <alignment vertical="center" wrapText="1"/>
    </xf>
    <xf numFmtId="0" fontId="38" fillId="0" borderId="4" xfId="0" applyFont="1" applyBorder="1" applyAlignment="1">
      <alignment vertical="center" wrapText="1"/>
    </xf>
    <xf numFmtId="0" fontId="38" fillId="0" borderId="2" xfId="0" applyFont="1" applyBorder="1" applyAlignment="1">
      <alignment vertical="center" wrapText="1"/>
    </xf>
    <xf numFmtId="0" fontId="38" fillId="21" borderId="1" xfId="0" applyFont="1" applyFill="1" applyBorder="1" applyAlignment="1">
      <alignment vertical="center"/>
    </xf>
    <xf numFmtId="0" fontId="38" fillId="21" borderId="4" xfId="0" applyFont="1" applyFill="1" applyBorder="1" applyAlignment="1">
      <alignment vertical="center"/>
    </xf>
    <xf numFmtId="0" fontId="38" fillId="21" borderId="2" xfId="0" applyFont="1" applyFill="1" applyBorder="1" applyAlignment="1">
      <alignment vertical="center"/>
    </xf>
    <xf numFmtId="0" fontId="0" fillId="21" borderId="1" xfId="0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0" fontId="38" fillId="2" borderId="1" xfId="0" applyFont="1" applyFill="1" applyBorder="1" applyAlignment="1">
      <alignment vertical="center" wrapText="1"/>
    </xf>
    <xf numFmtId="0" fontId="38" fillId="2" borderId="4" xfId="0" applyFont="1" applyFill="1" applyBorder="1" applyAlignment="1">
      <alignment vertical="center" wrapText="1"/>
    </xf>
    <xf numFmtId="0" fontId="38" fillId="2" borderId="2" xfId="0" applyFont="1" applyFill="1" applyBorder="1" applyAlignment="1">
      <alignment vertical="center" wrapText="1"/>
    </xf>
    <xf numFmtId="0" fontId="38" fillId="0" borderId="5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38" fillId="0" borderId="1" xfId="0" applyFont="1" applyFill="1" applyBorder="1" applyAlignment="1">
      <alignment vertical="center" wrapText="1"/>
    </xf>
    <xf numFmtId="0" fontId="38" fillId="2" borderId="5" xfId="0" applyFont="1" applyFill="1" applyBorder="1" applyAlignment="1">
      <alignment horizontal="center" vertical="center" wrapText="1"/>
    </xf>
    <xf numFmtId="0" fontId="38" fillId="2" borderId="6" xfId="0" applyFont="1" applyFill="1" applyBorder="1" applyAlignment="1">
      <alignment horizontal="center" vertical="center" wrapText="1"/>
    </xf>
    <xf numFmtId="0" fontId="38" fillId="2" borderId="7" xfId="0" applyFont="1" applyFill="1" applyBorder="1" applyAlignment="1">
      <alignment horizontal="center" vertical="center" wrapText="1"/>
    </xf>
    <xf numFmtId="0" fontId="38" fillId="2" borderId="8" xfId="0" applyFont="1" applyFill="1" applyBorder="1" applyAlignment="1">
      <alignment horizontal="center" vertical="center" wrapText="1"/>
    </xf>
    <xf numFmtId="0" fontId="38" fillId="2" borderId="0" xfId="0" applyFont="1" applyFill="1" applyBorder="1" applyAlignment="1">
      <alignment horizontal="center" vertical="center" wrapText="1"/>
    </xf>
    <xf numFmtId="0" fontId="38" fillId="2" borderId="9" xfId="0" applyFont="1" applyFill="1" applyBorder="1" applyAlignment="1">
      <alignment horizontal="center" vertical="center" wrapText="1"/>
    </xf>
    <xf numFmtId="0" fontId="38" fillId="2" borderId="10" xfId="0" applyFont="1" applyFill="1" applyBorder="1" applyAlignment="1">
      <alignment horizontal="center" vertical="center" wrapText="1"/>
    </xf>
    <xf numFmtId="0" fontId="38" fillId="2" borderId="11" xfId="0" applyFont="1" applyFill="1" applyBorder="1" applyAlignment="1">
      <alignment horizontal="center" vertical="center" wrapText="1"/>
    </xf>
    <xf numFmtId="0" fontId="38" fillId="2" borderId="1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38" fillId="2" borderId="5" xfId="0" applyFont="1" applyFill="1" applyBorder="1" applyAlignment="1">
      <alignment horizontal="center" vertical="center"/>
    </xf>
    <xf numFmtId="0" fontId="38" fillId="2" borderId="6" xfId="0" applyFont="1" applyFill="1" applyBorder="1" applyAlignment="1">
      <alignment horizontal="center" vertical="center"/>
    </xf>
    <xf numFmtId="0" fontId="38" fillId="2" borderId="7" xfId="0" applyFont="1" applyFill="1" applyBorder="1" applyAlignment="1">
      <alignment horizontal="center" vertical="center"/>
    </xf>
    <xf numFmtId="0" fontId="38" fillId="2" borderId="8" xfId="0" applyFont="1" applyFill="1" applyBorder="1" applyAlignment="1">
      <alignment horizontal="center" vertical="center"/>
    </xf>
    <xf numFmtId="0" fontId="38" fillId="2" borderId="0" xfId="0" applyFont="1" applyFill="1" applyBorder="1" applyAlignment="1">
      <alignment horizontal="center" vertical="center"/>
    </xf>
    <xf numFmtId="0" fontId="38" fillId="2" borderId="9" xfId="0" applyFont="1" applyFill="1" applyBorder="1" applyAlignment="1">
      <alignment horizontal="center" vertical="center"/>
    </xf>
    <xf numFmtId="0" fontId="38" fillId="2" borderId="10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12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38" fillId="27" borderId="1" xfId="0" applyFont="1" applyFill="1" applyBorder="1" applyAlignment="1">
      <alignment horizontal="center" vertical="center"/>
    </xf>
    <xf numFmtId="0" fontId="38" fillId="27" borderId="2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5" borderId="13" xfId="0" applyFill="1" applyBorder="1">
      <alignment vertical="center"/>
    </xf>
    <xf numFmtId="0" fontId="38" fillId="0" borderId="13" xfId="0" applyFont="1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23" borderId="0" xfId="0" applyFill="1" applyAlignment="1">
      <alignment vertical="center"/>
    </xf>
    <xf numFmtId="0" fontId="0" fillId="28" borderId="0" xfId="0" applyFill="1">
      <alignment vertical="center"/>
    </xf>
    <xf numFmtId="0" fontId="38" fillId="2" borderId="0" xfId="0" quotePrefix="1" applyFont="1" applyFill="1">
      <alignment vertical="center"/>
    </xf>
    <xf numFmtId="0" fontId="38" fillId="28" borderId="0" xfId="0" applyFont="1" applyFill="1">
      <alignment vertical="center"/>
    </xf>
    <xf numFmtId="0" fontId="38" fillId="0" borderId="0" xfId="0" applyFont="1" applyAlignment="1">
      <alignment vertical="center" wrapText="1"/>
    </xf>
    <xf numFmtId="0" fontId="38" fillId="5" borderId="0" xfId="0" applyFont="1" applyFill="1">
      <alignment vertical="center"/>
    </xf>
    <xf numFmtId="0" fontId="80" fillId="30" borderId="63" xfId="0" applyFont="1" applyFill="1" applyBorder="1" applyAlignment="1">
      <alignment horizontal="center" vertical="center"/>
    </xf>
    <xf numFmtId="0" fontId="80" fillId="30" borderId="64" xfId="0" applyFont="1" applyFill="1" applyBorder="1" applyAlignment="1">
      <alignment horizontal="center" vertical="center"/>
    </xf>
    <xf numFmtId="0" fontId="80" fillId="30" borderId="65" xfId="0" applyFont="1" applyFill="1" applyBorder="1" applyAlignment="1">
      <alignment horizontal="center" vertical="center"/>
    </xf>
    <xf numFmtId="0" fontId="80" fillId="30" borderId="66" xfId="0" applyFont="1" applyFill="1" applyBorder="1" applyAlignment="1">
      <alignment horizontal="center" vertical="center"/>
    </xf>
    <xf numFmtId="0" fontId="80" fillId="30" borderId="67" xfId="0" applyFont="1" applyFill="1" applyBorder="1" applyAlignment="1">
      <alignment horizontal="center" vertical="center"/>
    </xf>
    <xf numFmtId="0" fontId="80" fillId="30" borderId="68" xfId="0" applyFont="1" applyFill="1" applyBorder="1" applyAlignment="1">
      <alignment horizontal="center" vertical="center"/>
    </xf>
    <xf numFmtId="0" fontId="80" fillId="30" borderId="69" xfId="0" applyFont="1" applyFill="1" applyBorder="1" applyAlignment="1">
      <alignment horizontal="center" vertical="center"/>
    </xf>
    <xf numFmtId="0" fontId="80" fillId="30" borderId="70" xfId="0" applyFont="1" applyFill="1" applyBorder="1" applyAlignment="1">
      <alignment horizontal="center" vertical="center"/>
    </xf>
    <xf numFmtId="0" fontId="80" fillId="30" borderId="71" xfId="0" applyFont="1" applyFill="1" applyBorder="1" applyAlignment="1">
      <alignment horizontal="center" vertical="center"/>
    </xf>
    <xf numFmtId="0" fontId="80" fillId="33" borderId="63" xfId="0" applyFont="1" applyFill="1" applyBorder="1" applyAlignment="1">
      <alignment horizontal="center" vertical="center"/>
    </xf>
    <xf numFmtId="0" fontId="80" fillId="33" borderId="64" xfId="0" applyFont="1" applyFill="1" applyBorder="1" applyAlignment="1">
      <alignment horizontal="center" vertical="center"/>
    </xf>
    <xf numFmtId="0" fontId="80" fillId="33" borderId="65" xfId="0" applyFont="1" applyFill="1" applyBorder="1" applyAlignment="1">
      <alignment horizontal="center" vertical="center"/>
    </xf>
    <xf numFmtId="0" fontId="80" fillId="33" borderId="66" xfId="0" applyFont="1" applyFill="1" applyBorder="1" applyAlignment="1">
      <alignment horizontal="center" vertical="center"/>
    </xf>
    <xf numFmtId="0" fontId="80" fillId="33" borderId="67" xfId="0" applyFont="1" applyFill="1" applyBorder="1" applyAlignment="1">
      <alignment horizontal="center" vertical="center"/>
    </xf>
    <xf numFmtId="0" fontId="80" fillId="33" borderId="68" xfId="0" applyFont="1" applyFill="1" applyBorder="1" applyAlignment="1">
      <alignment horizontal="center" vertical="center"/>
    </xf>
    <xf numFmtId="0" fontId="80" fillId="33" borderId="69" xfId="0" applyFont="1" applyFill="1" applyBorder="1" applyAlignment="1">
      <alignment horizontal="center" vertical="center"/>
    </xf>
    <xf numFmtId="0" fontId="80" fillId="33" borderId="70" xfId="0" applyFont="1" applyFill="1" applyBorder="1" applyAlignment="1">
      <alignment horizontal="center" vertical="center"/>
    </xf>
    <xf numFmtId="0" fontId="80" fillId="33" borderId="71" xfId="0" applyFont="1" applyFill="1" applyBorder="1" applyAlignment="1">
      <alignment horizontal="center" vertical="center"/>
    </xf>
    <xf numFmtId="0" fontId="80" fillId="34" borderId="66" xfId="0" applyFont="1" applyFill="1" applyBorder="1" applyAlignment="1">
      <alignment horizontal="center" vertical="center"/>
    </xf>
    <xf numFmtId="0" fontId="80" fillId="34" borderId="67" xfId="0" applyFont="1" applyFill="1" applyBorder="1" applyAlignment="1">
      <alignment horizontal="center" vertical="center"/>
    </xf>
    <xf numFmtId="0" fontId="80" fillId="34" borderId="68" xfId="0" applyFont="1" applyFill="1" applyBorder="1" applyAlignment="1">
      <alignment horizontal="center" vertical="center"/>
    </xf>
    <xf numFmtId="0" fontId="80" fillId="34" borderId="69" xfId="0" applyFont="1" applyFill="1" applyBorder="1" applyAlignment="1">
      <alignment horizontal="center" vertical="center"/>
    </xf>
    <xf numFmtId="0" fontId="80" fillId="34" borderId="70" xfId="0" applyFont="1" applyFill="1" applyBorder="1" applyAlignment="1">
      <alignment horizontal="center" vertical="center"/>
    </xf>
    <xf numFmtId="0" fontId="80" fillId="34" borderId="71" xfId="0" applyFont="1" applyFill="1" applyBorder="1" applyAlignment="1">
      <alignment horizontal="center" vertical="center"/>
    </xf>
    <xf numFmtId="0" fontId="80" fillId="34" borderId="63" xfId="0" applyFont="1" applyFill="1" applyBorder="1" applyAlignment="1">
      <alignment horizontal="center" vertical="center"/>
    </xf>
    <xf numFmtId="0" fontId="80" fillId="34" borderId="64" xfId="0" applyFont="1" applyFill="1" applyBorder="1" applyAlignment="1">
      <alignment horizontal="center" vertical="center"/>
    </xf>
    <xf numFmtId="0" fontId="80" fillId="34" borderId="65" xfId="0" applyFont="1" applyFill="1" applyBorder="1" applyAlignment="1">
      <alignment horizontal="center" vertical="center"/>
    </xf>
    <xf numFmtId="0" fontId="81" fillId="30" borderId="14" xfId="2" applyFont="1" applyFill="1" applyBorder="1" applyAlignment="1">
      <alignment horizontal="center" vertical="center"/>
    </xf>
    <xf numFmtId="0" fontId="81" fillId="30" borderId="13" xfId="2" applyFont="1" applyFill="1" applyBorder="1" applyAlignment="1">
      <alignment horizontal="center" vertical="center"/>
    </xf>
    <xf numFmtId="0" fontId="81" fillId="30" borderId="18" xfId="2" applyFont="1" applyFill="1" applyBorder="1" applyAlignment="1">
      <alignment horizontal="center" vertical="center"/>
    </xf>
    <xf numFmtId="0" fontId="81" fillId="30" borderId="15" xfId="2" applyFont="1" applyFill="1" applyBorder="1" applyAlignment="1">
      <alignment horizontal="center" vertical="center"/>
    </xf>
    <xf numFmtId="0" fontId="81" fillId="30" borderId="0" xfId="2" applyFont="1" applyFill="1" applyBorder="1" applyAlignment="1">
      <alignment horizontal="center" vertical="center"/>
    </xf>
    <xf numFmtId="0" fontId="81" fillId="30" borderId="19" xfId="2" applyFont="1" applyFill="1" applyBorder="1" applyAlignment="1">
      <alignment horizontal="center" vertical="center"/>
    </xf>
    <xf numFmtId="0" fontId="81" fillId="30" borderId="16" xfId="2" applyFont="1" applyFill="1" applyBorder="1" applyAlignment="1">
      <alignment horizontal="center" vertical="center"/>
    </xf>
    <xf numFmtId="0" fontId="81" fillId="30" borderId="17" xfId="2" applyFont="1" applyFill="1" applyBorder="1" applyAlignment="1">
      <alignment horizontal="center" vertical="center"/>
    </xf>
    <xf numFmtId="0" fontId="81" fillId="30" borderId="20" xfId="2" applyFont="1" applyFill="1" applyBorder="1" applyAlignment="1">
      <alignment horizontal="center" vertical="center"/>
    </xf>
    <xf numFmtId="0" fontId="81" fillId="33" borderId="14" xfId="2" applyFont="1" applyFill="1" applyBorder="1" applyAlignment="1">
      <alignment horizontal="center" vertical="center"/>
    </xf>
    <xf numFmtId="0" fontId="81" fillId="33" borderId="13" xfId="2" applyFont="1" applyFill="1" applyBorder="1" applyAlignment="1">
      <alignment horizontal="center" vertical="center"/>
    </xf>
    <xf numFmtId="0" fontId="81" fillId="33" borderId="18" xfId="2" applyFont="1" applyFill="1" applyBorder="1" applyAlignment="1">
      <alignment horizontal="center" vertical="center"/>
    </xf>
    <xf numFmtId="0" fontId="81" fillId="33" borderId="15" xfId="2" applyFont="1" applyFill="1" applyBorder="1" applyAlignment="1">
      <alignment horizontal="center" vertical="center"/>
    </xf>
    <xf numFmtId="0" fontId="81" fillId="33" borderId="0" xfId="2" applyFont="1" applyFill="1" applyBorder="1" applyAlignment="1">
      <alignment horizontal="center" vertical="center"/>
    </xf>
    <xf numFmtId="0" fontId="81" fillId="33" borderId="19" xfId="2" applyFont="1" applyFill="1" applyBorder="1" applyAlignment="1">
      <alignment horizontal="center" vertical="center"/>
    </xf>
    <xf numFmtId="0" fontId="81" fillId="33" borderId="16" xfId="2" applyFont="1" applyFill="1" applyBorder="1" applyAlignment="1">
      <alignment horizontal="center" vertical="center"/>
    </xf>
    <xf numFmtId="0" fontId="81" fillId="33" borderId="17" xfId="2" applyFont="1" applyFill="1" applyBorder="1" applyAlignment="1">
      <alignment horizontal="center" vertical="center"/>
    </xf>
    <xf numFmtId="0" fontId="81" fillId="33" borderId="20" xfId="2" applyFont="1" applyFill="1" applyBorder="1" applyAlignment="1">
      <alignment horizontal="center" vertical="center"/>
    </xf>
    <xf numFmtId="0" fontId="80" fillId="32" borderId="63" xfId="0" applyFont="1" applyFill="1" applyBorder="1" applyAlignment="1">
      <alignment horizontal="center" vertical="center"/>
    </xf>
    <xf numFmtId="0" fontId="80" fillId="32" borderId="64" xfId="0" applyFont="1" applyFill="1" applyBorder="1" applyAlignment="1">
      <alignment horizontal="center" vertical="center"/>
    </xf>
    <xf numFmtId="0" fontId="80" fillId="32" borderId="65" xfId="0" applyFont="1" applyFill="1" applyBorder="1" applyAlignment="1">
      <alignment horizontal="center" vertical="center"/>
    </xf>
    <xf numFmtId="0" fontId="80" fillId="32" borderId="66" xfId="0" applyFont="1" applyFill="1" applyBorder="1" applyAlignment="1">
      <alignment horizontal="center" vertical="center"/>
    </xf>
    <xf numFmtId="0" fontId="80" fillId="32" borderId="67" xfId="0" applyFont="1" applyFill="1" applyBorder="1" applyAlignment="1">
      <alignment horizontal="center" vertical="center"/>
    </xf>
    <xf numFmtId="0" fontId="80" fillId="32" borderId="68" xfId="0" applyFont="1" applyFill="1" applyBorder="1" applyAlignment="1">
      <alignment horizontal="center" vertical="center"/>
    </xf>
    <xf numFmtId="0" fontId="80" fillId="32" borderId="69" xfId="0" applyFont="1" applyFill="1" applyBorder="1" applyAlignment="1">
      <alignment horizontal="center" vertical="center"/>
    </xf>
    <xf numFmtId="0" fontId="80" fillId="32" borderId="70" xfId="0" applyFont="1" applyFill="1" applyBorder="1" applyAlignment="1">
      <alignment horizontal="center" vertical="center"/>
    </xf>
    <xf numFmtId="0" fontId="80" fillId="32" borderId="71" xfId="0" applyFont="1" applyFill="1" applyBorder="1" applyAlignment="1">
      <alignment horizontal="center" vertical="center"/>
    </xf>
    <xf numFmtId="0" fontId="80" fillId="31" borderId="63" xfId="0" applyFont="1" applyFill="1" applyBorder="1" applyAlignment="1">
      <alignment horizontal="center" vertical="center"/>
    </xf>
    <xf numFmtId="0" fontId="80" fillId="31" borderId="64" xfId="0" applyFont="1" applyFill="1" applyBorder="1" applyAlignment="1">
      <alignment horizontal="center" vertical="center"/>
    </xf>
    <xf numFmtId="0" fontId="80" fillId="31" borderId="65" xfId="0" applyFont="1" applyFill="1" applyBorder="1" applyAlignment="1">
      <alignment horizontal="center" vertical="center"/>
    </xf>
    <xf numFmtId="0" fontId="81" fillId="31" borderId="14" xfId="2" applyFont="1" applyFill="1" applyBorder="1" applyAlignment="1">
      <alignment horizontal="center" vertical="center"/>
    </xf>
    <xf numFmtId="0" fontId="81" fillId="31" borderId="13" xfId="2" applyFont="1" applyFill="1" applyBorder="1" applyAlignment="1">
      <alignment horizontal="center" vertical="center"/>
    </xf>
    <xf numFmtId="0" fontId="81" fillId="31" borderId="18" xfId="2" applyFont="1" applyFill="1" applyBorder="1" applyAlignment="1">
      <alignment horizontal="center" vertical="center"/>
    </xf>
    <xf numFmtId="0" fontId="81" fillId="31" borderId="15" xfId="2" applyFont="1" applyFill="1" applyBorder="1" applyAlignment="1">
      <alignment horizontal="center" vertical="center"/>
    </xf>
    <xf numFmtId="0" fontId="81" fillId="31" borderId="0" xfId="2" applyFont="1" applyFill="1" applyBorder="1" applyAlignment="1">
      <alignment horizontal="center" vertical="center"/>
    </xf>
    <xf numFmtId="0" fontId="81" fillId="31" borderId="19" xfId="2" applyFont="1" applyFill="1" applyBorder="1" applyAlignment="1">
      <alignment horizontal="center" vertical="center"/>
    </xf>
    <xf numFmtId="0" fontId="81" fillId="31" borderId="16" xfId="2" applyFont="1" applyFill="1" applyBorder="1" applyAlignment="1">
      <alignment horizontal="center" vertical="center"/>
    </xf>
    <xf numFmtId="0" fontId="81" fillId="31" borderId="17" xfId="2" applyFont="1" applyFill="1" applyBorder="1" applyAlignment="1">
      <alignment horizontal="center" vertical="center"/>
    </xf>
    <xf numFmtId="0" fontId="81" fillId="31" borderId="20" xfId="2" applyFont="1" applyFill="1" applyBorder="1" applyAlignment="1">
      <alignment horizontal="center" vertical="center"/>
    </xf>
    <xf numFmtId="0" fontId="80" fillId="31" borderId="66" xfId="0" applyFont="1" applyFill="1" applyBorder="1" applyAlignment="1">
      <alignment horizontal="center" vertical="center"/>
    </xf>
    <xf numFmtId="0" fontId="80" fillId="31" borderId="67" xfId="0" applyFont="1" applyFill="1" applyBorder="1" applyAlignment="1">
      <alignment horizontal="center" vertical="center"/>
    </xf>
    <xf numFmtId="0" fontId="80" fillId="31" borderId="68" xfId="0" applyFont="1" applyFill="1" applyBorder="1" applyAlignment="1">
      <alignment horizontal="center" vertical="center"/>
    </xf>
    <xf numFmtId="0" fontId="80" fillId="31" borderId="69" xfId="0" applyFont="1" applyFill="1" applyBorder="1" applyAlignment="1">
      <alignment horizontal="center" vertical="center"/>
    </xf>
    <xf numFmtId="0" fontId="80" fillId="31" borderId="70" xfId="0" applyFont="1" applyFill="1" applyBorder="1" applyAlignment="1">
      <alignment horizontal="center" vertical="center"/>
    </xf>
    <xf numFmtId="0" fontId="80" fillId="31" borderId="71" xfId="0" applyFont="1" applyFill="1" applyBorder="1" applyAlignment="1">
      <alignment horizontal="center" vertical="center"/>
    </xf>
    <xf numFmtId="0" fontId="81" fillId="32" borderId="14" xfId="2" applyFont="1" applyFill="1" applyBorder="1" applyAlignment="1">
      <alignment horizontal="center" vertical="center"/>
    </xf>
    <xf numFmtId="0" fontId="81" fillId="32" borderId="13" xfId="2" applyFont="1" applyFill="1" applyBorder="1" applyAlignment="1">
      <alignment horizontal="center" vertical="center"/>
    </xf>
    <xf numFmtId="0" fontId="81" fillId="32" borderId="18" xfId="2" applyFont="1" applyFill="1" applyBorder="1" applyAlignment="1">
      <alignment horizontal="center" vertical="center"/>
    </xf>
    <xf numFmtId="0" fontId="81" fillId="32" borderId="15" xfId="2" applyFont="1" applyFill="1" applyBorder="1" applyAlignment="1">
      <alignment horizontal="center" vertical="center"/>
    </xf>
    <xf numFmtId="0" fontId="81" fillId="32" borderId="0" xfId="2" applyFont="1" applyFill="1" applyBorder="1" applyAlignment="1">
      <alignment horizontal="center" vertical="center"/>
    </xf>
    <xf numFmtId="0" fontId="81" fillId="32" borderId="19" xfId="2" applyFont="1" applyFill="1" applyBorder="1" applyAlignment="1">
      <alignment horizontal="center" vertical="center"/>
    </xf>
    <xf numFmtId="0" fontId="81" fillId="32" borderId="16" xfId="2" applyFont="1" applyFill="1" applyBorder="1" applyAlignment="1">
      <alignment horizontal="center" vertical="center"/>
    </xf>
    <xf numFmtId="0" fontId="81" fillId="32" borderId="17" xfId="2" applyFont="1" applyFill="1" applyBorder="1" applyAlignment="1">
      <alignment horizontal="center" vertical="center"/>
    </xf>
    <xf numFmtId="0" fontId="81" fillId="32" borderId="20" xfId="2" applyFont="1" applyFill="1" applyBorder="1" applyAlignment="1">
      <alignment horizontal="center" vertical="center"/>
    </xf>
    <xf numFmtId="0" fontId="81" fillId="29" borderId="63" xfId="2" applyFont="1" applyFill="1" applyBorder="1" applyAlignment="1">
      <alignment horizontal="center" vertical="center"/>
    </xf>
    <xf numFmtId="0" fontId="81" fillId="29" borderId="64" xfId="2" applyFont="1" applyFill="1" applyBorder="1" applyAlignment="1">
      <alignment horizontal="center" vertical="center"/>
    </xf>
    <xf numFmtId="0" fontId="81" fillId="29" borderId="65" xfId="2" applyFont="1" applyFill="1" applyBorder="1" applyAlignment="1">
      <alignment horizontal="center" vertical="center"/>
    </xf>
    <xf numFmtId="0" fontId="81" fillId="31" borderId="63" xfId="2" applyFont="1" applyFill="1" applyBorder="1" applyAlignment="1">
      <alignment horizontal="center" vertical="center"/>
    </xf>
    <xf numFmtId="0" fontId="81" fillId="31" borderId="64" xfId="2" applyFont="1" applyFill="1" applyBorder="1" applyAlignment="1">
      <alignment horizontal="center" vertical="center"/>
    </xf>
    <xf numFmtId="0" fontId="81" fillId="31" borderId="65" xfId="2" applyFont="1" applyFill="1" applyBorder="1" applyAlignment="1">
      <alignment horizontal="center" vertical="center"/>
    </xf>
    <xf numFmtId="0" fontId="80" fillId="35" borderId="63" xfId="0" applyFont="1" applyFill="1" applyBorder="1" applyAlignment="1">
      <alignment horizontal="center" vertical="center"/>
    </xf>
    <xf numFmtId="0" fontId="80" fillId="35" borderId="64" xfId="0" applyFont="1" applyFill="1" applyBorder="1" applyAlignment="1">
      <alignment horizontal="center" vertical="center"/>
    </xf>
    <xf numFmtId="0" fontId="80" fillId="35" borderId="65" xfId="0" applyFont="1" applyFill="1" applyBorder="1" applyAlignment="1">
      <alignment horizontal="center" vertical="center"/>
    </xf>
    <xf numFmtId="0" fontId="80" fillId="29" borderId="66" xfId="0" applyFont="1" applyFill="1" applyBorder="1" applyAlignment="1">
      <alignment horizontal="center" vertical="center"/>
    </xf>
    <xf numFmtId="0" fontId="80" fillId="29" borderId="67" xfId="0" applyFont="1" applyFill="1" applyBorder="1" applyAlignment="1">
      <alignment horizontal="center" vertical="center"/>
    </xf>
    <xf numFmtId="0" fontId="80" fillId="29" borderId="68" xfId="0" applyFont="1" applyFill="1" applyBorder="1" applyAlignment="1">
      <alignment horizontal="center" vertical="center"/>
    </xf>
    <xf numFmtId="0" fontId="80" fillId="29" borderId="69" xfId="0" applyFont="1" applyFill="1" applyBorder="1" applyAlignment="1">
      <alignment horizontal="center" vertical="center"/>
    </xf>
    <xf numFmtId="0" fontId="80" fillId="29" borderId="70" xfId="0" applyFont="1" applyFill="1" applyBorder="1" applyAlignment="1">
      <alignment horizontal="center" vertical="center"/>
    </xf>
    <xf numFmtId="0" fontId="80" fillId="29" borderId="71" xfId="0" applyFont="1" applyFill="1" applyBorder="1" applyAlignment="1">
      <alignment horizontal="center" vertical="center"/>
    </xf>
    <xf numFmtId="0" fontId="81" fillId="34" borderId="63" xfId="2" applyFont="1" applyFill="1" applyBorder="1" applyAlignment="1">
      <alignment horizontal="center" vertical="center"/>
    </xf>
    <xf numFmtId="0" fontId="81" fillId="34" borderId="64" xfId="2" applyFont="1" applyFill="1" applyBorder="1" applyAlignment="1">
      <alignment horizontal="center" vertical="center"/>
    </xf>
    <xf numFmtId="0" fontId="81" fillId="34" borderId="65" xfId="2" applyFont="1" applyFill="1" applyBorder="1" applyAlignment="1">
      <alignment horizontal="center" vertical="center"/>
    </xf>
    <xf numFmtId="0" fontId="81" fillId="34" borderId="14" xfId="2" applyFont="1" applyFill="1" applyBorder="1" applyAlignment="1">
      <alignment horizontal="center" vertical="center"/>
    </xf>
    <xf numFmtId="0" fontId="81" fillId="34" borderId="13" xfId="2" applyFont="1" applyFill="1" applyBorder="1" applyAlignment="1">
      <alignment horizontal="center" vertical="center"/>
    </xf>
    <xf numFmtId="0" fontId="81" fillId="34" borderId="18" xfId="2" applyFont="1" applyFill="1" applyBorder="1" applyAlignment="1">
      <alignment horizontal="center" vertical="center"/>
    </xf>
    <xf numFmtId="0" fontId="81" fillId="34" borderId="15" xfId="2" applyFont="1" applyFill="1" applyBorder="1" applyAlignment="1">
      <alignment horizontal="center" vertical="center"/>
    </xf>
    <xf numFmtId="0" fontId="81" fillId="34" borderId="0" xfId="2" applyFont="1" applyFill="1" applyBorder="1" applyAlignment="1">
      <alignment horizontal="center" vertical="center"/>
    </xf>
    <xf numFmtId="0" fontId="81" fillId="34" borderId="19" xfId="2" applyFont="1" applyFill="1" applyBorder="1" applyAlignment="1">
      <alignment horizontal="center" vertical="center"/>
    </xf>
    <xf numFmtId="0" fontId="81" fillId="34" borderId="16" xfId="2" applyFont="1" applyFill="1" applyBorder="1" applyAlignment="1">
      <alignment horizontal="center" vertical="center"/>
    </xf>
    <xf numFmtId="0" fontId="81" fillId="34" borderId="17" xfId="2" applyFont="1" applyFill="1" applyBorder="1" applyAlignment="1">
      <alignment horizontal="center" vertical="center"/>
    </xf>
    <xf numFmtId="0" fontId="81" fillId="34" borderId="20" xfId="2" applyFont="1" applyFill="1" applyBorder="1" applyAlignment="1">
      <alignment horizontal="center" vertical="center"/>
    </xf>
    <xf numFmtId="0" fontId="80" fillId="35" borderId="66" xfId="0" applyFont="1" applyFill="1" applyBorder="1" applyAlignment="1">
      <alignment horizontal="center" vertical="center"/>
    </xf>
    <xf numFmtId="0" fontId="80" fillId="35" borderId="67" xfId="0" applyFont="1" applyFill="1" applyBorder="1" applyAlignment="1">
      <alignment horizontal="center" vertical="center"/>
    </xf>
    <xf numFmtId="0" fontId="80" fillId="35" borderId="68" xfId="0" applyFont="1" applyFill="1" applyBorder="1" applyAlignment="1">
      <alignment horizontal="center" vertical="center"/>
    </xf>
    <xf numFmtId="0" fontId="80" fillId="35" borderId="69" xfId="0" applyFont="1" applyFill="1" applyBorder="1" applyAlignment="1">
      <alignment horizontal="center" vertical="center"/>
    </xf>
    <xf numFmtId="0" fontId="80" fillId="35" borderId="70" xfId="0" applyFont="1" applyFill="1" applyBorder="1" applyAlignment="1">
      <alignment horizontal="center" vertical="center"/>
    </xf>
    <xf numFmtId="0" fontId="80" fillId="35" borderId="71" xfId="0" applyFont="1" applyFill="1" applyBorder="1" applyAlignment="1">
      <alignment horizontal="center" vertical="center"/>
    </xf>
    <xf numFmtId="0" fontId="82" fillId="24" borderId="14" xfId="0" applyFont="1" applyFill="1" applyBorder="1" applyAlignment="1">
      <alignment horizontal="center" vertical="center"/>
    </xf>
    <xf numFmtId="0" fontId="82" fillId="24" borderId="13" xfId="0" applyFont="1" applyFill="1" applyBorder="1" applyAlignment="1">
      <alignment horizontal="center" vertical="center"/>
    </xf>
    <xf numFmtId="0" fontId="82" fillId="24" borderId="18" xfId="0" applyFont="1" applyFill="1" applyBorder="1" applyAlignment="1">
      <alignment horizontal="center" vertical="center"/>
    </xf>
    <xf numFmtId="0" fontId="82" fillId="24" borderId="15" xfId="0" applyFont="1" applyFill="1" applyBorder="1" applyAlignment="1">
      <alignment horizontal="center" vertical="center"/>
    </xf>
    <xf numFmtId="0" fontId="82" fillId="24" borderId="0" xfId="0" applyFont="1" applyFill="1" applyBorder="1" applyAlignment="1">
      <alignment horizontal="center" vertical="center"/>
    </xf>
    <xf numFmtId="0" fontId="82" fillId="24" borderId="19" xfId="0" applyFont="1" applyFill="1" applyBorder="1" applyAlignment="1">
      <alignment horizontal="center" vertical="center"/>
    </xf>
    <xf numFmtId="0" fontId="82" fillId="24" borderId="16" xfId="0" applyFont="1" applyFill="1" applyBorder="1" applyAlignment="1">
      <alignment horizontal="center" vertical="center"/>
    </xf>
    <xf numFmtId="0" fontId="82" fillId="24" borderId="17" xfId="0" applyFont="1" applyFill="1" applyBorder="1" applyAlignment="1">
      <alignment horizontal="center" vertical="center"/>
    </xf>
    <xf numFmtId="0" fontId="82" fillId="24" borderId="20" xfId="0" applyFont="1" applyFill="1" applyBorder="1" applyAlignment="1">
      <alignment horizontal="center" vertical="center"/>
    </xf>
    <xf numFmtId="0" fontId="81" fillId="35" borderId="63" xfId="2" applyFont="1" applyFill="1" applyBorder="1" applyAlignment="1">
      <alignment horizontal="center" vertical="center"/>
    </xf>
    <xf numFmtId="0" fontId="81" fillId="35" borderId="64" xfId="2" applyFont="1" applyFill="1" applyBorder="1" applyAlignment="1">
      <alignment horizontal="center" vertical="center"/>
    </xf>
    <xf numFmtId="0" fontId="81" fillId="35" borderId="65" xfId="2" applyFont="1" applyFill="1" applyBorder="1" applyAlignment="1">
      <alignment horizontal="center" vertical="center"/>
    </xf>
    <xf numFmtId="0" fontId="81" fillId="32" borderId="63" xfId="2" applyFont="1" applyFill="1" applyBorder="1" applyAlignment="1">
      <alignment horizontal="center" vertical="center"/>
    </xf>
    <xf numFmtId="0" fontId="81" fillId="32" borderId="64" xfId="2" applyFont="1" applyFill="1" applyBorder="1" applyAlignment="1">
      <alignment horizontal="center" vertical="center"/>
    </xf>
    <xf numFmtId="0" fontId="81" fillId="32" borderId="65" xfId="2" applyFont="1" applyFill="1" applyBorder="1" applyAlignment="1">
      <alignment horizontal="center" vertical="center"/>
    </xf>
    <xf numFmtId="0" fontId="81" fillId="35" borderId="14" xfId="2" applyFont="1" applyFill="1" applyBorder="1" applyAlignment="1">
      <alignment horizontal="center" vertical="center"/>
    </xf>
    <xf numFmtId="0" fontId="81" fillId="35" borderId="13" xfId="2" applyFont="1" applyFill="1" applyBorder="1" applyAlignment="1">
      <alignment horizontal="center" vertical="center"/>
    </xf>
    <xf numFmtId="0" fontId="81" fillId="35" borderId="18" xfId="2" applyFont="1" applyFill="1" applyBorder="1" applyAlignment="1">
      <alignment horizontal="center" vertical="center"/>
    </xf>
    <xf numFmtId="0" fontId="81" fillId="35" borderId="15" xfId="2" applyFont="1" applyFill="1" applyBorder="1" applyAlignment="1">
      <alignment horizontal="center" vertical="center"/>
    </xf>
    <xf numFmtId="0" fontId="81" fillId="35" borderId="0" xfId="2" applyFont="1" applyFill="1" applyBorder="1" applyAlignment="1">
      <alignment horizontal="center" vertical="center"/>
    </xf>
    <xf numFmtId="0" fontId="81" fillId="35" borderId="19" xfId="2" applyFont="1" applyFill="1" applyBorder="1" applyAlignment="1">
      <alignment horizontal="center" vertical="center"/>
    </xf>
    <xf numFmtId="0" fontId="81" fillId="35" borderId="16" xfId="2" applyFont="1" applyFill="1" applyBorder="1" applyAlignment="1">
      <alignment horizontal="center" vertical="center"/>
    </xf>
    <xf numFmtId="0" fontId="81" fillId="35" borderId="17" xfId="2" applyFont="1" applyFill="1" applyBorder="1" applyAlignment="1">
      <alignment horizontal="center" vertical="center"/>
    </xf>
    <xf numFmtId="0" fontId="81" fillId="35" borderId="20" xfId="2" applyFont="1" applyFill="1" applyBorder="1" applyAlignment="1">
      <alignment horizontal="center" vertical="center"/>
    </xf>
    <xf numFmtId="0" fontId="80" fillId="5" borderId="66" xfId="0" applyFont="1" applyFill="1" applyBorder="1" applyAlignment="1">
      <alignment horizontal="center" vertical="center"/>
    </xf>
    <xf numFmtId="0" fontId="80" fillId="5" borderId="67" xfId="0" applyFont="1" applyFill="1" applyBorder="1" applyAlignment="1">
      <alignment horizontal="center" vertical="center"/>
    </xf>
    <xf numFmtId="0" fontId="80" fillId="5" borderId="68" xfId="0" applyFont="1" applyFill="1" applyBorder="1" applyAlignment="1">
      <alignment horizontal="center" vertical="center"/>
    </xf>
    <xf numFmtId="0" fontId="80" fillId="5" borderId="69" xfId="0" applyFont="1" applyFill="1" applyBorder="1" applyAlignment="1">
      <alignment horizontal="center" vertical="center"/>
    </xf>
    <xf numFmtId="0" fontId="80" fillId="5" borderId="70" xfId="0" applyFont="1" applyFill="1" applyBorder="1" applyAlignment="1">
      <alignment horizontal="center" vertical="center"/>
    </xf>
    <xf numFmtId="0" fontId="80" fillId="5" borderId="71" xfId="0" applyFont="1" applyFill="1" applyBorder="1" applyAlignment="1">
      <alignment horizontal="center" vertical="center"/>
    </xf>
    <xf numFmtId="0" fontId="80" fillId="36" borderId="66" xfId="0" applyFont="1" applyFill="1" applyBorder="1" applyAlignment="1">
      <alignment horizontal="center" vertical="center"/>
    </xf>
    <xf numFmtId="0" fontId="80" fillId="36" borderId="67" xfId="0" applyFont="1" applyFill="1" applyBorder="1" applyAlignment="1">
      <alignment horizontal="center" vertical="center"/>
    </xf>
    <xf numFmtId="0" fontId="80" fillId="36" borderId="68" xfId="0" applyFont="1" applyFill="1" applyBorder="1" applyAlignment="1">
      <alignment horizontal="center" vertical="center"/>
    </xf>
    <xf numFmtId="0" fontId="80" fillId="36" borderId="69" xfId="0" applyFont="1" applyFill="1" applyBorder="1" applyAlignment="1">
      <alignment horizontal="center" vertical="center"/>
    </xf>
    <xf numFmtId="0" fontId="80" fillId="36" borderId="70" xfId="0" applyFont="1" applyFill="1" applyBorder="1" applyAlignment="1">
      <alignment horizontal="center" vertical="center"/>
    </xf>
    <xf numFmtId="0" fontId="80" fillId="36" borderId="71" xfId="0" applyFont="1" applyFill="1" applyBorder="1" applyAlignment="1">
      <alignment horizontal="center" vertical="center"/>
    </xf>
    <xf numFmtId="0" fontId="81" fillId="33" borderId="63" xfId="2" applyFont="1" applyFill="1" applyBorder="1" applyAlignment="1">
      <alignment horizontal="center" vertical="center"/>
    </xf>
    <xf numFmtId="0" fontId="81" fillId="33" borderId="64" xfId="2" applyFont="1" applyFill="1" applyBorder="1" applyAlignment="1">
      <alignment horizontal="center" vertical="center"/>
    </xf>
    <xf numFmtId="0" fontId="81" fillId="33" borderId="65" xfId="2" applyFont="1" applyFill="1" applyBorder="1" applyAlignment="1">
      <alignment horizontal="center" vertical="center"/>
    </xf>
    <xf numFmtId="0" fontId="81" fillId="5" borderId="63" xfId="2" applyFont="1" applyFill="1" applyBorder="1" applyAlignment="1">
      <alignment horizontal="center" vertical="center"/>
    </xf>
    <xf numFmtId="0" fontId="81" fillId="5" borderId="64" xfId="2" applyFont="1" applyFill="1" applyBorder="1" applyAlignment="1">
      <alignment horizontal="center" vertical="center"/>
    </xf>
    <xf numFmtId="0" fontId="81" fillId="5" borderId="65" xfId="2" applyFont="1" applyFill="1" applyBorder="1" applyAlignment="1">
      <alignment horizontal="center" vertical="center"/>
    </xf>
    <xf numFmtId="0" fontId="81" fillId="36" borderId="63" xfId="2" applyFont="1" applyFill="1" applyBorder="1" applyAlignment="1">
      <alignment horizontal="center" vertical="center"/>
    </xf>
    <xf numFmtId="0" fontId="81" fillId="36" borderId="64" xfId="2" applyFont="1" applyFill="1" applyBorder="1" applyAlignment="1">
      <alignment horizontal="center" vertical="center"/>
    </xf>
    <xf numFmtId="0" fontId="81" fillId="36" borderId="65" xfId="2" applyFont="1" applyFill="1" applyBorder="1" applyAlignment="1">
      <alignment horizontal="center" vertical="center"/>
    </xf>
    <xf numFmtId="0" fontId="80" fillId="5" borderId="63" xfId="0" applyFont="1" applyFill="1" applyBorder="1" applyAlignment="1">
      <alignment horizontal="center" vertical="center"/>
    </xf>
    <xf numFmtId="0" fontId="80" fillId="5" borderId="64" xfId="0" applyFont="1" applyFill="1" applyBorder="1" applyAlignment="1">
      <alignment horizontal="center" vertical="center"/>
    </xf>
    <xf numFmtId="0" fontId="80" fillId="5" borderId="65" xfId="0" applyFont="1" applyFill="1" applyBorder="1" applyAlignment="1">
      <alignment horizontal="center" vertical="center"/>
    </xf>
    <xf numFmtId="0" fontId="81" fillId="5" borderId="14" xfId="2" applyFont="1" applyFill="1" applyBorder="1" applyAlignment="1">
      <alignment horizontal="center" vertical="center"/>
    </xf>
    <xf numFmtId="0" fontId="81" fillId="5" borderId="13" xfId="2" applyFont="1" applyFill="1" applyBorder="1" applyAlignment="1">
      <alignment horizontal="center" vertical="center"/>
    </xf>
    <xf numFmtId="0" fontId="81" fillId="5" borderId="18" xfId="2" applyFont="1" applyFill="1" applyBorder="1" applyAlignment="1">
      <alignment horizontal="center" vertical="center"/>
    </xf>
    <xf numFmtId="0" fontId="81" fillId="5" borderId="15" xfId="2" applyFont="1" applyFill="1" applyBorder="1" applyAlignment="1">
      <alignment horizontal="center" vertical="center"/>
    </xf>
    <xf numFmtId="0" fontId="81" fillId="5" borderId="0" xfId="2" applyFont="1" applyFill="1" applyBorder="1" applyAlignment="1">
      <alignment horizontal="center" vertical="center"/>
    </xf>
    <xf numFmtId="0" fontId="81" fillId="5" borderId="19" xfId="2" applyFont="1" applyFill="1" applyBorder="1" applyAlignment="1">
      <alignment horizontal="center" vertical="center"/>
    </xf>
    <xf numFmtId="0" fontId="81" fillId="5" borderId="16" xfId="2" applyFont="1" applyFill="1" applyBorder="1" applyAlignment="1">
      <alignment horizontal="center" vertical="center"/>
    </xf>
    <xf numFmtId="0" fontId="81" fillId="5" borderId="17" xfId="2" applyFont="1" applyFill="1" applyBorder="1" applyAlignment="1">
      <alignment horizontal="center" vertical="center"/>
    </xf>
    <xf numFmtId="0" fontId="81" fillId="5" borderId="20" xfId="2" applyFont="1" applyFill="1" applyBorder="1" applyAlignment="1">
      <alignment horizontal="center" vertical="center"/>
    </xf>
    <xf numFmtId="0" fontId="80" fillId="36" borderId="63" xfId="0" applyFont="1" applyFill="1" applyBorder="1" applyAlignment="1">
      <alignment horizontal="center" vertical="center"/>
    </xf>
    <xf numFmtId="0" fontId="80" fillId="36" borderId="64" xfId="0" applyFont="1" applyFill="1" applyBorder="1" applyAlignment="1">
      <alignment horizontal="center" vertical="center"/>
    </xf>
    <xf numFmtId="0" fontId="80" fillId="36" borderId="65" xfId="0" applyFont="1" applyFill="1" applyBorder="1" applyAlignment="1">
      <alignment horizontal="center" vertical="center"/>
    </xf>
    <xf numFmtId="0" fontId="81" fillId="36" borderId="14" xfId="2" applyFont="1" applyFill="1" applyBorder="1" applyAlignment="1">
      <alignment horizontal="center" vertical="center"/>
    </xf>
    <xf numFmtId="0" fontId="81" fillId="36" borderId="13" xfId="2" applyFont="1" applyFill="1" applyBorder="1" applyAlignment="1">
      <alignment horizontal="center" vertical="center"/>
    </xf>
    <xf numFmtId="0" fontId="81" fillId="36" borderId="18" xfId="2" applyFont="1" applyFill="1" applyBorder="1" applyAlignment="1">
      <alignment horizontal="center" vertical="center"/>
    </xf>
    <xf numFmtId="0" fontId="81" fillId="36" borderId="15" xfId="2" applyFont="1" applyFill="1" applyBorder="1" applyAlignment="1">
      <alignment horizontal="center" vertical="center"/>
    </xf>
    <xf numFmtId="0" fontId="81" fillId="36" borderId="0" xfId="2" applyFont="1" applyFill="1" applyBorder="1" applyAlignment="1">
      <alignment horizontal="center" vertical="center"/>
    </xf>
    <xf numFmtId="0" fontId="81" fillId="36" borderId="19" xfId="2" applyFont="1" applyFill="1" applyBorder="1" applyAlignment="1">
      <alignment horizontal="center" vertical="center"/>
    </xf>
    <xf numFmtId="0" fontId="81" fillId="36" borderId="16" xfId="2" applyFont="1" applyFill="1" applyBorder="1" applyAlignment="1">
      <alignment horizontal="center" vertical="center"/>
    </xf>
    <xf numFmtId="0" fontId="81" fillId="36" borderId="17" xfId="2" applyFont="1" applyFill="1" applyBorder="1" applyAlignment="1">
      <alignment horizontal="center" vertical="center"/>
    </xf>
    <xf numFmtId="0" fontId="81" fillId="36" borderId="20" xfId="2" applyFont="1" applyFill="1" applyBorder="1" applyAlignment="1">
      <alignment horizontal="center" vertical="center"/>
    </xf>
    <xf numFmtId="0" fontId="80" fillId="30" borderId="66" xfId="0" applyFont="1" applyFill="1" applyBorder="1" applyAlignment="1">
      <alignment vertical="top"/>
    </xf>
    <xf numFmtId="0" fontId="80" fillId="30" borderId="67" xfId="0" applyFont="1" applyFill="1" applyBorder="1" applyAlignment="1">
      <alignment vertical="top"/>
    </xf>
    <xf numFmtId="0" fontId="80" fillId="30" borderId="68" xfId="0" applyFont="1" applyFill="1" applyBorder="1" applyAlignment="1">
      <alignment vertical="top"/>
    </xf>
    <xf numFmtId="0" fontId="80" fillId="30" borderId="69" xfId="0" applyFont="1" applyFill="1" applyBorder="1" applyAlignment="1">
      <alignment vertical="top"/>
    </xf>
    <xf numFmtId="0" fontId="80" fillId="30" borderId="70" xfId="0" applyFont="1" applyFill="1" applyBorder="1" applyAlignment="1">
      <alignment vertical="top"/>
    </xf>
    <xf numFmtId="0" fontId="80" fillId="30" borderId="71" xfId="0" applyFont="1" applyFill="1" applyBorder="1" applyAlignment="1">
      <alignment vertical="top"/>
    </xf>
    <xf numFmtId="0" fontId="80" fillId="31" borderId="66" xfId="0" applyFont="1" applyFill="1" applyBorder="1" applyAlignment="1">
      <alignment vertical="top"/>
    </xf>
    <xf numFmtId="0" fontId="80" fillId="31" borderId="67" xfId="0" applyFont="1" applyFill="1" applyBorder="1" applyAlignment="1">
      <alignment vertical="top"/>
    </xf>
    <xf numFmtId="0" fontId="80" fillId="31" borderId="68" xfId="0" applyFont="1" applyFill="1" applyBorder="1" applyAlignment="1">
      <alignment vertical="top"/>
    </xf>
    <xf numFmtId="0" fontId="80" fillId="31" borderId="69" xfId="0" applyFont="1" applyFill="1" applyBorder="1" applyAlignment="1">
      <alignment vertical="top"/>
    </xf>
    <xf numFmtId="0" fontId="80" fillId="31" borderId="70" xfId="0" applyFont="1" applyFill="1" applyBorder="1" applyAlignment="1">
      <alignment vertical="top"/>
    </xf>
    <xf numFmtId="0" fontId="80" fillId="31" borderId="71" xfId="0" applyFont="1" applyFill="1" applyBorder="1" applyAlignment="1">
      <alignment vertical="top"/>
    </xf>
    <xf numFmtId="0" fontId="80" fillId="32" borderId="66" xfId="0" applyFont="1" applyFill="1" applyBorder="1" applyAlignment="1">
      <alignment vertical="top"/>
    </xf>
    <xf numFmtId="0" fontId="80" fillId="32" borderId="67" xfId="0" applyFont="1" applyFill="1" applyBorder="1" applyAlignment="1">
      <alignment vertical="top"/>
    </xf>
    <xf numFmtId="0" fontId="80" fillId="32" borderId="68" xfId="0" applyFont="1" applyFill="1" applyBorder="1" applyAlignment="1">
      <alignment vertical="top"/>
    </xf>
    <xf numFmtId="0" fontId="80" fillId="32" borderId="69" xfId="0" applyFont="1" applyFill="1" applyBorder="1" applyAlignment="1">
      <alignment vertical="top"/>
    </xf>
    <xf numFmtId="0" fontId="80" fillId="32" borderId="70" xfId="0" applyFont="1" applyFill="1" applyBorder="1" applyAlignment="1">
      <alignment vertical="top"/>
    </xf>
    <xf numFmtId="0" fontId="80" fillId="32" borderId="71" xfId="0" applyFont="1" applyFill="1" applyBorder="1" applyAlignment="1">
      <alignment vertical="top"/>
    </xf>
    <xf numFmtId="0" fontId="80" fillId="34" borderId="66" xfId="0" applyFont="1" applyFill="1" applyBorder="1" applyAlignment="1">
      <alignment vertical="top"/>
    </xf>
    <xf numFmtId="0" fontId="80" fillId="34" borderId="67" xfId="0" applyFont="1" applyFill="1" applyBorder="1" applyAlignment="1">
      <alignment vertical="top"/>
    </xf>
    <xf numFmtId="0" fontId="80" fillId="34" borderId="68" xfId="0" applyFont="1" applyFill="1" applyBorder="1" applyAlignment="1">
      <alignment vertical="top"/>
    </xf>
    <xf numFmtId="0" fontId="80" fillId="34" borderId="69" xfId="0" applyFont="1" applyFill="1" applyBorder="1" applyAlignment="1">
      <alignment vertical="top"/>
    </xf>
    <xf numFmtId="0" fontId="80" fillId="34" borderId="70" xfId="0" applyFont="1" applyFill="1" applyBorder="1" applyAlignment="1">
      <alignment vertical="top"/>
    </xf>
    <xf numFmtId="0" fontId="80" fillId="34" borderId="71" xfId="0" applyFont="1" applyFill="1" applyBorder="1" applyAlignment="1">
      <alignment vertical="top"/>
    </xf>
    <xf numFmtId="0" fontId="80" fillId="29" borderId="66" xfId="0" applyFont="1" applyFill="1" applyBorder="1" applyAlignment="1">
      <alignment horizontal="left" vertical="top"/>
    </xf>
    <xf numFmtId="0" fontId="80" fillId="29" borderId="67" xfId="0" applyFont="1" applyFill="1" applyBorder="1" applyAlignment="1">
      <alignment horizontal="left" vertical="top"/>
    </xf>
    <xf numFmtId="0" fontId="80" fillId="29" borderId="68" xfId="0" applyFont="1" applyFill="1" applyBorder="1" applyAlignment="1">
      <alignment horizontal="left" vertical="top"/>
    </xf>
    <xf numFmtId="0" fontId="80" fillId="29" borderId="69" xfId="0" applyFont="1" applyFill="1" applyBorder="1" applyAlignment="1">
      <alignment horizontal="left" vertical="top"/>
    </xf>
    <xf numFmtId="0" fontId="80" fillId="29" borderId="70" xfId="0" applyFont="1" applyFill="1" applyBorder="1" applyAlignment="1">
      <alignment horizontal="left" vertical="top"/>
    </xf>
    <xf numFmtId="0" fontId="80" fillId="29" borderId="71" xfId="0" applyFont="1" applyFill="1" applyBorder="1" applyAlignment="1">
      <alignment horizontal="left" vertical="top"/>
    </xf>
    <xf numFmtId="0" fontId="80" fillId="31" borderId="66" xfId="0" applyFont="1" applyFill="1" applyBorder="1" applyAlignment="1">
      <alignment horizontal="left" vertical="top"/>
    </xf>
    <xf numFmtId="0" fontId="80" fillId="31" borderId="67" xfId="0" applyFont="1" applyFill="1" applyBorder="1" applyAlignment="1">
      <alignment horizontal="left" vertical="top"/>
    </xf>
    <xf numFmtId="0" fontId="80" fillId="31" borderId="68" xfId="0" applyFont="1" applyFill="1" applyBorder="1" applyAlignment="1">
      <alignment horizontal="left" vertical="top"/>
    </xf>
    <xf numFmtId="0" fontId="80" fillId="31" borderId="69" xfId="0" applyFont="1" applyFill="1" applyBorder="1" applyAlignment="1">
      <alignment horizontal="left" vertical="top"/>
    </xf>
    <xf numFmtId="0" fontId="80" fillId="31" borderId="70" xfId="0" applyFont="1" applyFill="1" applyBorder="1" applyAlignment="1">
      <alignment horizontal="left" vertical="top"/>
    </xf>
    <xf numFmtId="0" fontId="80" fillId="31" borderId="71" xfId="0" applyFont="1" applyFill="1" applyBorder="1" applyAlignment="1">
      <alignment horizontal="left" vertical="top"/>
    </xf>
    <xf numFmtId="0" fontId="80" fillId="32" borderId="66" xfId="0" applyFont="1" applyFill="1" applyBorder="1" applyAlignment="1">
      <alignment horizontal="left" vertical="top"/>
    </xf>
    <xf numFmtId="0" fontId="80" fillId="32" borderId="67" xfId="0" applyFont="1" applyFill="1" applyBorder="1" applyAlignment="1">
      <alignment horizontal="left" vertical="top"/>
    </xf>
    <xf numFmtId="0" fontId="80" fillId="32" borderId="68" xfId="0" applyFont="1" applyFill="1" applyBorder="1" applyAlignment="1">
      <alignment horizontal="left" vertical="top"/>
    </xf>
    <xf numFmtId="0" fontId="80" fillId="32" borderId="69" xfId="0" applyFont="1" applyFill="1" applyBorder="1" applyAlignment="1">
      <alignment horizontal="left" vertical="top"/>
    </xf>
    <xf numFmtId="0" fontId="80" fillId="32" borderId="70" xfId="0" applyFont="1" applyFill="1" applyBorder="1" applyAlignment="1">
      <alignment horizontal="left" vertical="top"/>
    </xf>
    <xf numFmtId="0" fontId="80" fillId="32" borderId="71" xfId="0" applyFont="1" applyFill="1" applyBorder="1" applyAlignment="1">
      <alignment horizontal="left" vertical="top"/>
    </xf>
    <xf numFmtId="0" fontId="80" fillId="35" borderId="66" xfId="0" applyFont="1" applyFill="1" applyBorder="1" applyAlignment="1">
      <alignment vertical="top"/>
    </xf>
    <xf numFmtId="0" fontId="80" fillId="35" borderId="67" xfId="0" applyFont="1" applyFill="1" applyBorder="1" applyAlignment="1">
      <alignment vertical="top"/>
    </xf>
    <xf numFmtId="0" fontId="80" fillId="35" borderId="68" xfId="0" applyFont="1" applyFill="1" applyBorder="1" applyAlignment="1">
      <alignment vertical="top"/>
    </xf>
    <xf numFmtId="0" fontId="80" fillId="35" borderId="69" xfId="0" applyFont="1" applyFill="1" applyBorder="1" applyAlignment="1">
      <alignment vertical="top"/>
    </xf>
    <xf numFmtId="0" fontId="80" fillId="35" borderId="70" xfId="0" applyFont="1" applyFill="1" applyBorder="1" applyAlignment="1">
      <alignment vertical="top"/>
    </xf>
    <xf numFmtId="0" fontId="80" fillId="35" borderId="71" xfId="0" applyFont="1" applyFill="1" applyBorder="1" applyAlignment="1">
      <alignment vertical="top"/>
    </xf>
    <xf numFmtId="0" fontId="80" fillId="34" borderId="66" xfId="0" applyFont="1" applyFill="1" applyBorder="1" applyAlignment="1">
      <alignment horizontal="left" vertical="top"/>
    </xf>
    <xf numFmtId="0" fontId="80" fillId="34" borderId="67" xfId="0" applyFont="1" applyFill="1" applyBorder="1" applyAlignment="1">
      <alignment horizontal="left" vertical="top"/>
    </xf>
    <xf numFmtId="0" fontId="80" fillId="34" borderId="68" xfId="0" applyFont="1" applyFill="1" applyBorder="1" applyAlignment="1">
      <alignment horizontal="left" vertical="top"/>
    </xf>
    <xf numFmtId="0" fontId="80" fillId="34" borderId="69" xfId="0" applyFont="1" applyFill="1" applyBorder="1" applyAlignment="1">
      <alignment horizontal="left" vertical="top"/>
    </xf>
    <xf numFmtId="0" fontId="80" fillId="34" borderId="70" xfId="0" applyFont="1" applyFill="1" applyBorder="1" applyAlignment="1">
      <alignment horizontal="left" vertical="top"/>
    </xf>
    <xf numFmtId="0" fontId="80" fillId="34" borderId="71" xfId="0" applyFont="1" applyFill="1" applyBorder="1" applyAlignment="1">
      <alignment horizontal="left" vertical="top"/>
    </xf>
    <xf numFmtId="0" fontId="80" fillId="35" borderId="66" xfId="0" applyFont="1" applyFill="1" applyBorder="1" applyAlignment="1">
      <alignment horizontal="left" vertical="top"/>
    </xf>
    <xf numFmtId="0" fontId="80" fillId="35" borderId="67" xfId="0" applyFont="1" applyFill="1" applyBorder="1" applyAlignment="1">
      <alignment horizontal="left" vertical="top"/>
    </xf>
    <xf numFmtId="0" fontId="80" fillId="35" borderId="68" xfId="0" applyFont="1" applyFill="1" applyBorder="1" applyAlignment="1">
      <alignment horizontal="left" vertical="top"/>
    </xf>
    <xf numFmtId="0" fontId="80" fillId="35" borderId="69" xfId="0" applyFont="1" applyFill="1" applyBorder="1" applyAlignment="1">
      <alignment horizontal="left" vertical="top"/>
    </xf>
    <xf numFmtId="0" fontId="80" fillId="35" borderId="70" xfId="0" applyFont="1" applyFill="1" applyBorder="1" applyAlignment="1">
      <alignment horizontal="left" vertical="top"/>
    </xf>
    <xf numFmtId="0" fontId="80" fillId="35" borderId="71" xfId="0" applyFont="1" applyFill="1" applyBorder="1" applyAlignment="1">
      <alignment horizontal="left" vertical="top"/>
    </xf>
    <xf numFmtId="0" fontId="83" fillId="24" borderId="14" xfId="0" applyFont="1" applyFill="1" applyBorder="1" applyAlignment="1">
      <alignment horizontal="center" vertical="center"/>
    </xf>
    <xf numFmtId="0" fontId="83" fillId="24" borderId="13" xfId="0" applyFont="1" applyFill="1" applyBorder="1" applyAlignment="1">
      <alignment horizontal="center" vertical="center"/>
    </xf>
    <xf numFmtId="0" fontId="83" fillId="24" borderId="18" xfId="0" applyFont="1" applyFill="1" applyBorder="1" applyAlignment="1">
      <alignment horizontal="center" vertical="center"/>
    </xf>
    <xf numFmtId="0" fontId="83" fillId="24" borderId="15" xfId="0" applyFont="1" applyFill="1" applyBorder="1" applyAlignment="1">
      <alignment horizontal="center" vertical="center"/>
    </xf>
    <xf numFmtId="0" fontId="83" fillId="24" borderId="0" xfId="0" applyFont="1" applyFill="1" applyBorder="1" applyAlignment="1">
      <alignment horizontal="center" vertical="center"/>
    </xf>
    <xf numFmtId="0" fontId="83" fillId="24" borderId="19" xfId="0" applyFont="1" applyFill="1" applyBorder="1" applyAlignment="1">
      <alignment horizontal="center" vertical="center"/>
    </xf>
    <xf numFmtId="0" fontId="83" fillId="24" borderId="16" xfId="0" applyFont="1" applyFill="1" applyBorder="1" applyAlignment="1">
      <alignment horizontal="center" vertical="center"/>
    </xf>
    <xf numFmtId="0" fontId="83" fillId="24" borderId="17" xfId="0" applyFont="1" applyFill="1" applyBorder="1" applyAlignment="1">
      <alignment horizontal="center" vertical="center"/>
    </xf>
    <xf numFmtId="0" fontId="83" fillId="24" borderId="20" xfId="0" applyFont="1" applyFill="1" applyBorder="1" applyAlignment="1">
      <alignment horizontal="center" vertical="center"/>
    </xf>
    <xf numFmtId="0" fontId="80" fillId="33" borderId="66" xfId="0" applyFont="1" applyFill="1" applyBorder="1" applyAlignment="1">
      <alignment horizontal="left" vertical="top"/>
    </xf>
    <xf numFmtId="0" fontId="80" fillId="33" borderId="67" xfId="0" applyFont="1" applyFill="1" applyBorder="1" applyAlignment="1">
      <alignment horizontal="left" vertical="top"/>
    </xf>
    <xf numFmtId="0" fontId="80" fillId="33" borderId="68" xfId="0" applyFont="1" applyFill="1" applyBorder="1" applyAlignment="1">
      <alignment horizontal="left" vertical="top"/>
    </xf>
    <xf numFmtId="0" fontId="80" fillId="33" borderId="69" xfId="0" applyFont="1" applyFill="1" applyBorder="1" applyAlignment="1">
      <alignment horizontal="left" vertical="top"/>
    </xf>
    <xf numFmtId="0" fontId="80" fillId="33" borderId="70" xfId="0" applyFont="1" applyFill="1" applyBorder="1" applyAlignment="1">
      <alignment horizontal="left" vertical="top"/>
    </xf>
    <xf numFmtId="0" fontId="80" fillId="33" borderId="71" xfId="0" applyFont="1" applyFill="1" applyBorder="1" applyAlignment="1">
      <alignment horizontal="left" vertical="top"/>
    </xf>
    <xf numFmtId="0" fontId="80" fillId="5" borderId="66" xfId="0" applyFont="1" applyFill="1" applyBorder="1" applyAlignment="1">
      <alignment horizontal="left" vertical="top"/>
    </xf>
    <xf numFmtId="0" fontId="80" fillId="5" borderId="67" xfId="0" applyFont="1" applyFill="1" applyBorder="1" applyAlignment="1">
      <alignment horizontal="left" vertical="top"/>
    </xf>
    <xf numFmtId="0" fontId="80" fillId="5" borderId="68" xfId="0" applyFont="1" applyFill="1" applyBorder="1" applyAlignment="1">
      <alignment horizontal="left" vertical="top"/>
    </xf>
    <xf numFmtId="0" fontId="80" fillId="5" borderId="69" xfId="0" applyFont="1" applyFill="1" applyBorder="1" applyAlignment="1">
      <alignment horizontal="left" vertical="top"/>
    </xf>
    <xf numFmtId="0" fontId="80" fillId="5" borderId="70" xfId="0" applyFont="1" applyFill="1" applyBorder="1" applyAlignment="1">
      <alignment horizontal="left" vertical="top"/>
    </xf>
    <xf numFmtId="0" fontId="80" fillId="5" borderId="71" xfId="0" applyFont="1" applyFill="1" applyBorder="1" applyAlignment="1">
      <alignment horizontal="left" vertical="top"/>
    </xf>
    <xf numFmtId="0" fontId="80" fillId="36" borderId="66" xfId="0" applyFont="1" applyFill="1" applyBorder="1" applyAlignment="1">
      <alignment horizontal="left" vertical="top"/>
    </xf>
    <xf numFmtId="0" fontId="80" fillId="36" borderId="67" xfId="0" applyFont="1" applyFill="1" applyBorder="1" applyAlignment="1">
      <alignment horizontal="left" vertical="top"/>
    </xf>
    <xf numFmtId="0" fontId="80" fillId="36" borderId="68" xfId="0" applyFont="1" applyFill="1" applyBorder="1" applyAlignment="1">
      <alignment horizontal="left" vertical="top"/>
    </xf>
    <xf numFmtId="0" fontId="80" fillId="36" borderId="69" xfId="0" applyFont="1" applyFill="1" applyBorder="1" applyAlignment="1">
      <alignment horizontal="left" vertical="top"/>
    </xf>
    <xf numFmtId="0" fontId="80" fillId="36" borderId="70" xfId="0" applyFont="1" applyFill="1" applyBorder="1" applyAlignment="1">
      <alignment horizontal="left" vertical="top"/>
    </xf>
    <xf numFmtId="0" fontId="80" fillId="36" borderId="71" xfId="0" applyFont="1" applyFill="1" applyBorder="1" applyAlignment="1">
      <alignment horizontal="left" vertical="top"/>
    </xf>
    <xf numFmtId="0" fontId="80" fillId="33" borderId="66" xfId="0" applyFont="1" applyFill="1" applyBorder="1" applyAlignment="1">
      <alignment vertical="top"/>
    </xf>
    <xf numFmtId="0" fontId="80" fillId="33" borderId="67" xfId="0" applyFont="1" applyFill="1" applyBorder="1" applyAlignment="1">
      <alignment vertical="top"/>
    </xf>
    <xf numFmtId="0" fontId="80" fillId="33" borderId="68" xfId="0" applyFont="1" applyFill="1" applyBorder="1" applyAlignment="1">
      <alignment vertical="top"/>
    </xf>
    <xf numFmtId="0" fontId="80" fillId="33" borderId="69" xfId="0" applyFont="1" applyFill="1" applyBorder="1" applyAlignment="1">
      <alignment vertical="top"/>
    </xf>
    <xf numFmtId="0" fontId="80" fillId="33" borderId="70" xfId="0" applyFont="1" applyFill="1" applyBorder="1" applyAlignment="1">
      <alignment vertical="top"/>
    </xf>
    <xf numFmtId="0" fontId="80" fillId="33" borderId="71" xfId="0" applyFont="1" applyFill="1" applyBorder="1" applyAlignment="1">
      <alignment vertical="top"/>
    </xf>
    <xf numFmtId="0" fontId="80" fillId="5" borderId="66" xfId="0" applyFont="1" applyFill="1" applyBorder="1" applyAlignment="1">
      <alignment vertical="top"/>
    </xf>
    <xf numFmtId="0" fontId="80" fillId="5" borderId="67" xfId="0" applyFont="1" applyFill="1" applyBorder="1" applyAlignment="1">
      <alignment vertical="top"/>
    </xf>
    <xf numFmtId="0" fontId="80" fillId="5" borderId="68" xfId="0" applyFont="1" applyFill="1" applyBorder="1" applyAlignment="1">
      <alignment vertical="top"/>
    </xf>
    <xf numFmtId="0" fontId="80" fillId="5" borderId="69" xfId="0" applyFont="1" applyFill="1" applyBorder="1" applyAlignment="1">
      <alignment vertical="top"/>
    </xf>
    <xf numFmtId="0" fontId="80" fillId="5" borderId="70" xfId="0" applyFont="1" applyFill="1" applyBorder="1" applyAlignment="1">
      <alignment vertical="top"/>
    </xf>
    <xf numFmtId="0" fontId="80" fillId="5" borderId="71" xfId="0" applyFont="1" applyFill="1" applyBorder="1" applyAlignment="1">
      <alignment vertical="top"/>
    </xf>
    <xf numFmtId="0" fontId="80" fillId="36" borderId="66" xfId="0" applyFont="1" applyFill="1" applyBorder="1" applyAlignment="1">
      <alignment vertical="top"/>
    </xf>
    <xf numFmtId="0" fontId="80" fillId="36" borderId="67" xfId="0" applyFont="1" applyFill="1" applyBorder="1" applyAlignment="1">
      <alignment vertical="top"/>
    </xf>
    <xf numFmtId="0" fontId="80" fillId="36" borderId="68" xfId="0" applyFont="1" applyFill="1" applyBorder="1" applyAlignment="1">
      <alignment vertical="top"/>
    </xf>
    <xf numFmtId="0" fontId="80" fillId="36" borderId="69" xfId="0" applyFont="1" applyFill="1" applyBorder="1" applyAlignment="1">
      <alignment vertical="top"/>
    </xf>
    <xf numFmtId="0" fontId="80" fillId="36" borderId="70" xfId="0" applyFont="1" applyFill="1" applyBorder="1" applyAlignment="1">
      <alignment vertical="top"/>
    </xf>
    <xf numFmtId="0" fontId="80" fillId="36" borderId="71" xfId="0" applyFont="1" applyFill="1" applyBorder="1" applyAlignment="1">
      <alignment vertical="top"/>
    </xf>
    <xf numFmtId="0" fontId="0" fillId="4" borderId="75" xfId="0" applyFill="1" applyBorder="1" applyAlignment="1">
      <alignment vertical="center"/>
    </xf>
    <xf numFmtId="0" fontId="0" fillId="4" borderId="77" xfId="0" applyFill="1" applyBorder="1" applyAlignment="1">
      <alignment vertical="center"/>
    </xf>
    <xf numFmtId="0" fontId="0" fillId="4" borderId="78" xfId="0" applyFill="1" applyBorder="1" applyAlignment="1">
      <alignment vertical="center"/>
    </xf>
    <xf numFmtId="0" fontId="0" fillId="4" borderId="80" xfId="0" applyFill="1" applyBorder="1" applyAlignment="1">
      <alignment vertical="center"/>
    </xf>
    <xf numFmtId="0" fontId="0" fillId="5" borderId="72" xfId="0" applyFill="1" applyBorder="1">
      <alignment vertical="center"/>
    </xf>
    <xf numFmtId="0" fontId="0" fillId="5" borderId="73" xfId="0" applyFill="1" applyBorder="1">
      <alignment vertical="center"/>
    </xf>
    <xf numFmtId="0" fontId="0" fillId="5" borderId="74" xfId="0" applyFill="1" applyBorder="1">
      <alignment vertical="center"/>
    </xf>
    <xf numFmtId="0" fontId="0" fillId="5" borderId="78" xfId="0" applyFill="1" applyBorder="1">
      <alignment vertical="center"/>
    </xf>
    <xf numFmtId="0" fontId="0" fillId="5" borderId="79" xfId="0" applyFill="1" applyBorder="1">
      <alignment vertical="center"/>
    </xf>
    <xf numFmtId="0" fontId="0" fillId="5" borderId="80" xfId="0" applyFill="1" applyBorder="1">
      <alignment vertical="center"/>
    </xf>
    <xf numFmtId="0" fontId="0" fillId="4" borderId="72" xfId="0" applyFill="1" applyBorder="1" applyAlignment="1">
      <alignment vertical="center"/>
    </xf>
    <xf numFmtId="0" fontId="0" fillId="4" borderId="74" xfId="0" applyFill="1" applyBorder="1" applyAlignment="1">
      <alignment vertical="center"/>
    </xf>
    <xf numFmtId="0" fontId="84" fillId="0" borderId="0" xfId="0" applyFont="1">
      <alignment vertical="center"/>
    </xf>
    <xf numFmtId="0" fontId="0" fillId="5" borderId="75" xfId="0" applyFill="1" applyBorder="1" applyAlignment="1">
      <alignment horizontal="center" vertical="center"/>
    </xf>
    <xf numFmtId="0" fontId="0" fillId="5" borderId="76" xfId="0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5" borderId="72" xfId="0" applyFill="1" applyBorder="1" applyAlignment="1">
      <alignment horizontal="center" vertical="center"/>
    </xf>
    <xf numFmtId="0" fontId="0" fillId="5" borderId="73" xfId="0" applyFill="1" applyBorder="1" applyAlignment="1">
      <alignment horizontal="center" vertical="center"/>
    </xf>
    <xf numFmtId="0" fontId="0" fillId="5" borderId="78" xfId="0" applyFill="1" applyBorder="1" applyAlignment="1">
      <alignment horizontal="center" vertical="center"/>
    </xf>
    <xf numFmtId="0" fontId="0" fillId="5" borderId="79" xfId="0" applyFill="1" applyBorder="1" applyAlignment="1">
      <alignment horizontal="center" vertical="center"/>
    </xf>
    <xf numFmtId="0" fontId="0" fillId="5" borderId="74" xfId="0" applyFill="1" applyBorder="1" applyAlignment="1">
      <alignment horizontal="center" vertical="center"/>
    </xf>
    <xf numFmtId="0" fontId="0" fillId="5" borderId="77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1" xfId="0" applyFill="1" applyBorder="1">
      <alignment vertical="center"/>
    </xf>
    <xf numFmtId="0" fontId="0" fillId="5" borderId="83" xfId="0" applyFill="1" applyBorder="1">
      <alignment vertical="center"/>
    </xf>
    <xf numFmtId="0" fontId="0" fillId="5" borderId="81" xfId="0" applyFill="1" applyBorder="1" applyAlignment="1">
      <alignment vertical="center"/>
    </xf>
    <xf numFmtId="0" fontId="0" fillId="5" borderId="83" xfId="0" applyFill="1" applyBorder="1" applyAlignment="1">
      <alignment vertical="center"/>
    </xf>
    <xf numFmtId="0" fontId="0" fillId="5" borderId="82" xfId="0" applyFill="1" applyBorder="1">
      <alignment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3" fillId="0" borderId="0" xfId="0" applyFont="1">
      <alignment vertical="center"/>
    </xf>
    <xf numFmtId="0" fontId="38" fillId="25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63" fillId="0" borderId="0" xfId="0" applyFont="1" applyFill="1" applyBorder="1">
      <alignment vertical="center"/>
    </xf>
    <xf numFmtId="0" fontId="63" fillId="25" borderId="0" xfId="0" applyFont="1" applyFill="1">
      <alignment vertical="center"/>
    </xf>
    <xf numFmtId="0" fontId="76" fillId="0" borderId="0" xfId="0" applyFont="1">
      <alignment vertical="center"/>
    </xf>
    <xf numFmtId="0" fontId="38" fillId="23" borderId="0" xfId="0" applyFont="1" applyFill="1">
      <alignment vertical="center"/>
    </xf>
    <xf numFmtId="0" fontId="63" fillId="26" borderId="0" xfId="0" applyFont="1" applyFill="1">
      <alignment vertical="center"/>
    </xf>
    <xf numFmtId="0" fontId="0" fillId="26" borderId="0" xfId="0" applyFill="1">
      <alignment vertical="center"/>
    </xf>
    <xf numFmtId="0" fontId="38" fillId="26" borderId="0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Alignment="1">
      <alignment vertical="center" wrapText="1"/>
    </xf>
  </cellXfs>
  <cellStyles count="14">
    <cellStyle name="ハイパーリンク" xfId="2" builtinId="8"/>
    <cellStyle name="ハイパーリンク 2" xfId="7" xr:uid="{00000000-0005-0000-0000-000001000000}"/>
    <cellStyle name="ハイパーリンク 2 2" xfId="12" xr:uid="{385B9922-1EA0-4331-96F1-6158445092E3}"/>
    <cellStyle name="標準" xfId="0" builtinId="0"/>
    <cellStyle name="標準 2" xfId="3" xr:uid="{00000000-0005-0000-0000-000003000000}"/>
    <cellStyle name="標準 2 2" xfId="8" xr:uid="{00000000-0005-0000-0000-000004000000}"/>
    <cellStyle name="標準 3" xfId="4" xr:uid="{00000000-0005-0000-0000-000005000000}"/>
    <cellStyle name="標準 4" xfId="5" xr:uid="{00000000-0005-0000-0000-000006000000}"/>
    <cellStyle name="標準 5" xfId="6" xr:uid="{00000000-0005-0000-0000-000007000000}"/>
    <cellStyle name="標準 5 2" xfId="9" xr:uid="{00000000-0005-0000-0000-000008000000}"/>
    <cellStyle name="標準 6" xfId="10" xr:uid="{00000000-0005-0000-0000-000009000000}"/>
    <cellStyle name="標準 7" xfId="11" xr:uid="{00000000-0005-0000-0000-00003A000000}"/>
    <cellStyle name="標準 8" xfId="13" xr:uid="{215D0BCF-120E-449A-90C0-4275041DA27B}"/>
    <cellStyle name="標準_電池計算ツール" xfId="1" xr:uid="{00000000-0005-0000-0000-00000A000000}"/>
  </cellStyles>
  <dxfs count="0"/>
  <tableStyles count="0" defaultTableStyle="TableStyleMedium9"/>
  <colors>
    <mruColors>
      <color rgb="FF66FFFF"/>
      <color rgb="FF99FFCC"/>
      <color rgb="FFCCFF33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'___ (2)'!$H$26:$H$32</c:f>
              <c:numCache>
                <c:formatCode>General</c:formatCode>
                <c:ptCount val="7"/>
                <c:pt idx="0">
                  <c:v>0</c:v>
                </c:pt>
                <c:pt idx="1">
                  <c:v>33</c:v>
                </c:pt>
                <c:pt idx="2">
                  <c:v>68</c:v>
                </c:pt>
                <c:pt idx="3">
                  <c:v>100</c:v>
                </c:pt>
                <c:pt idx="4">
                  <c:v>150</c:v>
                </c:pt>
                <c:pt idx="5">
                  <c:v>220</c:v>
                </c:pt>
                <c:pt idx="6">
                  <c:v>330</c:v>
                </c:pt>
              </c:numCache>
            </c:numRef>
          </c:cat>
          <c:val>
            <c:numRef>
              <c:f>'___ (2)'!$J$26:$J$32</c:f>
              <c:numCache>
                <c:formatCode>General</c:formatCode>
                <c:ptCount val="7"/>
                <c:pt idx="0">
                  <c:v>4.2</c:v>
                </c:pt>
                <c:pt idx="1">
                  <c:v>3.8</c:v>
                </c:pt>
                <c:pt idx="2">
                  <c:v>1.4559386973180077</c:v>
                </c:pt>
                <c:pt idx="3">
                  <c:v>1</c:v>
                </c:pt>
                <c:pt idx="4">
                  <c:v>0.66086956521739126</c:v>
                </c:pt>
                <c:pt idx="5">
                  <c:v>0.45238095238095233</c:v>
                </c:pt>
                <c:pt idx="6">
                  <c:v>0.33175355450236965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C10-AC09-8BAAD002C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43712"/>
        <c:axId val="58257792"/>
      </c:lineChart>
      <c:catAx>
        <c:axId val="582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257792"/>
        <c:crosses val="autoZero"/>
        <c:auto val="1"/>
        <c:lblAlgn val="ctr"/>
        <c:lblOffset val="100"/>
        <c:noMultiLvlLbl val="0"/>
      </c:catAx>
      <c:valAx>
        <c:axId val="5825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24371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ja-JP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 lang="ja-JP"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jpeg"/><Relationship Id="rId7" Type="http://schemas.openxmlformats.org/officeDocument/2006/relationships/image" Target="../media/image13.pn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4" Type="http://schemas.openxmlformats.org/officeDocument/2006/relationships/image" Target="../media/image2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12" Type="http://schemas.openxmlformats.org/officeDocument/2006/relationships/image" Target="../media/image42.jp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44.jpeg"/><Relationship Id="rId1" Type="http://schemas.openxmlformats.org/officeDocument/2006/relationships/image" Target="../media/image43.jpeg"/><Relationship Id="rId5" Type="http://schemas.openxmlformats.org/officeDocument/2006/relationships/image" Target="../media/image45.jpeg"/><Relationship Id="rId4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GI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GIF"/><Relationship Id="rId3" Type="http://schemas.openxmlformats.org/officeDocument/2006/relationships/image" Target="../media/image55.GIF"/><Relationship Id="rId7" Type="http://schemas.openxmlformats.org/officeDocument/2006/relationships/image" Target="../media/image59.GIF"/><Relationship Id="rId2" Type="http://schemas.openxmlformats.org/officeDocument/2006/relationships/image" Target="../media/image54.GIF"/><Relationship Id="rId1" Type="http://schemas.openxmlformats.org/officeDocument/2006/relationships/image" Target="../media/image53.GIF"/><Relationship Id="rId6" Type="http://schemas.openxmlformats.org/officeDocument/2006/relationships/image" Target="../media/image58.png"/><Relationship Id="rId5" Type="http://schemas.openxmlformats.org/officeDocument/2006/relationships/image" Target="../media/image57.GIF"/><Relationship Id="rId4" Type="http://schemas.openxmlformats.org/officeDocument/2006/relationships/image" Target="../media/image56.GIF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GIF"/><Relationship Id="rId3" Type="http://schemas.openxmlformats.org/officeDocument/2006/relationships/image" Target="../media/image55.GIF"/><Relationship Id="rId7" Type="http://schemas.openxmlformats.org/officeDocument/2006/relationships/image" Target="../media/image59.GIF"/><Relationship Id="rId2" Type="http://schemas.openxmlformats.org/officeDocument/2006/relationships/image" Target="../media/image54.GIF"/><Relationship Id="rId1" Type="http://schemas.openxmlformats.org/officeDocument/2006/relationships/image" Target="../media/image53.GIF"/><Relationship Id="rId6" Type="http://schemas.openxmlformats.org/officeDocument/2006/relationships/image" Target="../media/image58.png"/><Relationship Id="rId5" Type="http://schemas.openxmlformats.org/officeDocument/2006/relationships/image" Target="../media/image57.GIF"/><Relationship Id="rId4" Type="http://schemas.openxmlformats.org/officeDocument/2006/relationships/image" Target="../media/image56.GI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2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21.jp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jpg"/><Relationship Id="rId1" Type="http://schemas.openxmlformats.org/officeDocument/2006/relationships/image" Target="../media/image63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jpg"/><Relationship Id="rId1" Type="http://schemas.openxmlformats.org/officeDocument/2006/relationships/image" Target="../media/image65.gi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GI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jpg"/><Relationship Id="rId2" Type="http://schemas.openxmlformats.org/officeDocument/2006/relationships/image" Target="../media/image69.jpg"/><Relationship Id="rId1" Type="http://schemas.openxmlformats.org/officeDocument/2006/relationships/image" Target="../media/image68.jpg"/><Relationship Id="rId4" Type="http://schemas.openxmlformats.org/officeDocument/2006/relationships/image" Target="../media/image7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jpg"/><Relationship Id="rId1" Type="http://schemas.openxmlformats.org/officeDocument/2006/relationships/image" Target="../media/image73.jp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gif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142875</xdr:colOff>
      <xdr:row>0</xdr:row>
      <xdr:rowOff>47625</xdr:rowOff>
    </xdr:from>
    <xdr:to>
      <xdr:col>28</xdr:col>
      <xdr:colOff>133065</xdr:colOff>
      <xdr:row>15</xdr:row>
      <xdr:rowOff>47304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5A6ABD-D8AC-4FDF-9234-216FDE80F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47625"/>
          <a:ext cx="2276190" cy="2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23</xdr:col>
      <xdr:colOff>171450</xdr:colOff>
      <xdr:row>4</xdr:row>
      <xdr:rowOff>257175</xdr:rowOff>
    </xdr:to>
    <xdr:pic>
      <xdr:nvPicPr>
        <xdr:cNvPr id="17409" name="図 1">
          <a:extLst>
            <a:ext uri="{FF2B5EF4-FFF2-40B4-BE49-F238E27FC236}">
              <a16:creationId xmlns:a16="http://schemas.microsoft.com/office/drawing/2014/main" id="{00000000-0008-0000-04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704850"/>
          <a:ext cx="3486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5</xdr:row>
      <xdr:rowOff>38100</xdr:rowOff>
    </xdr:from>
    <xdr:to>
      <xdr:col>18</xdr:col>
      <xdr:colOff>133350</xdr:colOff>
      <xdr:row>12</xdr:row>
      <xdr:rowOff>85725</xdr:rowOff>
    </xdr:to>
    <xdr:pic>
      <xdr:nvPicPr>
        <xdr:cNvPr id="14363" name="Picture 1" descr="480px-Transformer_eq2">
          <a:extLst>
            <a:ext uri="{FF2B5EF4-FFF2-40B4-BE49-F238E27FC236}">
              <a16:creationId xmlns:a16="http://schemas.microsoft.com/office/drawing/2014/main" id="{00000000-0008-0000-0500-00001B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3400" y="1276350"/>
          <a:ext cx="45720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114300</xdr:colOff>
      <xdr:row>5</xdr:row>
      <xdr:rowOff>9525</xdr:rowOff>
    </xdr:from>
    <xdr:to>
      <xdr:col>25</xdr:col>
      <xdr:colOff>76200</xdr:colOff>
      <xdr:row>12</xdr:row>
      <xdr:rowOff>19050</xdr:rowOff>
    </xdr:to>
    <xdr:pic>
      <xdr:nvPicPr>
        <xdr:cNvPr id="14364" name="Picture 2" descr="20140401194849">
          <a:extLst>
            <a:ext uri="{FF2B5EF4-FFF2-40B4-BE49-F238E27FC236}">
              <a16:creationId xmlns:a16="http://schemas.microsoft.com/office/drawing/2014/main" id="{00000000-0008-0000-0500-00001C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1247775"/>
          <a:ext cx="18954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7</xdr:row>
      <xdr:rowOff>66675</xdr:rowOff>
    </xdr:from>
    <xdr:to>
      <xdr:col>12</xdr:col>
      <xdr:colOff>85725</xdr:colOff>
      <xdr:row>17</xdr:row>
      <xdr:rowOff>9525</xdr:rowOff>
    </xdr:to>
    <xdr:pic>
      <xdr:nvPicPr>
        <xdr:cNvPr id="2075" name="図 1" descr="201161-93036.jpg">
          <a:extLst>
            <a:ext uri="{FF2B5EF4-FFF2-40B4-BE49-F238E27FC236}">
              <a16:creationId xmlns:a16="http://schemas.microsoft.com/office/drawing/2014/main" id="{00000000-0008-0000-07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1975" y="1362075"/>
          <a:ext cx="306705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26</xdr:col>
      <xdr:colOff>114300</xdr:colOff>
      <xdr:row>39</xdr:row>
      <xdr:rowOff>152400</xdr:rowOff>
    </xdr:to>
    <xdr:pic>
      <xdr:nvPicPr>
        <xdr:cNvPr id="7190" name="Picture 1" descr="20131112175140">
          <a:extLst>
            <a:ext uri="{FF2B5EF4-FFF2-40B4-BE49-F238E27FC236}">
              <a16:creationId xmlns:a16="http://schemas.microsoft.com/office/drawing/2014/main" id="{00000000-0008-0000-0C00-00001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1975" y="2771775"/>
          <a:ext cx="7905750" cy="409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167473</xdr:colOff>
      <xdr:row>37</xdr:row>
      <xdr:rowOff>78281</xdr:rowOff>
    </xdr:from>
    <xdr:to>
      <xdr:col>9</xdr:col>
      <xdr:colOff>431451</xdr:colOff>
      <xdr:row>46</xdr:row>
      <xdr:rowOff>132069</xdr:rowOff>
    </xdr:to>
    <xdr:pic>
      <xdr:nvPicPr>
        <xdr:cNvPr id="4351" name="図 7" descr="2011112-102258.jpg">
          <a:extLst>
            <a:ext uri="{FF2B5EF4-FFF2-40B4-BE49-F238E27FC236}">
              <a16:creationId xmlns:a16="http://schemas.microsoft.com/office/drawing/2014/main" id="{00000000-0008-0000-0E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14830" y="6691352"/>
          <a:ext cx="2726871" cy="1645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absolute">
    <xdr:from>
      <xdr:col>3</xdr:col>
      <xdr:colOff>371517</xdr:colOff>
      <xdr:row>8</xdr:row>
      <xdr:rowOff>156882</xdr:rowOff>
    </xdr:from>
    <xdr:to>
      <xdr:col>8</xdr:col>
      <xdr:colOff>215627</xdr:colOff>
      <xdr:row>19</xdr:row>
      <xdr:rowOff>126467</xdr:rowOff>
    </xdr:to>
    <xdr:grpSp>
      <xdr:nvGrpSpPr>
        <xdr:cNvPr id="3" name="Group 1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1671399" y="1580029"/>
          <a:ext cx="3486022" cy="1818556"/>
          <a:chOff x="131" y="192"/>
          <a:chExt cx="361" cy="171"/>
        </a:xfrm>
      </xdr:grpSpPr>
      <xdr:grpSp>
        <xdr:nvGrpSpPr>
          <xdr:cNvPr id="4" name="グループ化 4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GrpSpPr/>
        </xdr:nvGrpSpPr>
        <xdr:grpSpPr>
          <a:xfrm>
            <a:off x="131" y="192"/>
            <a:ext cx="361" cy="171"/>
            <a:chOff x="1066800" y="1819275"/>
            <a:chExt cx="4248150" cy="2105025"/>
          </a:xfrm>
        </xdr:grpSpPr>
        <xdr:pic>
          <xdr:nvPicPr>
            <xdr:cNvPr id="7" name="図 2" descr="20111031-141921.jpg">
              <a:extLst>
                <a:ext uri="{FF2B5EF4-FFF2-40B4-BE49-F238E27FC236}">
                  <a16:creationId xmlns:a16="http://schemas.microsoft.com/office/drawing/2014/main" id="{00000000-0008-0000-0E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>
            <a:xfrm>
              <a:off x="1066800" y="1819275"/>
              <a:ext cx="3505200" cy="210502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8" name="図 3" descr="20111031-142110.jpg">
              <a:extLst>
                <a:ext uri="{FF2B5EF4-FFF2-40B4-BE49-F238E27FC236}">
                  <a16:creationId xmlns:a16="http://schemas.microsoft.com/office/drawing/2014/main" id="{00000000-0008-0000-0E00-00000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>
            <a:xfrm>
              <a:off x="4019550" y="2047875"/>
              <a:ext cx="1295400" cy="5334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5" name="Oval 10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>
            <a:spLocks noChangeArrowheads="1"/>
          </xdr:cNvSpPr>
        </xdr:nvSpPr>
        <xdr:spPr>
          <a:xfrm>
            <a:off x="209" y="299"/>
            <a:ext cx="16" cy="14"/>
          </a:xfrm>
          <a:prstGeom prst="ellipse">
            <a:avLst/>
          </a:prstGeom>
          <a:solidFill>
            <a:srgbClr val="FF0000"/>
          </a:solidFill>
          <a:ln w="9525">
            <a:solidFill>
              <a:srgbClr val="000000"/>
            </a:solidFill>
            <a:round/>
          </a:ln>
        </xdr:spPr>
      </xdr:sp>
      <xdr:sp macro="" textlink="">
        <xdr:nvSpPr>
          <xdr:cNvPr id="6" name="Text Box 11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 txBox="1">
            <a:spLocks noChangeArrowheads="1"/>
          </xdr:cNvSpPr>
        </xdr:nvSpPr>
        <xdr:spPr>
          <a:xfrm>
            <a:off x="133" y="243"/>
            <a:ext cx="19" cy="19"/>
          </a:xfrm>
          <a:prstGeom prst="rect">
            <a:avLst/>
          </a:prstGeom>
          <a:noFill/>
          <a:ln w="9525">
            <a:noFill/>
            <a:miter lim="800000"/>
          </a:ln>
        </xdr:spPr>
        <xdr:txBody>
          <a:bodyPr wrap="none" lIns="18288" tIns="18288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ja-JP" sz="1100" b="1" i="0" u="none" strike="noStrike" baseline="0">
                <a:solidFill>
                  <a:srgbClr val="FF0000"/>
                </a:solidFill>
                <a:latin typeface="ＭＳ Ｐゴシック" panose="020B0600070205080204" charset="-128"/>
                <a:ea typeface="ＭＳ Ｐゴシック" panose="020B0600070205080204" charset="-128"/>
              </a:rPr>
              <a:t>Vc</a:t>
            </a:r>
          </a:p>
        </xdr:txBody>
      </xdr:sp>
    </xdr:grpSp>
    <xdr:clientData/>
  </xdr:twoCellAnchor>
  <xdr:twoCellAnchor>
    <xdr:from>
      <xdr:col>8</xdr:col>
      <xdr:colOff>304799</xdr:colOff>
      <xdr:row>3</xdr:row>
      <xdr:rowOff>152400</xdr:rowOff>
    </xdr:from>
    <xdr:to>
      <xdr:col>11</xdr:col>
      <xdr:colOff>85724</xdr:colOff>
      <xdr:row>5</xdr:row>
      <xdr:rowOff>85725</xdr:rowOff>
    </xdr:to>
    <xdr:sp macro="" textlink="">
      <xdr:nvSpPr>
        <xdr:cNvPr id="9" name="吹き出し: 線 8">
          <a:extLst>
            <a:ext uri="{FF2B5EF4-FFF2-40B4-BE49-F238E27FC236}">
              <a16:creationId xmlns:a16="http://schemas.microsoft.com/office/drawing/2014/main" id="{4C2DE969-8E39-4120-AF46-19F5650B62B6}"/>
            </a:ext>
          </a:extLst>
        </xdr:cNvPr>
        <xdr:cNvSpPr/>
      </xdr:nvSpPr>
      <xdr:spPr>
        <a:xfrm>
          <a:off x="5246593" y="723900"/>
          <a:ext cx="2022102" cy="269501"/>
        </a:xfrm>
        <a:prstGeom prst="borderCallout1">
          <a:avLst>
            <a:gd name="adj1" fmla="val 18750"/>
            <a:gd name="adj2" fmla="val -8333"/>
            <a:gd name="adj3" fmla="val 385724"/>
            <a:gd name="adj4" fmla="val -84813"/>
          </a:avLst>
        </a:prstGeom>
        <a:solidFill>
          <a:sysClr val="window" lastClr="FFFFFF"/>
        </a:solidFill>
        <a:ln w="12700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出力</a:t>
          </a:r>
          <a:r>
            <a:rPr kumimoji="1" lang="en-US" altLang="ja-JP" sz="1100">
              <a:solidFill>
                <a:sysClr val="windowText" lastClr="000000"/>
              </a:solidFill>
            </a:rPr>
            <a:t>Z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10</a:t>
          </a:r>
          <a:r>
            <a:rPr kumimoji="1" lang="ja-JP" altLang="en-US" sz="1100">
              <a:solidFill>
                <a:sysClr val="windowText" lastClr="000000"/>
              </a:solidFill>
            </a:rPr>
            <a:t>倍程度</a:t>
          </a:r>
        </a:p>
      </xdr:txBody>
    </xdr:sp>
    <xdr:clientData/>
  </xdr:twoCellAnchor>
  <xdr:twoCellAnchor>
    <xdr:from>
      <xdr:col>8</xdr:col>
      <xdr:colOff>295274</xdr:colOff>
      <xdr:row>1</xdr:row>
      <xdr:rowOff>142875</xdr:rowOff>
    </xdr:from>
    <xdr:to>
      <xdr:col>11</xdr:col>
      <xdr:colOff>76199</xdr:colOff>
      <xdr:row>3</xdr:row>
      <xdr:rowOff>9525</xdr:rowOff>
    </xdr:to>
    <xdr:sp macro="" textlink="">
      <xdr:nvSpPr>
        <xdr:cNvPr id="11" name="吹き出し: 線 10">
          <a:extLst>
            <a:ext uri="{FF2B5EF4-FFF2-40B4-BE49-F238E27FC236}">
              <a16:creationId xmlns:a16="http://schemas.microsoft.com/office/drawing/2014/main" id="{7D17F4AD-D5AE-4548-8057-D1BC2A679A29}"/>
            </a:ext>
          </a:extLst>
        </xdr:cNvPr>
        <xdr:cNvSpPr/>
      </xdr:nvSpPr>
      <xdr:spPr>
        <a:xfrm>
          <a:off x="5237068" y="310963"/>
          <a:ext cx="2022102" cy="270062"/>
        </a:xfrm>
        <a:prstGeom prst="borderCallout1">
          <a:avLst>
            <a:gd name="adj1" fmla="val 18750"/>
            <a:gd name="adj2" fmla="val -8333"/>
            <a:gd name="adj3" fmla="val 672466"/>
            <a:gd name="adj4" fmla="val -133496"/>
          </a:avLst>
        </a:prstGeom>
        <a:solidFill>
          <a:sysClr val="window" lastClr="FFFFFF"/>
        </a:solidFill>
        <a:ln w="12700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</a:t>
          </a:r>
          <a:r>
            <a:rPr kumimoji="1" lang="en-US" altLang="ja-JP" sz="1100">
              <a:solidFill>
                <a:sysClr val="windowText" lastClr="000000"/>
              </a:solidFill>
            </a:rPr>
            <a:t>Z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1/10</a:t>
          </a:r>
          <a:r>
            <a:rPr kumimoji="1" lang="ja-JP" altLang="en-US" sz="1100">
              <a:solidFill>
                <a:sysClr val="windowText" lastClr="000000"/>
              </a:solidFill>
            </a:rPr>
            <a:t>程度</a:t>
          </a:r>
        </a:p>
      </xdr:txBody>
    </xdr:sp>
    <xdr:clientData/>
  </xdr:twoCellAnchor>
  <xdr:twoCellAnchor editAs="oneCell">
    <xdr:from>
      <xdr:col>17</xdr:col>
      <xdr:colOff>627531</xdr:colOff>
      <xdr:row>8</xdr:row>
      <xdr:rowOff>67235</xdr:rowOff>
    </xdr:from>
    <xdr:to>
      <xdr:col>22</xdr:col>
      <xdr:colOff>672353</xdr:colOff>
      <xdr:row>20</xdr:row>
      <xdr:rowOff>115183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DAF7483-4454-48D5-9DB4-8141631F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5119" y="1490382"/>
          <a:ext cx="3462616" cy="2065007"/>
        </a:xfrm>
        <a:prstGeom prst="rect">
          <a:avLst/>
        </a:prstGeom>
      </xdr:spPr>
    </xdr:pic>
    <xdr:clientData/>
  </xdr:twoCellAnchor>
  <xdr:twoCellAnchor editAs="oneCell">
    <xdr:from>
      <xdr:col>22</xdr:col>
      <xdr:colOff>224119</xdr:colOff>
      <xdr:row>9</xdr:row>
      <xdr:rowOff>112059</xdr:rowOff>
    </xdr:from>
    <xdr:to>
      <xdr:col>24</xdr:col>
      <xdr:colOff>95251</xdr:colOff>
      <xdr:row>12</xdr:row>
      <xdr:rowOff>160244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33639E-5AC0-48BF-9827-49D5E4C5A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1" y="1703294"/>
          <a:ext cx="123825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66</xdr:row>
      <xdr:rowOff>66676</xdr:rowOff>
    </xdr:from>
    <xdr:to>
      <xdr:col>5</xdr:col>
      <xdr:colOff>400051</xdr:colOff>
      <xdr:row>83</xdr:row>
      <xdr:rowOff>94804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C5499A-9C2D-40B3-8972-9E5521A1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6" y="11506201"/>
          <a:ext cx="2266950" cy="294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36</xdr:row>
      <xdr:rowOff>149679</xdr:rowOff>
    </xdr:from>
    <xdr:to>
      <xdr:col>5</xdr:col>
      <xdr:colOff>501761</xdr:colOff>
      <xdr:row>45</xdr:row>
      <xdr:rowOff>167168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0C87403-65C5-44C0-9DDF-596E55CD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5428" y="6585858"/>
          <a:ext cx="2733333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46</xdr:row>
      <xdr:rowOff>1</xdr:rowOff>
    </xdr:from>
    <xdr:to>
      <xdr:col>5</xdr:col>
      <xdr:colOff>210606</xdr:colOff>
      <xdr:row>50</xdr:row>
      <xdr:rowOff>35286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CD9A18-7EF3-4383-A81C-340B42001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9035" y="8205108"/>
          <a:ext cx="2428571" cy="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13</xdr:row>
      <xdr:rowOff>142875</xdr:rowOff>
    </xdr:from>
    <xdr:to>
      <xdr:col>2</xdr:col>
      <xdr:colOff>619125</xdr:colOff>
      <xdr:row>18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2381250"/>
          <a:ext cx="1438275" cy="876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5</xdr:row>
      <xdr:rowOff>65314</xdr:rowOff>
    </xdr:from>
    <xdr:to>
      <xdr:col>31</xdr:col>
      <xdr:colOff>161924</xdr:colOff>
      <xdr:row>8</xdr:row>
      <xdr:rowOff>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922020"/>
          <a:ext cx="2142490" cy="449580"/>
        </a:xfrm>
        <a:prstGeom prst="rect">
          <a:avLst/>
        </a:prstGeom>
      </xdr:spPr>
    </xdr:pic>
    <xdr:clientData/>
  </xdr:twoCellAnchor>
  <xdr:twoCellAnchor editAs="oneCell">
    <xdr:from>
      <xdr:col>23</xdr:col>
      <xdr:colOff>2</xdr:colOff>
      <xdr:row>7</xdr:row>
      <xdr:rowOff>142633</xdr:rowOff>
    </xdr:from>
    <xdr:to>
      <xdr:col>31</xdr:col>
      <xdr:colOff>133349</xdr:colOff>
      <xdr:row>10</xdr:row>
      <xdr:rowOff>58030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1342390"/>
          <a:ext cx="2113915" cy="429895"/>
        </a:xfrm>
        <a:prstGeom prst="rect">
          <a:avLst/>
        </a:prstGeom>
      </xdr:spPr>
    </xdr:pic>
    <xdr:clientData/>
  </xdr:twoCellAnchor>
  <xdr:twoCellAnchor>
    <xdr:from>
      <xdr:col>33</xdr:col>
      <xdr:colOff>47625</xdr:colOff>
      <xdr:row>12</xdr:row>
      <xdr:rowOff>32656</xdr:rowOff>
    </xdr:from>
    <xdr:to>
      <xdr:col>33</xdr:col>
      <xdr:colOff>239485</xdr:colOff>
      <xdr:row>13</xdr:row>
      <xdr:rowOff>157841</xdr:rowOff>
    </xdr:to>
    <xdr:sp macro="" textlink="">
      <xdr:nvSpPr>
        <xdr:cNvPr id="4" name="右中かっこ 3">
          <a:extLst>
            <a:ext uri="{FF2B5EF4-FFF2-40B4-BE49-F238E27FC236}">
              <a16:creationId xmlns:a16="http://schemas.microsoft.com/office/drawing/2014/main" id="{5CE3CFB9-85EA-40F3-A9BB-34C0970C4FBF}"/>
            </a:ext>
          </a:extLst>
        </xdr:cNvPr>
        <xdr:cNvSpPr/>
      </xdr:nvSpPr>
      <xdr:spPr>
        <a:xfrm>
          <a:off x="8745311" y="2122713"/>
          <a:ext cx="191860" cy="299357"/>
        </a:xfrm>
        <a:prstGeom prst="rightBrace">
          <a:avLst>
            <a:gd name="adj1" fmla="val 8333"/>
            <a:gd name="adj2" fmla="val 2272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31061</xdr:colOff>
      <xdr:row>11</xdr:row>
      <xdr:rowOff>74068</xdr:rowOff>
    </xdr:from>
    <xdr:to>
      <xdr:col>12</xdr:col>
      <xdr:colOff>215348</xdr:colOff>
      <xdr:row>12</xdr:row>
      <xdr:rowOff>115957</xdr:rowOff>
    </xdr:to>
    <xdr:sp macro="" textlink="">
      <xdr:nvSpPr>
        <xdr:cNvPr id="5" name="右中かっこ 4">
          <a:extLst>
            <a:ext uri="{FF2B5EF4-FFF2-40B4-BE49-F238E27FC236}">
              <a16:creationId xmlns:a16="http://schemas.microsoft.com/office/drawing/2014/main" id="{40674028-9B06-4A8E-91B9-3755B6F71E69}"/>
            </a:ext>
          </a:extLst>
        </xdr:cNvPr>
        <xdr:cNvSpPr/>
      </xdr:nvSpPr>
      <xdr:spPr>
        <a:xfrm>
          <a:off x="3451778" y="1987351"/>
          <a:ext cx="184287" cy="215823"/>
        </a:xfrm>
        <a:prstGeom prst="rightBrace">
          <a:avLst>
            <a:gd name="adj1" fmla="val 8333"/>
            <a:gd name="adj2" fmla="val 2272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265043</xdr:colOff>
      <xdr:row>33</xdr:row>
      <xdr:rowOff>0</xdr:rowOff>
    </xdr:from>
    <xdr:to>
      <xdr:col>4</xdr:col>
      <xdr:colOff>566530</xdr:colOff>
      <xdr:row>41</xdr:row>
      <xdr:rowOff>46797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61" y="5569324"/>
          <a:ext cx="2430604" cy="139150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6</xdr:col>
      <xdr:colOff>67236</xdr:colOff>
      <xdr:row>15</xdr:row>
      <xdr:rowOff>83117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274BAF-2A07-4A01-AF85-8C26B7B1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9" y="1019736"/>
          <a:ext cx="3563470" cy="159591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</xdr:col>
      <xdr:colOff>495300</xdr:colOff>
      <xdr:row>11</xdr:row>
      <xdr:rowOff>0</xdr:rowOff>
    </xdr:to>
    <xdr:pic>
      <xdr:nvPicPr>
        <xdr:cNvPr id="5142" name="Picture 1" descr="http://www.ibsjapan.co.jp/html/connection/images/feature03.jpg">
          <a:extLst>
            <a:ext uri="{FF2B5EF4-FFF2-40B4-BE49-F238E27FC236}">
              <a16:creationId xmlns:a16="http://schemas.microsoft.com/office/drawing/2014/main" id="{00000000-0008-0000-1300-00001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38225"/>
          <a:ext cx="23717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40821</xdr:colOff>
      <xdr:row>29</xdr:row>
      <xdr:rowOff>95248</xdr:rowOff>
    </xdr:from>
    <xdr:to>
      <xdr:col>5</xdr:col>
      <xdr:colOff>174119</xdr:colOff>
      <xdr:row>48</xdr:row>
      <xdr:rowOff>27213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6CE922-B5A3-47BF-AF79-7309A66D4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" y="5225141"/>
          <a:ext cx="2677834" cy="32929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0</xdr:colOff>
      <xdr:row>21</xdr:row>
      <xdr:rowOff>0</xdr:rowOff>
    </xdr:to>
    <xdr:pic>
      <xdr:nvPicPr>
        <xdr:cNvPr id="10293" name="Picture 1" descr="20140210104944">
          <a:extLst>
            <a:ext uri="{FF2B5EF4-FFF2-40B4-BE49-F238E27FC236}">
              <a16:creationId xmlns:a16="http://schemas.microsoft.com/office/drawing/2014/main" id="{00000000-0008-0000-1500-000035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0550" y="514350"/>
          <a:ext cx="3543300" cy="308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36</xdr:col>
      <xdr:colOff>123825</xdr:colOff>
      <xdr:row>6</xdr:row>
      <xdr:rowOff>57151</xdr:rowOff>
    </xdr:to>
    <xdr:pic>
      <xdr:nvPicPr>
        <xdr:cNvPr id="10294" name="Picture 2" descr="20140210105853">
          <a:extLst>
            <a:ext uri="{FF2B5EF4-FFF2-40B4-BE49-F238E27FC236}">
              <a16:creationId xmlns:a16="http://schemas.microsoft.com/office/drawing/2014/main" id="{00000000-0008-0000-1500-000036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3850" y="685800"/>
          <a:ext cx="66198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33</xdr:col>
      <xdr:colOff>257175</xdr:colOff>
      <xdr:row>9</xdr:row>
      <xdr:rowOff>57151</xdr:rowOff>
    </xdr:to>
    <xdr:pic>
      <xdr:nvPicPr>
        <xdr:cNvPr id="10295" name="Picture 3" descr="20140210105911">
          <a:extLst>
            <a:ext uri="{FF2B5EF4-FFF2-40B4-BE49-F238E27FC236}">
              <a16:creationId xmlns:a16="http://schemas.microsoft.com/office/drawing/2014/main" id="{00000000-0008-0000-1500-000037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3850" y="1200150"/>
          <a:ext cx="5867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31</xdr:col>
      <xdr:colOff>238125</xdr:colOff>
      <xdr:row>12</xdr:row>
      <xdr:rowOff>57149</xdr:rowOff>
    </xdr:to>
    <xdr:pic>
      <xdr:nvPicPr>
        <xdr:cNvPr id="10296" name="Picture 4" descr="20140210105929">
          <a:extLst>
            <a:ext uri="{FF2B5EF4-FFF2-40B4-BE49-F238E27FC236}">
              <a16:creationId xmlns:a16="http://schemas.microsoft.com/office/drawing/2014/main" id="{00000000-0008-0000-1500-000038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3850" y="1714500"/>
          <a:ext cx="5257800" cy="399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26</xdr:row>
      <xdr:rowOff>0</xdr:rowOff>
    </xdr:from>
    <xdr:to>
      <xdr:col>37</xdr:col>
      <xdr:colOff>89650</xdr:colOff>
      <xdr:row>28</xdr:row>
      <xdr:rowOff>115698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C6C9DF5B-142B-4E38-810E-2877DAAD92CD}"/>
            </a:ext>
          </a:extLst>
        </xdr:cNvPr>
        <xdr:cNvSpPr/>
      </xdr:nvSpPr>
      <xdr:spPr>
        <a:xfrm rot="16200000">
          <a:off x="15960400" y="-5673401"/>
          <a:ext cx="477649" cy="22130500"/>
        </a:xfrm>
        <a:prstGeom prst="leftBrace">
          <a:avLst>
            <a:gd name="adj1" fmla="val 8333"/>
            <a:gd name="adj2" fmla="val 32672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</xdr:row>
      <xdr:rowOff>0</xdr:rowOff>
    </xdr:from>
    <xdr:to>
      <xdr:col>22</xdr:col>
      <xdr:colOff>152400</xdr:colOff>
      <xdr:row>47</xdr:row>
      <xdr:rowOff>47626</xdr:rowOff>
    </xdr:to>
    <xdr:pic>
      <xdr:nvPicPr>
        <xdr:cNvPr id="16398" name="Picture 1" descr="基板単価201307">
          <a:extLst>
            <a:ext uri="{FF2B5EF4-FFF2-40B4-BE49-F238E27FC236}">
              <a16:creationId xmlns:a16="http://schemas.microsoft.com/office/drawing/2014/main" id="{00000000-0008-0000-1F00-00000E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6750" y="5676900"/>
          <a:ext cx="6819900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104775</xdr:rowOff>
    </xdr:from>
    <xdr:to>
      <xdr:col>7</xdr:col>
      <xdr:colOff>600075</xdr:colOff>
      <xdr:row>18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19125"/>
          <a:ext cx="4695825" cy="253365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</xdr:row>
      <xdr:rowOff>28575</xdr:rowOff>
    </xdr:from>
    <xdr:to>
      <xdr:col>14</xdr:col>
      <xdr:colOff>142875</xdr:colOff>
      <xdr:row>18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200025"/>
          <a:ext cx="4000500" cy="3009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</xdr:row>
      <xdr:rowOff>0</xdr:rowOff>
    </xdr:from>
    <xdr:to>
      <xdr:col>5</xdr:col>
      <xdr:colOff>571500</xdr:colOff>
      <xdr:row>17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028700"/>
          <a:ext cx="3343275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76200</xdr:rowOff>
    </xdr:from>
    <xdr:to>
      <xdr:col>6</xdr:col>
      <xdr:colOff>38100</xdr:colOff>
      <xdr:row>19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990850"/>
          <a:ext cx="3581400" cy="3905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123825</xdr:rowOff>
    </xdr:from>
    <xdr:to>
      <xdr:col>4</xdr:col>
      <xdr:colOff>161925</xdr:colOff>
      <xdr:row>14</xdr:row>
      <xdr:rowOff>76200</xdr:rowOff>
    </xdr:to>
    <xdr:pic>
      <xdr:nvPicPr>
        <xdr:cNvPr id="6255" name="図 2" descr="2011106-13044.jpg">
          <a:extLst>
            <a:ext uri="{FF2B5EF4-FFF2-40B4-BE49-F238E27FC236}">
              <a16:creationId xmlns:a16="http://schemas.microsoft.com/office/drawing/2014/main" id="{00000000-0008-0000-2600-00006F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0" y="466725"/>
          <a:ext cx="2419350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</xdr:colOff>
      <xdr:row>3</xdr:row>
      <xdr:rowOff>38100</xdr:rowOff>
    </xdr:from>
    <xdr:to>
      <xdr:col>8</xdr:col>
      <xdr:colOff>676275</xdr:colOff>
      <xdr:row>14</xdr:row>
      <xdr:rowOff>142875</xdr:rowOff>
    </xdr:to>
    <xdr:pic>
      <xdr:nvPicPr>
        <xdr:cNvPr id="6256" name="図 3" descr="2011106-13416.jpg">
          <a:extLst>
            <a:ext uri="{FF2B5EF4-FFF2-40B4-BE49-F238E27FC236}">
              <a16:creationId xmlns:a16="http://schemas.microsoft.com/office/drawing/2014/main" id="{00000000-0008-0000-2600-000070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0525" y="552450"/>
          <a:ext cx="21717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400050</xdr:colOff>
      <xdr:row>46</xdr:row>
      <xdr:rowOff>0</xdr:rowOff>
    </xdr:to>
    <xdr:pic>
      <xdr:nvPicPr>
        <xdr:cNvPr id="6257" name="図 3" descr="2012626-201241.jpg">
          <a:extLst>
            <a:ext uri="{FF2B5EF4-FFF2-40B4-BE49-F238E27FC236}">
              <a16:creationId xmlns:a16="http://schemas.microsoft.com/office/drawing/2014/main" id="{00000000-0008-0000-2600-00007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14950"/>
          <a:ext cx="541020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16</xdr:col>
      <xdr:colOff>270622</xdr:colOff>
      <xdr:row>40</xdr:row>
      <xdr:rowOff>142875</xdr:rowOff>
    </xdr:to>
    <xdr:pic>
      <xdr:nvPicPr>
        <xdr:cNvPr id="6258" name="図 4" descr="2012731-93918.jpg">
          <a:extLst>
            <a:ext uri="{FF2B5EF4-FFF2-40B4-BE49-F238E27FC236}">
              <a16:creationId xmlns:a16="http://schemas.microsoft.com/office/drawing/2014/main" id="{00000000-0008-0000-2600-000072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3350" y="5486400"/>
          <a:ext cx="3985260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0</xdr:colOff>
      <xdr:row>83</xdr:row>
      <xdr:rowOff>57150</xdr:rowOff>
    </xdr:to>
    <xdr:pic>
      <xdr:nvPicPr>
        <xdr:cNvPr id="6259" name="Picture 37" descr="20140114170156">
          <a:extLst>
            <a:ext uri="{FF2B5EF4-FFF2-40B4-BE49-F238E27FC236}">
              <a16:creationId xmlns:a16="http://schemas.microsoft.com/office/drawing/2014/main" id="{00000000-0008-0000-2600-00007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972800"/>
          <a:ext cx="5010150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6</xdr:col>
      <xdr:colOff>0</xdr:colOff>
      <xdr:row>91</xdr:row>
      <xdr:rowOff>85725</xdr:rowOff>
    </xdr:to>
    <xdr:pic>
      <xdr:nvPicPr>
        <xdr:cNvPr id="6260" name="Picture 38" descr="20140114170122">
          <a:extLst>
            <a:ext uri="{FF2B5EF4-FFF2-40B4-BE49-F238E27FC236}">
              <a16:creationId xmlns:a16="http://schemas.microsoft.com/office/drawing/2014/main" id="{00000000-0008-0000-2600-000074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401800"/>
          <a:ext cx="349567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16</xdr:col>
      <xdr:colOff>57869</xdr:colOff>
      <xdr:row>87</xdr:row>
      <xdr:rowOff>109904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0801350"/>
          <a:ext cx="4458335" cy="4224655"/>
        </a:xfrm>
        <a:prstGeom prst="rect">
          <a:avLst/>
        </a:prstGeom>
      </xdr:spPr>
    </xdr:pic>
    <xdr:clientData/>
  </xdr:twoCellAnchor>
  <xdr:twoCellAnchor editAs="oneCell">
    <xdr:from>
      <xdr:col>14</xdr:col>
      <xdr:colOff>542193</xdr:colOff>
      <xdr:row>81</xdr:row>
      <xdr:rowOff>117228</xdr:rowOff>
    </xdr:from>
    <xdr:to>
      <xdr:col>17</xdr:col>
      <xdr:colOff>804453</xdr:colOff>
      <xdr:row>85</xdr:row>
      <xdr:rowOff>167051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8155" y="14004290"/>
          <a:ext cx="2319655" cy="735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0</xdr:colOff>
      <xdr:row>118</xdr:row>
      <xdr:rowOff>38589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316450"/>
          <a:ext cx="5695950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</xdr:col>
      <xdr:colOff>247650</xdr:colOff>
      <xdr:row>121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402550"/>
          <a:ext cx="3057525" cy="371475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165</xdr:row>
      <xdr:rowOff>152400</xdr:rowOff>
    </xdr:from>
    <xdr:to>
      <xdr:col>7</xdr:col>
      <xdr:colOff>0</xdr:colOff>
      <xdr:row>185</xdr:row>
      <xdr:rowOff>38100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BDEF4A8-95A0-43CE-8F2E-CCD89AE211FD}"/>
            </a:ext>
          </a:extLst>
        </xdr:cNvPr>
        <xdr:cNvGrpSpPr/>
      </xdr:nvGrpSpPr>
      <xdr:grpSpPr>
        <a:xfrm>
          <a:off x="638175" y="28441650"/>
          <a:ext cx="4371975" cy="3314700"/>
          <a:chOff x="638175" y="28441650"/>
          <a:chExt cx="4371975" cy="331470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11ADD4A7-4ADD-4EA6-BB26-0AC92E7ED5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8175" y="28441650"/>
            <a:ext cx="4371975" cy="2600325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31A569C6-D861-46E6-B8C1-9F6D1F7800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8175" y="31032450"/>
            <a:ext cx="2590800" cy="723900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57151</xdr:colOff>
      <xdr:row>3</xdr:row>
      <xdr:rowOff>28576</xdr:rowOff>
    </xdr:from>
    <xdr:to>
      <xdr:col>9</xdr:col>
      <xdr:colOff>0</xdr:colOff>
      <xdr:row>14</xdr:row>
      <xdr:rowOff>2705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542925"/>
          <a:ext cx="1857375" cy="185991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5</xdr:row>
      <xdr:rowOff>133351</xdr:rowOff>
    </xdr:from>
    <xdr:to>
      <xdr:col>22</xdr:col>
      <xdr:colOff>24254</xdr:colOff>
      <xdr:row>15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75" y="990600"/>
          <a:ext cx="192913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65314</xdr:rowOff>
    </xdr:from>
    <xdr:to>
      <xdr:col>12</xdr:col>
      <xdr:colOff>161925</xdr:colOff>
      <xdr:row>57</xdr:row>
      <xdr:rowOff>2705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9323070"/>
          <a:ext cx="2343150" cy="45212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56</xdr:row>
      <xdr:rowOff>142633</xdr:rowOff>
    </xdr:from>
    <xdr:to>
      <xdr:col>12</xdr:col>
      <xdr:colOff>133350</xdr:colOff>
      <xdr:row>59</xdr:row>
      <xdr:rowOff>58028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9743440"/>
          <a:ext cx="2314575" cy="4298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38</xdr:col>
      <xdr:colOff>117661</xdr:colOff>
      <xdr:row>15</xdr:row>
      <xdr:rowOff>11205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5" y="857250"/>
          <a:ext cx="2517775" cy="172529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27358</xdr:rowOff>
    </xdr:from>
    <xdr:to>
      <xdr:col>32</xdr:col>
      <xdr:colOff>521604</xdr:colOff>
      <xdr:row>44</xdr:row>
      <xdr:rowOff>68034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98755"/>
          <a:ext cx="12884785" cy="74129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</xdr:row>
      <xdr:rowOff>152163</xdr:rowOff>
    </xdr:from>
    <xdr:to>
      <xdr:col>9</xdr:col>
      <xdr:colOff>448236</xdr:colOff>
      <xdr:row>12</xdr:row>
      <xdr:rowOff>143435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94665"/>
          <a:ext cx="5400675" cy="170561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180975</xdr:colOff>
      <xdr:row>2</xdr:row>
      <xdr:rowOff>28575</xdr:rowOff>
    </xdr:from>
    <xdr:to>
      <xdr:col>9</xdr:col>
      <xdr:colOff>218804</xdr:colOff>
      <xdr:row>14</xdr:row>
      <xdr:rowOff>152127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7975" y="371475"/>
          <a:ext cx="2171065" cy="21805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38</xdr:col>
      <xdr:colOff>152400</xdr:colOff>
      <xdr:row>8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5" y="990600"/>
          <a:ext cx="1952625" cy="5619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34018</xdr:colOff>
      <xdr:row>6</xdr:row>
      <xdr:rowOff>104776</xdr:rowOff>
    </xdr:from>
    <xdr:to>
      <xdr:col>39</xdr:col>
      <xdr:colOff>138793</xdr:colOff>
      <xdr:row>16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7155" y="1133475"/>
          <a:ext cx="610552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6</xdr:row>
      <xdr:rowOff>76200</xdr:rowOff>
    </xdr:from>
    <xdr:to>
      <xdr:col>16</xdr:col>
      <xdr:colOff>161925</xdr:colOff>
      <xdr:row>17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525" y="1104900"/>
          <a:ext cx="4343400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3</xdr:row>
      <xdr:rowOff>33617</xdr:rowOff>
    </xdr:from>
    <xdr:to>
      <xdr:col>24</xdr:col>
      <xdr:colOff>220755</xdr:colOff>
      <xdr:row>34</xdr:row>
      <xdr:rowOff>8403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EB886E-CAEB-4D3D-957A-164FE38ED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72352"/>
          <a:ext cx="8457079" cy="518552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1</xdr:row>
      <xdr:rowOff>161925</xdr:rowOff>
    </xdr:from>
    <xdr:to>
      <xdr:col>20</xdr:col>
      <xdr:colOff>76200</xdr:colOff>
      <xdr:row>4</xdr:row>
      <xdr:rowOff>38100</xdr:rowOff>
    </xdr:to>
    <xdr:pic>
      <xdr:nvPicPr>
        <xdr:cNvPr id="2" name="図 1" descr="http://www.momose.com/hirofumi/elec/dcdc/index.files/image002.gif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81650" y="333375"/>
          <a:ext cx="9906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</xdr:row>
      <xdr:rowOff>28575</xdr:rowOff>
    </xdr:from>
    <xdr:to>
      <xdr:col>20</xdr:col>
      <xdr:colOff>57150</xdr:colOff>
      <xdr:row>7</xdr:row>
      <xdr:rowOff>57150</xdr:rowOff>
    </xdr:to>
    <xdr:pic>
      <xdr:nvPicPr>
        <xdr:cNvPr id="3" name="図 2" descr="http://www.momose.com/hirofumi/elec/dcdc/index.files/image004.gif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91175" y="1057275"/>
          <a:ext cx="962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276225</xdr:colOff>
      <xdr:row>8</xdr:row>
      <xdr:rowOff>152400</xdr:rowOff>
    </xdr:from>
    <xdr:to>
      <xdr:col>19</xdr:col>
      <xdr:colOff>76200</xdr:colOff>
      <xdr:row>11</xdr:row>
      <xdr:rowOff>28575</xdr:rowOff>
    </xdr:to>
    <xdr:pic>
      <xdr:nvPicPr>
        <xdr:cNvPr id="4" name="図 3" descr="http://www.momose.com/hirofumi/elec/dcdc/index.files/image006.gif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00725" y="1524000"/>
          <a:ext cx="4476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262218</xdr:colOff>
      <xdr:row>12</xdr:row>
      <xdr:rowOff>95250</xdr:rowOff>
    </xdr:from>
    <xdr:to>
      <xdr:col>19</xdr:col>
      <xdr:colOff>309843</xdr:colOff>
      <xdr:row>14</xdr:row>
      <xdr:rowOff>142875</xdr:rowOff>
    </xdr:to>
    <xdr:pic>
      <xdr:nvPicPr>
        <xdr:cNvPr id="5" name="図 4" descr="http://www.momose.com/hirofumi/elec/dcdc/index.files/image008.gif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86120" y="2152650"/>
          <a:ext cx="6953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16</xdr:row>
      <xdr:rowOff>161925</xdr:rowOff>
    </xdr:from>
    <xdr:to>
      <xdr:col>19</xdr:col>
      <xdr:colOff>247650</xdr:colOff>
      <xdr:row>19</xdr:row>
      <xdr:rowOff>38100</xdr:rowOff>
    </xdr:to>
    <xdr:pic>
      <xdr:nvPicPr>
        <xdr:cNvPr id="6" name="図 5" descr="http://www.momose.com/hirofumi/elec/dcdc/index.files/image012.gif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86450" y="2905125"/>
          <a:ext cx="5334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299635</xdr:colOff>
      <xdr:row>22</xdr:row>
      <xdr:rowOff>152010</xdr:rowOff>
    </xdr:from>
    <xdr:to>
      <xdr:col>20</xdr:col>
      <xdr:colOff>88964</xdr:colOff>
      <xdr:row>25</xdr:row>
      <xdr:rowOff>130474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23585" y="3923665"/>
          <a:ext cx="761365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23</xdr:col>
      <xdr:colOff>57150</xdr:colOff>
      <xdr:row>22</xdr:row>
      <xdr:rowOff>85726</xdr:rowOff>
    </xdr:to>
    <xdr:pic>
      <xdr:nvPicPr>
        <xdr:cNvPr id="8" name="図 7" descr="http://www.momose.com/hirofumi/elec/dcdc/index.files/image014.gif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43750" y="3429000"/>
          <a:ext cx="3810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289892</xdr:colOff>
      <xdr:row>26</xdr:row>
      <xdr:rowOff>49696</xdr:rowOff>
    </xdr:from>
    <xdr:to>
      <xdr:col>33</xdr:col>
      <xdr:colOff>100220</xdr:colOff>
      <xdr:row>28</xdr:row>
      <xdr:rowOff>135421</xdr:rowOff>
    </xdr:to>
    <xdr:pic>
      <xdr:nvPicPr>
        <xdr:cNvPr id="9" name="図 8" descr="http://www.momose.com/hirofumi/elec/dcdc/index.files/image016.gif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7160" y="4507230"/>
          <a:ext cx="304863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8282</xdr:colOff>
      <xdr:row>26</xdr:row>
      <xdr:rowOff>51157</xdr:rowOff>
    </xdr:from>
    <xdr:to>
      <xdr:col>4</xdr:col>
      <xdr:colOff>122582</xdr:colOff>
      <xdr:row>29</xdr:row>
      <xdr:rowOff>29621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5955" y="4508500"/>
          <a:ext cx="7620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276224</xdr:colOff>
      <xdr:row>43</xdr:row>
      <xdr:rowOff>29135</xdr:rowOff>
    </xdr:from>
    <xdr:to>
      <xdr:col>3</xdr:col>
      <xdr:colOff>76199</xdr:colOff>
      <xdr:row>45</xdr:row>
      <xdr:rowOff>73398</xdr:rowOff>
    </xdr:to>
    <xdr:pic>
      <xdr:nvPicPr>
        <xdr:cNvPr id="11" name="図 10" descr="http://www.momose.com/hirofumi/elec/dcdc/index.files/image006.gif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9440" y="7400925"/>
          <a:ext cx="447675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313205</xdr:colOff>
      <xdr:row>43</xdr:row>
      <xdr:rowOff>118221</xdr:rowOff>
    </xdr:from>
    <xdr:to>
      <xdr:col>7</xdr:col>
      <xdr:colOff>284630</xdr:colOff>
      <xdr:row>44</xdr:row>
      <xdr:rowOff>146797</xdr:rowOff>
    </xdr:to>
    <xdr:pic>
      <xdr:nvPicPr>
        <xdr:cNvPr id="12" name="図 11" descr="http://www.momose.com/hirofumi/elec/dcdc/index.files/image004.gif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8455" y="7490460"/>
          <a:ext cx="962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1</xdr:row>
      <xdr:rowOff>161925</xdr:rowOff>
    </xdr:from>
    <xdr:to>
      <xdr:col>20</xdr:col>
      <xdr:colOff>76200</xdr:colOff>
      <xdr:row>4</xdr:row>
      <xdr:rowOff>38100</xdr:rowOff>
    </xdr:to>
    <xdr:pic>
      <xdr:nvPicPr>
        <xdr:cNvPr id="2" name="図 1" descr="http://www.momose.com/hirofumi/elec/dcdc/index.files/image002.gif">
          <a:extLst>
            <a:ext uri="{FF2B5EF4-FFF2-40B4-BE49-F238E27FC236}">
              <a16:creationId xmlns:a16="http://schemas.microsoft.com/office/drawing/2014/main" id="{C5376FE7-19C3-407D-8C9D-259D69BA4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43600" y="333375"/>
          <a:ext cx="9906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</xdr:row>
      <xdr:rowOff>28575</xdr:rowOff>
    </xdr:from>
    <xdr:to>
      <xdr:col>20</xdr:col>
      <xdr:colOff>57150</xdr:colOff>
      <xdr:row>7</xdr:row>
      <xdr:rowOff>57150</xdr:rowOff>
    </xdr:to>
    <xdr:pic>
      <xdr:nvPicPr>
        <xdr:cNvPr id="3" name="図 2" descr="http://www.momose.com/hirofumi/elec/dcdc/index.files/image004.gif">
          <a:extLst>
            <a:ext uri="{FF2B5EF4-FFF2-40B4-BE49-F238E27FC236}">
              <a16:creationId xmlns:a16="http://schemas.microsoft.com/office/drawing/2014/main" id="{448C499A-39BA-4926-A572-C94074350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3125" y="1057275"/>
          <a:ext cx="962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276225</xdr:colOff>
      <xdr:row>8</xdr:row>
      <xdr:rowOff>152400</xdr:rowOff>
    </xdr:from>
    <xdr:to>
      <xdr:col>19</xdr:col>
      <xdr:colOff>76200</xdr:colOff>
      <xdr:row>11</xdr:row>
      <xdr:rowOff>28575</xdr:rowOff>
    </xdr:to>
    <xdr:pic>
      <xdr:nvPicPr>
        <xdr:cNvPr id="4" name="図 3" descr="http://www.momose.com/hirofumi/elec/dcdc/index.files/image006.gif">
          <a:extLst>
            <a:ext uri="{FF2B5EF4-FFF2-40B4-BE49-F238E27FC236}">
              <a16:creationId xmlns:a16="http://schemas.microsoft.com/office/drawing/2014/main" id="{AFBB182D-957C-46E8-996A-E95E09752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62675" y="1524000"/>
          <a:ext cx="4476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262218</xdr:colOff>
      <xdr:row>12</xdr:row>
      <xdr:rowOff>95250</xdr:rowOff>
    </xdr:from>
    <xdr:to>
      <xdr:col>19</xdr:col>
      <xdr:colOff>309843</xdr:colOff>
      <xdr:row>14</xdr:row>
      <xdr:rowOff>142875</xdr:rowOff>
    </xdr:to>
    <xdr:pic>
      <xdr:nvPicPr>
        <xdr:cNvPr id="5" name="図 4" descr="http://www.momose.com/hirofumi/elec/dcdc/index.files/image008.gif">
          <a:extLst>
            <a:ext uri="{FF2B5EF4-FFF2-40B4-BE49-F238E27FC236}">
              <a16:creationId xmlns:a16="http://schemas.microsoft.com/office/drawing/2014/main" id="{B03E5D11-E404-4ECF-BDAB-CF947191C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48668" y="2152650"/>
          <a:ext cx="6953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16</xdr:row>
      <xdr:rowOff>161925</xdr:rowOff>
    </xdr:from>
    <xdr:to>
      <xdr:col>19</xdr:col>
      <xdr:colOff>247650</xdr:colOff>
      <xdr:row>19</xdr:row>
      <xdr:rowOff>38100</xdr:rowOff>
    </xdr:to>
    <xdr:pic>
      <xdr:nvPicPr>
        <xdr:cNvPr id="6" name="図 5" descr="http://www.momose.com/hirofumi/elec/dcdc/index.files/image012.gif">
          <a:extLst>
            <a:ext uri="{FF2B5EF4-FFF2-40B4-BE49-F238E27FC236}">
              <a16:creationId xmlns:a16="http://schemas.microsoft.com/office/drawing/2014/main" id="{EB1D0A55-A0D4-4AA0-9C85-7D6996777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2905125"/>
          <a:ext cx="5334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299635</xdr:colOff>
      <xdr:row>22</xdr:row>
      <xdr:rowOff>152010</xdr:rowOff>
    </xdr:from>
    <xdr:to>
      <xdr:col>20</xdr:col>
      <xdr:colOff>88964</xdr:colOff>
      <xdr:row>25</xdr:row>
      <xdr:rowOff>130474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F2E3051-AEEB-4E6C-9179-970DE1BE4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86085" y="3923910"/>
          <a:ext cx="760879" cy="492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23</xdr:col>
      <xdr:colOff>57150</xdr:colOff>
      <xdr:row>22</xdr:row>
      <xdr:rowOff>85726</xdr:rowOff>
    </xdr:to>
    <xdr:pic>
      <xdr:nvPicPr>
        <xdr:cNvPr id="8" name="図 7" descr="http://www.momose.com/hirofumi/elec/dcdc/index.files/image014.gif">
          <a:extLst>
            <a:ext uri="{FF2B5EF4-FFF2-40B4-BE49-F238E27FC236}">
              <a16:creationId xmlns:a16="http://schemas.microsoft.com/office/drawing/2014/main" id="{1687EE5A-40E0-4218-9DBC-0C7DDBC58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05700" y="3429000"/>
          <a:ext cx="381000" cy="428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289892</xdr:colOff>
      <xdr:row>26</xdr:row>
      <xdr:rowOff>49696</xdr:rowOff>
    </xdr:from>
    <xdr:to>
      <xdr:col>33</xdr:col>
      <xdr:colOff>100220</xdr:colOff>
      <xdr:row>28</xdr:row>
      <xdr:rowOff>135421</xdr:rowOff>
    </xdr:to>
    <xdr:pic>
      <xdr:nvPicPr>
        <xdr:cNvPr id="9" name="図 8" descr="http://www.momose.com/hirofumi/elec/dcdc/index.files/image016.gif">
          <a:extLst>
            <a:ext uri="{FF2B5EF4-FFF2-40B4-BE49-F238E27FC236}">
              <a16:creationId xmlns:a16="http://schemas.microsoft.com/office/drawing/2014/main" id="{ED665634-44D7-4EFE-8234-D5B9556E3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19442" y="4507396"/>
          <a:ext cx="304882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8282</xdr:colOff>
      <xdr:row>26</xdr:row>
      <xdr:rowOff>51157</xdr:rowOff>
    </xdr:from>
    <xdr:to>
      <xdr:col>4</xdr:col>
      <xdr:colOff>122582</xdr:colOff>
      <xdr:row>29</xdr:row>
      <xdr:rowOff>29621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D3584B8-6C62-4511-9741-CF18CB6F8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932" y="4508857"/>
          <a:ext cx="762000" cy="492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276224</xdr:colOff>
      <xdr:row>43</xdr:row>
      <xdr:rowOff>29135</xdr:rowOff>
    </xdr:from>
    <xdr:to>
      <xdr:col>3</xdr:col>
      <xdr:colOff>76199</xdr:colOff>
      <xdr:row>45</xdr:row>
      <xdr:rowOff>73398</xdr:rowOff>
    </xdr:to>
    <xdr:pic>
      <xdr:nvPicPr>
        <xdr:cNvPr id="11" name="図 10" descr="http://www.momose.com/hirofumi/elec/dcdc/index.files/image006.gif">
          <a:extLst>
            <a:ext uri="{FF2B5EF4-FFF2-40B4-BE49-F238E27FC236}">
              <a16:creationId xmlns:a16="http://schemas.microsoft.com/office/drawing/2014/main" id="{E0F1B6E0-A290-4059-A7D4-03F04B4DB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2024" y="7401485"/>
          <a:ext cx="447675" cy="38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313205</xdr:colOff>
      <xdr:row>43</xdr:row>
      <xdr:rowOff>118221</xdr:rowOff>
    </xdr:from>
    <xdr:to>
      <xdr:col>7</xdr:col>
      <xdr:colOff>284630</xdr:colOff>
      <xdr:row>44</xdr:row>
      <xdr:rowOff>146797</xdr:rowOff>
    </xdr:to>
    <xdr:pic>
      <xdr:nvPicPr>
        <xdr:cNvPr id="12" name="図 11" descr="http://www.momose.com/hirofumi/elec/dcdc/index.files/image004.gif">
          <a:extLst>
            <a:ext uri="{FF2B5EF4-FFF2-40B4-BE49-F238E27FC236}">
              <a16:creationId xmlns:a16="http://schemas.microsoft.com/office/drawing/2014/main" id="{020C3C06-8839-4EEA-A3ED-DEE73C944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0555" y="7490571"/>
          <a:ext cx="962025" cy="200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123825</xdr:rowOff>
    </xdr:from>
    <xdr:to>
      <xdr:col>16</xdr:col>
      <xdr:colOff>120348</xdr:colOff>
      <xdr:row>17</xdr:row>
      <xdr:rowOff>0</xdr:rowOff>
    </xdr:to>
    <xdr:pic>
      <xdr:nvPicPr>
        <xdr:cNvPr id="2" name="図形 1" descr="20170404152806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809625"/>
          <a:ext cx="3787473" cy="21050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149087</xdr:colOff>
      <xdr:row>26</xdr:row>
      <xdr:rowOff>49695</xdr:rowOff>
    </xdr:from>
    <xdr:to>
      <xdr:col>18</xdr:col>
      <xdr:colOff>220122</xdr:colOff>
      <xdr:row>30</xdr:row>
      <xdr:rowOff>87289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73F3AE-693E-4C4F-9CFD-0A34A5F15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0826" y="4571999"/>
          <a:ext cx="1561905" cy="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219075</xdr:colOff>
      <xdr:row>14</xdr:row>
      <xdr:rowOff>76200</xdr:rowOff>
    </xdr:from>
    <xdr:to>
      <xdr:col>38</xdr:col>
      <xdr:colOff>28575</xdr:colOff>
      <xdr:row>30</xdr:row>
      <xdr:rowOff>25498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CB6E60-F9DB-42A3-85BC-0F8FA46E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2095500"/>
          <a:ext cx="2324100" cy="269249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228600</xdr:colOff>
      <xdr:row>14</xdr:row>
      <xdr:rowOff>104774</xdr:rowOff>
    </xdr:from>
    <xdr:to>
      <xdr:col>27</xdr:col>
      <xdr:colOff>19050</xdr:colOff>
      <xdr:row>29</xdr:row>
      <xdr:rowOff>28575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CD3635C-D7BD-47D7-8DB9-26EA121D9BF1}"/>
            </a:ext>
          </a:extLst>
        </xdr:cNvPr>
        <xdr:cNvGrpSpPr/>
      </xdr:nvGrpSpPr>
      <xdr:grpSpPr>
        <a:xfrm>
          <a:off x="6273312" y="3020889"/>
          <a:ext cx="2625969" cy="2451590"/>
          <a:chOff x="6257925" y="2124074"/>
          <a:chExt cx="2619375" cy="2495551"/>
        </a:xfrm>
      </xdr:grpSpPr>
      <xdr:pic>
        <xdr:nvPicPr>
          <xdr:cNvPr id="2" name="Picture 1" descr="http://www.ibsjapan.co.jp/html/connection/images/feature03.jpg">
            <a:extLst>
              <a:ext uri="{FF2B5EF4-FFF2-40B4-BE49-F238E27FC236}">
                <a16:creationId xmlns:a16="http://schemas.microsoft.com/office/drawing/2014/main" id="{107D3254-244D-4DC7-91CF-C609F20DB26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372225" y="2247900"/>
            <a:ext cx="2378319" cy="8425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BA6EE194-02A7-49C9-AD94-2B2A57BC77AA}"/>
              </a:ext>
            </a:extLst>
          </xdr:cNvPr>
          <xdr:cNvSpPr txBox="1"/>
        </xdr:nvSpPr>
        <xdr:spPr>
          <a:xfrm>
            <a:off x="6610350" y="3143250"/>
            <a:ext cx="2200275" cy="13648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pt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：電力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(dBm)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：通信周波数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(MHz)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gt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：送信側アンテナゲイン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(dBi)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gr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：受信側アンテナゲイン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(dBi)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pr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：受信側感度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(dBm)</a:t>
            </a:r>
            <a:r>
              <a:rPr lang="en-US" altLang="ja-JP"/>
              <a:t> </a:t>
            </a:r>
          </a:p>
          <a:p>
            <a:endParaRPr lang="en-US" altLang="ja-JP"/>
          </a:p>
          <a:p>
            <a:r>
              <a:rPr kumimoji="1" lang="en-US" altLang="ja-JP" sz="1100"/>
              <a:t>※</a:t>
            </a:r>
            <a:r>
              <a:rPr kumimoji="1" lang="ja-JP" altLang="en-US" sz="1100"/>
              <a:t>こちらで計算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BC9773C-1552-4DC9-87F0-87CBEE4E2E77}"/>
              </a:ext>
            </a:extLst>
          </xdr:cNvPr>
          <xdr:cNvSpPr/>
        </xdr:nvSpPr>
        <xdr:spPr>
          <a:xfrm>
            <a:off x="6257925" y="2124074"/>
            <a:ext cx="2619375" cy="249555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142875</xdr:colOff>
      <xdr:row>22</xdr:row>
      <xdr:rowOff>0</xdr:rowOff>
    </xdr:from>
    <xdr:to>
      <xdr:col>11</xdr:col>
      <xdr:colOff>285750</xdr:colOff>
      <xdr:row>24</xdr:row>
      <xdr:rowOff>56745</xdr:rowOff>
    </xdr:to>
    <xdr:sp macro="" textlink="">
      <xdr:nvSpPr>
        <xdr:cNvPr id="7" name="右中かっこ 6">
          <a:extLst>
            <a:ext uri="{FF2B5EF4-FFF2-40B4-BE49-F238E27FC236}">
              <a16:creationId xmlns:a16="http://schemas.microsoft.com/office/drawing/2014/main" id="{56BB7B0E-4277-4B00-9925-875EF47678B9}"/>
            </a:ext>
          </a:extLst>
        </xdr:cNvPr>
        <xdr:cNvSpPr/>
      </xdr:nvSpPr>
      <xdr:spPr>
        <a:xfrm>
          <a:off x="3989354" y="3368202"/>
          <a:ext cx="142875" cy="397213"/>
        </a:xfrm>
        <a:prstGeom prst="rightBrace">
          <a:avLst>
            <a:gd name="adj1" fmla="val 8333"/>
            <a:gd name="adj2" fmla="val 26531"/>
          </a:avLst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219075</xdr:colOff>
      <xdr:row>14</xdr:row>
      <xdr:rowOff>76200</xdr:rowOff>
    </xdr:from>
    <xdr:to>
      <xdr:col>40</xdr:col>
      <xdr:colOff>28575</xdr:colOff>
      <xdr:row>30</xdr:row>
      <xdr:rowOff>16073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4E1A50-6829-4FC6-A5AF-570E9DE5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4133850"/>
          <a:ext cx="2324100" cy="27000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20</xdr:col>
      <xdr:colOff>228600</xdr:colOff>
      <xdr:row>14</xdr:row>
      <xdr:rowOff>104774</xdr:rowOff>
    </xdr:from>
    <xdr:to>
      <xdr:col>29</xdr:col>
      <xdr:colOff>19050</xdr:colOff>
      <xdr:row>29</xdr:row>
      <xdr:rowOff>28575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2ED3D165-93BE-4A20-8D94-BC81A9A72BF8}"/>
            </a:ext>
          </a:extLst>
        </xdr:cNvPr>
        <xdr:cNvGrpSpPr/>
      </xdr:nvGrpSpPr>
      <xdr:grpSpPr>
        <a:xfrm>
          <a:off x="6896100" y="3069948"/>
          <a:ext cx="2623102" cy="2532823"/>
          <a:chOff x="6257925" y="2124074"/>
          <a:chExt cx="2619375" cy="2495551"/>
        </a:xfrm>
      </xdr:grpSpPr>
      <xdr:pic>
        <xdr:nvPicPr>
          <xdr:cNvPr id="4" name="Picture 1" descr="http://www.ibsjapan.co.jp/html/connection/images/feature03.jpg">
            <a:extLst>
              <a:ext uri="{FF2B5EF4-FFF2-40B4-BE49-F238E27FC236}">
                <a16:creationId xmlns:a16="http://schemas.microsoft.com/office/drawing/2014/main" id="{B0DCCC2C-2675-4075-A7B9-6407FA99E8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372225" y="2247900"/>
            <a:ext cx="2378319" cy="8425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C50D554F-8726-4588-9534-8A82BEE19079}"/>
              </a:ext>
            </a:extLst>
          </xdr:cNvPr>
          <xdr:cNvSpPr txBox="1"/>
        </xdr:nvSpPr>
        <xdr:spPr>
          <a:xfrm>
            <a:off x="6610350" y="3143250"/>
            <a:ext cx="2200275" cy="13648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pt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：電力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(dBm)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：通信周波数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(MHz)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gt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：送信側アンテナゲイン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(dBi)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gr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：受信側アンテナゲイン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(dBi)</a:t>
            </a:r>
            <a:r>
              <a:rPr lang="en-US" altLang="ja-JP"/>
              <a:t> </a:t>
            </a:r>
          </a:p>
          <a:p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pr</a:t>
            </a:r>
            <a:r>
              <a:rPr lang="ja-JP" altLang="en-US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：受信側感度 </a:t>
            </a:r>
            <a:r>
              <a:rPr lang="en-US" altLang="ja-JP" sz="1100" b="0" i="0" u="none" strike="noStrike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(dBm)</a:t>
            </a:r>
            <a:r>
              <a:rPr lang="en-US" altLang="ja-JP"/>
              <a:t> </a:t>
            </a:r>
          </a:p>
          <a:p>
            <a:endParaRPr lang="en-US" altLang="ja-JP"/>
          </a:p>
          <a:p>
            <a:r>
              <a:rPr kumimoji="1" lang="en-US" altLang="ja-JP" sz="1100"/>
              <a:t>※</a:t>
            </a:r>
            <a:r>
              <a:rPr kumimoji="1" lang="ja-JP" altLang="en-US" sz="1100"/>
              <a:t>こちらで計算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D0D702E-ABCF-4B85-96EC-111CD046D6ED}"/>
              </a:ext>
            </a:extLst>
          </xdr:cNvPr>
          <xdr:cNvSpPr/>
        </xdr:nvSpPr>
        <xdr:spPr>
          <a:xfrm>
            <a:off x="6257925" y="2124074"/>
            <a:ext cx="2619375" cy="249555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142875</xdr:colOff>
      <xdr:row>22</xdr:row>
      <xdr:rowOff>0</xdr:rowOff>
    </xdr:from>
    <xdr:to>
      <xdr:col>13</xdr:col>
      <xdr:colOff>285750</xdr:colOff>
      <xdr:row>24</xdr:row>
      <xdr:rowOff>56745</xdr:rowOff>
    </xdr:to>
    <xdr:sp macro="" textlink="">
      <xdr:nvSpPr>
        <xdr:cNvPr id="7" name="右中かっこ 6">
          <a:extLst>
            <a:ext uri="{FF2B5EF4-FFF2-40B4-BE49-F238E27FC236}">
              <a16:creationId xmlns:a16="http://schemas.microsoft.com/office/drawing/2014/main" id="{C00ADA76-635B-4DCB-AC7C-D35988ABDC37}"/>
            </a:ext>
          </a:extLst>
        </xdr:cNvPr>
        <xdr:cNvSpPr/>
      </xdr:nvSpPr>
      <xdr:spPr>
        <a:xfrm>
          <a:off x="4600575" y="5962650"/>
          <a:ext cx="142875" cy="532995"/>
        </a:xfrm>
        <a:prstGeom prst="rightBrace">
          <a:avLst>
            <a:gd name="adj1" fmla="val 8333"/>
            <a:gd name="adj2" fmla="val 26531"/>
          </a:avLst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2</xdr:row>
      <xdr:rowOff>114300</xdr:rowOff>
    </xdr:from>
    <xdr:to>
      <xdr:col>9</xdr:col>
      <xdr:colOff>82868</xdr:colOff>
      <xdr:row>18</xdr:row>
      <xdr:rowOff>83820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864C522-50E2-4B8F-856E-2FDFE3D99CCE}"/>
            </a:ext>
          </a:extLst>
        </xdr:cNvPr>
        <xdr:cNvGrpSpPr/>
      </xdr:nvGrpSpPr>
      <xdr:grpSpPr>
        <a:xfrm>
          <a:off x="2667000" y="590550"/>
          <a:ext cx="3588068" cy="2712720"/>
          <a:chOff x="2560320" y="220980"/>
          <a:chExt cx="3176588" cy="265176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A826938-C379-4105-A461-0FB37CF255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60320" y="220980"/>
            <a:ext cx="3176588" cy="175260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101BFAFA-940C-4430-8741-D89251397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74720" y="1965960"/>
            <a:ext cx="1592580" cy="906780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</xdr:row>
      <xdr:rowOff>161925</xdr:rowOff>
    </xdr:from>
    <xdr:to>
      <xdr:col>8</xdr:col>
      <xdr:colOff>537883</xdr:colOff>
      <xdr:row>18</xdr:row>
      <xdr:rowOff>32789</xdr:rowOff>
    </xdr:to>
    <xdr:pic>
      <xdr:nvPicPr>
        <xdr:cNvPr id="4" name="図 3" descr="http://www.zea.jp/audio/schematic/sc_file/cimage/018a.gif">
          <a:extLst>
            <a:ext uri="{FF2B5EF4-FFF2-40B4-BE49-F238E27FC236}">
              <a16:creationId xmlns:a16="http://schemas.microsoft.com/office/drawing/2014/main" id="{B5485EFB-C43D-4B59-877D-4F3422E93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59" y="1192866"/>
          <a:ext cx="6004112" cy="2056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124386</xdr:colOff>
      <xdr:row>22</xdr:row>
      <xdr:rowOff>44824</xdr:rowOff>
    </xdr:from>
    <xdr:to>
      <xdr:col>6</xdr:col>
      <xdr:colOff>733986</xdr:colOff>
      <xdr:row>32</xdr:row>
      <xdr:rowOff>44824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0AAAF-572B-4575-946A-0E1C03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945" y="3933265"/>
          <a:ext cx="4531659" cy="168088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7</xdr:row>
      <xdr:rowOff>0</xdr:rowOff>
    </xdr:from>
    <xdr:to>
      <xdr:col>23</xdr:col>
      <xdr:colOff>304800</xdr:colOff>
      <xdr:row>10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1333500"/>
          <a:ext cx="2419350" cy="5619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214106</xdr:colOff>
      <xdr:row>17</xdr:row>
      <xdr:rowOff>56322</xdr:rowOff>
    </xdr:to>
    <xdr:pic>
      <xdr:nvPicPr>
        <xdr:cNvPr id="2" name="図 1" descr="http://www.excel.studio-kazu.jp/func/img/log01.jpg">
          <a:extLst>
            <a:ext uri="{FF2B5EF4-FFF2-40B4-BE49-F238E27FC236}">
              <a16:creationId xmlns:a16="http://schemas.microsoft.com/office/drawing/2014/main" id="{D51FC1BE-01EE-4120-B5AE-B9582FC6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4328906" cy="2628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7</xdr:col>
      <xdr:colOff>457200</xdr:colOff>
      <xdr:row>53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38C305-A733-4222-A640-2D1EC5F1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562350"/>
          <a:ext cx="45720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114300</xdr:rowOff>
    </xdr:from>
    <xdr:to>
      <xdr:col>13</xdr:col>
      <xdr:colOff>457200</xdr:colOff>
      <xdr:row>57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7E3D96-BEA5-426D-AA7C-F80F8FFE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6591300"/>
          <a:ext cx="8696325" cy="56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38100</xdr:rowOff>
    </xdr:from>
    <xdr:to>
      <xdr:col>7</xdr:col>
      <xdr:colOff>171330</xdr:colOff>
      <xdr:row>22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A2B29F-C2A6-472F-BA71-D5CC90C0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714500"/>
          <a:ext cx="4286130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22</xdr:row>
      <xdr:rowOff>95250</xdr:rowOff>
    </xdr:from>
    <xdr:to>
      <xdr:col>4</xdr:col>
      <xdr:colOff>123826</xdr:colOff>
      <xdr:row>26</xdr:row>
      <xdr:rowOff>10258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FA8961-EDD1-4FF2-AC5A-E140398D6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4000500"/>
          <a:ext cx="2190750" cy="60080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22860</xdr:rowOff>
    </xdr:from>
    <xdr:to>
      <xdr:col>9</xdr:col>
      <xdr:colOff>297180</xdr:colOff>
      <xdr:row>11</xdr:row>
      <xdr:rowOff>54596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95EE56-1D25-4557-A065-80FDBE8CE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358140"/>
          <a:ext cx="2110740" cy="167003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152400</xdr:rowOff>
    </xdr:from>
    <xdr:to>
      <xdr:col>3</xdr:col>
      <xdr:colOff>129540</xdr:colOff>
      <xdr:row>7</xdr:row>
      <xdr:rowOff>68580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D850FF-A364-4C26-A7AC-1E280D54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" y="990600"/>
          <a:ext cx="1287780" cy="251460"/>
        </a:xfrm>
        <a:prstGeom prst="rect">
          <a:avLst/>
        </a:prstGeom>
      </xdr:spPr>
    </xdr:pic>
    <xdr:clientData/>
  </xdr:twoCellAnchor>
  <xdr:twoCellAnchor editAs="oneCell">
    <xdr:from>
      <xdr:col>5</xdr:col>
      <xdr:colOff>20460</xdr:colOff>
      <xdr:row>4</xdr:row>
      <xdr:rowOff>43320</xdr:rowOff>
    </xdr:from>
    <xdr:to>
      <xdr:col>12</xdr:col>
      <xdr:colOff>12840</xdr:colOff>
      <xdr:row>5</xdr:row>
      <xdr:rowOff>119520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44B149-1671-4656-9848-91DF5CE01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4620" y="713880"/>
          <a:ext cx="4312920" cy="24384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8</xdr:row>
      <xdr:rowOff>0</xdr:rowOff>
    </xdr:from>
    <xdr:to>
      <xdr:col>4</xdr:col>
      <xdr:colOff>28575</xdr:colOff>
      <xdr:row>8</xdr:row>
      <xdr:rowOff>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AA5B75F-2BFC-4300-8D66-DC6064E8BA45}"/>
            </a:ext>
          </a:extLst>
        </xdr:cNvPr>
        <xdr:cNvCxnSpPr/>
      </xdr:nvCxnSpPr>
      <xdr:spPr>
        <a:xfrm>
          <a:off x="638175" y="1200150"/>
          <a:ext cx="533400" cy="0"/>
        </a:xfrm>
        <a:prstGeom prst="line">
          <a:avLst/>
        </a:prstGeom>
        <a:ln w="28575">
          <a:solidFill>
            <a:schemeClr val="accent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6</xdr:row>
      <xdr:rowOff>161925</xdr:rowOff>
    </xdr:from>
    <xdr:to>
      <xdr:col>6</xdr:col>
      <xdr:colOff>180975</xdr:colOff>
      <xdr:row>12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F98802D-CFC5-478D-B5A5-3D1562F4A18D}"/>
            </a:ext>
          </a:extLst>
        </xdr:cNvPr>
        <xdr:cNvSpPr/>
      </xdr:nvSpPr>
      <xdr:spPr>
        <a:xfrm>
          <a:off x="1171575" y="1019175"/>
          <a:ext cx="723900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DCDC</a:t>
          </a: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190500</xdr:colOff>
      <xdr:row>10</xdr:row>
      <xdr:rowOff>0</xdr:rowOff>
    </xdr:from>
    <xdr:to>
      <xdr:col>8</xdr:col>
      <xdr:colOff>47625</xdr:colOff>
      <xdr:row>10</xdr:row>
      <xdr:rowOff>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2E302F04-61D3-42ED-876D-F35BC51F8A54}"/>
            </a:ext>
          </a:extLst>
        </xdr:cNvPr>
        <xdr:cNvCxnSpPr/>
      </xdr:nvCxnSpPr>
      <xdr:spPr>
        <a:xfrm>
          <a:off x="1905000" y="1543050"/>
          <a:ext cx="428625" cy="0"/>
        </a:xfrm>
        <a:prstGeom prst="line">
          <a:avLst/>
        </a:prstGeom>
        <a:ln w="28575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38100</xdr:rowOff>
    </xdr:from>
    <xdr:to>
      <xdr:col>12</xdr:col>
      <xdr:colOff>176150</xdr:colOff>
      <xdr:row>20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BB136A-C07F-47A7-8F7F-127872F8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895350"/>
          <a:ext cx="2624075" cy="220027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47624</xdr:colOff>
      <xdr:row>7</xdr:row>
      <xdr:rowOff>76200</xdr:rowOff>
    </xdr:from>
    <xdr:to>
      <xdr:col>29</xdr:col>
      <xdr:colOff>245745</xdr:colOff>
      <xdr:row>18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9126CC-2137-4F98-87AC-A187EB4A0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074" y="933450"/>
          <a:ext cx="3912871" cy="18573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28575</xdr:rowOff>
    </xdr:from>
    <xdr:to>
      <xdr:col>13</xdr:col>
      <xdr:colOff>219075</xdr:colOff>
      <xdr:row>14</xdr:row>
      <xdr:rowOff>123082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98A01E-6AD0-4865-9CD7-2EB442B4B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62150"/>
          <a:ext cx="9563100" cy="7803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</xdr:row>
      <xdr:rowOff>38100</xdr:rowOff>
    </xdr:from>
    <xdr:to>
      <xdr:col>3</xdr:col>
      <xdr:colOff>9318</xdr:colOff>
      <xdr:row>9</xdr:row>
      <xdr:rowOff>152364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B862EC-96E8-49D9-841D-9895C6E29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409700"/>
          <a:ext cx="1657143" cy="2857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6</xdr:row>
      <xdr:rowOff>9525</xdr:rowOff>
    </xdr:from>
    <xdr:to>
      <xdr:col>9</xdr:col>
      <xdr:colOff>408823</xdr:colOff>
      <xdr:row>49</xdr:row>
      <xdr:rowOff>122889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25C16E-CB03-44F3-A993-70812617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171575"/>
          <a:ext cx="6019048" cy="7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627530</xdr:colOff>
      <xdr:row>27</xdr:row>
      <xdr:rowOff>44823</xdr:rowOff>
    </xdr:from>
    <xdr:to>
      <xdr:col>15</xdr:col>
      <xdr:colOff>223624</xdr:colOff>
      <xdr:row>48</xdr:row>
      <xdr:rowOff>145676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9B0D3A-2D20-434D-8BD5-88D1ECAE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5795" y="4717676"/>
          <a:ext cx="3697447" cy="363070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20</xdr:row>
      <xdr:rowOff>0</xdr:rowOff>
    </xdr:from>
    <xdr:to>
      <xdr:col>9</xdr:col>
      <xdr:colOff>85725</xdr:colOff>
      <xdr:row>21</xdr:row>
      <xdr:rowOff>153403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06FA4B-E02B-44DE-AF30-D157EF09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562350"/>
          <a:ext cx="2286000" cy="324853"/>
        </a:xfrm>
        <a:prstGeom prst="rect">
          <a:avLst/>
        </a:prstGeom>
      </xdr:spPr>
    </xdr:pic>
    <xdr:clientData/>
  </xdr:twoCellAnchor>
  <xdr:oneCellAnchor>
    <xdr:from>
      <xdr:col>12</xdr:col>
      <xdr:colOff>161925</xdr:colOff>
      <xdr:row>15</xdr:row>
      <xdr:rowOff>9525</xdr:rowOff>
    </xdr:from>
    <xdr:ext cx="332783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735814B-3040-423B-B26E-2A01865E1451}"/>
            </a:ext>
          </a:extLst>
        </xdr:cNvPr>
        <xdr:cNvSpPr txBox="1"/>
      </xdr:nvSpPr>
      <xdr:spPr>
        <a:xfrm>
          <a:off x="3590925" y="2238375"/>
          <a:ext cx="33278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R1</a:t>
          </a:r>
          <a:endParaRPr kumimoji="1" lang="ja-JP" altLang="en-US" sz="1100"/>
        </a:p>
      </xdr:txBody>
    </xdr:sp>
    <xdr:clientData/>
  </xdr:oneCellAnchor>
  <xdr:oneCellAnchor>
    <xdr:from>
      <xdr:col>12</xdr:col>
      <xdr:colOff>161925</xdr:colOff>
      <xdr:row>17</xdr:row>
      <xdr:rowOff>123825</xdr:rowOff>
    </xdr:from>
    <xdr:ext cx="332783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59B5E1B-005A-4EED-8A39-02DBCA5BB36F}"/>
            </a:ext>
          </a:extLst>
        </xdr:cNvPr>
        <xdr:cNvSpPr txBox="1"/>
      </xdr:nvSpPr>
      <xdr:spPr>
        <a:xfrm>
          <a:off x="3590925" y="2695575"/>
          <a:ext cx="33278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R2</a:t>
          </a:r>
          <a:endParaRPr kumimoji="1" lang="ja-JP" altLang="en-US" sz="1100"/>
        </a:p>
      </xdr:txBody>
    </xdr:sp>
    <xdr:clientData/>
  </xdr:oneCellAnchor>
  <xdr:twoCellAnchor editAs="oneCell">
    <xdr:from>
      <xdr:col>1</xdr:col>
      <xdr:colOff>219075</xdr:colOff>
      <xdr:row>6</xdr:row>
      <xdr:rowOff>94685</xdr:rowOff>
    </xdr:from>
    <xdr:to>
      <xdr:col>15</xdr:col>
      <xdr:colOff>228600</xdr:colOff>
      <xdr:row>20</xdr:row>
      <xdr:rowOff>18733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5029EAF-FB3E-427A-948C-D87D7CFA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123385"/>
          <a:ext cx="4019550" cy="232434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8</xdr:row>
      <xdr:rowOff>142875</xdr:rowOff>
    </xdr:from>
    <xdr:to>
      <xdr:col>20</xdr:col>
      <xdr:colOff>85725</xdr:colOff>
      <xdr:row>22</xdr:row>
      <xdr:rowOff>63933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71F19EA-7A0F-4D82-9B42-C8E9F0DE5E11}"/>
            </a:ext>
          </a:extLst>
        </xdr:cNvPr>
        <xdr:cNvGrpSpPr/>
      </xdr:nvGrpSpPr>
      <xdr:grpSpPr>
        <a:xfrm>
          <a:off x="609600" y="1666875"/>
          <a:ext cx="4619625" cy="2321358"/>
          <a:chOff x="1057275" y="790575"/>
          <a:chExt cx="4181103" cy="2321358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11828CD-5D14-495A-A104-E1170351EA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7275" y="790575"/>
            <a:ext cx="4181103" cy="1707313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C8C3B7DD-17DB-4FE0-9DAC-9811E37282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65665" y="2235743"/>
            <a:ext cx="2390476" cy="876190"/>
          </a:xfrm>
          <a:prstGeom prst="rect">
            <a:avLst/>
          </a:prstGeom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0</xdr:colOff>
      <xdr:row>20</xdr:row>
      <xdr:rowOff>108879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B7FC07-9C81-47DC-8F9E-BDFC8E0C7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352550"/>
          <a:ext cx="3086100" cy="2337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200025</xdr:colOff>
      <xdr:row>11</xdr:row>
      <xdr:rowOff>66675</xdr:rowOff>
    </xdr:from>
    <xdr:to>
      <xdr:col>19</xdr:col>
      <xdr:colOff>79009</xdr:colOff>
      <xdr:row>14</xdr:row>
      <xdr:rowOff>49968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09938EB-F5AD-4FC6-ACF0-D9FDA99BADB5}"/>
            </a:ext>
          </a:extLst>
        </xdr:cNvPr>
        <xdr:cNvSpPr/>
      </xdr:nvSpPr>
      <xdr:spPr>
        <a:xfrm>
          <a:off x="3286125" y="2105025"/>
          <a:ext cx="1679209" cy="49764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500k</a:t>
          </a:r>
          <a:r>
            <a:rPr kumimoji="1" lang="ja-JP" altLang="en-US"/>
            <a:t>～</a:t>
          </a:r>
          <a:r>
            <a:rPr kumimoji="1" lang="en-US" altLang="ja-JP"/>
            <a:t>1MHz</a:t>
          </a:r>
          <a:endParaRPr lang="ja-JP" altLang="en-US"/>
        </a:p>
      </xdr:txBody>
    </xdr:sp>
    <xdr:clientData/>
  </xdr:twoCellAnchor>
  <xdr:twoCellAnchor>
    <xdr:from>
      <xdr:col>13</xdr:col>
      <xdr:colOff>46753</xdr:colOff>
      <xdr:row>11</xdr:row>
      <xdr:rowOff>149834</xdr:rowOff>
    </xdr:from>
    <xdr:to>
      <xdr:col>15</xdr:col>
      <xdr:colOff>130330</xdr:colOff>
      <xdr:row>11</xdr:row>
      <xdr:rowOff>149834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BEB94AC-9781-4F27-98B6-B6F6FBE6B493}"/>
            </a:ext>
          </a:extLst>
        </xdr:cNvPr>
        <xdr:cNvCxnSpPr>
          <a:cxnSpLocks/>
        </xdr:cNvCxnSpPr>
      </xdr:nvCxnSpPr>
      <xdr:spPr>
        <a:xfrm>
          <a:off x="3390028" y="2188184"/>
          <a:ext cx="597927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14</xdr:row>
      <xdr:rowOff>161925</xdr:rowOff>
    </xdr:from>
    <xdr:to>
      <xdr:col>6</xdr:col>
      <xdr:colOff>33373</xdr:colOff>
      <xdr:row>16</xdr:row>
      <xdr:rowOff>56379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3342570-1B5B-477B-8FEE-D25C83563CE3}"/>
            </a:ext>
          </a:extLst>
        </xdr:cNvPr>
        <xdr:cNvCxnSpPr>
          <a:cxnSpLocks/>
        </xdr:cNvCxnSpPr>
      </xdr:nvCxnSpPr>
      <xdr:spPr>
        <a:xfrm flipV="1">
          <a:off x="1314450" y="2714625"/>
          <a:ext cx="261973" cy="237354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22</xdr:row>
      <xdr:rowOff>161925</xdr:rowOff>
    </xdr:from>
    <xdr:to>
      <xdr:col>10</xdr:col>
      <xdr:colOff>104476</xdr:colOff>
      <xdr:row>26</xdr:row>
      <xdr:rowOff>114220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E2A1E5-3244-4F5D-A55A-D2960C06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810000"/>
          <a:ext cx="2390476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8</xdr:row>
      <xdr:rowOff>114300</xdr:rowOff>
    </xdr:from>
    <xdr:to>
      <xdr:col>19</xdr:col>
      <xdr:colOff>228015</xdr:colOff>
      <xdr:row>22</xdr:row>
      <xdr:rowOff>66381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2C3F97-FE7B-4DD8-90D4-1AE154C7A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704975"/>
          <a:ext cx="4676190" cy="2352381"/>
        </a:xfrm>
        <a:prstGeom prst="rect">
          <a:avLst/>
        </a:prstGeom>
      </xdr:spPr>
    </xdr:pic>
    <xdr:clientData/>
  </xdr:twoCellAnchor>
  <xdr:twoCellAnchor>
    <xdr:from>
      <xdr:col>13</xdr:col>
      <xdr:colOff>209550</xdr:colOff>
      <xdr:row>14</xdr:row>
      <xdr:rowOff>47624</xdr:rowOff>
    </xdr:from>
    <xdr:to>
      <xdr:col>18</xdr:col>
      <xdr:colOff>219075</xdr:colOff>
      <xdr:row>20</xdr:row>
      <xdr:rowOff>171449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BB1714E-1A1E-40F9-892A-C368C68127CF}"/>
            </a:ext>
          </a:extLst>
        </xdr:cNvPr>
        <xdr:cNvSpPr/>
      </xdr:nvSpPr>
      <xdr:spPr>
        <a:xfrm>
          <a:off x="3552825" y="2324099"/>
          <a:ext cx="1295400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38100</xdr:colOff>
      <xdr:row>23</xdr:row>
      <xdr:rowOff>85725</xdr:rowOff>
    </xdr:from>
    <xdr:to>
      <xdr:col>34</xdr:col>
      <xdr:colOff>171112</xdr:colOff>
      <xdr:row>28</xdr:row>
      <xdr:rowOff>18951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0BB3D1-BED2-484F-BF46-9FAA4188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0300" y="4248150"/>
          <a:ext cx="2704762" cy="7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8</xdr:row>
      <xdr:rowOff>47625</xdr:rowOff>
    </xdr:from>
    <xdr:to>
      <xdr:col>36</xdr:col>
      <xdr:colOff>132955</xdr:colOff>
      <xdr:row>24</xdr:row>
      <xdr:rowOff>9187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2713A3-D9BC-41E4-8C97-3A495933B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9350" y="1638300"/>
          <a:ext cx="3161905" cy="2704762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6</xdr:row>
      <xdr:rowOff>85725</xdr:rowOff>
    </xdr:from>
    <xdr:to>
      <xdr:col>20</xdr:col>
      <xdr:colOff>180975</xdr:colOff>
      <xdr:row>34</xdr:row>
      <xdr:rowOff>123825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EA8F64B-78EE-447E-BA9A-9D75FDFBC580}"/>
            </a:ext>
          </a:extLst>
        </xdr:cNvPr>
        <xdr:cNvSpPr/>
      </xdr:nvSpPr>
      <xdr:spPr>
        <a:xfrm>
          <a:off x="152400" y="1333500"/>
          <a:ext cx="5172075" cy="48387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228600</xdr:colOff>
      <xdr:row>6</xdr:row>
      <xdr:rowOff>85725</xdr:rowOff>
    </xdr:from>
    <xdr:to>
      <xdr:col>43</xdr:col>
      <xdr:colOff>0</xdr:colOff>
      <xdr:row>34</xdr:row>
      <xdr:rowOff>123825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41681B9-BCCF-4F73-89EC-7B10AD36CF2D}"/>
            </a:ext>
          </a:extLst>
        </xdr:cNvPr>
        <xdr:cNvSpPr/>
      </xdr:nvSpPr>
      <xdr:spPr>
        <a:xfrm>
          <a:off x="5886450" y="1333500"/>
          <a:ext cx="5172075" cy="48387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104775</xdr:colOff>
      <xdr:row>6</xdr:row>
      <xdr:rowOff>95250</xdr:rowOff>
    </xdr:from>
    <xdr:to>
      <xdr:col>64</xdr:col>
      <xdr:colOff>133350</xdr:colOff>
      <xdr:row>34</xdr:row>
      <xdr:rowOff>133350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0A03E18-2ECC-44EB-8269-5F27317BC05A}"/>
            </a:ext>
          </a:extLst>
        </xdr:cNvPr>
        <xdr:cNvSpPr/>
      </xdr:nvSpPr>
      <xdr:spPr>
        <a:xfrm>
          <a:off x="11420475" y="1343025"/>
          <a:ext cx="5172075" cy="48387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46</xdr:col>
      <xdr:colOff>0</xdr:colOff>
      <xdr:row>8</xdr:row>
      <xdr:rowOff>123825</xdr:rowOff>
    </xdr:from>
    <xdr:to>
      <xdr:col>64</xdr:col>
      <xdr:colOff>47040</xdr:colOff>
      <xdr:row>22</xdr:row>
      <xdr:rowOff>75906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5D3D6A-129D-43C5-829F-B8EAE3ADB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0050" y="1714500"/>
          <a:ext cx="4676190" cy="2352381"/>
        </a:xfrm>
        <a:prstGeom prst="rect">
          <a:avLst/>
        </a:prstGeom>
      </xdr:spPr>
    </xdr:pic>
    <xdr:clientData/>
  </xdr:twoCellAnchor>
  <xdr:twoCellAnchor>
    <xdr:from>
      <xdr:col>55</xdr:col>
      <xdr:colOff>19050</xdr:colOff>
      <xdr:row>8</xdr:row>
      <xdr:rowOff>133350</xdr:rowOff>
    </xdr:from>
    <xdr:to>
      <xdr:col>56</xdr:col>
      <xdr:colOff>247650</xdr:colOff>
      <xdr:row>12</xdr:row>
      <xdr:rowOff>85726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B31C827-5FA3-4DA6-AC2E-2BF0F9F8B4A6}"/>
            </a:ext>
          </a:extLst>
        </xdr:cNvPr>
        <xdr:cNvSpPr/>
      </xdr:nvSpPr>
      <xdr:spPr>
        <a:xfrm>
          <a:off x="14163675" y="1724025"/>
          <a:ext cx="485775" cy="638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57150</xdr:colOff>
      <xdr:row>21</xdr:row>
      <xdr:rowOff>114300</xdr:rowOff>
    </xdr:from>
    <xdr:to>
      <xdr:col>57</xdr:col>
      <xdr:colOff>56925</xdr:colOff>
      <xdr:row>25</xdr:row>
      <xdr:rowOff>38024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7B94FFB-F095-461D-9786-2FB117659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5900" y="3933825"/>
          <a:ext cx="1800000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40</xdr:row>
      <xdr:rowOff>19050</xdr:rowOff>
    </xdr:from>
    <xdr:to>
      <xdr:col>10</xdr:col>
      <xdr:colOff>247351</xdr:colOff>
      <xdr:row>46</xdr:row>
      <xdr:rowOff>76064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7682149-F893-49AC-B3A3-9A1076214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" y="7096125"/>
          <a:ext cx="2390476" cy="10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40</xdr:row>
      <xdr:rowOff>57150</xdr:rowOff>
    </xdr:from>
    <xdr:to>
      <xdr:col>31</xdr:col>
      <xdr:colOff>56536</xdr:colOff>
      <xdr:row>59</xdr:row>
      <xdr:rowOff>28171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FE3A1C8-ACA4-443B-B715-0762226B2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4675" y="7134225"/>
          <a:ext cx="4914286" cy="3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59</xdr:row>
      <xdr:rowOff>104775</xdr:rowOff>
    </xdr:from>
    <xdr:to>
      <xdr:col>31</xdr:col>
      <xdr:colOff>192434</xdr:colOff>
      <xdr:row>62</xdr:row>
      <xdr:rowOff>19050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314149B-98EE-48D1-92A9-757C92DA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"/>
          <a:ext cx="7402859" cy="428625"/>
        </a:xfrm>
        <a:prstGeom prst="rect">
          <a:avLst/>
        </a:prstGeom>
      </xdr:spPr>
    </xdr:pic>
    <xdr:clientData/>
  </xdr:twoCellAnchor>
  <xdr:twoCellAnchor>
    <xdr:from>
      <xdr:col>27</xdr:col>
      <xdr:colOff>219075</xdr:colOff>
      <xdr:row>11</xdr:row>
      <xdr:rowOff>152399</xdr:rowOff>
    </xdr:from>
    <xdr:to>
      <xdr:col>30</xdr:col>
      <xdr:colOff>85725</xdr:colOff>
      <xdr:row>23</xdr:row>
      <xdr:rowOff>85725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6571202-16EA-42BF-A974-F3D16C63F31C}"/>
            </a:ext>
          </a:extLst>
        </xdr:cNvPr>
        <xdr:cNvSpPr/>
      </xdr:nvSpPr>
      <xdr:spPr>
        <a:xfrm>
          <a:off x="7162800" y="2257424"/>
          <a:ext cx="638175" cy="1990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1</xdr:row>
      <xdr:rowOff>47625</xdr:rowOff>
    </xdr:from>
    <xdr:to>
      <xdr:col>13</xdr:col>
      <xdr:colOff>18845</xdr:colOff>
      <xdr:row>5</xdr:row>
      <xdr:rowOff>123730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7EF1F2-2768-41B4-B415-39556E8D2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219075"/>
          <a:ext cx="1638095" cy="76190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26607</xdr:colOff>
      <xdr:row>17</xdr:row>
      <xdr:rowOff>45889</xdr:rowOff>
    </xdr:from>
    <xdr:to>
      <xdr:col>19</xdr:col>
      <xdr:colOff>273905</xdr:colOff>
      <xdr:row>21</xdr:row>
      <xdr:rowOff>59338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5DF4C1-6279-4939-BAD7-DD77F5312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4107" y="2559024"/>
          <a:ext cx="2819048" cy="687526"/>
        </a:xfrm>
        <a:prstGeom prst="rect">
          <a:avLst/>
        </a:prstGeom>
      </xdr:spPr>
    </xdr:pic>
    <xdr:clientData/>
  </xdr:twoCellAnchor>
  <xdr:twoCellAnchor>
    <xdr:from>
      <xdr:col>10</xdr:col>
      <xdr:colOff>67253</xdr:colOff>
      <xdr:row>8</xdr:row>
      <xdr:rowOff>98450</xdr:rowOff>
    </xdr:from>
    <xdr:to>
      <xdr:col>19</xdr:col>
      <xdr:colOff>85979</xdr:colOff>
      <xdr:row>13</xdr:row>
      <xdr:rowOff>104467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41E8727-C0BB-4115-98F6-66B907051EC0}"/>
            </a:ext>
          </a:extLst>
        </xdr:cNvPr>
        <xdr:cNvGrpSpPr/>
      </xdr:nvGrpSpPr>
      <xdr:grpSpPr>
        <a:xfrm>
          <a:off x="2924753" y="1622450"/>
          <a:ext cx="2590476" cy="863267"/>
          <a:chOff x="2905703" y="1514744"/>
          <a:chExt cx="2590476" cy="84861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7F25E408-FB67-41E0-A36D-9C6E70132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05703" y="1514744"/>
            <a:ext cx="2590476" cy="668478"/>
          </a:xfrm>
          <a:prstGeom prst="rect">
            <a:avLst/>
          </a:prstGeom>
        </xdr:spPr>
      </xdr:pic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827261C-5990-4931-8BFD-391EFC0503B0}"/>
              </a:ext>
            </a:extLst>
          </xdr:cNvPr>
          <xdr:cNvSpPr txBox="1"/>
        </xdr:nvSpPr>
        <xdr:spPr>
          <a:xfrm>
            <a:off x="3121269" y="1970942"/>
            <a:ext cx="645305" cy="3924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800"/>
              <a:t>（</a:t>
            </a:r>
            <a:r>
              <a:rPr kumimoji="1" lang="en-US" altLang="ja-JP" sz="1800"/>
              <a:t>Pa</a:t>
            </a:r>
            <a:r>
              <a:rPr kumimoji="1" lang="ja-JP" altLang="en-US" sz="1800"/>
              <a:t>）</a:t>
            </a:r>
          </a:p>
        </xdr:txBody>
      </xdr:sp>
    </xdr:grpSp>
    <xdr:clientData/>
  </xdr:twoCellAnchor>
  <xdr:twoCellAnchor editAs="oneCell">
    <xdr:from>
      <xdr:col>1</xdr:col>
      <xdr:colOff>0</xdr:colOff>
      <xdr:row>17</xdr:row>
      <xdr:rowOff>43962</xdr:rowOff>
    </xdr:from>
    <xdr:to>
      <xdr:col>8</xdr:col>
      <xdr:colOff>263769</xdr:colOff>
      <xdr:row>21</xdr:row>
      <xdr:rowOff>51664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F7CF4A-E9D6-4291-A845-6DC8662B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2557097"/>
          <a:ext cx="2264019" cy="681779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8</xdr:row>
      <xdr:rowOff>13380</xdr:rowOff>
    </xdr:from>
    <xdr:to>
      <xdr:col>8</xdr:col>
      <xdr:colOff>257176</xdr:colOff>
      <xdr:row>15</xdr:row>
      <xdr:rowOff>88798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227488D-DC59-4D46-8BEF-EEC10229EFE9}"/>
            </a:ext>
          </a:extLst>
        </xdr:cNvPr>
        <xdr:cNvGrpSpPr/>
      </xdr:nvGrpSpPr>
      <xdr:grpSpPr>
        <a:xfrm>
          <a:off x="333376" y="1537380"/>
          <a:ext cx="2209800" cy="1275568"/>
          <a:chOff x="333376" y="1537380"/>
          <a:chExt cx="2209800" cy="127556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D69E7A6E-201A-4B27-B30D-2916D5E249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33376" y="1537380"/>
            <a:ext cx="2209800" cy="68181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AEA3CB1F-2E10-4676-8533-93CEF4D826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24478" y="2166703"/>
            <a:ext cx="1694871" cy="646245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0</xdr:colOff>
      <xdr:row>1</xdr:row>
      <xdr:rowOff>22411</xdr:rowOff>
    </xdr:from>
    <xdr:to>
      <xdr:col>55</xdr:col>
      <xdr:colOff>33340</xdr:colOff>
      <xdr:row>29</xdr:row>
      <xdr:rowOff>109002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7134CB-E295-4F7D-967E-7D1DFA2C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6529" y="190499"/>
          <a:ext cx="8191223" cy="494994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7</xdr:row>
      <xdr:rowOff>47625</xdr:rowOff>
    </xdr:from>
    <xdr:to>
      <xdr:col>6</xdr:col>
      <xdr:colOff>142687</xdr:colOff>
      <xdr:row>8</xdr:row>
      <xdr:rowOff>114270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D1E972-A0D7-4D27-AE6B-F74BDEC8E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904875"/>
          <a:ext cx="1504762" cy="23809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221116</xdr:colOff>
      <xdr:row>61</xdr:row>
      <xdr:rowOff>163286</xdr:rowOff>
    </xdr:from>
    <xdr:to>
      <xdr:col>65</xdr:col>
      <xdr:colOff>172283</xdr:colOff>
      <xdr:row>66</xdr:row>
      <xdr:rowOff>369750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8C2E53-D4A9-45AA-8C9F-F5906DA2E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9366" y="14093599"/>
          <a:ext cx="9666667" cy="292108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66675</xdr:colOff>
      <xdr:row>7</xdr:row>
      <xdr:rowOff>152400</xdr:rowOff>
    </xdr:from>
    <xdr:to>
      <xdr:col>36</xdr:col>
      <xdr:colOff>151532</xdr:colOff>
      <xdr:row>21</xdr:row>
      <xdr:rowOff>114002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AA1166-E363-49D8-9D8E-D4FF07AB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1352550"/>
          <a:ext cx="6942857" cy="2380952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19</xdr:row>
      <xdr:rowOff>104775</xdr:rowOff>
    </xdr:from>
    <xdr:to>
      <xdr:col>5</xdr:col>
      <xdr:colOff>18913</xdr:colOff>
      <xdr:row>21</xdr:row>
      <xdr:rowOff>114256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139A76-DB2B-4181-BC55-3C49FECCA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629025"/>
          <a:ext cx="1095238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31</xdr:row>
      <xdr:rowOff>85725</xdr:rowOff>
    </xdr:from>
    <xdr:to>
      <xdr:col>4</xdr:col>
      <xdr:colOff>285625</xdr:colOff>
      <xdr:row>33</xdr:row>
      <xdr:rowOff>152349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BA35E4-2650-413C-AFBC-7311AF88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5495925"/>
          <a:ext cx="1000000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43</xdr:row>
      <xdr:rowOff>66675</xdr:rowOff>
    </xdr:from>
    <xdr:to>
      <xdr:col>4</xdr:col>
      <xdr:colOff>266577</xdr:colOff>
      <xdr:row>45</xdr:row>
      <xdr:rowOff>171394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76C8806-ED0A-4049-A1F3-B616D9C4A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7534275"/>
          <a:ext cx="980952" cy="44761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133350</xdr:rowOff>
    </xdr:from>
    <xdr:to>
      <xdr:col>13</xdr:col>
      <xdr:colOff>228219</xdr:colOff>
      <xdr:row>8</xdr:row>
      <xdr:rowOff>104736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B9E322-056F-4F12-98D2-FCF90CAFE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257300"/>
          <a:ext cx="3047619" cy="31428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57150</xdr:rowOff>
    </xdr:from>
    <xdr:to>
      <xdr:col>28</xdr:col>
      <xdr:colOff>136810</xdr:colOff>
      <xdr:row>24</xdr:row>
      <xdr:rowOff>28575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38449BBC-83E1-4A54-A42E-F9A1CAA2B94F}"/>
            </a:ext>
          </a:extLst>
        </xdr:cNvPr>
        <xdr:cNvGrpSpPr/>
      </xdr:nvGrpSpPr>
      <xdr:grpSpPr>
        <a:xfrm>
          <a:off x="2038350" y="234043"/>
          <a:ext cx="6099460" cy="4189639"/>
          <a:chOff x="2000250" y="171450"/>
          <a:chExt cx="6099460" cy="3914775"/>
        </a:xfrm>
      </xdr:grpSpPr>
      <xdr:pic>
        <xdr:nvPicPr>
          <xdr:cNvPr id="9" name="図 8" descr="回路図">
            <a:extLst>
              <a:ext uri="{FF2B5EF4-FFF2-40B4-BE49-F238E27FC236}">
                <a16:creationId xmlns:a16="http://schemas.microsoft.com/office/drawing/2014/main" id="{4F7BA23A-1F91-4BBE-BD43-86EAAFE105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5024" y="971550"/>
            <a:ext cx="3953959" cy="3114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197DD248-5A9A-4548-AE0E-E1BADEE10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00250" y="171450"/>
            <a:ext cx="5809524" cy="961905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C6AC5765-0C33-4F38-9C6C-F8F950A14A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381500" y="3105149"/>
            <a:ext cx="3718210" cy="5429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258535</xdr:colOff>
      <xdr:row>30</xdr:row>
      <xdr:rowOff>57559</xdr:rowOff>
    </xdr:from>
    <xdr:to>
      <xdr:col>27</xdr:col>
      <xdr:colOff>213237</xdr:colOff>
      <xdr:row>63</xdr:row>
      <xdr:rowOff>81703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7573CA6A-C9D3-4E7C-B43B-7805D8A0BB32}"/>
            </a:ext>
          </a:extLst>
        </xdr:cNvPr>
        <xdr:cNvGrpSpPr/>
      </xdr:nvGrpSpPr>
      <xdr:grpSpPr>
        <a:xfrm>
          <a:off x="258535" y="5514023"/>
          <a:ext cx="7669952" cy="5861609"/>
          <a:chOff x="204106" y="6806701"/>
          <a:chExt cx="7669952" cy="5861609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6B93117F-8FB2-481B-A6F0-CE18FD438E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4106" y="6806701"/>
            <a:ext cx="7660823" cy="911016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79A50144-C08E-4370-8234-DF63C05502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16915" y="7744466"/>
            <a:ext cx="7657143" cy="4923844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13</xdr:col>
      <xdr:colOff>238125</xdr:colOff>
      <xdr:row>12</xdr:row>
      <xdr:rowOff>133248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117F1A-E5F6-4001-91F9-30D13E572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504950"/>
          <a:ext cx="3667125" cy="81904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560</xdr:rowOff>
    </xdr:from>
    <xdr:to>
      <xdr:col>21</xdr:col>
      <xdr:colOff>106274</xdr:colOff>
      <xdr:row>26</xdr:row>
      <xdr:rowOff>26226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BC60A4A-36D1-4575-BF20-6B14D44BDD48}"/>
            </a:ext>
          </a:extLst>
        </xdr:cNvPr>
        <xdr:cNvGrpSpPr/>
      </xdr:nvGrpSpPr>
      <xdr:grpSpPr>
        <a:xfrm>
          <a:off x="289891" y="3479256"/>
          <a:ext cx="5904100" cy="1069274"/>
          <a:chOff x="285750" y="3429560"/>
          <a:chExt cx="5821274" cy="105436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0A5E0CF-F1C2-4A9C-ACA2-2C23E12C6E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0" y="3600450"/>
            <a:ext cx="5821274" cy="883476"/>
          </a:xfrm>
          <a:prstGeom prst="rect">
            <a:avLst/>
          </a:prstGeom>
        </xdr:spPr>
      </xdr:pic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18C67328-A99B-4CE5-AA5E-8CF9FF0D829F}"/>
              </a:ext>
            </a:extLst>
          </xdr:cNvPr>
          <xdr:cNvSpPr txBox="1"/>
        </xdr:nvSpPr>
        <xdr:spPr>
          <a:xfrm>
            <a:off x="307041" y="3429560"/>
            <a:ext cx="78181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■</a:t>
            </a:r>
            <a:r>
              <a:rPr lang="en-US" altLang="ja-JP" sz="11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TCCR0A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266700</xdr:colOff>
      <xdr:row>25</xdr:row>
      <xdr:rowOff>152400</xdr:rowOff>
    </xdr:from>
    <xdr:to>
      <xdr:col>18</xdr:col>
      <xdr:colOff>56537</xdr:colOff>
      <xdr:row>32</xdr:row>
      <xdr:rowOff>18944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28215CA4-4363-445B-8DEF-F3F87D25FB9C}"/>
            </a:ext>
          </a:extLst>
        </xdr:cNvPr>
        <xdr:cNvGrpSpPr/>
      </xdr:nvGrpSpPr>
      <xdr:grpSpPr>
        <a:xfrm>
          <a:off x="266700" y="4500770"/>
          <a:ext cx="5007880" cy="1084087"/>
          <a:chOff x="257175" y="4581525"/>
          <a:chExt cx="4933337" cy="1066694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12AFC78-7B67-421B-A490-CB2685D886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5750" y="4800600"/>
            <a:ext cx="4904762" cy="847619"/>
          </a:xfrm>
          <a:prstGeom prst="rect">
            <a:avLst/>
          </a:prstGeom>
        </xdr:spPr>
      </xdr:pic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8D3650E6-E7C8-4051-9B0F-F91E5DAFE2C5}"/>
              </a:ext>
            </a:extLst>
          </xdr:cNvPr>
          <xdr:cNvSpPr txBox="1"/>
        </xdr:nvSpPr>
        <xdr:spPr>
          <a:xfrm>
            <a:off x="257175" y="4581525"/>
            <a:ext cx="78181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ja-JP" altLang="en-US" sz="11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■</a:t>
            </a:r>
            <a:r>
              <a:rPr lang="en-US" altLang="ja-JP" sz="11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TCCR0B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212912</xdr:colOff>
      <xdr:row>33</xdr:row>
      <xdr:rowOff>123269</xdr:rowOff>
    </xdr:from>
    <xdr:to>
      <xdr:col>27</xdr:col>
      <xdr:colOff>35868</xdr:colOff>
      <xdr:row>69</xdr:row>
      <xdr:rowOff>99835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A9A7877-2111-4F86-AEDE-3E0A22CD58C1}"/>
            </a:ext>
          </a:extLst>
        </xdr:cNvPr>
        <xdr:cNvGrpSpPr/>
      </xdr:nvGrpSpPr>
      <xdr:grpSpPr>
        <a:xfrm>
          <a:off x="212912" y="5863117"/>
          <a:ext cx="7650021" cy="6238218"/>
          <a:chOff x="212912" y="5863117"/>
          <a:chExt cx="7650021" cy="6238218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4E1BAB06-6CBD-4117-BAAE-58260E7EA2BA}"/>
              </a:ext>
            </a:extLst>
          </xdr:cNvPr>
          <xdr:cNvSpPr txBox="1"/>
        </xdr:nvSpPr>
        <xdr:spPr>
          <a:xfrm>
            <a:off x="212912" y="5863117"/>
            <a:ext cx="3325470" cy="2861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ja-JP" altLang="en-US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●モード設定　</a:t>
            </a:r>
            <a:r>
              <a:rPr lang="en-US" altLang="ja-JP" sz="1100" b="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WGM13, WGM12,WGM11, WGM10</a:t>
            </a:r>
            <a:endParaRPr kumimoji="1" lang="ja-JP" altLang="en-US" sz="1100"/>
          </a:p>
        </xdr:txBody>
      </xdr:sp>
      <xdr:pic>
        <xdr:nvPicPr>
          <xdr:cNvPr id="16" name="図 15">
            <a:extLst>
              <a:ext uri="{FF2B5EF4-FFF2-40B4-BE49-F238E27FC236}">
                <a16:creationId xmlns:a16="http://schemas.microsoft.com/office/drawing/2014/main" id="{A8DDD201-882F-4230-82B5-B94266F8EF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07640" y="6093043"/>
            <a:ext cx="7555293" cy="600829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280148</xdr:colOff>
      <xdr:row>71</xdr:row>
      <xdr:rowOff>0</xdr:rowOff>
    </xdr:from>
    <xdr:to>
      <xdr:col>25</xdr:col>
      <xdr:colOff>54210</xdr:colOff>
      <xdr:row>87</xdr:row>
      <xdr:rowOff>87052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C9C6F42E-6767-4EFD-9596-507661EE85F3}"/>
            </a:ext>
          </a:extLst>
        </xdr:cNvPr>
        <xdr:cNvGrpSpPr/>
      </xdr:nvGrpSpPr>
      <xdr:grpSpPr>
        <a:xfrm>
          <a:off x="280148" y="12349370"/>
          <a:ext cx="7021345" cy="2870008"/>
          <a:chOff x="280148" y="12349370"/>
          <a:chExt cx="7021345" cy="2870008"/>
        </a:xfrm>
      </xdr:grpSpPr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B6F7CE8B-CA2F-4B9B-A5F9-46B7A6C031CD}"/>
              </a:ext>
            </a:extLst>
          </xdr:cNvPr>
          <xdr:cNvSpPr txBox="1"/>
        </xdr:nvSpPr>
        <xdr:spPr>
          <a:xfrm>
            <a:off x="280148" y="12349370"/>
            <a:ext cx="3129142" cy="28156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●ステップカウント速度</a:t>
            </a:r>
          </a:p>
        </xdr:txBody>
      </xdr:sp>
      <xdr:pic>
        <xdr:nvPicPr>
          <xdr:cNvPr id="17" name="図 16">
            <a:extLst>
              <a:ext uri="{FF2B5EF4-FFF2-40B4-BE49-F238E27FC236}">
                <a16:creationId xmlns:a16="http://schemas.microsoft.com/office/drawing/2014/main" id="{873C10C5-3F73-45CD-B3BD-CEEE62CFB0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39588" y="12581283"/>
            <a:ext cx="6961905" cy="2638095"/>
          </a:xfrm>
          <a:prstGeom prst="rect">
            <a:avLst/>
          </a:prstGeom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3</xdr:row>
      <xdr:rowOff>161925</xdr:rowOff>
    </xdr:from>
    <xdr:to>
      <xdr:col>16</xdr:col>
      <xdr:colOff>200849</xdr:colOff>
      <xdr:row>14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723CEB-F60B-42C4-9F5A-B6CC939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676275"/>
          <a:ext cx="2563049" cy="18383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20</xdr:row>
      <xdr:rowOff>0</xdr:rowOff>
    </xdr:from>
    <xdr:to>
      <xdr:col>26</xdr:col>
      <xdr:colOff>0</xdr:colOff>
      <xdr:row>38</xdr:row>
      <xdr:rowOff>104527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AEBF46-0A20-41BD-AA45-B9CCB8C0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4275" y="3429000"/>
          <a:ext cx="3705225" cy="3190627"/>
        </a:xfrm>
        <a:prstGeom prst="rect">
          <a:avLst/>
        </a:prstGeom>
      </xdr:spPr>
    </xdr:pic>
    <xdr:clientData/>
  </xdr:twoCellAnchor>
  <xdr:twoCellAnchor editAs="oneCell">
    <xdr:from>
      <xdr:col>22</xdr:col>
      <xdr:colOff>104775</xdr:colOff>
      <xdr:row>4</xdr:row>
      <xdr:rowOff>38100</xdr:rowOff>
    </xdr:from>
    <xdr:to>
      <xdr:col>32</xdr:col>
      <xdr:colOff>117430</xdr:colOff>
      <xdr:row>19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0CE086-B5E8-4DA0-9800-6A9BE7FF5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723900"/>
          <a:ext cx="287015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</xdr:row>
      <xdr:rowOff>66675</xdr:rowOff>
    </xdr:from>
    <xdr:to>
      <xdr:col>6</xdr:col>
      <xdr:colOff>266700</xdr:colOff>
      <xdr:row>14</xdr:row>
      <xdr:rowOff>146774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9271BB-7DE0-464C-9591-F4D18B1B1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52475"/>
          <a:ext cx="1724025" cy="1794599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15</xdr:row>
      <xdr:rowOff>85725</xdr:rowOff>
    </xdr:from>
    <xdr:to>
      <xdr:col>12</xdr:col>
      <xdr:colOff>66271</xdr:colOff>
      <xdr:row>24</xdr:row>
      <xdr:rowOff>104580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C38AF96B-36A8-450C-8091-E6F843D1B837}"/>
            </a:ext>
          </a:extLst>
        </xdr:cNvPr>
        <xdr:cNvGrpSpPr/>
      </xdr:nvGrpSpPr>
      <xdr:grpSpPr>
        <a:xfrm>
          <a:off x="219075" y="2657475"/>
          <a:ext cx="3276196" cy="1561905"/>
          <a:chOff x="314325" y="3848100"/>
          <a:chExt cx="3276196" cy="156190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BD8F6E1-89F5-483E-885E-41F591D398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61950" y="3848100"/>
            <a:ext cx="3228571" cy="1561905"/>
          </a:xfrm>
          <a:prstGeom prst="rect">
            <a:avLst/>
          </a:prstGeom>
        </xdr:spPr>
      </xdr:pic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52B3AA8-0F47-48B6-A307-80CE31C0650D}"/>
              </a:ext>
            </a:extLst>
          </xdr:cNvPr>
          <xdr:cNvSpPr txBox="1"/>
        </xdr:nvSpPr>
        <xdr:spPr>
          <a:xfrm>
            <a:off x="314325" y="4276725"/>
            <a:ext cx="3195170" cy="60901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The internal reference VREF is 0.6V (Typical).The</a:t>
            </a:r>
          </a:p>
          <a:p>
            <a:r>
              <a:rPr kumimoji="1" lang="en-US" altLang="ja-JP" sz="1100"/>
              <a:t>output voltage is divided by a resistor divider,R1 and</a:t>
            </a:r>
          </a:p>
          <a:p>
            <a:r>
              <a:rPr kumimoji="1" lang="en-US" altLang="ja-JP" sz="1100"/>
              <a:t>R2 to the FB pin. The output voltage is given by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123825</xdr:colOff>
      <xdr:row>5</xdr:row>
      <xdr:rowOff>38100</xdr:rowOff>
    </xdr:from>
    <xdr:to>
      <xdr:col>22</xdr:col>
      <xdr:colOff>19050</xdr:colOff>
      <xdr:row>12</xdr:row>
      <xdr:rowOff>167017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1236947-2ED7-45AB-816B-6B533543C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81575" y="895350"/>
          <a:ext cx="1323975" cy="1329067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44</xdr:row>
      <xdr:rowOff>0</xdr:rowOff>
    </xdr:from>
    <xdr:to>
      <xdr:col>32</xdr:col>
      <xdr:colOff>285152</xdr:colOff>
      <xdr:row>56</xdr:row>
      <xdr:rowOff>28314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C26943A-0896-4252-8AB7-BAAD1967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48200" y="7543800"/>
          <a:ext cx="4780952" cy="2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44</xdr:row>
      <xdr:rowOff>161925</xdr:rowOff>
    </xdr:from>
    <xdr:to>
      <xdr:col>15</xdr:col>
      <xdr:colOff>161454</xdr:colOff>
      <xdr:row>54</xdr:row>
      <xdr:rowOff>104568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6DDB94-173F-4AB3-BBBF-DE0A8E4F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7705725"/>
          <a:ext cx="3771429" cy="165714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29</xdr:row>
      <xdr:rowOff>19050</xdr:rowOff>
    </xdr:from>
    <xdr:to>
      <xdr:col>26</xdr:col>
      <xdr:colOff>29350</xdr:colOff>
      <xdr:row>31</xdr:row>
      <xdr:rowOff>136638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DEED9AB-0F95-4F04-8735-4AA5A0274CE3}"/>
            </a:ext>
          </a:extLst>
        </xdr:cNvPr>
        <xdr:cNvGrpSpPr/>
      </xdr:nvGrpSpPr>
      <xdr:grpSpPr>
        <a:xfrm>
          <a:off x="3754921" y="5063159"/>
          <a:ext cx="3811603" cy="465457"/>
          <a:chOff x="3754921" y="4889224"/>
          <a:chExt cx="3811603" cy="46545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4FF58777-2C16-4A2F-99F8-0E4515D138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779354" y="5152197"/>
            <a:ext cx="3787170" cy="202484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196B04FE-39C7-4433-B9E2-194AA96A2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54921" y="4889224"/>
            <a:ext cx="3791311" cy="288199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123825</xdr:colOff>
      <xdr:row>43</xdr:row>
      <xdr:rowOff>57150</xdr:rowOff>
    </xdr:from>
    <xdr:to>
      <xdr:col>23</xdr:col>
      <xdr:colOff>75849</xdr:colOff>
      <xdr:row>44</xdr:row>
      <xdr:rowOff>142844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3D233BD-1CEA-4446-B57E-D86C48F69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8575" y="7258050"/>
          <a:ext cx="2809524" cy="257143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</xdr:colOff>
      <xdr:row>24</xdr:row>
      <xdr:rowOff>28575</xdr:rowOff>
    </xdr:from>
    <xdr:to>
      <xdr:col>39</xdr:col>
      <xdr:colOff>37745</xdr:colOff>
      <xdr:row>31</xdr:row>
      <xdr:rowOff>85568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8AE69AF-6697-45C7-A653-C0713183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3900" y="3971925"/>
          <a:ext cx="2838095" cy="1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25</xdr:row>
      <xdr:rowOff>142875</xdr:rowOff>
    </xdr:from>
    <xdr:to>
      <xdr:col>23</xdr:col>
      <xdr:colOff>9171</xdr:colOff>
      <xdr:row>27</xdr:row>
      <xdr:rowOff>28546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29EDB54-5758-4A1F-855D-228CFFD6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52850" y="4257675"/>
          <a:ext cx="2828571" cy="228571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17</xdr:row>
      <xdr:rowOff>28575</xdr:rowOff>
    </xdr:from>
    <xdr:to>
      <xdr:col>23</xdr:col>
      <xdr:colOff>9170</xdr:colOff>
      <xdr:row>20</xdr:row>
      <xdr:rowOff>38075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A4AF8F3-B1A4-40C4-81DC-973F48E647D9}"/>
            </a:ext>
          </a:extLst>
        </xdr:cNvPr>
        <xdr:cNvGrpSpPr/>
      </xdr:nvGrpSpPr>
      <xdr:grpSpPr>
        <a:xfrm>
          <a:off x="3797162" y="2985466"/>
          <a:ext cx="2879508" cy="531305"/>
          <a:chOff x="3743325" y="2771775"/>
          <a:chExt cx="2838095" cy="523850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C3D23387-8805-4046-A74A-D6433B1A59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743325" y="2771775"/>
            <a:ext cx="2838095" cy="342857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B84023BE-3035-4797-B6C9-F346534282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743325" y="3095625"/>
            <a:ext cx="1219048" cy="200000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57978</xdr:colOff>
      <xdr:row>48</xdr:row>
      <xdr:rowOff>41413</xdr:rowOff>
    </xdr:from>
    <xdr:to>
      <xdr:col>25</xdr:col>
      <xdr:colOff>131663</xdr:colOff>
      <xdr:row>49</xdr:row>
      <xdr:rowOff>57955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33702C-0514-44B4-9778-0381E82C8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26565" y="8216348"/>
          <a:ext cx="3552381" cy="190476"/>
        </a:xfrm>
        <a:prstGeom prst="rect">
          <a:avLst/>
        </a:prstGeom>
      </xdr:spPr>
    </xdr:pic>
    <xdr:clientData/>
  </xdr:twoCellAnchor>
  <xdr:twoCellAnchor>
    <xdr:from>
      <xdr:col>13</xdr:col>
      <xdr:colOff>16566</xdr:colOff>
      <xdr:row>51</xdr:row>
      <xdr:rowOff>24847</xdr:rowOff>
    </xdr:from>
    <xdr:to>
      <xdr:col>21</xdr:col>
      <xdr:colOff>57979</xdr:colOff>
      <xdr:row>54</xdr:row>
      <xdr:rowOff>155205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0DBFE371-0CB7-401E-B670-A59064442618}"/>
            </a:ext>
          </a:extLst>
        </xdr:cNvPr>
        <xdr:cNvGrpSpPr/>
      </xdr:nvGrpSpPr>
      <xdr:grpSpPr>
        <a:xfrm>
          <a:off x="3785153" y="8895521"/>
          <a:ext cx="2360543" cy="652162"/>
          <a:chOff x="3785153" y="8895521"/>
          <a:chExt cx="2360543" cy="652162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64ED2BD4-E9D1-459A-B921-6A40DEEC7F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793437" y="8895521"/>
            <a:ext cx="1623389" cy="346072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863674E7-D3CD-448A-9686-AA0BCE96D9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785153" y="9235108"/>
            <a:ext cx="1664803" cy="312575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2B6B5451-3F4F-4025-B52D-E2BC38F908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449958" y="9342782"/>
            <a:ext cx="695738" cy="14758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24848</xdr:colOff>
      <xdr:row>58</xdr:row>
      <xdr:rowOff>140805</xdr:rowOff>
    </xdr:from>
    <xdr:to>
      <xdr:col>18</xdr:col>
      <xdr:colOff>182217</xdr:colOff>
      <xdr:row>59</xdr:row>
      <xdr:rowOff>163991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BDE1CF3-779E-4610-8D2C-9576B6EB2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93435" y="10229022"/>
          <a:ext cx="1606825" cy="197121"/>
        </a:xfrm>
        <a:prstGeom prst="rect">
          <a:avLst/>
        </a:prstGeom>
      </xdr:spPr>
    </xdr:pic>
    <xdr:clientData/>
  </xdr:twoCellAnchor>
  <xdr:twoCellAnchor editAs="oneCell">
    <xdr:from>
      <xdr:col>19</xdr:col>
      <xdr:colOff>33129</xdr:colOff>
      <xdr:row>58</xdr:row>
      <xdr:rowOff>149087</xdr:rowOff>
    </xdr:from>
    <xdr:to>
      <xdr:col>25</xdr:col>
      <xdr:colOff>173934</xdr:colOff>
      <xdr:row>59</xdr:row>
      <xdr:rowOff>161569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2902066-5700-4D10-91BA-D5D194FE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1064" y="10237304"/>
          <a:ext cx="1880153" cy="186417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33130</xdr:colOff>
      <xdr:row>62</xdr:row>
      <xdr:rowOff>8283</xdr:rowOff>
    </xdr:from>
    <xdr:to>
      <xdr:col>20</xdr:col>
      <xdr:colOff>191372</xdr:colOff>
      <xdr:row>63</xdr:row>
      <xdr:rowOff>49697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E314C5C-EF40-45CC-B764-AFD6E64C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01717" y="10792240"/>
          <a:ext cx="2187481" cy="215348"/>
        </a:xfrm>
        <a:prstGeom prst="rect">
          <a:avLst/>
        </a:prstGeom>
      </xdr:spPr>
    </xdr:pic>
    <xdr:clientData/>
  </xdr:twoCellAnchor>
  <xdr:twoCellAnchor editAs="oneCell">
    <xdr:from>
      <xdr:col>21</xdr:col>
      <xdr:colOff>24848</xdr:colOff>
      <xdr:row>62</xdr:row>
      <xdr:rowOff>41412</xdr:rowOff>
    </xdr:from>
    <xdr:to>
      <xdr:col>28</xdr:col>
      <xdr:colOff>12801</xdr:colOff>
      <xdr:row>64</xdr:row>
      <xdr:rowOff>165652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D78620-ECE8-42CF-8E91-5EF2E99F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12565" y="10825369"/>
          <a:ext cx="2017193" cy="472109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75</xdr:row>
      <xdr:rowOff>8284</xdr:rowOff>
    </xdr:from>
    <xdr:to>
      <xdr:col>15</xdr:col>
      <xdr:colOff>33130</xdr:colOff>
      <xdr:row>76</xdr:row>
      <xdr:rowOff>28573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9D3EFFB-322B-47CC-9536-C0C447FD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93435" y="13053393"/>
          <a:ext cx="588065" cy="194223"/>
        </a:xfrm>
        <a:prstGeom prst="rect">
          <a:avLst/>
        </a:prstGeom>
      </xdr:spPr>
    </xdr:pic>
    <xdr:clientData/>
  </xdr:twoCellAnchor>
  <xdr:twoCellAnchor editAs="oneCell">
    <xdr:from>
      <xdr:col>13</xdr:col>
      <xdr:colOff>82826</xdr:colOff>
      <xdr:row>66</xdr:row>
      <xdr:rowOff>33130</xdr:rowOff>
    </xdr:from>
    <xdr:to>
      <xdr:col>18</xdr:col>
      <xdr:colOff>275288</xdr:colOff>
      <xdr:row>67</xdr:row>
      <xdr:rowOff>115957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2D08C55-700C-454E-97CA-21E516C1F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51413" y="12034630"/>
          <a:ext cx="1641918" cy="256761"/>
        </a:xfrm>
        <a:prstGeom prst="rect">
          <a:avLst/>
        </a:prstGeom>
      </xdr:spPr>
    </xdr:pic>
    <xdr:clientData/>
  </xdr:twoCellAnchor>
  <xdr:twoCellAnchor editAs="oneCell">
    <xdr:from>
      <xdr:col>13</xdr:col>
      <xdr:colOff>66262</xdr:colOff>
      <xdr:row>67</xdr:row>
      <xdr:rowOff>107674</xdr:rowOff>
    </xdr:from>
    <xdr:to>
      <xdr:col>15</xdr:col>
      <xdr:colOff>262371</xdr:colOff>
      <xdr:row>68</xdr:row>
      <xdr:rowOff>115956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AC9E39F-4283-4868-973C-E02CF689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34849" y="12283109"/>
          <a:ext cx="775892" cy="182217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41414</xdr:colOff>
      <xdr:row>71</xdr:row>
      <xdr:rowOff>99391</xdr:rowOff>
    </xdr:from>
    <xdr:to>
      <xdr:col>17</xdr:col>
      <xdr:colOff>82827</xdr:colOff>
      <xdr:row>72</xdr:row>
      <xdr:rowOff>140850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13CED63-5945-4CD3-BEC8-89FB9AD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1" y="12970565"/>
          <a:ext cx="1200978" cy="215393"/>
        </a:xfrm>
        <a:prstGeom prst="rect">
          <a:avLst/>
        </a:prstGeom>
      </xdr:spPr>
    </xdr:pic>
    <xdr:clientData/>
  </xdr:twoCellAnchor>
  <xdr:oneCellAnchor>
    <xdr:from>
      <xdr:col>13</xdr:col>
      <xdr:colOff>33131</xdr:colOff>
      <xdr:row>70</xdr:row>
      <xdr:rowOff>33131</xdr:rowOff>
    </xdr:from>
    <xdr:ext cx="1366629" cy="254514"/>
    <xdr:pic>
      <xdr:nvPicPr>
        <xdr:cNvPr id="39" name="図 38">
          <a:extLst>
            <a:ext uri="{FF2B5EF4-FFF2-40B4-BE49-F238E27FC236}">
              <a16:creationId xmlns:a16="http://schemas.microsoft.com/office/drawing/2014/main" id="{BC809971-4EBB-4ACF-8AB1-F5CBBB338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01718" y="12904305"/>
          <a:ext cx="1366629" cy="254514"/>
        </a:xfrm>
        <a:prstGeom prst="rect">
          <a:avLst/>
        </a:prstGeom>
      </xdr:spPr>
    </xdr:pic>
    <xdr:clientData/>
  </xdr:oneCellAnchor>
  <xdr:twoCellAnchor editAs="oneCell">
    <xdr:from>
      <xdr:col>13</xdr:col>
      <xdr:colOff>24847</xdr:colOff>
      <xdr:row>77</xdr:row>
      <xdr:rowOff>8283</xdr:rowOff>
    </xdr:from>
    <xdr:to>
      <xdr:col>17</xdr:col>
      <xdr:colOff>149087</xdr:colOff>
      <xdr:row>78</xdr:row>
      <xdr:rowOff>13239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4E63281-BCD4-4912-BA56-070E0A2D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3434" y="13227326"/>
          <a:ext cx="1283805" cy="178891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41416</xdr:colOff>
      <xdr:row>79</xdr:row>
      <xdr:rowOff>41415</xdr:rowOff>
    </xdr:from>
    <xdr:to>
      <xdr:col>18</xdr:col>
      <xdr:colOff>223632</xdr:colOff>
      <xdr:row>80</xdr:row>
      <xdr:rowOff>94369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1B165DF-10D2-401C-9452-97F9F229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03" y="13782263"/>
          <a:ext cx="1631672" cy="226889"/>
        </a:xfrm>
        <a:prstGeom prst="rect">
          <a:avLst/>
        </a:prstGeom>
      </xdr:spPr>
    </xdr:pic>
    <xdr:clientData/>
  </xdr:twoCellAnchor>
  <xdr:twoCellAnchor>
    <xdr:from>
      <xdr:col>13</xdr:col>
      <xdr:colOff>8283</xdr:colOff>
      <xdr:row>82</xdr:row>
      <xdr:rowOff>132522</xdr:rowOff>
    </xdr:from>
    <xdr:to>
      <xdr:col>18</xdr:col>
      <xdr:colOff>21827</xdr:colOff>
      <xdr:row>85</xdr:row>
      <xdr:rowOff>165652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1A2CAD14-C8DF-4A87-B9B0-BACCBC6F9E66}"/>
            </a:ext>
          </a:extLst>
        </xdr:cNvPr>
        <xdr:cNvGrpSpPr/>
      </xdr:nvGrpSpPr>
      <xdr:grpSpPr>
        <a:xfrm>
          <a:off x="3776870" y="14395174"/>
          <a:ext cx="1463000" cy="554935"/>
          <a:chOff x="3752022" y="14411739"/>
          <a:chExt cx="1463000" cy="554935"/>
        </a:xfrm>
      </xdr:grpSpPr>
      <xdr:pic>
        <xdr:nvPicPr>
          <xdr:cNvPr id="49" name="図 48">
            <a:extLst>
              <a:ext uri="{FF2B5EF4-FFF2-40B4-BE49-F238E27FC236}">
                <a16:creationId xmlns:a16="http://schemas.microsoft.com/office/drawing/2014/main" id="{5ECC5E67-E845-4A22-853B-369F09752E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3760305" y="14411739"/>
            <a:ext cx="1398781" cy="182217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C714D5AD-2434-4E38-96AE-ED8FE3ED0F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3768588" y="14585675"/>
            <a:ext cx="1300370" cy="183488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CA4DCDD2-7251-4B27-BF1D-684E52EDE6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3752022" y="14751326"/>
            <a:ext cx="1463000" cy="215348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66261</xdr:colOff>
      <xdr:row>96</xdr:row>
      <xdr:rowOff>33130</xdr:rowOff>
    </xdr:from>
    <xdr:to>
      <xdr:col>15</xdr:col>
      <xdr:colOff>153145</xdr:colOff>
      <xdr:row>99</xdr:row>
      <xdr:rowOff>35136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BFA300E-35B3-4656-8CB1-450B1577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34848" y="16730869"/>
          <a:ext cx="666667" cy="5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149087</xdr:colOff>
      <xdr:row>99</xdr:row>
      <xdr:rowOff>91109</xdr:rowOff>
    </xdr:from>
    <xdr:to>
      <xdr:col>17</xdr:col>
      <xdr:colOff>23191</xdr:colOff>
      <xdr:row>102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1BB2A20-1CA6-4798-BE26-619475501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17674" y="17310652"/>
          <a:ext cx="1033669" cy="43069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285189</xdr:colOff>
      <xdr:row>23</xdr:row>
      <xdr:rowOff>65834</xdr:rowOff>
    </xdr:from>
    <xdr:to>
      <xdr:col>20</xdr:col>
      <xdr:colOff>58830</xdr:colOff>
      <xdr:row>39</xdr:row>
      <xdr:rowOff>65833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95250</xdr:colOff>
      <xdr:row>15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14350"/>
          <a:ext cx="2952750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ayumi.cava.jp/audio/pctube/node25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nippon-heater.co.jp/material/resistance/resistance.html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ww1.tiki.ne.jp/~uri-works/tmp/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://www.momose.com/hirofumi/elec/dcdc/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://www.momose.com/hirofumi/elec/dcdc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://jp.rs-online.com/web/p/coaxial-cable/5218391/?cm_mmc=JP-PPC-_-google-_-DSA_JP_JP_Cable_Wires-_-&amp;mkwid=svSe5N086-dc|pcrid|186689151272|pkw|_inurl%3A%2Fp%2Fcoaxial-cable%2F|pmt|b|prd|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jp.rs-online.com/web/p/coaxial-cable/5218391/?cm_mmc=JP-PPC-_-google-_-DSA_JP_JP_Cable_Wires-_-&amp;mkwid=svSe5N086-dc|pcrid|186689151272|pkw|_inurl%3A%2Fp%2Fcoaxial-cable%2F|pmt|b|prd|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www.zea.jp/audio/schematic/sc_file/018.htm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://www.excel.studio-kazu.jp/func/log.html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://www.mech.tohoku-gakuin.ac.jp/rde/contents/course/controlII/digicont.html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1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://www.city.fukaya.saitama.jp/ikkrwebBrowse/material/files/group/31/souon_ookisa.pdf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4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hyperlink" Target="https://keisan.casio.jp/exec/user/1248569182" TargetMode="External"/><Relationship Id="rId1" Type="http://schemas.openxmlformats.org/officeDocument/2006/relationships/hyperlink" Target="http://www.ohizumi-mfg.jp/products/tech01.html" TargetMode="External"/><Relationship Id="rId4" Type="http://schemas.openxmlformats.org/officeDocument/2006/relationships/drawing" Target="../drawings/drawing4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hyperlink" Target="http://www.catnet.ne.jp/triceps/pub/sample/ws251.pdf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presia.jp/technical/transmission/distance.html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icfun.com/midi2c02.html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sci-pursuit.com/math/statistics/correlation-coefficient.html" TargetMode="Externa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hyperlink" Target="https://www.marutsu.co.jp/pc/static/large_order/fet_3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hyperlink" Target="https://datasheet.octopart.com/MT3608-Aerosemi-datasheet-138895667.pdf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://www.tokyo-seiden.co.jp/old_site/gijyutu/report/fwd.html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"/>
  <sheetViews>
    <sheetView zoomScale="70" zoomScaleNormal="70" workbookViewId="0">
      <selection activeCell="C7" sqref="C7"/>
    </sheetView>
  </sheetViews>
  <sheetFormatPr defaultColWidth="22.5" defaultRowHeight="13.5"/>
  <cols>
    <col min="1" max="1" width="1.75" style="353" customWidth="1"/>
    <col min="2" max="3" width="22.5" style="353"/>
    <col min="4" max="4" width="25.875" style="353" bestFit="1" customWidth="1"/>
    <col min="5" max="5" width="26" style="353" bestFit="1" customWidth="1"/>
    <col min="6" max="9" width="22.5" style="353"/>
    <col min="10" max="10" width="23" style="353" bestFit="1" customWidth="1"/>
    <col min="11" max="16384" width="22.5" style="353"/>
  </cols>
  <sheetData>
    <row r="1" spans="1:10" ht="22.5" customHeight="1">
      <c r="A1" s="669" t="s">
        <v>1981</v>
      </c>
      <c r="B1" s="405" t="s">
        <v>1234</v>
      </c>
      <c r="C1" s="355" t="s">
        <v>60</v>
      </c>
    </row>
    <row r="2" spans="1:10" ht="22.5" customHeight="1">
      <c r="B2" s="354" t="s">
        <v>0</v>
      </c>
      <c r="C2" s="354" t="s">
        <v>1</v>
      </c>
      <c r="D2" s="354" t="s">
        <v>2</v>
      </c>
      <c r="E2" s="354" t="s">
        <v>3</v>
      </c>
      <c r="F2" s="354" t="s">
        <v>4</v>
      </c>
      <c r="G2" s="534" t="s">
        <v>1498</v>
      </c>
      <c r="H2" s="354" t="s">
        <v>5</v>
      </c>
      <c r="I2" s="354" t="s">
        <v>6</v>
      </c>
      <c r="J2" s="354" t="s">
        <v>7</v>
      </c>
    </row>
    <row r="3" spans="1:10" ht="21.75" customHeight="1">
      <c r="B3" s="355" t="s">
        <v>8</v>
      </c>
      <c r="C3" s="355" t="s">
        <v>9</v>
      </c>
      <c r="D3" s="356" t="s">
        <v>10</v>
      </c>
      <c r="E3" s="355" t="s">
        <v>11</v>
      </c>
      <c r="F3" s="355" t="s">
        <v>12</v>
      </c>
      <c r="G3" s="224" t="s">
        <v>1499</v>
      </c>
      <c r="H3" s="355" t="s">
        <v>13</v>
      </c>
      <c r="I3" s="355" t="s">
        <v>14</v>
      </c>
      <c r="J3" s="355" t="s">
        <v>15</v>
      </c>
    </row>
    <row r="4" spans="1:10" ht="21.75" customHeight="1">
      <c r="B4" s="355" t="s">
        <v>16</v>
      </c>
      <c r="C4" s="355" t="s">
        <v>17</v>
      </c>
      <c r="D4" s="355" t="s">
        <v>18</v>
      </c>
      <c r="E4" s="355" t="s">
        <v>19</v>
      </c>
      <c r="F4" s="355" t="s">
        <v>28</v>
      </c>
      <c r="G4" s="355"/>
      <c r="H4" s="355" t="s">
        <v>21</v>
      </c>
      <c r="I4" s="355" t="s">
        <v>22</v>
      </c>
      <c r="J4" s="355" t="s">
        <v>23</v>
      </c>
    </row>
    <row r="5" spans="1:10" ht="21.75" customHeight="1">
      <c r="B5" s="355" t="s">
        <v>24</v>
      </c>
      <c r="C5" s="224" t="s">
        <v>1686</v>
      </c>
      <c r="D5" s="355" t="s">
        <v>26</v>
      </c>
      <c r="E5" s="355" t="s">
        <v>27</v>
      </c>
      <c r="F5" s="355" t="s">
        <v>34</v>
      </c>
      <c r="G5" s="355"/>
      <c r="H5" s="357"/>
      <c r="I5" s="355" t="s">
        <v>29</v>
      </c>
      <c r="J5" s="355" t="s">
        <v>30</v>
      </c>
    </row>
    <row r="6" spans="1:10" ht="21.75" customHeight="1">
      <c r="B6" s="355" t="s">
        <v>31</v>
      </c>
      <c r="C6" s="355" t="s">
        <v>25</v>
      </c>
      <c r="D6" s="355" t="s">
        <v>33</v>
      </c>
      <c r="E6" s="355" t="s">
        <v>943</v>
      </c>
      <c r="F6" s="355" t="s">
        <v>38</v>
      </c>
      <c r="G6" s="355"/>
      <c r="H6" s="357"/>
      <c r="I6" s="224" t="s">
        <v>1664</v>
      </c>
      <c r="J6" s="355" t="s">
        <v>35</v>
      </c>
    </row>
    <row r="7" spans="1:10" ht="21.75" customHeight="1">
      <c r="B7" s="355" t="s">
        <v>1143</v>
      </c>
      <c r="C7" s="355" t="s">
        <v>32</v>
      </c>
      <c r="D7" s="355" t="s">
        <v>25</v>
      </c>
      <c r="E7" s="355" t="s">
        <v>37</v>
      </c>
      <c r="F7" s="355" t="s">
        <v>42</v>
      </c>
      <c r="G7" s="355"/>
      <c r="H7" s="357"/>
      <c r="I7" s="357"/>
      <c r="J7" s="355" t="s">
        <v>1056</v>
      </c>
    </row>
    <row r="8" spans="1:10" ht="21.75" customHeight="1">
      <c r="B8" s="224" t="s">
        <v>1259</v>
      </c>
      <c r="C8" s="355" t="s">
        <v>36</v>
      </c>
      <c r="D8" s="355" t="s">
        <v>40</v>
      </c>
      <c r="E8" s="355" t="s">
        <v>41</v>
      </c>
      <c r="F8" s="355" t="s">
        <v>46</v>
      </c>
      <c r="G8" s="355"/>
      <c r="H8" s="357"/>
      <c r="I8" s="357"/>
      <c r="J8" s="355" t="s">
        <v>1081</v>
      </c>
    </row>
    <row r="9" spans="1:10" ht="21.75" customHeight="1">
      <c r="B9" s="224" t="s">
        <v>1497</v>
      </c>
      <c r="C9" s="355" t="s">
        <v>39</v>
      </c>
      <c r="D9" s="355" t="s">
        <v>44</v>
      </c>
      <c r="E9" s="355" t="s">
        <v>45</v>
      </c>
      <c r="F9" s="355" t="s">
        <v>49</v>
      </c>
      <c r="G9" s="355"/>
      <c r="H9" s="357"/>
      <c r="I9" s="357"/>
      <c r="J9" s="355" t="s">
        <v>1088</v>
      </c>
    </row>
    <row r="10" spans="1:10" ht="21.75" customHeight="1">
      <c r="B10" s="224" t="s">
        <v>1514</v>
      </c>
      <c r="C10" s="355" t="s">
        <v>43</v>
      </c>
      <c r="D10" s="355" t="s">
        <v>48</v>
      </c>
      <c r="E10" s="355" t="s">
        <v>912</v>
      </c>
      <c r="F10" s="355" t="s">
        <v>51</v>
      </c>
      <c r="G10" s="355"/>
      <c r="H10" s="357"/>
      <c r="I10" s="357"/>
      <c r="J10" s="355" t="s">
        <v>1098</v>
      </c>
    </row>
    <row r="11" spans="1:10" ht="21.75" customHeight="1">
      <c r="B11" s="224" t="s">
        <v>1793</v>
      </c>
      <c r="C11" s="355" t="s">
        <v>47</v>
      </c>
      <c r="D11" s="355" t="s">
        <v>55</v>
      </c>
      <c r="E11" s="355" t="s">
        <v>20</v>
      </c>
      <c r="F11" s="224" t="s">
        <v>1233</v>
      </c>
      <c r="G11" s="224"/>
      <c r="H11" s="357"/>
      <c r="I11" s="357"/>
      <c r="J11" s="355" t="s">
        <v>1163</v>
      </c>
    </row>
    <row r="12" spans="1:10" ht="21.75" customHeight="1">
      <c r="B12" s="224" t="s">
        <v>1980</v>
      </c>
      <c r="C12" s="355" t="s">
        <v>50</v>
      </c>
      <c r="D12" s="355" t="s">
        <v>56</v>
      </c>
      <c r="E12" s="355" t="s">
        <v>982</v>
      </c>
      <c r="F12" s="224" t="s">
        <v>1232</v>
      </c>
      <c r="G12" s="224"/>
      <c r="H12" s="357"/>
      <c r="I12" s="357"/>
      <c r="J12" s="224" t="s">
        <v>1271</v>
      </c>
    </row>
    <row r="13" spans="1:10" ht="21.75" customHeight="1">
      <c r="B13" s="357"/>
      <c r="C13" s="355" t="s">
        <v>33</v>
      </c>
      <c r="D13" s="355" t="s">
        <v>1020</v>
      </c>
      <c r="E13" s="224" t="s">
        <v>1189</v>
      </c>
      <c r="F13" s="224" t="s">
        <v>1279</v>
      </c>
      <c r="G13" s="224"/>
      <c r="H13" s="357"/>
      <c r="I13" s="357"/>
      <c r="J13" s="224" t="s">
        <v>1289</v>
      </c>
    </row>
    <row r="14" spans="1:10" ht="21.75" customHeight="1">
      <c r="B14" s="357"/>
      <c r="C14" s="355" t="s">
        <v>52</v>
      </c>
      <c r="D14" s="355" t="s">
        <v>1118</v>
      </c>
      <c r="E14" s="224" t="s">
        <v>1694</v>
      </c>
      <c r="F14" s="224" t="s">
        <v>1490</v>
      </c>
      <c r="G14" s="224"/>
      <c r="H14" s="357"/>
      <c r="I14" s="357"/>
      <c r="J14" s="224" t="s">
        <v>1315</v>
      </c>
    </row>
    <row r="15" spans="1:10" ht="21.75" customHeight="1">
      <c r="B15" s="357"/>
      <c r="C15" s="355" t="s">
        <v>53</v>
      </c>
      <c r="D15" s="224" t="s">
        <v>1188</v>
      </c>
      <c r="E15" s="357"/>
      <c r="F15" s="224" t="s">
        <v>1674</v>
      </c>
      <c r="G15" s="357"/>
      <c r="H15" s="357"/>
      <c r="I15" s="357"/>
      <c r="J15" s="224" t="s">
        <v>1321</v>
      </c>
    </row>
    <row r="16" spans="1:10" ht="21.75" customHeight="1">
      <c r="B16" s="357"/>
      <c r="C16" s="355" t="s">
        <v>26</v>
      </c>
      <c r="D16" s="224" t="s">
        <v>1204</v>
      </c>
      <c r="E16" s="357"/>
      <c r="F16" s="224" t="s">
        <v>1748</v>
      </c>
      <c r="G16" s="357"/>
      <c r="H16" s="357"/>
      <c r="I16" s="357"/>
      <c r="J16" s="224" t="s">
        <v>1329</v>
      </c>
    </row>
    <row r="17" spans="2:10" ht="21.75" customHeight="1">
      <c r="B17" s="357"/>
      <c r="C17" s="355" t="s">
        <v>54</v>
      </c>
      <c r="D17" s="224" t="s">
        <v>1345</v>
      </c>
      <c r="E17" s="357"/>
      <c r="F17" s="224" t="s">
        <v>1756</v>
      </c>
      <c r="G17" s="357"/>
      <c r="H17" s="357"/>
      <c r="I17" s="357"/>
      <c r="J17" s="224" t="s">
        <v>1322</v>
      </c>
    </row>
    <row r="18" spans="2:10" ht="21.75" customHeight="1">
      <c r="B18" s="357"/>
      <c r="C18" s="355" t="s">
        <v>57</v>
      </c>
      <c r="D18" s="582"/>
      <c r="E18" s="357"/>
      <c r="F18" s="224" t="s">
        <v>1768</v>
      </c>
      <c r="G18" s="357"/>
      <c r="H18" s="357"/>
      <c r="I18" s="357"/>
      <c r="J18" s="224" t="s">
        <v>1347</v>
      </c>
    </row>
    <row r="19" spans="2:10" ht="21.75" customHeight="1">
      <c r="B19" s="357"/>
      <c r="C19" s="355" t="s">
        <v>58</v>
      </c>
      <c r="D19" s="355"/>
      <c r="E19" s="357"/>
      <c r="F19" s="683"/>
      <c r="G19" s="357"/>
      <c r="H19" s="357"/>
      <c r="I19" s="357"/>
      <c r="J19" s="224" t="s">
        <v>1991</v>
      </c>
    </row>
    <row r="20" spans="2:10" ht="21.75" customHeight="1">
      <c r="B20" s="357"/>
      <c r="C20" s="356" t="s">
        <v>59</v>
      </c>
      <c r="D20" s="355"/>
      <c r="E20" s="357"/>
      <c r="F20" s="357"/>
      <c r="G20" s="357"/>
      <c r="H20" s="357"/>
      <c r="I20" s="357"/>
      <c r="J20" s="357"/>
    </row>
    <row r="21" spans="2:10" ht="21.75" customHeight="1">
      <c r="B21" s="357"/>
      <c r="C21" s="224" t="s">
        <v>1542</v>
      </c>
      <c r="D21" s="355"/>
      <c r="E21" s="357"/>
      <c r="F21" s="357"/>
      <c r="G21" s="357"/>
      <c r="H21" s="357"/>
      <c r="I21" s="357"/>
      <c r="J21" s="357"/>
    </row>
    <row r="22" spans="2:10" ht="21.75" customHeight="1">
      <c r="B22" s="357"/>
      <c r="C22" s="224" t="s">
        <v>1570</v>
      </c>
      <c r="D22" s="355"/>
      <c r="E22" s="357"/>
      <c r="F22" s="357"/>
      <c r="G22" s="357"/>
      <c r="H22" s="357"/>
      <c r="I22" s="357"/>
      <c r="J22" s="357"/>
    </row>
    <row r="23" spans="2:10" ht="21.75" customHeight="1">
      <c r="B23" s="357"/>
      <c r="C23" s="224" t="s">
        <v>1484</v>
      </c>
      <c r="D23" s="355"/>
      <c r="E23" s="357"/>
      <c r="F23" s="357"/>
      <c r="G23" s="357"/>
      <c r="H23" s="357"/>
      <c r="I23" s="357"/>
      <c r="J23" s="357"/>
    </row>
    <row r="24" spans="2:10" ht="21.75" customHeight="1">
      <c r="B24" s="357"/>
      <c r="C24" s="224" t="s">
        <v>1612</v>
      </c>
      <c r="D24" s="355"/>
      <c r="E24" s="357"/>
      <c r="F24" s="357"/>
      <c r="G24" s="357"/>
      <c r="H24" s="357"/>
      <c r="I24" s="357"/>
      <c r="J24" s="357"/>
    </row>
    <row r="25" spans="2:10" ht="21.75" customHeight="1">
      <c r="B25" s="357"/>
      <c r="C25" s="224" t="s">
        <v>1708</v>
      </c>
      <c r="D25" s="355"/>
      <c r="E25" s="357"/>
      <c r="F25" s="357"/>
      <c r="G25" s="357"/>
      <c r="H25" s="357"/>
      <c r="I25" s="357"/>
      <c r="J25" s="357"/>
    </row>
    <row r="26" spans="2:10" ht="21.75" customHeight="1">
      <c r="B26" s="357"/>
      <c r="C26" s="224" t="s">
        <v>1784</v>
      </c>
      <c r="D26" s="355"/>
      <c r="E26" s="357"/>
      <c r="F26" s="357"/>
      <c r="G26" s="357"/>
      <c r="H26" s="357"/>
      <c r="I26" s="357"/>
      <c r="J26" s="357"/>
    </row>
    <row r="27" spans="2:10" ht="21.75" customHeight="1">
      <c r="B27" s="357"/>
      <c r="C27" s="355"/>
      <c r="D27" s="355"/>
      <c r="E27" s="357"/>
      <c r="F27" s="357"/>
      <c r="G27" s="357"/>
      <c r="H27" s="357"/>
      <c r="I27" s="357"/>
      <c r="J27" s="357"/>
    </row>
    <row r="28" spans="2:10" ht="21.75" customHeight="1">
      <c r="B28" s="357"/>
      <c r="C28" s="355"/>
      <c r="D28" s="355"/>
      <c r="E28" s="357"/>
      <c r="F28" s="357"/>
      <c r="G28" s="357"/>
      <c r="H28" s="357"/>
      <c r="I28" s="357"/>
      <c r="J28" s="357"/>
    </row>
    <row r="29" spans="2:10" ht="21.75" customHeight="1">
      <c r="B29" s="357"/>
      <c r="C29" s="355"/>
      <c r="D29" s="355"/>
      <c r="E29" s="357"/>
      <c r="F29" s="357"/>
      <c r="G29" s="357"/>
      <c r="H29" s="357"/>
      <c r="I29" s="357"/>
      <c r="J29" s="357"/>
    </row>
    <row r="30" spans="2:10" ht="21.75" customHeight="1">
      <c r="B30" s="357"/>
      <c r="C30" s="355"/>
      <c r="D30" s="355"/>
      <c r="E30" s="357"/>
      <c r="F30" s="357"/>
      <c r="G30" s="357"/>
      <c r="H30" s="357"/>
      <c r="I30" s="357"/>
      <c r="J30" s="357"/>
    </row>
    <row r="31" spans="2:10" ht="21.75" customHeight="1">
      <c r="B31" s="357"/>
      <c r="C31" s="355"/>
      <c r="D31" s="355"/>
      <c r="E31" s="357"/>
      <c r="F31" s="357"/>
      <c r="G31" s="357"/>
      <c r="H31" s="357"/>
      <c r="I31" s="357"/>
      <c r="J31" s="357"/>
    </row>
    <row r="32" spans="2:10">
      <c r="B32" s="357"/>
      <c r="C32" s="355"/>
      <c r="D32" s="357"/>
      <c r="E32" s="357"/>
      <c r="F32" s="357"/>
      <c r="G32" s="357"/>
      <c r="H32" s="357"/>
      <c r="I32" s="357"/>
      <c r="J32" s="355" t="s">
        <v>60</v>
      </c>
    </row>
    <row r="33" spans="2:3">
      <c r="C33" s="357"/>
    </row>
    <row r="38" spans="2:3">
      <c r="B38" s="353" t="s">
        <v>946</v>
      </c>
    </row>
    <row r="39" spans="2:3">
      <c r="B39" s="356" t="s">
        <v>947</v>
      </c>
    </row>
  </sheetData>
  <phoneticPr fontId="42"/>
  <hyperlinks>
    <hyperlink ref="B3" location="bit変換!A1" display="　　bit変換　　" xr:uid="{00000000-0004-0000-0000-000000000000}"/>
    <hyperlink ref="B4" location="パケット計算!A1" display="　　パケット計算　　" xr:uid="{00000000-0004-0000-0000-000001000000}"/>
    <hyperlink ref="C3" location="'オーム+電力'!A1" display="　　オーム+電力　　" xr:uid="{00000000-0004-0000-0000-000002000000}"/>
    <hyperlink ref="C4" location="LED電流計算!A1" display="LED電流計算" xr:uid="{00000000-0004-0000-0000-000003000000}"/>
    <hyperlink ref="C6" location="トランス漏洩!A1" display="トランス漏洩" xr:uid="{00000000-0004-0000-0000-000004000000}"/>
    <hyperlink ref="C7" location="利得!A1" display="　　利得　　" xr:uid="{00000000-0004-0000-0000-000005000000}"/>
    <hyperlink ref="C8" location="分圧!A1" display="　　分圧　　" xr:uid="{00000000-0004-0000-0000-000006000000}"/>
    <hyperlink ref="C9" location="合成R・C!A1" display="　　合成R・C　　" xr:uid="{00000000-0004-0000-0000-000007000000}"/>
    <hyperlink ref="E3" location="共振周波数!A1" display="共振周波数" xr:uid="{00000000-0004-0000-0000-000008000000}"/>
    <hyperlink ref="E4" location="振幅・実行値!A1" display="振幅・実行値" xr:uid="{00000000-0004-0000-0000-000009000000}"/>
    <hyperlink ref="C10" location="リアクタンス!A1" display="リアクタンス" xr:uid="{00000000-0004-0000-0000-00000A000000}"/>
    <hyperlink ref="C11" location="水晶の負荷容量!A1" display="水晶の負荷容量" xr:uid="{00000000-0004-0000-0000-00000B000000}"/>
    <hyperlink ref="F3" location="比率!A1" display="　　比率　　" xr:uid="{00000000-0004-0000-0000-00000C000000}"/>
    <hyperlink ref="C12" location="ｵﾍﾟｱﾝﾌﾟ!A1" display="　　ｵﾍﾟｱﾝﾌﾟ　　" xr:uid="{00000000-0004-0000-0000-00000D000000}"/>
    <hyperlink ref="C13" location="充放電時間!A1" display="充放電時間" xr:uid="{00000000-0004-0000-0000-00000E000000}"/>
    <hyperlink ref="E5" location="波長!A1" display="　　波長　　" xr:uid="{00000000-0004-0000-0000-00000F000000}"/>
    <hyperlink ref="E11" location="距離換算!A1" display="　距離換算　" xr:uid="{00000000-0004-0000-0000-000010000000}"/>
    <hyperlink ref="F4" location="偏差計算!A1" display="　偏差計算　" xr:uid="{00000000-0004-0000-0000-000011000000}"/>
    <hyperlink ref="C14" location="トランジスタ!A1" display="トランジスタ" xr:uid="{00000000-0004-0000-0000-000012000000}"/>
    <hyperlink ref="D13" location="'電池寿命(簡潔動作)'!A1" display="電池寿命(簡潔動作)" xr:uid="{00000000-0004-0000-0000-000013000000}"/>
    <hyperlink ref="C15" location="信号分配抵抗!A1" display="信号分配抵抗" xr:uid="{00000000-0004-0000-0000-000014000000}"/>
    <hyperlink ref="C16" location="DCDC計算!A1" display="DC-DC計算" xr:uid="{00000000-0004-0000-0000-000015000000}"/>
    <hyperlink ref="B5" location="ポートレジスタ!A1" display="ポートレジスタ" xr:uid="{00000000-0004-0000-0000-000016000000}"/>
    <hyperlink ref="D11" location="'電池寿命計算（予備）'!A1" display="電池寿命(予備)" xr:uid="{00000000-0004-0000-0000-000017000000}"/>
    <hyperlink ref="D12" location="'電池寿命計算（ﾓﾊﾞｲﾙBatt）'!A1" display="電池寿命計算(ﾓﾊﾞｲﾙBatt)" xr:uid="{00000000-0004-0000-0000-000018000000}"/>
    <hyperlink ref="H3" location="基板単価計算!A1" display="　　基板単価　　" xr:uid="{00000000-0004-0000-0000-000019000000}"/>
    <hyperlink ref="F5" location="予備計算!A1" display="　　予備計算　　" xr:uid="{00000000-0004-0000-0000-00001A000000}"/>
    <hyperlink ref="C19" location="パルス計算!A1" display="　　パルス計算　　" xr:uid="{00000000-0004-0000-0000-00001B000000}"/>
    <hyperlink ref="F6" location="自由領域!A1" display="　　自由領域　　" xr:uid="{00000000-0004-0000-0000-00001C000000}"/>
    <hyperlink ref="C18" location="通信時間!A1" display="　　通信時間　　" xr:uid="{00000000-0004-0000-0000-00001D000000}"/>
    <hyperlink ref="H4" location="配線抵抗!A1" display="　　配線抵抗　　" xr:uid="{00000000-0004-0000-0000-00001E000000}"/>
    <hyperlink ref="C17" location="電圧変換後の電流計算!A1" display="電圧変換後の電流計算" xr:uid="{00000000-0004-0000-0000-00001F000000}"/>
    <hyperlink ref="E6" location="'dbm to mW'!A1" display="dBm  &lt;-&gt; W変換" xr:uid="{00000000-0004-0000-0000-000020000000}"/>
    <hyperlink ref="E7" location="CR発振!A1" display="　　　CR発振計算　　　" xr:uid="{00000000-0004-0000-0000-000021000000}"/>
    <hyperlink ref="F7" location="円換算!A1" display="　　　円換算　　　" xr:uid="{00000000-0004-0000-0000-000022000000}"/>
    <hyperlink ref="F8" location="ﾃﾞｰﾀﾚｰﾄ_時間!A1" display="ﾃﾞｰﾀﾚｰﾄ_時間" xr:uid="{00000000-0004-0000-0000-000023000000}"/>
    <hyperlink ref="E8" location="周波数・周期!A1" display="　周波数⇔周期　" xr:uid="{00000000-0004-0000-0000-000024000000}"/>
    <hyperlink ref="E9" location="'1セットの時間'!A1" display="1セットの時間" xr:uid="{00000000-0004-0000-0000-000025000000}"/>
    <hyperlink ref="F9" location="速度計算!A1" display="　　通信速度計算　　" xr:uid="{00000000-0004-0000-0000-000026000000}"/>
    <hyperlink ref="I3" location="fps_Time!A1" display="フレームレート/時間" xr:uid="{00000000-0004-0000-0000-000027000000}"/>
    <hyperlink ref="B6" location="'1LSB_変換精度計算'!A1" display="1LSB_変換精度計算" xr:uid="{00000000-0004-0000-0000-000028000000}"/>
    <hyperlink ref="J3" location="'IR1253'!A1" display="　　IR1253　　" xr:uid="{00000000-0004-0000-0000-000029000000}"/>
    <hyperlink ref="J4" location="IC計算!A1" display="　　IC計算　　" xr:uid="{00000000-0004-0000-0000-00002A000000}"/>
    <hyperlink ref="J5" location="ADP123出力電圧計算!A1" display="ADP123出力電圧計算" xr:uid="{00000000-0004-0000-0000-00002B000000}"/>
    <hyperlink ref="J6" location="NCP603出力電圧計算!A1" display="NCP603S　出力電圧計算" xr:uid="{00000000-0004-0000-0000-00002C000000}"/>
    <hyperlink ref="J32" location="___!A1" display="　　　後ろ　　　" xr:uid="{00000000-0004-0000-0000-00002D000000}"/>
    <hyperlink ref="D5" location="DCDC計算!A1" display="DC-DC計算" xr:uid="{00000000-0004-0000-0000-00002E000000}"/>
    <hyperlink ref="D6" location="充放電時間!A1" display="充放電時間" xr:uid="{00000000-0004-0000-0000-00002F000000}"/>
    <hyperlink ref="D7" location="トランス漏洩!A1" display="トランス漏洩" xr:uid="{00000000-0004-0000-0000-000030000000}"/>
    <hyperlink ref="D8" location="トランス変圧!A1" display="　トランス変圧　" xr:uid="{00000000-0004-0000-0000-000031000000}"/>
    <hyperlink ref="I4" location="焦点距離!A1" display="　焦点距離　" xr:uid="{00000000-0004-0000-0000-000032000000}"/>
    <hyperlink ref="D4" location="トランス巻比・UV試験!A1" display="トランス巻比・UV試験" xr:uid="{00000000-0004-0000-0000-000033000000}"/>
    <hyperlink ref="D3" location="ｺｲﾙ巻数とｲﾝﾀﾞｸﾀ!A1" display="　コイル巻数とインダクタ　" xr:uid="{00000000-0004-0000-0000-000034000000}"/>
    <hyperlink ref="C20" location="スナバ回路損失!A1" display="  スナバ回路損失  " xr:uid="{00000000-0004-0000-0000-000035000000}"/>
    <hyperlink ref="D10" location="トランス設計!A1" display="  トランス設計  " xr:uid="{00000000-0004-0000-0000-000036000000}"/>
    <hyperlink ref="F10" location="作業時間計算!A1" display="　　作業時間計算　　" xr:uid="{00000000-0004-0000-0000-000037000000}"/>
    <hyperlink ref="E10" location="損失と通信距離!A1" display="　　損失と距離　　" xr:uid="{00000000-0004-0000-0000-000038000000}"/>
    <hyperlink ref="B39" location="logExcel!A1" display="LOG" xr:uid="{00000000-0004-0000-0000-000039000000}"/>
    <hyperlink ref="E12" location="ｹｰﾌﾞﾙLossによる通信距離!A1" display="ｹｰﾌﾞﾙLossによる通信距離" xr:uid="{00000000-0004-0000-0000-00003A000000}"/>
    <hyperlink ref="I5" location="スネルの法則!A1" display="スネルの法則" xr:uid="{00000000-0004-0000-0000-00003B000000}"/>
    <hyperlink ref="J7" location="'10HS農業センサ'!A1" display="土壌水分センサ10HS" xr:uid="{00000000-0004-0000-0000-00003C000000}"/>
    <hyperlink ref="J8" location="MPM3820出力!A1" display="MPM3820 出力計算" xr:uid="{00000000-0004-0000-0000-00003D000000}"/>
    <hyperlink ref="J9" location="'3GRay電源'!A1" display="3GRay電源" xr:uid="{00000000-0004-0000-0000-00003E000000}"/>
    <hyperlink ref="J10" location="'555発振回路'!A1" display="555発発振回路" xr:uid="{00000000-0004-0000-0000-00003F000000}"/>
    <hyperlink ref="D14" location="昇降圧電流計算!A1" display="昇降圧電流計算" xr:uid="{00000000-0004-0000-0000-000040000000}"/>
    <hyperlink ref="B7" location="メモリ容量計算!A1" display="メモリ容量計算" xr:uid="{00000000-0004-0000-0000-000041000000}"/>
    <hyperlink ref="J11" location="土壌水分センサ!A1" display="土壌水分センサ" xr:uid="{00000000-0004-0000-0000-000042000000}"/>
    <hyperlink ref="D15" location="電池容量とキャパシタンス!A1" display="電池容量とキャパシタンス" xr:uid="{00000000-0004-0000-0000-000043000000}"/>
    <hyperlink ref="E13" location="理想サンプリング周波数!A1" display="理想サンプリング周波数" xr:uid="{00000000-0004-0000-0000-000044000000}"/>
    <hyperlink ref="D16" location="電圧変換後の消費電流!A1" display="電圧変換後の消費電流" xr:uid="{00000000-0004-0000-0000-000045000000}"/>
    <hyperlink ref="F11" location="'電力)DB-&gt;倍率'!A1" display="DB-&gt;倍率" xr:uid="{00000000-0004-0000-0000-000046000000}"/>
    <hyperlink ref="F12" location="光量変換!A1" display="光量変換" xr:uid="{00000000-0004-0000-0000-000047000000}"/>
    <hyperlink ref="B8" location="'2進数⇒16進数'!A1" display="2進数⇒16進数" xr:uid="{00000000-0004-0000-0000-000048000000}"/>
    <hyperlink ref="J12" location="bq24210充電!A1" display="bq24210充電" xr:uid="{00000000-0004-0000-0000-000049000000}"/>
    <hyperlink ref="F13" location="インチ変換!A1" display="　インチ変換　" xr:uid="{00000000-0004-0000-0000-00004A000000}"/>
    <hyperlink ref="J13" location="bq24650充電!A1" display="bq24650充電" xr:uid="{00000000-0004-0000-0000-00004B000000}"/>
    <hyperlink ref="J14" location="LTC4071充電!A1" display="LTC4071充電" xr:uid="{00000000-0004-0000-0000-00004C000000}"/>
    <hyperlink ref="J15" location="LTC1799発信周波数!A1" display="LTC1799発信周波数" xr:uid="{BFC34CE3-EA05-42F7-AEE7-F57D3CE4A091}"/>
    <hyperlink ref="J17" location="LM1084出力計算!A1" display="LM1084出力計算" xr:uid="{BCFC4A19-16F3-4B0B-9658-74C854352887}"/>
    <hyperlink ref="J16" location="LTC6908発信周波数!A1" display="LTC6908発信周波数" xr:uid="{112F2C4E-2F9C-40BF-8E19-5169EF4C9B79}"/>
    <hyperlink ref="D17" location="DCDC入出力電力!A1" display="DCDC入出力電力" xr:uid="{AEFA0094-3806-49B7-9D93-C067DE0FF4BD}"/>
    <hyperlink ref="J18" location="LM5007MM出力電圧!A1" display="LM5007出力電流" xr:uid="{D133424C-5309-4B0E-9527-EF02D29CB45C}"/>
    <hyperlink ref="F14" location="加速度G⇔SI!A1" display="加速度G⇔SI" xr:uid="{5A8FBCE5-229F-4571-B993-726295742CC6}"/>
    <hyperlink ref="B9" location="AD変換速度→周波数!A1" display="AD変換速度→周波数" xr:uid="{5502F6DA-D8D1-4918-A107-A0B984532246}"/>
    <hyperlink ref="G3" location="クロック周波数と時間!A1" display="クロック周波数と時間" xr:uid="{37AC9ADC-00D6-4EE3-B6CC-CA6B2C1673CD}"/>
    <hyperlink ref="B10" location="レジスタ!A1" display="　レジスタ　" xr:uid="{EA97516D-3797-4C62-A1E6-5BB2C2B3DB2A}"/>
    <hyperlink ref="C23" location="dB⇔倍率・電圧・音圧!A1" display="  dB⇔倍率  " xr:uid="{1E9B262E-392F-403F-A7C8-97C2EE70D039}"/>
    <hyperlink ref="C24" location="'利得-音圧-電圧-マイク'!A1" display="利得/音圧/電圧/マイク" xr:uid="{B89D3B35-62DC-43DA-96AB-B949A244FB4C}"/>
    <hyperlink ref="I6" location="カラー情報→白黒情報!A1" display="カラー情報→白黒情報" xr:uid="{2579EE49-5FB2-4F93-89AD-A9C7EA97CAC8}"/>
    <hyperlink ref="F15" location="光信号とケーブルロス!A1" display="光信号とケーブルロス" xr:uid="{1157BDA8-C25A-4947-B6E6-76C77413C3F2}"/>
    <hyperlink ref="C22" location="コイル電流と磁界!A1" display="コイルと磁界" xr:uid="{D8538CBC-B922-4EA6-89C7-051ACB1235BA}"/>
    <hyperlink ref="C21" location="サーミスタ計算!A1" display="サーミスタ計算" xr:uid="{F76F714C-F1B5-4220-9DA1-EF366E446C1A}"/>
    <hyperlink ref="C5" location="I2Cプルアップ抵抗!A1" display="　I2Cプルアップ抵抗　" xr:uid="{874AB856-3B22-42AF-B131-3C11EBD313D2}"/>
    <hyperlink ref="E14" location="エイリアシング計算!A1" display="エイリアシング計算" xr:uid="{448BE72F-328C-43EA-9C93-904AC73FD215}"/>
    <hyperlink ref="C25" location="差動アンプ!A1" display="　差動アンプ　" xr:uid="{CF1EE2FF-7EE1-4AB6-A159-5D5234B5764C}"/>
    <hyperlink ref="C1" location="___!A1" display="　　　後ろ　　　" xr:uid="{51E5124D-D0B3-4CB0-BC6B-D32F2EDAC39B}"/>
    <hyperlink ref="F16" location="相関係数を求める!A1" display="相関係数を計算" xr:uid="{B0D665EB-D919-43A4-BC07-E28872782EE3}"/>
    <hyperlink ref="F17" location="画像のファイル容量計算!A1" display="画像のファイル容量計算" xr:uid="{F86BFBAF-5551-4E5B-9829-6465446FFB35}"/>
    <hyperlink ref="F18" location="配線遅延!A1" display=" 配線遅延 " xr:uid="{2D9206B5-48DC-4891-8F67-034030950F0A}"/>
    <hyperlink ref="C26" location="FET駆動電流!A1" display="FET駆動電流(Ig)" xr:uid="{B6D63386-95BB-4518-88B6-7C6460C35D02}"/>
    <hyperlink ref="B11" location="音階と周波数!A1" display="音階と周波数" xr:uid="{95350557-2D0E-4731-A96E-CE664F4D4E31}"/>
    <hyperlink ref="B12" location="ArduinoTimer!A1" display="ArduinoTimer" xr:uid="{11336ABF-8413-41D7-976C-A9663882CEF9}"/>
    <hyperlink ref="J19" location="MT3608出力電圧!A1" display="MT3608出力電圧" xr:uid="{5C7C6E57-E5F0-4E86-9851-D237FA13E46B}"/>
  </hyperlinks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D181-C126-4EFA-9104-4A138257D946}">
  <dimension ref="A1:AJ18"/>
  <sheetViews>
    <sheetView workbookViewId="0">
      <selection sqref="A1:C1"/>
    </sheetView>
  </sheetViews>
  <sheetFormatPr defaultRowHeight="13.5"/>
  <cols>
    <col min="1" max="1" width="2.25" style="657" customWidth="1"/>
    <col min="2" max="2" width="9" style="658"/>
    <col min="3" max="4" width="9" style="657"/>
    <col min="5" max="5" width="2.25" style="657" customWidth="1"/>
    <col min="6" max="8" width="9" style="657"/>
    <col min="9" max="9" width="2.25" style="657" customWidth="1"/>
    <col min="10" max="12" width="9" style="657"/>
    <col min="13" max="13" width="2.25" style="657" customWidth="1"/>
    <col min="14" max="14" width="9.875" style="657" bestFit="1" customWidth="1"/>
    <col min="15" max="16" width="9" style="657"/>
    <col min="17" max="17" width="2.25" style="657" customWidth="1"/>
    <col min="18" max="20" width="9" style="657"/>
    <col min="21" max="21" width="2.25" style="657" customWidth="1"/>
    <col min="22" max="24" width="9" style="657"/>
    <col min="25" max="25" width="2" style="657" customWidth="1"/>
    <col min="26" max="26" width="11" style="657" bestFit="1" customWidth="1"/>
    <col min="27" max="28" width="9" style="657"/>
    <col min="29" max="29" width="2" style="657" customWidth="1"/>
    <col min="30" max="30" width="11" style="657" bestFit="1" customWidth="1"/>
    <col min="31" max="32" width="9" style="657"/>
    <col min="33" max="33" width="2.5" style="657" customWidth="1"/>
    <col min="34" max="16384" width="9" style="657"/>
  </cols>
  <sheetData>
    <row r="1" spans="1:36" s="656" customFormat="1">
      <c r="A1" s="686" t="s">
        <v>61</v>
      </c>
      <c r="B1" s="686"/>
      <c r="C1" s="686"/>
    </row>
    <row r="3" spans="1:36" ht="24">
      <c r="B3" s="663" t="s">
        <v>1967</v>
      </c>
    </row>
    <row r="4" spans="1:36" ht="14.25" thickBot="1"/>
    <row r="5" spans="1:36" ht="18.75">
      <c r="B5" s="662" t="s">
        <v>209</v>
      </c>
      <c r="C5" s="687" t="s">
        <v>1966</v>
      </c>
      <c r="D5" s="688"/>
      <c r="F5" s="662" t="s">
        <v>209</v>
      </c>
      <c r="G5" s="687" t="s">
        <v>1966</v>
      </c>
      <c r="H5" s="688"/>
      <c r="J5" s="662" t="s">
        <v>209</v>
      </c>
      <c r="K5" s="687" t="s">
        <v>1966</v>
      </c>
      <c r="L5" s="688"/>
      <c r="N5" s="662" t="s">
        <v>209</v>
      </c>
      <c r="O5" s="687" t="s">
        <v>1966</v>
      </c>
      <c r="P5" s="688"/>
      <c r="R5" s="662" t="s">
        <v>209</v>
      </c>
      <c r="S5" s="687" t="s">
        <v>1966</v>
      </c>
      <c r="T5" s="688"/>
      <c r="V5" s="662" t="s">
        <v>209</v>
      </c>
      <c r="W5" s="687" t="s">
        <v>1966</v>
      </c>
      <c r="X5" s="688"/>
      <c r="Z5" s="662" t="s">
        <v>209</v>
      </c>
      <c r="AA5" s="687" t="s">
        <v>1966</v>
      </c>
      <c r="AB5" s="688"/>
      <c r="AD5" s="662" t="s">
        <v>209</v>
      </c>
      <c r="AE5" s="687" t="s">
        <v>1966</v>
      </c>
      <c r="AF5" s="688"/>
      <c r="AH5" s="662" t="s">
        <v>209</v>
      </c>
      <c r="AI5" s="687" t="s">
        <v>1966</v>
      </c>
      <c r="AJ5" s="688"/>
    </row>
    <row r="6" spans="1:36" ht="19.5" thickBot="1">
      <c r="B6" s="661" t="s">
        <v>1965</v>
      </c>
      <c r="C6" s="689"/>
      <c r="D6" s="690"/>
      <c r="F6" s="661" t="s">
        <v>1965</v>
      </c>
      <c r="G6" s="689"/>
      <c r="H6" s="690"/>
      <c r="J6" s="661" t="s">
        <v>1965</v>
      </c>
      <c r="K6" s="689"/>
      <c r="L6" s="690"/>
      <c r="N6" s="661" t="s">
        <v>1965</v>
      </c>
      <c r="O6" s="689"/>
      <c r="P6" s="690"/>
      <c r="R6" s="661" t="s">
        <v>1965</v>
      </c>
      <c r="S6" s="689"/>
      <c r="T6" s="690"/>
      <c r="V6" s="661" t="s">
        <v>1965</v>
      </c>
      <c r="W6" s="689"/>
      <c r="X6" s="690"/>
      <c r="Z6" s="661" t="s">
        <v>1965</v>
      </c>
      <c r="AA6" s="689"/>
      <c r="AB6" s="690"/>
      <c r="AD6" s="661" t="s">
        <v>1965</v>
      </c>
      <c r="AE6" s="689"/>
      <c r="AF6" s="690"/>
      <c r="AH6" s="661" t="s">
        <v>1965</v>
      </c>
      <c r="AI6" s="689"/>
      <c r="AJ6" s="690"/>
    </row>
    <row r="7" spans="1:36" ht="19.5" thickBot="1">
      <c r="B7" s="660">
        <v>27.5</v>
      </c>
      <c r="C7" s="659" t="s">
        <v>1964</v>
      </c>
      <c r="D7" s="659" t="s">
        <v>1963</v>
      </c>
      <c r="F7" s="660">
        <v>32.703000000000003</v>
      </c>
      <c r="G7" s="659" t="s">
        <v>1962</v>
      </c>
      <c r="H7" s="659" t="s">
        <v>199</v>
      </c>
      <c r="J7" s="660">
        <v>65.406000000000006</v>
      </c>
      <c r="K7" s="659" t="s">
        <v>1961</v>
      </c>
      <c r="L7" s="659" t="s">
        <v>200</v>
      </c>
      <c r="N7" s="660">
        <v>130.81299999999999</v>
      </c>
      <c r="O7" s="659" t="s">
        <v>1960</v>
      </c>
      <c r="P7" s="659" t="s">
        <v>201</v>
      </c>
      <c r="R7" s="660">
        <v>261.62599999999998</v>
      </c>
      <c r="S7" s="659" t="s">
        <v>1959</v>
      </c>
      <c r="T7" s="659" t="s">
        <v>202</v>
      </c>
      <c r="V7" s="660">
        <v>523.25099999999998</v>
      </c>
      <c r="W7" s="659" t="s">
        <v>1958</v>
      </c>
      <c r="X7" s="659" t="s">
        <v>203</v>
      </c>
      <c r="Z7" s="660">
        <v>1046.502</v>
      </c>
      <c r="AA7" s="659" t="s">
        <v>1957</v>
      </c>
      <c r="AB7" s="659" t="s">
        <v>1956</v>
      </c>
      <c r="AD7" s="660">
        <v>2093.0050000000001</v>
      </c>
      <c r="AE7" s="659" t="s">
        <v>1955</v>
      </c>
      <c r="AF7" s="659" t="s">
        <v>1954</v>
      </c>
      <c r="AH7" s="660">
        <v>4186.009</v>
      </c>
      <c r="AI7" s="659" t="s">
        <v>1953</v>
      </c>
      <c r="AJ7" s="659" t="s">
        <v>1952</v>
      </c>
    </row>
    <row r="8" spans="1:36" ht="19.5" thickBot="1">
      <c r="B8" s="660">
        <v>29.135000000000002</v>
      </c>
      <c r="C8" s="659" t="s">
        <v>1951</v>
      </c>
      <c r="D8" s="659" t="s">
        <v>1950</v>
      </c>
      <c r="F8" s="660">
        <v>34.648000000000003</v>
      </c>
      <c r="G8" s="659" t="s">
        <v>1949</v>
      </c>
      <c r="H8" s="659" t="s">
        <v>1948</v>
      </c>
      <c r="J8" s="660">
        <v>69.296000000000006</v>
      </c>
      <c r="K8" s="659" t="s">
        <v>1947</v>
      </c>
      <c r="L8" s="659" t="s">
        <v>1946</v>
      </c>
      <c r="N8" s="660">
        <v>138.59100000000001</v>
      </c>
      <c r="O8" s="659" t="s">
        <v>1945</v>
      </c>
      <c r="P8" s="659" t="s">
        <v>1944</v>
      </c>
      <c r="R8" s="660">
        <v>277.18299999999999</v>
      </c>
      <c r="S8" s="659" t="s">
        <v>1943</v>
      </c>
      <c r="T8" s="659" t="s">
        <v>1942</v>
      </c>
      <c r="V8" s="660">
        <v>554.36500000000001</v>
      </c>
      <c r="W8" s="659" t="s">
        <v>1941</v>
      </c>
      <c r="X8" s="659" t="s">
        <v>1940</v>
      </c>
      <c r="Z8" s="660">
        <v>1108.731</v>
      </c>
      <c r="AA8" s="659" t="s">
        <v>1939</v>
      </c>
      <c r="AB8" s="659" t="s">
        <v>1938</v>
      </c>
      <c r="AD8" s="660">
        <v>2217.4609999999998</v>
      </c>
      <c r="AE8" s="659" t="s">
        <v>1937</v>
      </c>
      <c r="AF8" s="659" t="s">
        <v>1936</v>
      </c>
    </row>
    <row r="9" spans="1:36" ht="19.5" thickBot="1">
      <c r="B9" s="660">
        <v>30.867999999999999</v>
      </c>
      <c r="C9" s="659" t="s">
        <v>1935</v>
      </c>
      <c r="D9" s="659" t="s">
        <v>1934</v>
      </c>
      <c r="F9" s="660">
        <v>36.707999999999998</v>
      </c>
      <c r="G9" s="659" t="s">
        <v>1933</v>
      </c>
      <c r="H9" s="659" t="s">
        <v>1932</v>
      </c>
      <c r="J9" s="660">
        <v>73.415999999999997</v>
      </c>
      <c r="K9" s="659" t="s">
        <v>1931</v>
      </c>
      <c r="L9" s="659" t="s">
        <v>1930</v>
      </c>
      <c r="N9" s="660">
        <v>146.83199999999999</v>
      </c>
      <c r="O9" s="659" t="s">
        <v>1929</v>
      </c>
      <c r="P9" s="659" t="s">
        <v>1928</v>
      </c>
      <c r="R9" s="660">
        <v>293.66500000000002</v>
      </c>
      <c r="S9" s="659" t="s">
        <v>1927</v>
      </c>
      <c r="T9" s="659" t="s">
        <v>1926</v>
      </c>
      <c r="V9" s="660">
        <v>587.33000000000004</v>
      </c>
      <c r="W9" s="659" t="s">
        <v>1925</v>
      </c>
      <c r="X9" s="659" t="s">
        <v>1924</v>
      </c>
      <c r="Z9" s="660">
        <v>1174.6590000000001</v>
      </c>
      <c r="AA9" s="659" t="s">
        <v>1923</v>
      </c>
      <c r="AB9" s="659" t="s">
        <v>1922</v>
      </c>
      <c r="AD9" s="660">
        <v>2349.3180000000002</v>
      </c>
      <c r="AE9" s="659" t="s">
        <v>1921</v>
      </c>
      <c r="AF9" s="659" t="s">
        <v>1920</v>
      </c>
    </row>
    <row r="10" spans="1:36" ht="19.5" thickBot="1">
      <c r="F10" s="660">
        <v>38.890999999999998</v>
      </c>
      <c r="G10" s="659" t="s">
        <v>1919</v>
      </c>
      <c r="H10" s="659" t="s">
        <v>1918</v>
      </c>
      <c r="J10" s="660">
        <v>77.781999999999996</v>
      </c>
      <c r="K10" s="659" t="s">
        <v>1917</v>
      </c>
      <c r="L10" s="659" t="s">
        <v>1916</v>
      </c>
      <c r="N10" s="660">
        <v>155.56299999999999</v>
      </c>
      <c r="O10" s="659" t="s">
        <v>1915</v>
      </c>
      <c r="P10" s="659" t="s">
        <v>1914</v>
      </c>
      <c r="R10" s="660">
        <v>311.12700000000001</v>
      </c>
      <c r="S10" s="659" t="s">
        <v>1913</v>
      </c>
      <c r="T10" s="659" t="s">
        <v>1912</v>
      </c>
      <c r="V10" s="660">
        <v>622.25400000000002</v>
      </c>
      <c r="W10" s="659" t="s">
        <v>1911</v>
      </c>
      <c r="X10" s="659" t="s">
        <v>1910</v>
      </c>
      <c r="Z10" s="660">
        <v>1244.508</v>
      </c>
      <c r="AA10" s="659" t="s">
        <v>1909</v>
      </c>
      <c r="AB10" s="659" t="s">
        <v>1908</v>
      </c>
      <c r="AD10" s="660">
        <v>2489.0160000000001</v>
      </c>
      <c r="AE10" s="659" t="s">
        <v>1907</v>
      </c>
      <c r="AF10" s="659" t="s">
        <v>1906</v>
      </c>
    </row>
    <row r="11" spans="1:36" ht="19.5" thickBot="1">
      <c r="F11" s="660">
        <v>41.203000000000003</v>
      </c>
      <c r="G11" s="659" t="s">
        <v>1905</v>
      </c>
      <c r="H11" s="659" t="s">
        <v>1904</v>
      </c>
      <c r="J11" s="660">
        <v>82.406999999999996</v>
      </c>
      <c r="K11" s="659" t="s">
        <v>1903</v>
      </c>
      <c r="L11" s="659" t="s">
        <v>1902</v>
      </c>
      <c r="N11" s="660">
        <v>164.81399999999999</v>
      </c>
      <c r="O11" s="659" t="s">
        <v>1901</v>
      </c>
      <c r="P11" s="659" t="s">
        <v>1900</v>
      </c>
      <c r="R11" s="660">
        <v>329.62799999999999</v>
      </c>
      <c r="S11" s="659" t="s">
        <v>1899</v>
      </c>
      <c r="T11" s="659" t="s">
        <v>1898</v>
      </c>
      <c r="V11" s="660">
        <v>659.255</v>
      </c>
      <c r="W11" s="659" t="s">
        <v>1897</v>
      </c>
      <c r="X11" s="659" t="s">
        <v>1896</v>
      </c>
      <c r="Z11" s="660">
        <v>1318.51</v>
      </c>
      <c r="AA11" s="659" t="s">
        <v>1895</v>
      </c>
      <c r="AB11" s="659" t="s">
        <v>1894</v>
      </c>
      <c r="AD11" s="660">
        <v>2637.02</v>
      </c>
      <c r="AE11" s="659" t="s">
        <v>1893</v>
      </c>
      <c r="AF11" s="659" t="s">
        <v>1892</v>
      </c>
    </row>
    <row r="12" spans="1:36" ht="19.5" thickBot="1">
      <c r="F12" s="660">
        <v>43.654000000000003</v>
      </c>
      <c r="G12" s="659" t="s">
        <v>1891</v>
      </c>
      <c r="H12" s="659" t="s">
        <v>1890</v>
      </c>
      <c r="J12" s="660">
        <v>87.307000000000002</v>
      </c>
      <c r="K12" s="659" t="s">
        <v>1889</v>
      </c>
      <c r="L12" s="659" t="s">
        <v>1888</v>
      </c>
      <c r="N12" s="660">
        <v>174.614</v>
      </c>
      <c r="O12" s="659" t="s">
        <v>1887</v>
      </c>
      <c r="P12" s="659" t="s">
        <v>1886</v>
      </c>
      <c r="R12" s="660">
        <v>349.22800000000001</v>
      </c>
      <c r="S12" s="659" t="s">
        <v>1885</v>
      </c>
      <c r="T12" s="659" t="s">
        <v>1884</v>
      </c>
      <c r="V12" s="660">
        <v>698.45600000000002</v>
      </c>
      <c r="W12" s="659" t="s">
        <v>1883</v>
      </c>
      <c r="X12" s="659" t="s">
        <v>1882</v>
      </c>
      <c r="Z12" s="660">
        <v>1396.913</v>
      </c>
      <c r="AA12" s="659" t="s">
        <v>1881</v>
      </c>
      <c r="AB12" s="659" t="s">
        <v>1880</v>
      </c>
      <c r="AD12" s="660">
        <v>2793.826</v>
      </c>
      <c r="AE12" s="659" t="s">
        <v>1879</v>
      </c>
      <c r="AF12" s="659" t="s">
        <v>1878</v>
      </c>
    </row>
    <row r="13" spans="1:36" ht="19.5" thickBot="1">
      <c r="F13" s="660">
        <v>46.249000000000002</v>
      </c>
      <c r="G13" s="659" t="s">
        <v>1877</v>
      </c>
      <c r="H13" s="659" t="s">
        <v>1876</v>
      </c>
      <c r="J13" s="660">
        <v>92.498999999999995</v>
      </c>
      <c r="K13" s="659" t="s">
        <v>1875</v>
      </c>
      <c r="L13" s="659" t="s">
        <v>1874</v>
      </c>
      <c r="N13" s="660">
        <v>184.99700000000001</v>
      </c>
      <c r="O13" s="659" t="s">
        <v>1873</v>
      </c>
      <c r="P13" s="659" t="s">
        <v>1872</v>
      </c>
      <c r="R13" s="660">
        <v>369.99400000000003</v>
      </c>
      <c r="S13" s="659" t="s">
        <v>1871</v>
      </c>
      <c r="T13" s="659" t="s">
        <v>1870</v>
      </c>
      <c r="V13" s="660">
        <v>739.98900000000003</v>
      </c>
      <c r="W13" s="659" t="s">
        <v>1869</v>
      </c>
      <c r="X13" s="659" t="s">
        <v>1868</v>
      </c>
      <c r="Z13" s="660">
        <v>1479.9780000000001</v>
      </c>
      <c r="AA13" s="659" t="s">
        <v>1867</v>
      </c>
      <c r="AB13" s="659" t="s">
        <v>1866</v>
      </c>
      <c r="AD13" s="660">
        <v>2959.9549999999999</v>
      </c>
      <c r="AE13" s="659" t="s">
        <v>1865</v>
      </c>
      <c r="AF13" s="659" t="s">
        <v>1864</v>
      </c>
    </row>
    <row r="14" spans="1:36" ht="19.5" thickBot="1">
      <c r="F14" s="660">
        <v>48.999000000000002</v>
      </c>
      <c r="G14" s="659" t="s">
        <v>1863</v>
      </c>
      <c r="H14" s="659" t="s">
        <v>1862</v>
      </c>
      <c r="J14" s="660">
        <v>97.998999999999995</v>
      </c>
      <c r="K14" s="659" t="s">
        <v>1861</v>
      </c>
      <c r="L14" s="659" t="s">
        <v>1860</v>
      </c>
      <c r="N14" s="660">
        <v>195.99799999999999</v>
      </c>
      <c r="O14" s="659" t="s">
        <v>1859</v>
      </c>
      <c r="P14" s="659" t="s">
        <v>1858</v>
      </c>
      <c r="R14" s="660">
        <v>391.995</v>
      </c>
      <c r="S14" s="659" t="s">
        <v>1857</v>
      </c>
      <c r="T14" s="659" t="s">
        <v>1856</v>
      </c>
      <c r="V14" s="660">
        <v>783.99099999999999</v>
      </c>
      <c r="W14" s="659" t="s">
        <v>1855</v>
      </c>
      <c r="X14" s="659" t="s">
        <v>1854</v>
      </c>
      <c r="Z14" s="660">
        <v>1567.982</v>
      </c>
      <c r="AA14" s="659" t="s">
        <v>1853</v>
      </c>
      <c r="AB14" s="659" t="s">
        <v>1852</v>
      </c>
      <c r="AD14" s="660">
        <v>3135.9630000000002</v>
      </c>
      <c r="AE14" s="659" t="s">
        <v>1851</v>
      </c>
      <c r="AF14" s="659" t="s">
        <v>1850</v>
      </c>
    </row>
    <row r="15" spans="1:36" ht="19.5" thickBot="1">
      <c r="F15" s="660">
        <v>51.912999999999997</v>
      </c>
      <c r="G15" s="659" t="s">
        <v>1849</v>
      </c>
      <c r="H15" s="659" t="s">
        <v>1848</v>
      </c>
      <c r="J15" s="660">
        <v>103.82599999999999</v>
      </c>
      <c r="K15" s="659" t="s">
        <v>1847</v>
      </c>
      <c r="L15" s="659" t="s">
        <v>1846</v>
      </c>
      <c r="N15" s="660">
        <v>207.65199999999999</v>
      </c>
      <c r="O15" s="659" t="s">
        <v>1845</v>
      </c>
      <c r="P15" s="659" t="s">
        <v>1844</v>
      </c>
      <c r="R15" s="660">
        <v>415.30500000000001</v>
      </c>
      <c r="S15" s="659" t="s">
        <v>1843</v>
      </c>
      <c r="T15" s="659" t="s">
        <v>1842</v>
      </c>
      <c r="V15" s="660">
        <v>830.60900000000004</v>
      </c>
      <c r="W15" s="659" t="s">
        <v>1841</v>
      </c>
      <c r="X15" s="659" t="s">
        <v>1840</v>
      </c>
      <c r="Z15" s="660">
        <v>1661.2190000000001</v>
      </c>
      <c r="AA15" s="659" t="s">
        <v>1839</v>
      </c>
      <c r="AB15" s="659" t="s">
        <v>1838</v>
      </c>
      <c r="AD15" s="660">
        <v>3322.4380000000001</v>
      </c>
      <c r="AE15" s="659" t="s">
        <v>1837</v>
      </c>
      <c r="AF15" s="659" t="s">
        <v>1836</v>
      </c>
    </row>
    <row r="16" spans="1:36" ht="19.5" thickBot="1">
      <c r="F16" s="660">
        <v>55</v>
      </c>
      <c r="G16" s="659" t="s">
        <v>1835</v>
      </c>
      <c r="H16" s="659" t="s">
        <v>1834</v>
      </c>
      <c r="J16" s="660">
        <v>110</v>
      </c>
      <c r="K16" s="659" t="s">
        <v>1833</v>
      </c>
      <c r="L16" s="659" t="s">
        <v>1832</v>
      </c>
      <c r="N16" s="660">
        <v>220</v>
      </c>
      <c r="O16" s="659" t="s">
        <v>1831</v>
      </c>
      <c r="P16" s="659" t="s">
        <v>1830</v>
      </c>
      <c r="R16" s="660">
        <v>440</v>
      </c>
      <c r="S16" s="659" t="s">
        <v>1829</v>
      </c>
      <c r="T16" s="659" t="s">
        <v>1828</v>
      </c>
      <c r="V16" s="660">
        <v>880</v>
      </c>
      <c r="W16" s="659" t="s">
        <v>1827</v>
      </c>
      <c r="X16" s="659" t="s">
        <v>1826</v>
      </c>
      <c r="Z16" s="660">
        <v>1760</v>
      </c>
      <c r="AA16" s="659" t="s">
        <v>1825</v>
      </c>
      <c r="AB16" s="659" t="s">
        <v>1824</v>
      </c>
      <c r="AD16" s="660">
        <v>3520</v>
      </c>
      <c r="AE16" s="659" t="s">
        <v>1823</v>
      </c>
      <c r="AF16" s="659" t="s">
        <v>1822</v>
      </c>
    </row>
    <row r="17" spans="6:32" ht="19.5" thickBot="1">
      <c r="F17" s="660">
        <v>58.27</v>
      </c>
      <c r="G17" s="659" t="s">
        <v>1821</v>
      </c>
      <c r="H17" s="659" t="s">
        <v>1820</v>
      </c>
      <c r="J17" s="660">
        <v>116.541</v>
      </c>
      <c r="K17" s="659" t="s">
        <v>1819</v>
      </c>
      <c r="L17" s="659" t="s">
        <v>1818</v>
      </c>
      <c r="N17" s="660">
        <v>233.08199999999999</v>
      </c>
      <c r="O17" s="659" t="s">
        <v>1817</v>
      </c>
      <c r="P17" s="659" t="s">
        <v>1816</v>
      </c>
      <c r="R17" s="660">
        <v>466.16399999999999</v>
      </c>
      <c r="S17" s="659" t="s">
        <v>1815</v>
      </c>
      <c r="T17" s="659" t="s">
        <v>1814</v>
      </c>
      <c r="V17" s="660">
        <v>932.32799999999997</v>
      </c>
      <c r="W17" s="659" t="s">
        <v>1813</v>
      </c>
      <c r="X17" s="659" t="s">
        <v>1812</v>
      </c>
      <c r="Z17" s="660">
        <v>1864.655</v>
      </c>
      <c r="AA17" s="659" t="s">
        <v>1811</v>
      </c>
      <c r="AB17" s="659" t="s">
        <v>1810</v>
      </c>
      <c r="AD17" s="660">
        <v>3729.31</v>
      </c>
      <c r="AE17" s="659" t="s">
        <v>1809</v>
      </c>
      <c r="AF17" s="659" t="s">
        <v>1808</v>
      </c>
    </row>
    <row r="18" spans="6:32" ht="19.5" thickBot="1">
      <c r="F18" s="660">
        <v>61.734999999999999</v>
      </c>
      <c r="G18" s="659" t="s">
        <v>1807</v>
      </c>
      <c r="H18" s="659" t="s">
        <v>1806</v>
      </c>
      <c r="J18" s="660">
        <v>123.471</v>
      </c>
      <c r="K18" s="659" t="s">
        <v>1805</v>
      </c>
      <c r="L18" s="659" t="s">
        <v>1804</v>
      </c>
      <c r="N18" s="660">
        <v>246.94200000000001</v>
      </c>
      <c r="O18" s="659" t="s">
        <v>1803</v>
      </c>
      <c r="P18" s="659" t="s">
        <v>1802</v>
      </c>
      <c r="R18" s="660">
        <v>493.88299999999998</v>
      </c>
      <c r="S18" s="659" t="s">
        <v>1801</v>
      </c>
      <c r="T18" s="659" t="s">
        <v>1800</v>
      </c>
      <c r="V18" s="660">
        <v>987.76700000000005</v>
      </c>
      <c r="W18" s="659" t="s">
        <v>1799</v>
      </c>
      <c r="X18" s="659" t="s">
        <v>1798</v>
      </c>
      <c r="Z18" s="660">
        <v>1975.5329999999999</v>
      </c>
      <c r="AA18" s="659" t="s">
        <v>1797</v>
      </c>
      <c r="AB18" s="659" t="s">
        <v>1796</v>
      </c>
      <c r="AD18" s="660">
        <v>3951.0659999999998</v>
      </c>
      <c r="AE18" s="659" t="s">
        <v>1795</v>
      </c>
      <c r="AF18" s="659" t="s">
        <v>1794</v>
      </c>
    </row>
  </sheetData>
  <mergeCells count="10">
    <mergeCell ref="A1:C1"/>
    <mergeCell ref="AA5:AB6"/>
    <mergeCell ref="AE5:AF6"/>
    <mergeCell ref="AI5:AJ6"/>
    <mergeCell ref="C5:D6"/>
    <mergeCell ref="G5:H6"/>
    <mergeCell ref="K5:L6"/>
    <mergeCell ref="O5:P6"/>
    <mergeCell ref="S5:T6"/>
    <mergeCell ref="W5:X6"/>
  </mergeCells>
  <phoneticPr fontId="42"/>
  <hyperlinks>
    <hyperlink ref="A1:C1" location="目次!A1" display="　目次　" xr:uid="{B81C20A5-7E6C-4927-94BD-17151EDEDCE2}"/>
  </hyperlink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3"/>
  <sheetViews>
    <sheetView zoomScale="85" zoomScaleNormal="85" workbookViewId="0">
      <selection sqref="A1:XFD1"/>
    </sheetView>
  </sheetViews>
  <sheetFormatPr defaultColWidth="9" defaultRowHeight="13.5"/>
  <cols>
    <col min="1" max="1" width="4" customWidth="1"/>
    <col min="2" max="2" width="4.25" customWidth="1"/>
    <col min="3" max="3" width="7.25" customWidth="1"/>
    <col min="4" max="4" width="9.5" customWidth="1"/>
    <col min="5" max="5" width="7.875" customWidth="1"/>
    <col min="6" max="6" width="7.25" customWidth="1"/>
    <col min="7" max="7" width="7.5" customWidth="1"/>
    <col min="8" max="8" width="8.875" customWidth="1"/>
    <col min="9" max="9" width="7.25" customWidth="1"/>
    <col min="10" max="10" width="7.25" style="121" customWidth="1"/>
    <col min="11" max="11" width="7.75" style="121" customWidth="1"/>
    <col min="12" max="12" width="7.25" customWidth="1"/>
    <col min="13" max="13" width="7.75" customWidth="1"/>
    <col min="14" max="14" width="8.875" customWidth="1"/>
    <col min="15" max="15" width="7.25" customWidth="1"/>
    <col min="16" max="16" width="7.75" customWidth="1"/>
    <col min="17" max="17" width="8.875" customWidth="1"/>
    <col min="18" max="18" width="7.25" customWidth="1"/>
    <col min="19" max="19" width="9.375" customWidth="1"/>
    <col min="20" max="20" width="8.125" customWidth="1"/>
    <col min="21" max="21" width="7.25" customWidth="1"/>
    <col min="22" max="22" width="9.375" customWidth="1"/>
    <col min="23" max="23" width="8.125" customWidth="1"/>
    <col min="24" max="24" width="9" customWidth="1"/>
    <col min="25" max="25" width="23.625" customWidth="1"/>
    <col min="26" max="26" width="2.625" customWidth="1"/>
    <col min="28" max="28" width="5.5" customWidth="1"/>
    <col min="29" max="29" width="2.625" customWidth="1"/>
  </cols>
  <sheetData>
    <row r="1" spans="1:25">
      <c r="A1" s="686" t="s">
        <v>61</v>
      </c>
      <c r="B1" s="686"/>
      <c r="C1" s="686"/>
      <c r="J1"/>
      <c r="K1"/>
    </row>
    <row r="2" spans="1:25">
      <c r="B2" s="691" t="s">
        <v>62</v>
      </c>
      <c r="C2" s="691"/>
      <c r="D2" s="691"/>
      <c r="E2" s="691"/>
      <c r="F2" s="691"/>
      <c r="G2" s="691"/>
      <c r="H2" s="691"/>
      <c r="I2" s="691"/>
    </row>
    <row r="3" spans="1:25">
      <c r="B3" s="692" t="s">
        <v>63</v>
      </c>
      <c r="C3" s="692"/>
      <c r="D3" s="692"/>
      <c r="E3" s="692"/>
      <c r="F3" s="692"/>
      <c r="G3" s="692"/>
      <c r="H3" s="692"/>
      <c r="I3" s="692"/>
      <c r="L3" s="10"/>
      <c r="M3" s="10"/>
    </row>
    <row r="4" spans="1:25">
      <c r="K4" s="216"/>
      <c r="L4" s="216"/>
    </row>
    <row r="5" spans="1:25">
      <c r="B5" s="211"/>
      <c r="C5" s="117"/>
      <c r="D5" s="117"/>
      <c r="E5" s="117"/>
      <c r="F5" s="117"/>
      <c r="G5" s="117"/>
      <c r="H5" s="117"/>
      <c r="I5" s="117"/>
      <c r="J5" s="217"/>
      <c r="K5" s="217"/>
      <c r="L5" s="117"/>
      <c r="M5" s="117"/>
      <c r="N5" s="117"/>
      <c r="O5" s="117"/>
      <c r="P5" s="117"/>
      <c r="Q5" s="117"/>
      <c r="R5" s="211"/>
      <c r="S5" s="117"/>
      <c r="T5" s="219"/>
      <c r="U5" s="117"/>
      <c r="V5" s="117"/>
      <c r="W5" s="219"/>
    </row>
    <row r="6" spans="1:25">
      <c r="B6" s="212"/>
      <c r="C6" s="63" t="s">
        <v>64</v>
      </c>
      <c r="D6" s="132">
        <v>25</v>
      </c>
      <c r="E6" s="63" t="s">
        <v>65</v>
      </c>
      <c r="F6" s="63"/>
      <c r="G6" s="63"/>
      <c r="H6" s="63"/>
      <c r="I6" s="63"/>
      <c r="J6" s="9"/>
      <c r="K6" s="8"/>
      <c r="L6" s="8"/>
      <c r="M6" s="63"/>
      <c r="N6" s="63"/>
      <c r="O6" s="63"/>
      <c r="P6" s="63"/>
      <c r="Q6" s="63"/>
      <c r="R6" s="212"/>
      <c r="S6" s="63"/>
      <c r="T6" s="220"/>
      <c r="U6" s="63"/>
      <c r="V6" s="63"/>
      <c r="W6" s="220"/>
    </row>
    <row r="7" spans="1:25">
      <c r="B7" s="212"/>
      <c r="C7" s="696" t="s">
        <v>66</v>
      </c>
      <c r="D7" s="132">
        <v>10</v>
      </c>
      <c r="E7" s="63" t="s">
        <v>67</v>
      </c>
      <c r="F7" s="63"/>
      <c r="G7" s="63"/>
      <c r="H7" s="63"/>
      <c r="I7" s="63"/>
      <c r="J7" s="9"/>
      <c r="K7" s="9"/>
      <c r="L7" s="63"/>
      <c r="M7" s="63"/>
      <c r="N7" s="63"/>
      <c r="O7" s="63"/>
      <c r="P7" s="63"/>
      <c r="Q7" s="63"/>
      <c r="R7" s="212"/>
      <c r="S7" s="63"/>
      <c r="T7" s="220"/>
      <c r="U7" s="63"/>
      <c r="V7" s="63"/>
      <c r="W7" s="220"/>
    </row>
    <row r="8" spans="1:25">
      <c r="B8" s="212"/>
      <c r="C8" s="696"/>
      <c r="D8" s="166">
        <f>16^(D7/4)-1</f>
        <v>1023</v>
      </c>
      <c r="E8" s="63" t="s">
        <v>68</v>
      </c>
      <c r="F8" s="63"/>
      <c r="G8" s="63"/>
      <c r="H8" s="63"/>
      <c r="I8" s="63"/>
      <c r="J8" s="9"/>
      <c r="K8" s="9"/>
      <c r="L8" s="63"/>
      <c r="M8" s="63"/>
      <c r="N8" s="63"/>
      <c r="O8" s="63"/>
      <c r="P8" s="63"/>
      <c r="Q8" s="63"/>
      <c r="R8" s="212"/>
      <c r="S8" s="63"/>
      <c r="T8" s="220"/>
      <c r="V8" s="63"/>
      <c r="W8" s="220"/>
    </row>
    <row r="9" spans="1:25">
      <c r="B9" s="212"/>
      <c r="C9" s="68"/>
      <c r="D9" s="63"/>
      <c r="E9" s="63"/>
      <c r="F9" s="63"/>
      <c r="G9" s="63"/>
      <c r="H9" s="63"/>
      <c r="I9" s="63"/>
      <c r="J9" s="9"/>
      <c r="K9" s="9"/>
      <c r="L9" s="63"/>
      <c r="M9" s="63"/>
      <c r="N9" s="63"/>
      <c r="O9" s="63"/>
      <c r="P9" s="63"/>
      <c r="Q9" s="63"/>
      <c r="R9" s="221" t="s">
        <v>69</v>
      </c>
      <c r="S9" s="63"/>
      <c r="T9" s="220"/>
      <c r="U9" s="136" t="s">
        <v>69</v>
      </c>
      <c r="V9" s="63"/>
      <c r="W9" s="220"/>
    </row>
    <row r="10" spans="1:25">
      <c r="B10" s="212"/>
      <c r="C10" s="63" t="s">
        <v>70</v>
      </c>
      <c r="D10" s="132">
        <v>0.04</v>
      </c>
      <c r="E10" s="63" t="s">
        <v>65</v>
      </c>
      <c r="F10" s="63" t="s">
        <v>70</v>
      </c>
      <c r="G10" s="132">
        <v>1</v>
      </c>
      <c r="H10" s="63" t="s">
        <v>65</v>
      </c>
      <c r="I10" s="63" t="s">
        <v>70</v>
      </c>
      <c r="J10" s="132">
        <v>2.15</v>
      </c>
      <c r="K10" s="63" t="s">
        <v>65</v>
      </c>
      <c r="L10" s="63" t="s">
        <v>70</v>
      </c>
      <c r="M10" s="132">
        <v>3.89</v>
      </c>
      <c r="N10" s="63" t="s">
        <v>65</v>
      </c>
      <c r="O10" s="63" t="s">
        <v>70</v>
      </c>
      <c r="P10" s="132">
        <v>1.5</v>
      </c>
      <c r="Q10" s="63" t="s">
        <v>65</v>
      </c>
      <c r="R10" s="222" t="s">
        <v>71</v>
      </c>
      <c r="S10" s="693" t="s">
        <v>1044</v>
      </c>
      <c r="T10" s="694"/>
      <c r="U10" s="9" t="s">
        <v>73</v>
      </c>
      <c r="V10" s="695" t="s">
        <v>74</v>
      </c>
      <c r="W10" s="694"/>
    </row>
    <row r="11" spans="1:25">
      <c r="B11" s="212"/>
      <c r="C11" s="63" t="s">
        <v>73</v>
      </c>
      <c r="D11" s="699">
        <f>ROUND(AVERAGE(D10/(D6/D8)),0)</f>
        <v>2</v>
      </c>
      <c r="E11" s="699"/>
      <c r="F11" s="63" t="s">
        <v>73</v>
      </c>
      <c r="G11" s="699">
        <f>ROUND(AVERAGE(G10/(D6/D8)),0)</f>
        <v>41</v>
      </c>
      <c r="H11" s="699"/>
      <c r="I11" s="63" t="s">
        <v>73</v>
      </c>
      <c r="J11" s="699">
        <f>ROUND(AVERAGE(J10/(D6/D8)),0)</f>
        <v>88</v>
      </c>
      <c r="K11" s="699"/>
      <c r="L11" s="63" t="s">
        <v>73</v>
      </c>
      <c r="M11" s="699">
        <f>ROUND(AVERAGE(M10/(D6/D8)),0)</f>
        <v>159</v>
      </c>
      <c r="N11" s="699"/>
      <c r="O11" s="63" t="s">
        <v>73</v>
      </c>
      <c r="P11" s="699">
        <f>ROUND(AVERAGE(P10/(D6/D8)),0)</f>
        <v>61</v>
      </c>
      <c r="Q11" s="699"/>
      <c r="R11" s="212" t="s">
        <v>73</v>
      </c>
      <c r="S11" s="697">
        <f>HEX2DEC(S10)</f>
        <v>1</v>
      </c>
      <c r="T11" s="698"/>
      <c r="U11" s="63" t="s">
        <v>71</v>
      </c>
      <c r="V11" s="697" t="str">
        <f>DEC2HEX(V10)</f>
        <v>156E</v>
      </c>
      <c r="W11" s="698"/>
      <c r="X11">
        <v>18</v>
      </c>
      <c r="Y11">
        <f>V12*X11/D6</f>
        <v>96.527859237536646</v>
      </c>
    </row>
    <row r="12" spans="1:25">
      <c r="B12" s="212"/>
      <c r="C12" s="63" t="s">
        <v>71</v>
      </c>
      <c r="D12" s="697" t="str">
        <f>DEC2HEX(D11)</f>
        <v>2</v>
      </c>
      <c r="E12" s="697"/>
      <c r="F12" s="63" t="s">
        <v>71</v>
      </c>
      <c r="G12" s="697" t="str">
        <f>DEC2HEX(G11)</f>
        <v>29</v>
      </c>
      <c r="H12" s="697"/>
      <c r="I12" s="63" t="s">
        <v>71</v>
      </c>
      <c r="J12" s="697" t="str">
        <f>DEC2HEX(J11)</f>
        <v>58</v>
      </c>
      <c r="K12" s="697"/>
      <c r="L12" s="63" t="s">
        <v>71</v>
      </c>
      <c r="M12" s="697" t="str">
        <f>DEC2HEX(M11)</f>
        <v>9F</v>
      </c>
      <c r="N12" s="697"/>
      <c r="O12" s="63" t="s">
        <v>71</v>
      </c>
      <c r="P12" s="697" t="str">
        <f>DEC2HEX(P11)</f>
        <v>3D</v>
      </c>
      <c r="Q12" s="697"/>
      <c r="R12" s="212" t="s">
        <v>70</v>
      </c>
      <c r="S12" s="133">
        <f>S11*(D6/D8)</f>
        <v>2.4437927663734114E-2</v>
      </c>
      <c r="T12" s="220" t="s">
        <v>65</v>
      </c>
      <c r="U12" s="63" t="s">
        <v>70</v>
      </c>
      <c r="V12" s="133">
        <f>V10*(D6/D8)</f>
        <v>134.06647116324535</v>
      </c>
      <c r="W12" s="220" t="s">
        <v>65</v>
      </c>
      <c r="X12">
        <v>72</v>
      </c>
      <c r="Y12">
        <f>V12*X12/D6</f>
        <v>386.11143695014658</v>
      </c>
    </row>
    <row r="13" spans="1:25">
      <c r="B13" s="213"/>
      <c r="C13" s="214"/>
      <c r="D13" s="215"/>
      <c r="E13" s="214"/>
      <c r="F13" s="214"/>
      <c r="G13" s="215"/>
      <c r="H13" s="214"/>
      <c r="I13" s="214"/>
      <c r="J13" s="215"/>
      <c r="K13" s="214"/>
      <c r="L13" s="214"/>
      <c r="M13" s="215"/>
      <c r="N13" s="214"/>
      <c r="O13" s="214"/>
      <c r="P13" s="215"/>
      <c r="Q13" s="214"/>
      <c r="R13" s="213"/>
      <c r="S13" s="214"/>
      <c r="T13" s="223"/>
      <c r="U13" s="214"/>
      <c r="V13" s="214"/>
      <c r="W13" s="223"/>
    </row>
    <row r="14" spans="1:25">
      <c r="D14" s="29"/>
      <c r="G14" s="29"/>
      <c r="J14" s="29"/>
      <c r="K14"/>
      <c r="M14" s="29"/>
      <c r="P14" s="29"/>
    </row>
    <row r="15" spans="1:25">
      <c r="B15" s="211"/>
      <c r="C15" s="117"/>
      <c r="D15" s="117"/>
      <c r="E15" s="117"/>
      <c r="F15" s="117"/>
      <c r="G15" s="117"/>
      <c r="H15" s="117"/>
      <c r="I15" s="117"/>
      <c r="J15" s="217"/>
      <c r="K15" s="217"/>
      <c r="L15" s="117"/>
      <c r="M15" s="117"/>
      <c r="N15" s="117"/>
      <c r="O15" s="117"/>
      <c r="P15" s="117"/>
      <c r="Q15" s="117"/>
      <c r="R15" s="211"/>
      <c r="S15" s="117"/>
      <c r="T15" s="219"/>
      <c r="U15" s="117"/>
      <c r="V15" s="117"/>
      <c r="W15" s="219"/>
    </row>
    <row r="16" spans="1:25">
      <c r="B16" s="212"/>
      <c r="C16" s="63" t="s">
        <v>64</v>
      </c>
      <c r="D16" s="132">
        <v>3.3</v>
      </c>
      <c r="E16" s="63" t="s">
        <v>65</v>
      </c>
      <c r="F16" s="63"/>
      <c r="G16" s="63"/>
      <c r="H16" s="63"/>
      <c r="I16" s="63"/>
      <c r="J16" s="9"/>
      <c r="K16" s="9"/>
      <c r="L16" s="63"/>
      <c r="M16" s="63"/>
      <c r="N16" s="63"/>
      <c r="O16" s="63"/>
      <c r="P16" s="63"/>
      <c r="Q16" s="63"/>
      <c r="R16" s="212"/>
      <c r="S16" s="63"/>
      <c r="T16" s="220"/>
      <c r="U16" s="63"/>
      <c r="V16" s="63"/>
      <c r="W16" s="220"/>
    </row>
    <row r="17" spans="2:23">
      <c r="B17" s="212"/>
      <c r="C17" s="696" t="s">
        <v>66</v>
      </c>
      <c r="D17" s="132">
        <v>12</v>
      </c>
      <c r="E17" s="63" t="s">
        <v>67</v>
      </c>
      <c r="F17" s="63"/>
      <c r="G17" s="63"/>
      <c r="H17" s="63"/>
      <c r="I17" s="63"/>
      <c r="J17" s="9"/>
      <c r="K17" s="9"/>
      <c r="L17" s="63"/>
      <c r="M17" s="63"/>
      <c r="N17" s="63"/>
      <c r="O17" s="63"/>
      <c r="P17" s="63"/>
      <c r="Q17" s="63"/>
      <c r="R17" s="212"/>
      <c r="S17" s="63"/>
      <c r="T17" s="220"/>
      <c r="U17" s="63"/>
      <c r="V17" s="63"/>
      <c r="W17" s="220"/>
    </row>
    <row r="18" spans="2:23">
      <c r="B18" s="212"/>
      <c r="C18" s="696"/>
      <c r="D18" s="166">
        <f>16^(D17/4)-1</f>
        <v>4095</v>
      </c>
      <c r="E18" s="63" t="s">
        <v>68</v>
      </c>
      <c r="F18" s="63"/>
      <c r="G18" s="63"/>
      <c r="H18" s="63"/>
      <c r="I18" s="63"/>
      <c r="J18" s="9"/>
      <c r="K18" s="9"/>
      <c r="L18" s="63"/>
      <c r="M18" s="63"/>
      <c r="N18" s="63"/>
      <c r="O18" s="63"/>
      <c r="P18" s="63"/>
      <c r="Q18" s="63"/>
      <c r="R18" s="212"/>
      <c r="S18" s="63"/>
      <c r="T18" s="220"/>
      <c r="V18" s="63"/>
      <c r="W18" s="220"/>
    </row>
    <row r="19" spans="2:23">
      <c r="B19" s="212"/>
      <c r="C19" s="68"/>
      <c r="D19" s="63"/>
      <c r="E19" s="63"/>
      <c r="F19" s="63"/>
      <c r="G19" s="63"/>
      <c r="H19" s="63"/>
      <c r="I19" s="63"/>
      <c r="J19" s="9"/>
      <c r="K19" s="9"/>
      <c r="L19" s="63"/>
      <c r="M19" s="63"/>
      <c r="N19" s="63"/>
      <c r="O19" s="63"/>
      <c r="P19" s="63"/>
      <c r="Q19" s="63"/>
      <c r="R19" s="221" t="s">
        <v>69</v>
      </c>
      <c r="S19" s="63"/>
      <c r="T19" s="220"/>
      <c r="U19" s="136" t="s">
        <v>69</v>
      </c>
      <c r="V19" s="63"/>
      <c r="W19" s="220"/>
    </row>
    <row r="20" spans="2:23">
      <c r="B20" s="212"/>
      <c r="C20" s="63" t="s">
        <v>70</v>
      </c>
      <c r="D20" s="132">
        <v>0.1</v>
      </c>
      <c r="E20" s="63" t="s">
        <v>65</v>
      </c>
      <c r="F20" s="63" t="s">
        <v>70</v>
      </c>
      <c r="G20" s="132">
        <v>0.05</v>
      </c>
      <c r="H20" s="63" t="s">
        <v>65</v>
      </c>
      <c r="I20" s="63" t="s">
        <v>70</v>
      </c>
      <c r="J20" s="132">
        <v>1</v>
      </c>
      <c r="K20" s="63" t="s">
        <v>65</v>
      </c>
      <c r="L20" s="63" t="s">
        <v>70</v>
      </c>
      <c r="M20" s="132">
        <v>2</v>
      </c>
      <c r="N20" s="63" t="s">
        <v>65</v>
      </c>
      <c r="O20" s="63" t="s">
        <v>70</v>
      </c>
      <c r="P20" s="132">
        <v>3.3</v>
      </c>
      <c r="Q20" s="63" t="s">
        <v>65</v>
      </c>
      <c r="R20" s="222" t="s">
        <v>71</v>
      </c>
      <c r="S20" s="695" t="s">
        <v>72</v>
      </c>
      <c r="T20" s="694"/>
      <c r="U20" s="9" t="s">
        <v>73</v>
      </c>
      <c r="V20" s="695" t="s">
        <v>75</v>
      </c>
      <c r="W20" s="694"/>
    </row>
    <row r="21" spans="2:23">
      <c r="B21" s="212"/>
      <c r="C21" s="63" t="s">
        <v>73</v>
      </c>
      <c r="D21" s="699">
        <f>ROUND(AVERAGE(D20/(D16/D18)),0)</f>
        <v>124</v>
      </c>
      <c r="E21" s="699"/>
      <c r="F21" s="63" t="s">
        <v>73</v>
      </c>
      <c r="G21" s="699">
        <f>ROUND(AVERAGE(G20/(D16/D18)),0)</f>
        <v>62</v>
      </c>
      <c r="H21" s="699"/>
      <c r="I21" s="63" t="s">
        <v>73</v>
      </c>
      <c r="J21" s="699">
        <f>ROUND(AVERAGE(J20/(D16/D18)),0)</f>
        <v>1241</v>
      </c>
      <c r="K21" s="699"/>
      <c r="L21" s="63" t="s">
        <v>73</v>
      </c>
      <c r="M21" s="699">
        <f>ROUND(AVERAGE(M20/(D16/D18)),0)</f>
        <v>2482</v>
      </c>
      <c r="N21" s="699"/>
      <c r="O21" s="63" t="s">
        <v>73</v>
      </c>
      <c r="P21" s="699">
        <f>ROUND(AVERAGE(P20/(D16/D18)),0)</f>
        <v>4095</v>
      </c>
      <c r="Q21" s="699"/>
      <c r="R21" s="212" t="s">
        <v>73</v>
      </c>
      <c r="S21" s="697">
        <f>HEX2DEC(S20)</f>
        <v>100</v>
      </c>
      <c r="T21" s="698"/>
      <c r="U21" s="63" t="s">
        <v>71</v>
      </c>
      <c r="V21" s="697" t="str">
        <f>DEC2HEX(V20)</f>
        <v>64</v>
      </c>
      <c r="W21" s="698"/>
    </row>
    <row r="22" spans="2:23">
      <c r="B22" s="212"/>
      <c r="C22" s="63" t="s">
        <v>71</v>
      </c>
      <c r="D22" s="697" t="str">
        <f>DEC2HEX(D21)</f>
        <v>7C</v>
      </c>
      <c r="E22" s="697"/>
      <c r="F22" s="63" t="s">
        <v>71</v>
      </c>
      <c r="G22" s="697" t="str">
        <f>DEC2HEX(G21)</f>
        <v>3E</v>
      </c>
      <c r="H22" s="697"/>
      <c r="I22" s="63" t="s">
        <v>71</v>
      </c>
      <c r="J22" s="697" t="str">
        <f>DEC2HEX(J21)</f>
        <v>4D9</v>
      </c>
      <c r="K22" s="697"/>
      <c r="L22" s="63" t="s">
        <v>71</v>
      </c>
      <c r="M22" s="697" t="str">
        <f>DEC2HEX(M21)</f>
        <v>9B2</v>
      </c>
      <c r="N22" s="697"/>
      <c r="O22" s="63" t="s">
        <v>71</v>
      </c>
      <c r="P22" s="697" t="str">
        <f>DEC2HEX(P21)</f>
        <v>FFF</v>
      </c>
      <c r="Q22" s="697"/>
      <c r="R22" s="212" t="s">
        <v>70</v>
      </c>
      <c r="S22" s="133">
        <f>S21*(D16/D18)</f>
        <v>8.0586080586080591E-2</v>
      </c>
      <c r="T22" s="220" t="s">
        <v>65</v>
      </c>
      <c r="U22" s="63" t="s">
        <v>70</v>
      </c>
      <c r="V22" s="133">
        <f>V20*(D16/D18)</f>
        <v>8.0586080586080591E-2</v>
      </c>
      <c r="W22" s="220" t="s">
        <v>65</v>
      </c>
    </row>
    <row r="23" spans="2:23">
      <c r="B23" s="213"/>
      <c r="C23" s="214"/>
      <c r="D23" s="215"/>
      <c r="E23" s="214"/>
      <c r="F23" s="214"/>
      <c r="G23" s="215"/>
      <c r="H23" s="214"/>
      <c r="I23" s="214"/>
      <c r="J23" s="215"/>
      <c r="K23" s="214"/>
      <c r="L23" s="214"/>
      <c r="M23" s="215"/>
      <c r="N23" s="214"/>
      <c r="O23" s="214"/>
      <c r="P23" s="215"/>
      <c r="Q23" s="214"/>
      <c r="R23" s="213"/>
      <c r="S23" s="214"/>
      <c r="T23" s="223"/>
      <c r="U23" s="214"/>
      <c r="V23" s="214"/>
      <c r="W23" s="223"/>
    </row>
    <row r="24" spans="2:23">
      <c r="D24" s="29"/>
      <c r="G24" s="29"/>
      <c r="J24" s="29"/>
      <c r="K24"/>
      <c r="M24" s="29"/>
      <c r="P24" s="29"/>
    </row>
    <row r="25" spans="2:23">
      <c r="B25" s="211"/>
      <c r="C25" s="117"/>
      <c r="D25" s="117"/>
      <c r="E25" s="117"/>
      <c r="F25" s="117"/>
      <c r="G25" s="117"/>
      <c r="H25" s="117"/>
      <c r="I25" s="117"/>
      <c r="J25" s="217"/>
      <c r="K25" s="217"/>
      <c r="L25" s="117"/>
      <c r="M25" s="117"/>
      <c r="N25" s="117"/>
      <c r="O25" s="117"/>
      <c r="P25" s="117"/>
      <c r="Q25" s="117"/>
      <c r="R25" s="211"/>
      <c r="S25" s="117"/>
      <c r="T25" s="219"/>
      <c r="U25" s="117"/>
      <c r="V25" s="117"/>
      <c r="W25" s="219"/>
    </row>
    <row r="26" spans="2:23">
      <c r="B26" s="212"/>
      <c r="C26" s="63" t="s">
        <v>64</v>
      </c>
      <c r="D26" s="132">
        <v>3.3</v>
      </c>
      <c r="E26" s="63" t="s">
        <v>65</v>
      </c>
      <c r="F26" s="63"/>
      <c r="G26" s="63"/>
      <c r="H26" s="63"/>
      <c r="I26" s="63"/>
      <c r="J26" s="9"/>
      <c r="K26" s="9"/>
      <c r="L26" s="63"/>
      <c r="M26" s="63"/>
      <c r="N26" s="63"/>
      <c r="O26" s="63"/>
      <c r="P26" s="63"/>
      <c r="Q26" s="63"/>
      <c r="R26" s="212"/>
      <c r="S26" s="63"/>
      <c r="T26" s="220"/>
      <c r="U26" s="63"/>
      <c r="V26" s="63"/>
      <c r="W26" s="220"/>
    </row>
    <row r="27" spans="2:23">
      <c r="B27" s="212"/>
      <c r="C27" s="696" t="s">
        <v>66</v>
      </c>
      <c r="D27" s="132">
        <v>16</v>
      </c>
      <c r="E27" s="63" t="s">
        <v>67</v>
      </c>
      <c r="F27" s="63"/>
      <c r="G27" s="63"/>
      <c r="H27" s="63"/>
      <c r="I27" s="63"/>
      <c r="J27" s="9"/>
      <c r="K27" s="9"/>
      <c r="L27" s="63"/>
      <c r="M27" s="63"/>
      <c r="N27" s="63"/>
      <c r="O27" s="63"/>
      <c r="P27" s="63"/>
      <c r="Q27" s="63"/>
      <c r="R27" s="212"/>
      <c r="S27" s="63"/>
      <c r="T27" s="220"/>
      <c r="U27" s="63"/>
      <c r="V27" s="63"/>
      <c r="W27" s="220"/>
    </row>
    <row r="28" spans="2:23">
      <c r="B28" s="212"/>
      <c r="C28" s="696"/>
      <c r="D28" s="166">
        <f>16^(D27/4)-1</f>
        <v>65535</v>
      </c>
      <c r="E28" s="63" t="s">
        <v>68</v>
      </c>
      <c r="F28" s="63"/>
      <c r="G28" s="63"/>
      <c r="H28" s="63"/>
      <c r="I28" s="63"/>
      <c r="J28" s="9"/>
      <c r="K28" s="9"/>
      <c r="L28" s="63"/>
      <c r="M28" s="63"/>
      <c r="N28" s="63"/>
      <c r="O28" s="63"/>
      <c r="P28" s="63"/>
      <c r="Q28" s="63"/>
      <c r="R28" s="212"/>
      <c r="S28" s="63"/>
      <c r="T28" s="220"/>
      <c r="V28" s="63"/>
      <c r="W28" s="220"/>
    </row>
    <row r="29" spans="2:23">
      <c r="B29" s="212"/>
      <c r="C29" s="68"/>
      <c r="D29" s="63"/>
      <c r="E29" s="63"/>
      <c r="F29" s="63"/>
      <c r="G29" s="63"/>
      <c r="H29" s="63"/>
      <c r="I29" s="63"/>
      <c r="J29" s="9"/>
      <c r="K29" s="9"/>
      <c r="L29" s="63"/>
      <c r="M29" s="63"/>
      <c r="N29" s="63"/>
      <c r="O29" s="63"/>
      <c r="P29" s="63"/>
      <c r="Q29" s="63"/>
      <c r="R29" s="221" t="s">
        <v>69</v>
      </c>
      <c r="S29" s="63"/>
      <c r="T29" s="220"/>
      <c r="U29" s="136" t="s">
        <v>69</v>
      </c>
      <c r="V29" s="63"/>
      <c r="W29" s="220"/>
    </row>
    <row r="30" spans="2:23">
      <c r="B30" s="212"/>
      <c r="C30" s="63" t="s">
        <v>70</v>
      </c>
      <c r="D30" s="132">
        <v>0.01</v>
      </c>
      <c r="E30" s="63" t="s">
        <v>65</v>
      </c>
      <c r="F30" s="63" t="s">
        <v>70</v>
      </c>
      <c r="G30" s="132">
        <v>0.5</v>
      </c>
      <c r="H30" s="63" t="s">
        <v>65</v>
      </c>
      <c r="I30" s="63" t="s">
        <v>70</v>
      </c>
      <c r="J30" s="132">
        <v>1</v>
      </c>
      <c r="K30" s="63" t="s">
        <v>65</v>
      </c>
      <c r="L30" s="63" t="s">
        <v>70</v>
      </c>
      <c r="M30" s="132">
        <v>2</v>
      </c>
      <c r="N30" s="63" t="s">
        <v>65</v>
      </c>
      <c r="O30" s="63" t="s">
        <v>70</v>
      </c>
      <c r="P30" s="132">
        <v>3.3</v>
      </c>
      <c r="Q30" s="63" t="s">
        <v>65</v>
      </c>
      <c r="R30" s="222" t="s">
        <v>71</v>
      </c>
      <c r="S30" s="695" t="s">
        <v>72</v>
      </c>
      <c r="T30" s="694"/>
      <c r="U30" s="9" t="s">
        <v>71</v>
      </c>
      <c r="V30" s="695" t="s">
        <v>75</v>
      </c>
      <c r="W30" s="694"/>
    </row>
    <row r="31" spans="2:23">
      <c r="B31" s="212"/>
      <c r="C31" s="63" t="s">
        <v>73</v>
      </c>
      <c r="D31" s="699">
        <f>ROUND(AVERAGE(D30/(D26/D28)),0)</f>
        <v>199</v>
      </c>
      <c r="E31" s="699"/>
      <c r="F31" s="63" t="s">
        <v>73</v>
      </c>
      <c r="G31" s="699">
        <f>ROUND(AVERAGE(G30/(D26/D28)),0)</f>
        <v>9930</v>
      </c>
      <c r="H31" s="699"/>
      <c r="I31" s="63" t="s">
        <v>73</v>
      </c>
      <c r="J31" s="699">
        <f>ROUND(AVERAGE(J30/(D26/D28)),0)</f>
        <v>19859</v>
      </c>
      <c r="K31" s="699"/>
      <c r="L31" s="63" t="s">
        <v>73</v>
      </c>
      <c r="M31" s="699">
        <f>ROUND(AVERAGE(M30/(D26/D28)),0)</f>
        <v>39718</v>
      </c>
      <c r="N31" s="699"/>
      <c r="O31" s="63" t="s">
        <v>73</v>
      </c>
      <c r="P31" s="699">
        <f>ROUND(AVERAGE(P30/(D26/D28)),0)</f>
        <v>65535</v>
      </c>
      <c r="Q31" s="699"/>
      <c r="R31" s="212" t="s">
        <v>73</v>
      </c>
      <c r="S31" s="697">
        <f>HEX2DEC(S30)</f>
        <v>100</v>
      </c>
      <c r="T31" s="698"/>
      <c r="U31" s="63" t="s">
        <v>73</v>
      </c>
      <c r="V31" s="697" t="str">
        <f>DEC2HEX(V30)</f>
        <v>64</v>
      </c>
      <c r="W31" s="698"/>
    </row>
    <row r="32" spans="2:23">
      <c r="B32" s="212"/>
      <c r="C32" s="63" t="s">
        <v>71</v>
      </c>
      <c r="D32" s="697" t="str">
        <f>DEC2HEX(D31)</f>
        <v>C7</v>
      </c>
      <c r="E32" s="697"/>
      <c r="F32" s="63" t="s">
        <v>71</v>
      </c>
      <c r="G32" s="697" t="str">
        <f>DEC2HEX(G31)</f>
        <v>26CA</v>
      </c>
      <c r="H32" s="697"/>
      <c r="I32" s="63" t="s">
        <v>71</v>
      </c>
      <c r="J32" s="697" t="str">
        <f>DEC2HEX(J31)</f>
        <v>4D93</v>
      </c>
      <c r="K32" s="697"/>
      <c r="L32" s="63" t="s">
        <v>71</v>
      </c>
      <c r="M32" s="697" t="str">
        <f>DEC2HEX(M31)</f>
        <v>9B26</v>
      </c>
      <c r="N32" s="697"/>
      <c r="O32" s="63" t="s">
        <v>71</v>
      </c>
      <c r="P32" s="697" t="str">
        <f>DEC2HEX(P31)</f>
        <v>FFFF</v>
      </c>
      <c r="Q32" s="697"/>
      <c r="R32" s="212" t="s">
        <v>70</v>
      </c>
      <c r="S32" s="133">
        <f>S31*(D26/D28)</f>
        <v>5.0354772259098186E-3</v>
      </c>
      <c r="T32" s="220" t="s">
        <v>65</v>
      </c>
      <c r="U32" s="63" t="s">
        <v>70</v>
      </c>
      <c r="V32" s="133">
        <f>V30*(D26/D28)</f>
        <v>5.0354772259098186E-3</v>
      </c>
      <c r="W32" s="220" t="s">
        <v>65</v>
      </c>
    </row>
    <row r="33" spans="2:23">
      <c r="B33" s="213"/>
      <c r="C33" s="214"/>
      <c r="D33" s="215"/>
      <c r="E33" s="214"/>
      <c r="F33" s="214"/>
      <c r="G33" s="215"/>
      <c r="H33" s="214"/>
      <c r="I33" s="214"/>
      <c r="J33" s="215"/>
      <c r="K33" s="214"/>
      <c r="L33" s="214"/>
      <c r="M33" s="215"/>
      <c r="N33" s="214"/>
      <c r="O33" s="214"/>
      <c r="P33" s="215"/>
      <c r="Q33" s="214"/>
      <c r="R33" s="213"/>
      <c r="S33" s="214"/>
      <c r="T33" s="223"/>
      <c r="U33" s="214"/>
      <c r="V33" s="214"/>
      <c r="W33" s="223"/>
    </row>
    <row r="34" spans="2:23">
      <c r="D34" s="29"/>
      <c r="G34" s="29"/>
      <c r="J34" s="29"/>
      <c r="K34"/>
      <c r="M34" s="29"/>
      <c r="P34" s="29"/>
    </row>
    <row r="35" spans="2:23">
      <c r="B35" s="211"/>
      <c r="C35" s="117"/>
      <c r="D35" s="117"/>
      <c r="E35" s="117"/>
      <c r="F35" s="117"/>
      <c r="G35" s="117"/>
      <c r="H35" s="117"/>
      <c r="I35" s="117"/>
      <c r="J35" s="217"/>
      <c r="K35" s="217"/>
      <c r="L35" s="117"/>
      <c r="M35" s="117"/>
      <c r="N35" s="117"/>
      <c r="O35" s="117"/>
      <c r="P35" s="117"/>
      <c r="Q35" s="117"/>
      <c r="R35" s="211"/>
      <c r="S35" s="117"/>
      <c r="T35" s="219"/>
      <c r="U35" s="117"/>
      <c r="V35" s="117"/>
      <c r="W35" s="219"/>
    </row>
    <row r="36" spans="2:23">
      <c r="B36" s="212"/>
      <c r="C36" s="63" t="s">
        <v>64</v>
      </c>
      <c r="D36" s="132">
        <v>33</v>
      </c>
      <c r="E36" s="63" t="s">
        <v>65</v>
      </c>
      <c r="F36" s="63"/>
      <c r="G36" s="63"/>
      <c r="H36" s="63"/>
      <c r="I36" s="63"/>
      <c r="J36" s="9"/>
      <c r="K36" s="9"/>
      <c r="L36" s="63"/>
      <c r="M36" s="63"/>
      <c r="N36" s="63"/>
      <c r="O36" s="63"/>
      <c r="P36" s="63"/>
      <c r="Q36" s="63"/>
      <c r="R36" s="212"/>
      <c r="S36" s="63"/>
      <c r="T36" s="220"/>
      <c r="U36" s="63"/>
      <c r="V36" s="63"/>
      <c r="W36" s="220"/>
    </row>
    <row r="37" spans="2:23">
      <c r="B37" s="212"/>
      <c r="C37" s="696" t="s">
        <v>66</v>
      </c>
      <c r="D37" s="132">
        <v>24</v>
      </c>
      <c r="E37" s="63" t="s">
        <v>67</v>
      </c>
      <c r="F37" s="63"/>
      <c r="G37" s="63"/>
      <c r="H37" s="63"/>
      <c r="I37" s="63"/>
      <c r="J37" s="9"/>
      <c r="K37" s="9"/>
      <c r="L37" s="63"/>
      <c r="M37" s="63"/>
      <c r="N37" s="63"/>
      <c r="O37" s="63"/>
      <c r="P37" s="63"/>
      <c r="Q37" s="63"/>
      <c r="R37" s="212"/>
      <c r="S37" s="63"/>
      <c r="T37" s="220"/>
      <c r="V37" s="63"/>
      <c r="W37" s="220"/>
    </row>
    <row r="38" spans="2:23">
      <c r="B38" s="212"/>
      <c r="C38" s="696"/>
      <c r="D38" s="166">
        <f>16^(D37/4)-1</f>
        <v>16777215</v>
      </c>
      <c r="E38" s="63" t="s">
        <v>68</v>
      </c>
      <c r="F38" s="63"/>
      <c r="G38" s="63"/>
      <c r="H38" s="63"/>
      <c r="I38" s="63"/>
      <c r="J38" s="9"/>
      <c r="K38" s="9"/>
      <c r="L38" s="63"/>
      <c r="M38" s="63"/>
      <c r="N38" s="63"/>
      <c r="O38" s="63"/>
      <c r="P38" s="63"/>
      <c r="Q38" s="63"/>
      <c r="R38" s="221" t="s">
        <v>69</v>
      </c>
      <c r="S38" s="63"/>
      <c r="T38" s="220"/>
      <c r="U38" s="136" t="s">
        <v>69</v>
      </c>
      <c r="V38" s="63"/>
      <c r="W38" s="220"/>
    </row>
    <row r="39" spans="2:23">
      <c r="B39" s="212"/>
      <c r="C39" s="68"/>
      <c r="D39" s="9"/>
      <c r="E39" s="63"/>
      <c r="F39" s="63"/>
      <c r="G39" s="63"/>
      <c r="H39" s="63"/>
      <c r="I39" s="63"/>
      <c r="J39" s="9"/>
      <c r="K39" s="9"/>
      <c r="L39" s="63"/>
      <c r="M39" s="63"/>
      <c r="N39" s="63"/>
      <c r="O39" s="63"/>
      <c r="P39" s="63"/>
      <c r="Q39" s="63"/>
      <c r="R39" s="221"/>
      <c r="S39" s="63"/>
      <c r="T39" s="220"/>
      <c r="U39" s="136"/>
      <c r="V39" s="63"/>
      <c r="W39" s="220"/>
    </row>
    <row r="40" spans="2:23">
      <c r="B40" s="212"/>
      <c r="C40" s="63" t="s">
        <v>70</v>
      </c>
      <c r="D40" s="132">
        <v>0.1</v>
      </c>
      <c r="E40" s="63" t="s">
        <v>65</v>
      </c>
      <c r="F40" s="63" t="s">
        <v>70</v>
      </c>
      <c r="G40" s="132">
        <v>0.5</v>
      </c>
      <c r="H40" s="63" t="s">
        <v>65</v>
      </c>
      <c r="I40" s="63" t="s">
        <v>70</v>
      </c>
      <c r="J40" s="132">
        <v>1</v>
      </c>
      <c r="K40" s="63" t="s">
        <v>65</v>
      </c>
      <c r="L40" s="63" t="s">
        <v>70</v>
      </c>
      <c r="M40" s="132">
        <v>2</v>
      </c>
      <c r="N40" s="63" t="s">
        <v>65</v>
      </c>
      <c r="O40" s="63" t="s">
        <v>70</v>
      </c>
      <c r="P40" s="132">
        <v>4.9000000000000004</v>
      </c>
      <c r="Q40" s="63" t="s">
        <v>65</v>
      </c>
      <c r="R40" s="222" t="s">
        <v>71</v>
      </c>
      <c r="S40" s="695" t="s">
        <v>72</v>
      </c>
      <c r="T40" s="694"/>
      <c r="U40" s="9" t="s">
        <v>71</v>
      </c>
      <c r="V40" s="695" t="s">
        <v>75</v>
      </c>
      <c r="W40" s="694"/>
    </row>
    <row r="41" spans="2:23">
      <c r="B41" s="212"/>
      <c r="C41" s="63" t="s">
        <v>73</v>
      </c>
      <c r="D41" s="699">
        <f>ROUND(AVERAGE(D40/(D36/D38)),0)</f>
        <v>50840</v>
      </c>
      <c r="E41" s="699"/>
      <c r="F41" s="63" t="s">
        <v>73</v>
      </c>
      <c r="G41" s="699">
        <f>ROUND(AVERAGE(G40/(D36/D38)),0)</f>
        <v>254200</v>
      </c>
      <c r="H41" s="699"/>
      <c r="I41" s="63" t="s">
        <v>73</v>
      </c>
      <c r="J41" s="699">
        <f>ROUND(AVERAGE(J40/(D36/D38)),0)</f>
        <v>508400</v>
      </c>
      <c r="K41" s="699"/>
      <c r="L41" s="63" t="s">
        <v>73</v>
      </c>
      <c r="M41" s="699">
        <f>ROUND(AVERAGE(M40/(D36/D38)),0)</f>
        <v>1016801</v>
      </c>
      <c r="N41" s="699"/>
      <c r="O41" s="63" t="s">
        <v>73</v>
      </c>
      <c r="P41" s="699">
        <f>ROUND(AVERAGE(P40/(D36/D38)),0)</f>
        <v>2491162</v>
      </c>
      <c r="Q41" s="699"/>
      <c r="R41" s="212" t="s">
        <v>73</v>
      </c>
      <c r="S41" s="697">
        <f>HEX2DEC(S40)</f>
        <v>100</v>
      </c>
      <c r="T41" s="698"/>
      <c r="U41" s="63" t="s">
        <v>73</v>
      </c>
      <c r="V41" s="697" t="str">
        <f>DEC2HEX(V40)</f>
        <v>64</v>
      </c>
      <c r="W41" s="698"/>
    </row>
    <row r="42" spans="2:23">
      <c r="B42" s="212"/>
      <c r="C42" s="63" t="s">
        <v>71</v>
      </c>
      <c r="D42" s="697" t="str">
        <f>DEC2HEX(D41)</f>
        <v>C698</v>
      </c>
      <c r="E42" s="697"/>
      <c r="F42" s="63" t="s">
        <v>71</v>
      </c>
      <c r="G42" s="697" t="str">
        <f>DEC2HEX(G41)</f>
        <v>3E0F8</v>
      </c>
      <c r="H42" s="697"/>
      <c r="I42" s="63" t="s">
        <v>71</v>
      </c>
      <c r="J42" s="697" t="str">
        <f>DEC2HEX(J41)</f>
        <v>7C1F0</v>
      </c>
      <c r="K42" s="697"/>
      <c r="L42" s="63" t="s">
        <v>71</v>
      </c>
      <c r="M42" s="697" t="str">
        <f>DEC2HEX(M41)</f>
        <v>F83E1</v>
      </c>
      <c r="N42" s="697"/>
      <c r="O42" s="63" t="s">
        <v>71</v>
      </c>
      <c r="P42" s="697" t="str">
        <f>DEC2HEX(P41)</f>
        <v>26031A</v>
      </c>
      <c r="Q42" s="697"/>
      <c r="R42" s="212" t="s">
        <v>70</v>
      </c>
      <c r="S42" s="133">
        <f>S41*(D36/D38)</f>
        <v>1.9669533948274493E-4</v>
      </c>
      <c r="T42" s="220" t="s">
        <v>65</v>
      </c>
      <c r="U42" s="63" t="s">
        <v>70</v>
      </c>
      <c r="V42" s="133">
        <f>V40*(D36/D38)</f>
        <v>1.9669533948274493E-4</v>
      </c>
      <c r="W42" s="220" t="s">
        <v>65</v>
      </c>
    </row>
    <row r="43" spans="2:23">
      <c r="B43" s="213"/>
      <c r="C43" s="214"/>
      <c r="D43" s="214"/>
      <c r="E43" s="214"/>
      <c r="F43" s="214"/>
      <c r="G43" s="214"/>
      <c r="H43" s="214"/>
      <c r="I43" s="214"/>
      <c r="J43" s="218"/>
      <c r="K43" s="218"/>
      <c r="L43" s="214"/>
      <c r="M43" s="214"/>
      <c r="N43" s="214"/>
      <c r="O43" s="214"/>
      <c r="P43" s="214"/>
      <c r="Q43" s="214"/>
      <c r="R43" s="213"/>
      <c r="S43" s="214"/>
      <c r="T43" s="223"/>
      <c r="U43" s="214"/>
      <c r="V43" s="214"/>
      <c r="W43" s="223"/>
    </row>
  </sheetData>
  <mergeCells count="63">
    <mergeCell ref="C17:C18"/>
    <mergeCell ref="C27:C28"/>
    <mergeCell ref="C37:C38"/>
    <mergeCell ref="D42:E42"/>
    <mergeCell ref="G42:H42"/>
    <mergeCell ref="D41:E41"/>
    <mergeCell ref="G41:H41"/>
    <mergeCell ref="D32:E32"/>
    <mergeCell ref="G32:H32"/>
    <mergeCell ref="D31:E31"/>
    <mergeCell ref="G31:H31"/>
    <mergeCell ref="D22:E22"/>
    <mergeCell ref="G22:H22"/>
    <mergeCell ref="D21:E21"/>
    <mergeCell ref="G21:H21"/>
    <mergeCell ref="J42:K42"/>
    <mergeCell ref="M42:N42"/>
    <mergeCell ref="P42:Q42"/>
    <mergeCell ref="S40:T40"/>
    <mergeCell ref="V40:W40"/>
    <mergeCell ref="J41:K41"/>
    <mergeCell ref="M41:N41"/>
    <mergeCell ref="P41:Q41"/>
    <mergeCell ref="S41:T41"/>
    <mergeCell ref="V41:W41"/>
    <mergeCell ref="J32:K32"/>
    <mergeCell ref="M32:N32"/>
    <mergeCell ref="P32:Q32"/>
    <mergeCell ref="S30:T30"/>
    <mergeCell ref="V30:W30"/>
    <mergeCell ref="J31:K31"/>
    <mergeCell ref="M31:N31"/>
    <mergeCell ref="P31:Q31"/>
    <mergeCell ref="S31:T31"/>
    <mergeCell ref="V31:W31"/>
    <mergeCell ref="J22:K22"/>
    <mergeCell ref="M22:N22"/>
    <mergeCell ref="P22:Q22"/>
    <mergeCell ref="S20:T20"/>
    <mergeCell ref="V20:W20"/>
    <mergeCell ref="J21:K21"/>
    <mergeCell ref="M21:N21"/>
    <mergeCell ref="P21:Q21"/>
    <mergeCell ref="S21:T21"/>
    <mergeCell ref="V21:W21"/>
    <mergeCell ref="S11:T11"/>
    <mergeCell ref="V11:W11"/>
    <mergeCell ref="D12:E12"/>
    <mergeCell ref="G12:H12"/>
    <mergeCell ref="J12:K12"/>
    <mergeCell ref="M12:N12"/>
    <mergeCell ref="P12:Q12"/>
    <mergeCell ref="D11:E11"/>
    <mergeCell ref="G11:H11"/>
    <mergeCell ref="J11:K11"/>
    <mergeCell ref="M11:N11"/>
    <mergeCell ref="P11:Q11"/>
    <mergeCell ref="A1:C1"/>
    <mergeCell ref="B2:I2"/>
    <mergeCell ref="B3:I3"/>
    <mergeCell ref="S10:T10"/>
    <mergeCell ref="V10:W10"/>
    <mergeCell ref="C7:C8"/>
  </mergeCells>
  <phoneticPr fontId="42"/>
  <hyperlinks>
    <hyperlink ref="A1:C1" location="目次!A1" display="　目次　" xr:uid="{00000000-0004-0000-0100-000000000000}"/>
  </hyperlinks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"/>
  <sheetViews>
    <sheetView workbookViewId="0">
      <selection sqref="A1:C1"/>
    </sheetView>
  </sheetViews>
  <sheetFormatPr defaultColWidth="9" defaultRowHeight="13.5"/>
  <cols>
    <col min="1" max="1" width="9" customWidth="1"/>
    <col min="3" max="3" width="13.875" customWidth="1"/>
    <col min="7" max="7" width="15.375" customWidth="1"/>
  </cols>
  <sheetData>
    <row r="1" spans="1:8">
      <c r="A1" s="686" t="s">
        <v>61</v>
      </c>
      <c r="B1" s="686"/>
      <c r="C1" s="686"/>
    </row>
    <row r="3" spans="1:8">
      <c r="A3" t="s">
        <v>76</v>
      </c>
    </row>
    <row r="4" spans="1:8">
      <c r="B4" t="s">
        <v>77</v>
      </c>
      <c r="C4" s="21">
        <v>4000</v>
      </c>
      <c r="D4" t="s">
        <v>77</v>
      </c>
      <c r="F4" t="s">
        <v>78</v>
      </c>
      <c r="G4" s="21">
        <v>400000</v>
      </c>
      <c r="H4" t="s">
        <v>79</v>
      </c>
    </row>
    <row r="5" spans="1:8">
      <c r="B5" t="s">
        <v>80</v>
      </c>
      <c r="C5" s="21">
        <v>0.15</v>
      </c>
      <c r="D5" t="s">
        <v>81</v>
      </c>
      <c r="G5" s="21">
        <v>0.15</v>
      </c>
      <c r="H5" t="s">
        <v>81</v>
      </c>
    </row>
    <row r="7" spans="1:8">
      <c r="B7" t="s">
        <v>78</v>
      </c>
      <c r="C7" s="23">
        <f>C4*100</f>
        <v>400000</v>
      </c>
      <c r="D7" t="s">
        <v>79</v>
      </c>
      <c r="F7" t="s">
        <v>77</v>
      </c>
      <c r="G7" s="23">
        <f>G4/100</f>
        <v>4000</v>
      </c>
      <c r="H7" t="s">
        <v>77</v>
      </c>
    </row>
    <row r="8" spans="1:8">
      <c r="B8" t="s">
        <v>82</v>
      </c>
      <c r="C8" s="23">
        <f>C5*1000000/100</f>
        <v>1500</v>
      </c>
      <c r="D8" t="s">
        <v>83</v>
      </c>
      <c r="F8" t="s">
        <v>82</v>
      </c>
      <c r="G8">
        <f>G5*G7</f>
        <v>600</v>
      </c>
      <c r="H8" t="s">
        <v>83</v>
      </c>
    </row>
    <row r="9" spans="1:8">
      <c r="C9" s="23">
        <f>C4*C5</f>
        <v>600</v>
      </c>
      <c r="D9" t="s">
        <v>84</v>
      </c>
    </row>
  </sheetData>
  <mergeCells count="1">
    <mergeCell ref="A1:C1"/>
  </mergeCells>
  <phoneticPr fontId="42"/>
  <hyperlinks>
    <hyperlink ref="A1:C1" location="目次!A1" display="　目次　" xr:uid="{00000000-0004-0000-0200-000000000000}"/>
  </hyperlinks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7"/>
  <sheetViews>
    <sheetView zoomScale="85" zoomScaleNormal="85" workbookViewId="0">
      <selection activeCell="M24" sqref="M24"/>
    </sheetView>
  </sheetViews>
  <sheetFormatPr defaultColWidth="3.5" defaultRowHeight="13.5"/>
  <cols>
    <col min="1" max="3" width="3.5" customWidth="1"/>
    <col min="12" max="16" width="6.875" customWidth="1"/>
    <col min="24" max="24" width="4.5" customWidth="1"/>
    <col min="30" max="30" width="4.5" customWidth="1"/>
  </cols>
  <sheetData>
    <row r="1" spans="1:25">
      <c r="A1" s="700" t="s">
        <v>1037</v>
      </c>
      <c r="B1" s="686"/>
      <c r="C1" s="686"/>
    </row>
    <row r="2" spans="1:25">
      <c r="B2" s="130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81"/>
      <c r="R2" s="76"/>
      <c r="S2" s="63"/>
      <c r="T2" s="63"/>
      <c r="U2" s="63"/>
    </row>
    <row r="3" spans="1:25" ht="18.75">
      <c r="B3" s="210" t="s">
        <v>85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82"/>
      <c r="R3" s="76"/>
      <c r="S3" s="63"/>
      <c r="T3" s="63"/>
      <c r="U3" s="63"/>
    </row>
    <row r="4" spans="1:25">
      <c r="B4" s="76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9"/>
      <c r="O4" s="9"/>
      <c r="P4" s="63"/>
      <c r="Q4" s="82"/>
      <c r="R4" s="76"/>
      <c r="S4" s="63"/>
      <c r="T4" s="63"/>
      <c r="U4" s="63"/>
    </row>
    <row r="5" spans="1:25">
      <c r="B5" s="76"/>
      <c r="C5" s="63"/>
      <c r="D5" s="63"/>
      <c r="E5" s="132"/>
      <c r="F5" s="132"/>
      <c r="G5" s="132"/>
      <c r="H5" s="63" t="s">
        <v>86</v>
      </c>
      <c r="I5" s="63"/>
      <c r="J5" s="63"/>
      <c r="K5" s="63"/>
      <c r="L5" s="63"/>
      <c r="M5" s="9"/>
      <c r="N5" s="9"/>
      <c r="O5" s="63"/>
      <c r="P5" s="63"/>
      <c r="Q5" s="82"/>
      <c r="R5" s="76"/>
      <c r="S5" s="63"/>
      <c r="T5" s="63"/>
      <c r="U5" s="63"/>
    </row>
    <row r="6" spans="1:25">
      <c r="A6" s="63"/>
      <c r="B6" s="76"/>
      <c r="C6" s="63"/>
      <c r="D6" s="63"/>
      <c r="E6" s="133"/>
      <c r="F6" s="133"/>
      <c r="G6" s="133"/>
      <c r="H6" s="63" t="s">
        <v>63</v>
      </c>
      <c r="I6" s="63"/>
      <c r="J6" s="63"/>
      <c r="K6" s="63"/>
      <c r="L6" s="63"/>
      <c r="M6" s="9"/>
      <c r="N6" s="9"/>
      <c r="O6" s="63"/>
      <c r="P6" s="63"/>
      <c r="Q6" s="82"/>
      <c r="R6" s="76"/>
      <c r="S6" s="63"/>
      <c r="T6" s="63"/>
      <c r="U6" s="63"/>
      <c r="V6" s="63"/>
      <c r="W6" s="63"/>
      <c r="X6" s="63"/>
      <c r="Y6" s="63"/>
    </row>
    <row r="7" spans="1:25">
      <c r="A7" s="63"/>
      <c r="B7" s="76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82"/>
      <c r="R7" s="76"/>
      <c r="S7" s="63"/>
      <c r="T7" s="63"/>
      <c r="U7" s="63"/>
      <c r="V7" s="63"/>
    </row>
    <row r="8" spans="1:25">
      <c r="A8" s="63"/>
      <c r="B8" s="76"/>
      <c r="C8" s="63"/>
      <c r="D8" s="63"/>
      <c r="E8" s="131" t="s">
        <v>87</v>
      </c>
      <c r="F8" s="63"/>
      <c r="G8" s="63"/>
      <c r="H8" s="63"/>
      <c r="I8" s="63"/>
      <c r="J8" s="63"/>
      <c r="K8" s="63"/>
      <c r="L8" s="8"/>
      <c r="M8" s="63"/>
      <c r="N8" s="63"/>
      <c r="O8" s="63"/>
      <c r="P8" s="63"/>
      <c r="Q8" s="82"/>
      <c r="R8" s="76"/>
      <c r="S8" s="63"/>
      <c r="T8" s="63"/>
      <c r="U8" s="63"/>
      <c r="V8" s="63"/>
    </row>
    <row r="9" spans="1:25">
      <c r="B9" s="76"/>
      <c r="C9" s="63"/>
      <c r="D9" s="63"/>
      <c r="E9" s="131" t="s">
        <v>88</v>
      </c>
      <c r="F9" s="63"/>
      <c r="G9" s="63"/>
      <c r="H9" s="63"/>
      <c r="I9" s="63"/>
      <c r="J9" s="63"/>
      <c r="K9" s="63"/>
      <c r="L9" s="8"/>
      <c r="M9" s="63"/>
      <c r="N9" s="63"/>
      <c r="O9" s="63"/>
      <c r="P9" s="63"/>
      <c r="Q9" s="82"/>
      <c r="R9" s="76"/>
      <c r="S9" s="63"/>
      <c r="T9" s="63"/>
      <c r="U9" s="63"/>
    </row>
    <row r="10" spans="1:25">
      <c r="B10" s="76"/>
      <c r="C10" s="63"/>
      <c r="D10" s="63"/>
      <c r="E10" s="131" t="s">
        <v>89</v>
      </c>
      <c r="F10" s="63"/>
      <c r="G10" s="63"/>
      <c r="H10" s="63"/>
      <c r="I10" s="63"/>
      <c r="J10" s="63"/>
      <c r="K10" s="63"/>
      <c r="L10" s="8"/>
      <c r="M10" s="63"/>
      <c r="N10" s="63"/>
      <c r="O10" s="63"/>
      <c r="P10" s="63"/>
      <c r="Q10" s="82"/>
      <c r="R10" s="76"/>
      <c r="S10" s="63"/>
      <c r="T10" s="63"/>
      <c r="U10" s="63"/>
    </row>
    <row r="11" spans="1:25">
      <c r="B11" s="76"/>
      <c r="C11" s="63"/>
      <c r="D11" s="63"/>
      <c r="F11" s="123" t="s">
        <v>90</v>
      </c>
      <c r="G11" s="701">
        <v>470</v>
      </c>
      <c r="H11" s="701"/>
      <c r="I11" s="701"/>
      <c r="J11" s="8" t="s">
        <v>91</v>
      </c>
      <c r="K11" s="9"/>
      <c r="L11" s="8"/>
      <c r="M11" s="8"/>
      <c r="N11" s="8"/>
      <c r="O11" s="8"/>
      <c r="P11" s="9"/>
      <c r="Q11" s="141"/>
      <c r="R11" s="76"/>
      <c r="S11" s="63"/>
      <c r="T11" s="63"/>
      <c r="U11" s="63"/>
    </row>
    <row r="12" spans="1:25">
      <c r="B12" s="76"/>
      <c r="C12" s="63"/>
      <c r="D12" s="63"/>
      <c r="F12" s="123" t="s">
        <v>70</v>
      </c>
      <c r="G12" s="701">
        <v>5</v>
      </c>
      <c r="H12" s="701"/>
      <c r="I12" s="701"/>
      <c r="J12" s="65" t="s">
        <v>65</v>
      </c>
      <c r="K12" s="63"/>
      <c r="L12" s="8"/>
      <c r="M12" s="9"/>
      <c r="N12" s="9"/>
      <c r="O12" s="9"/>
      <c r="P12" s="9"/>
      <c r="Q12" s="141"/>
      <c r="R12" s="76"/>
      <c r="S12" s="63"/>
      <c r="T12" s="63"/>
      <c r="U12" s="63"/>
    </row>
    <row r="13" spans="1:25">
      <c r="B13" s="76"/>
      <c r="C13" s="63"/>
      <c r="D13" s="63"/>
      <c r="F13" s="123" t="s">
        <v>87</v>
      </c>
      <c r="G13" s="697">
        <f>G12/G11</f>
        <v>1.0638297872340425E-2</v>
      </c>
      <c r="H13" s="697"/>
      <c r="I13" s="697"/>
      <c r="J13" s="166" t="s">
        <v>92</v>
      </c>
      <c r="L13" s="702">
        <f>G13*1000</f>
        <v>10.638297872340425</v>
      </c>
      <c r="M13" s="702"/>
      <c r="N13" s="702"/>
      <c r="O13" s="9" t="s">
        <v>93</v>
      </c>
      <c r="P13" s="9"/>
      <c r="Q13" s="141"/>
      <c r="R13" s="76"/>
      <c r="S13" s="63"/>
      <c r="T13" s="63"/>
      <c r="U13" s="63"/>
    </row>
    <row r="14" spans="1:25">
      <c r="B14" s="76"/>
      <c r="C14" s="63"/>
      <c r="D14" s="63"/>
      <c r="F14" s="4" t="s">
        <v>94</v>
      </c>
      <c r="G14" s="697">
        <f>G12^2/G11</f>
        <v>5.3191489361702128E-2</v>
      </c>
      <c r="H14" s="697"/>
      <c r="I14" s="697"/>
      <c r="J14" s="133" t="s">
        <v>95</v>
      </c>
      <c r="L14" s="8"/>
      <c r="M14" s="9"/>
      <c r="N14" s="9"/>
      <c r="O14" s="9"/>
      <c r="P14" s="9"/>
      <c r="Q14" s="141"/>
      <c r="R14" s="76"/>
      <c r="S14" s="63"/>
      <c r="T14" s="63"/>
      <c r="U14" s="63"/>
    </row>
    <row r="15" spans="1:25">
      <c r="B15" s="76"/>
      <c r="C15" s="63"/>
      <c r="D15" s="63"/>
      <c r="E15" s="63"/>
      <c r="F15" s="63"/>
      <c r="G15" s="65"/>
      <c r="H15" s="65"/>
      <c r="I15" s="65"/>
      <c r="J15" s="65"/>
      <c r="K15" s="63"/>
      <c r="L15" s="9"/>
      <c r="M15" s="9"/>
      <c r="N15" s="9"/>
      <c r="O15" s="9"/>
      <c r="P15" s="9"/>
      <c r="Q15" s="141"/>
      <c r="R15" s="76"/>
      <c r="S15" s="63"/>
      <c r="T15" s="63"/>
      <c r="U15" s="63"/>
    </row>
    <row r="16" spans="1:25">
      <c r="A16" s="63"/>
      <c r="B16" s="76"/>
      <c r="C16" s="63"/>
      <c r="D16" s="63"/>
      <c r="E16" s="131" t="s">
        <v>90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82"/>
      <c r="R16" s="76"/>
      <c r="S16" s="63"/>
      <c r="T16" s="63"/>
      <c r="U16" s="63"/>
      <c r="V16" s="63"/>
    </row>
    <row r="17" spans="1:22">
      <c r="B17" s="76"/>
      <c r="C17" s="63"/>
      <c r="D17" s="63"/>
      <c r="E17" s="131" t="s">
        <v>96</v>
      </c>
      <c r="F17" s="63"/>
      <c r="G17" s="65"/>
      <c r="H17" s="65"/>
      <c r="I17" s="65"/>
      <c r="J17" s="65"/>
      <c r="K17" s="63"/>
      <c r="L17" s="9"/>
      <c r="M17" s="9"/>
      <c r="N17" s="9"/>
      <c r="O17" s="9"/>
      <c r="P17" s="9"/>
      <c r="Q17" s="141"/>
      <c r="R17" s="76"/>
      <c r="S17" s="63"/>
      <c r="T17" s="63"/>
      <c r="U17" s="63"/>
    </row>
    <row r="18" spans="1:22">
      <c r="B18" s="76"/>
      <c r="C18" s="63"/>
      <c r="D18" s="63"/>
      <c r="E18" s="131" t="s">
        <v>97</v>
      </c>
      <c r="F18" s="63"/>
      <c r="G18" s="65"/>
      <c r="H18" s="65"/>
      <c r="I18" s="65"/>
      <c r="J18" s="65"/>
      <c r="K18" s="63"/>
      <c r="L18" s="9"/>
      <c r="M18" s="9"/>
      <c r="N18" s="9"/>
      <c r="O18" s="9"/>
      <c r="P18" s="9"/>
      <c r="Q18" s="141"/>
      <c r="R18" s="76"/>
      <c r="S18" s="63"/>
      <c r="T18" s="63"/>
      <c r="U18" s="63"/>
    </row>
    <row r="19" spans="1:22">
      <c r="B19" s="76"/>
      <c r="C19" s="63"/>
      <c r="D19" s="63"/>
      <c r="E19" s="63"/>
      <c r="F19" s="123" t="s">
        <v>70</v>
      </c>
      <c r="G19" s="701">
        <v>24</v>
      </c>
      <c r="H19" s="701"/>
      <c r="I19" s="701"/>
      <c r="J19" s="65" t="s">
        <v>65</v>
      </c>
      <c r="K19" s="63"/>
      <c r="L19" s="9"/>
      <c r="M19" s="9"/>
      <c r="N19" s="9"/>
      <c r="O19" s="9"/>
      <c r="P19" s="9"/>
      <c r="Q19" s="141"/>
      <c r="R19" s="76"/>
      <c r="S19" s="63"/>
      <c r="T19" s="63"/>
      <c r="U19" s="63"/>
    </row>
    <row r="20" spans="1:22">
      <c r="B20" s="76"/>
      <c r="C20" s="63"/>
      <c r="D20" s="63"/>
      <c r="E20" s="63"/>
      <c r="F20" s="123" t="s">
        <v>87</v>
      </c>
      <c r="G20" s="701">
        <v>1E-3</v>
      </c>
      <c r="H20" s="701"/>
      <c r="I20" s="701"/>
      <c r="J20" s="63" t="s">
        <v>92</v>
      </c>
      <c r="L20" s="9"/>
      <c r="M20" s="8"/>
      <c r="N20" s="8"/>
      <c r="O20" s="8"/>
      <c r="P20" s="8"/>
      <c r="Q20" s="141"/>
      <c r="R20" s="76"/>
      <c r="S20" s="63"/>
      <c r="T20" s="63"/>
      <c r="U20" s="63"/>
    </row>
    <row r="21" spans="1:22">
      <c r="B21" s="76"/>
      <c r="C21" s="63"/>
      <c r="D21" s="63"/>
      <c r="E21" s="63"/>
      <c r="F21" s="123" t="s">
        <v>90</v>
      </c>
      <c r="G21" s="703">
        <f>G19/G20</f>
        <v>24000</v>
      </c>
      <c r="H21" s="703"/>
      <c r="I21" s="703"/>
      <c r="J21" s="133" t="s">
        <v>91</v>
      </c>
      <c r="L21" s="9"/>
      <c r="M21" s="9"/>
      <c r="N21" s="9"/>
      <c r="O21" s="9"/>
      <c r="P21" s="9"/>
      <c r="Q21" s="141"/>
      <c r="R21" s="76"/>
      <c r="S21" s="63"/>
      <c r="T21" s="63"/>
      <c r="U21" s="63"/>
    </row>
    <row r="22" spans="1:22">
      <c r="B22" s="76"/>
      <c r="C22" s="63"/>
      <c r="D22" s="63"/>
      <c r="E22" s="9"/>
      <c r="F22" s="4" t="s">
        <v>94</v>
      </c>
      <c r="G22" s="697">
        <f>G20*G19</f>
        <v>2.4E-2</v>
      </c>
      <c r="H22" s="697"/>
      <c r="I22" s="697"/>
      <c r="J22" s="133" t="s">
        <v>95</v>
      </c>
      <c r="L22" s="9"/>
      <c r="M22" s="9"/>
      <c r="N22" s="9"/>
      <c r="O22" s="9"/>
      <c r="P22" s="9"/>
      <c r="Q22" s="141"/>
      <c r="R22" s="76"/>
      <c r="S22" s="63"/>
      <c r="T22" s="63"/>
      <c r="U22" s="63"/>
    </row>
    <row r="23" spans="1:22">
      <c r="B23" s="76"/>
      <c r="C23" s="63"/>
      <c r="D23" s="63"/>
      <c r="E23" s="63"/>
      <c r="F23" s="63"/>
      <c r="G23" s="65"/>
      <c r="H23" s="65"/>
      <c r="I23" s="65"/>
      <c r="J23" s="65"/>
      <c r="K23" s="63"/>
      <c r="L23" s="9"/>
      <c r="M23" s="9"/>
      <c r="N23" s="9"/>
      <c r="O23" s="9"/>
      <c r="P23" s="9"/>
      <c r="Q23" s="141"/>
      <c r="R23" s="76"/>
      <c r="S23" s="63"/>
      <c r="T23" s="63"/>
      <c r="U23" s="63"/>
    </row>
    <row r="24" spans="1:22">
      <c r="A24" s="63"/>
      <c r="B24" s="76"/>
      <c r="C24" s="63"/>
      <c r="D24" s="63"/>
      <c r="E24" s="131" t="s">
        <v>70</v>
      </c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82"/>
      <c r="R24" s="76"/>
      <c r="S24" s="63"/>
      <c r="T24" s="63"/>
      <c r="U24" s="63"/>
      <c r="V24" s="63"/>
    </row>
    <row r="25" spans="1:22">
      <c r="B25" s="76"/>
      <c r="C25" s="63"/>
      <c r="D25" s="63"/>
      <c r="E25" s="131" t="s">
        <v>98</v>
      </c>
      <c r="F25" s="63"/>
      <c r="G25" s="65"/>
      <c r="H25" s="65"/>
      <c r="I25" s="65"/>
      <c r="J25" s="65"/>
      <c r="K25" s="63"/>
      <c r="L25" s="9"/>
      <c r="M25" s="9"/>
      <c r="N25" s="9"/>
      <c r="O25" s="9"/>
      <c r="P25" s="9"/>
      <c r="Q25" s="141"/>
      <c r="R25" s="76"/>
      <c r="S25" s="63"/>
      <c r="T25" s="63"/>
      <c r="U25" s="63"/>
    </row>
    <row r="26" spans="1:22">
      <c r="B26" s="76"/>
      <c r="C26" s="63"/>
      <c r="D26" s="63"/>
      <c r="E26" s="131" t="s">
        <v>99</v>
      </c>
      <c r="F26" s="63"/>
      <c r="G26" s="65"/>
      <c r="H26" s="65"/>
      <c r="I26" s="65"/>
      <c r="J26" s="65"/>
      <c r="K26" s="63"/>
      <c r="L26" s="9"/>
      <c r="M26" s="9"/>
      <c r="N26" s="9"/>
      <c r="O26" s="9"/>
      <c r="P26" s="9"/>
      <c r="Q26" s="141"/>
      <c r="R26" s="76"/>
      <c r="S26" s="63"/>
      <c r="T26" s="63"/>
      <c r="U26" s="63"/>
    </row>
    <row r="27" spans="1:22">
      <c r="B27" s="76"/>
      <c r="C27" s="63"/>
      <c r="D27" s="63"/>
      <c r="F27" s="123" t="s">
        <v>90</v>
      </c>
      <c r="G27" s="701">
        <v>220</v>
      </c>
      <c r="H27" s="701"/>
      <c r="I27" s="701"/>
      <c r="J27" s="8" t="s">
        <v>91</v>
      </c>
      <c r="K27" s="9"/>
      <c r="L27" s="8"/>
      <c r="M27" s="8"/>
      <c r="N27" s="8"/>
      <c r="O27" s="8"/>
      <c r="P27" s="9"/>
      <c r="Q27" s="141"/>
      <c r="R27" s="76"/>
      <c r="S27" s="63"/>
      <c r="T27" s="63"/>
      <c r="U27" s="63"/>
    </row>
    <row r="28" spans="1:22">
      <c r="B28" s="76"/>
      <c r="C28" s="63"/>
      <c r="D28" s="63"/>
      <c r="F28" s="123" t="s">
        <v>87</v>
      </c>
      <c r="G28" s="701">
        <v>2.4E-2</v>
      </c>
      <c r="H28" s="701"/>
      <c r="I28" s="701"/>
      <c r="J28" s="63" t="s">
        <v>92</v>
      </c>
      <c r="K28" s="63"/>
      <c r="L28" s="9"/>
      <c r="M28" s="8"/>
      <c r="N28" s="8"/>
      <c r="O28" s="8"/>
      <c r="P28" s="8"/>
      <c r="Q28" s="141"/>
      <c r="R28" s="76"/>
      <c r="S28" s="63"/>
      <c r="T28" s="63"/>
      <c r="U28" s="63"/>
    </row>
    <row r="29" spans="1:22">
      <c r="B29" s="76"/>
      <c r="C29" s="63"/>
      <c r="D29" s="63"/>
      <c r="F29" s="123" t="s">
        <v>70</v>
      </c>
      <c r="G29" s="697">
        <f>G27*G28</f>
        <v>5.28</v>
      </c>
      <c r="H29" s="697"/>
      <c r="I29" s="697"/>
      <c r="J29" s="133" t="s">
        <v>65</v>
      </c>
      <c r="L29" s="9"/>
      <c r="M29" s="9"/>
      <c r="N29" s="9"/>
      <c r="O29" s="9"/>
      <c r="P29" s="9"/>
      <c r="Q29" s="141"/>
      <c r="R29" s="76"/>
      <c r="S29" s="63"/>
      <c r="T29" s="63"/>
      <c r="U29" s="63"/>
    </row>
    <row r="30" spans="1:22">
      <c r="B30" s="76"/>
      <c r="C30" s="63"/>
      <c r="D30" s="63"/>
      <c r="F30" s="4" t="s">
        <v>94</v>
      </c>
      <c r="G30" s="697">
        <f>G28^2*G27</f>
        <v>0.12672</v>
      </c>
      <c r="H30" s="697"/>
      <c r="I30" s="697"/>
      <c r="J30" s="133" t="s">
        <v>95</v>
      </c>
      <c r="L30" s="9"/>
      <c r="M30" s="9"/>
      <c r="N30" s="9"/>
      <c r="O30" s="9"/>
      <c r="P30" s="9"/>
      <c r="Q30" s="141"/>
      <c r="R30" s="76"/>
      <c r="S30" s="63"/>
      <c r="T30" s="63"/>
      <c r="U30" s="63"/>
    </row>
    <row r="31" spans="1:22">
      <c r="B31" s="76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82"/>
      <c r="R31" s="76"/>
      <c r="S31" s="63"/>
      <c r="T31" s="63"/>
      <c r="U31" s="63"/>
    </row>
    <row r="32" spans="1:22">
      <c r="B32" s="76"/>
      <c r="C32" s="63" t="s">
        <v>100</v>
      </c>
      <c r="D32" s="704" t="s">
        <v>101</v>
      </c>
      <c r="E32" s="705"/>
      <c r="F32" s="63" t="s">
        <v>102</v>
      </c>
      <c r="G32" s="706">
        <f>1/2</f>
        <v>0.5</v>
      </c>
      <c r="H32" s="706"/>
      <c r="I32" s="706"/>
      <c r="J32" s="63" t="s">
        <v>95</v>
      </c>
      <c r="K32" s="63"/>
      <c r="O32" s="63">
        <v>3216</v>
      </c>
      <c r="P32" s="63">
        <v>3225</v>
      </c>
      <c r="Q32" s="82"/>
      <c r="R32" s="76"/>
      <c r="S32" s="63"/>
      <c r="T32" s="63"/>
      <c r="U32" s="63"/>
    </row>
    <row r="33" spans="2:21">
      <c r="B33" s="76"/>
      <c r="C33" s="63"/>
      <c r="D33" s="704" t="s">
        <v>103</v>
      </c>
      <c r="E33" s="705"/>
      <c r="F33" s="63" t="s">
        <v>102</v>
      </c>
      <c r="G33" s="706">
        <f>1/4</f>
        <v>0.25</v>
      </c>
      <c r="H33" s="706"/>
      <c r="I33" s="706"/>
      <c r="J33" s="63" t="s">
        <v>95</v>
      </c>
      <c r="K33" s="63"/>
      <c r="O33" s="63">
        <v>3216</v>
      </c>
      <c r="P33" s="63">
        <v>3225</v>
      </c>
      <c r="Q33" s="82"/>
      <c r="R33" s="76"/>
      <c r="S33" s="63"/>
      <c r="T33" s="63"/>
      <c r="U33" s="63"/>
    </row>
    <row r="34" spans="2:21">
      <c r="B34" s="76"/>
      <c r="C34" s="63"/>
      <c r="D34" s="704" t="s">
        <v>104</v>
      </c>
      <c r="E34" s="705"/>
      <c r="F34" s="63" t="s">
        <v>102</v>
      </c>
      <c r="G34" s="706">
        <f>1/8</f>
        <v>0.125</v>
      </c>
      <c r="H34" s="706"/>
      <c r="I34" s="706"/>
      <c r="J34" s="63" t="s">
        <v>95</v>
      </c>
      <c r="K34" s="63"/>
      <c r="L34" s="63"/>
      <c r="M34" s="63"/>
      <c r="N34" s="63">
        <v>2012</v>
      </c>
      <c r="O34" s="63"/>
      <c r="P34" s="63"/>
      <c r="Q34" s="82"/>
      <c r="R34" s="76"/>
      <c r="S34" s="63"/>
      <c r="T34" s="63"/>
      <c r="U34" s="63"/>
    </row>
    <row r="35" spans="2:21">
      <c r="B35" s="76"/>
      <c r="C35" s="63"/>
      <c r="D35" s="704" t="s">
        <v>105</v>
      </c>
      <c r="E35" s="705"/>
      <c r="F35" s="63" t="s">
        <v>102</v>
      </c>
      <c r="G35" s="706">
        <f>1/10</f>
        <v>0.1</v>
      </c>
      <c r="H35" s="706"/>
      <c r="I35" s="706"/>
      <c r="J35" s="63" t="s">
        <v>95</v>
      </c>
      <c r="K35" s="63"/>
      <c r="L35" s="63"/>
      <c r="M35" s="63">
        <v>1608</v>
      </c>
      <c r="N35" s="63"/>
      <c r="O35" s="63"/>
      <c r="P35" s="63"/>
      <c r="Q35" s="82"/>
      <c r="R35" s="76"/>
      <c r="S35" s="63"/>
      <c r="T35" s="63"/>
      <c r="U35" s="63"/>
    </row>
    <row r="36" spans="2:21">
      <c r="B36" s="76"/>
      <c r="C36" s="63"/>
      <c r="D36" s="704" t="s">
        <v>106</v>
      </c>
      <c r="E36" s="705"/>
      <c r="F36" s="63" t="s">
        <v>102</v>
      </c>
      <c r="G36" s="706">
        <f>1/16</f>
        <v>6.25E-2</v>
      </c>
      <c r="H36" s="706"/>
      <c r="I36" s="706"/>
      <c r="J36" s="63" t="s">
        <v>95</v>
      </c>
      <c r="K36" s="63"/>
      <c r="L36" s="63">
        <v>1005</v>
      </c>
      <c r="M36" s="63"/>
      <c r="N36" s="63"/>
      <c r="O36" s="63"/>
      <c r="P36" s="63"/>
      <c r="Q36" s="82"/>
      <c r="R36" s="76"/>
      <c r="S36" s="63"/>
      <c r="T36" s="63"/>
      <c r="U36" s="63"/>
    </row>
    <row r="37" spans="2:21">
      <c r="B37" s="77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83"/>
      <c r="R37" s="76"/>
      <c r="S37" s="63"/>
      <c r="T37" s="63"/>
      <c r="U37" s="63"/>
    </row>
  </sheetData>
  <mergeCells count="24">
    <mergeCell ref="D36:E36"/>
    <mergeCell ref="G36:I36"/>
    <mergeCell ref="D33:E33"/>
    <mergeCell ref="G33:I33"/>
    <mergeCell ref="D34:E34"/>
    <mergeCell ref="G34:I34"/>
    <mergeCell ref="D35:E35"/>
    <mergeCell ref="G35:I35"/>
    <mergeCell ref="G27:I27"/>
    <mergeCell ref="G28:I28"/>
    <mergeCell ref="G29:I29"/>
    <mergeCell ref="G30:I30"/>
    <mergeCell ref="D32:E32"/>
    <mergeCell ref="G32:I32"/>
    <mergeCell ref="G14:I14"/>
    <mergeCell ref="G19:I19"/>
    <mergeCell ref="G20:I20"/>
    <mergeCell ref="G21:I21"/>
    <mergeCell ref="G22:I22"/>
    <mergeCell ref="A1:C1"/>
    <mergeCell ref="G11:I11"/>
    <mergeCell ref="G12:I12"/>
    <mergeCell ref="G13:I13"/>
    <mergeCell ref="L13:N13"/>
  </mergeCells>
  <phoneticPr fontId="42"/>
  <hyperlinks>
    <hyperlink ref="A1:C1" location="目次!A1" display="　目次　" xr:uid="{00000000-0004-0000-0300-000000000000}"/>
  </hyperlinks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26-ED48-4CCA-BE59-85A7BED2B416}">
  <dimension ref="A1:T13"/>
  <sheetViews>
    <sheetView workbookViewId="0">
      <selection activeCell="R47" sqref="R47"/>
    </sheetView>
  </sheetViews>
  <sheetFormatPr defaultColWidth="3.75" defaultRowHeight="13.5"/>
  <cols>
    <col min="1" max="16384" width="3.75" style="483"/>
  </cols>
  <sheetData>
    <row r="1" spans="1:20">
      <c r="A1" s="686" t="s">
        <v>61</v>
      </c>
      <c r="B1" s="686"/>
      <c r="C1" s="686"/>
      <c r="D1" s="686"/>
    </row>
    <row r="2" spans="1:20">
      <c r="B2" s="484"/>
      <c r="C2" s="484"/>
      <c r="D2" s="483" t="s">
        <v>364</v>
      </c>
      <c r="G2" s="485"/>
    </row>
    <row r="3" spans="1:20">
      <c r="B3" s="36"/>
      <c r="C3" s="36"/>
      <c r="D3" s="483" t="s">
        <v>395</v>
      </c>
      <c r="G3" s="485"/>
      <c r="I3" s="485"/>
    </row>
    <row r="4" spans="1:20">
      <c r="B4" s="35"/>
      <c r="C4" s="35"/>
      <c r="D4" s="483" t="s">
        <v>404</v>
      </c>
      <c r="G4" s="485"/>
      <c r="I4" s="485"/>
    </row>
    <row r="7" spans="1:20">
      <c r="B7" s="485" t="s">
        <v>1469</v>
      </c>
    </row>
    <row r="9" spans="1:20">
      <c r="B9" s="707" t="s">
        <v>1468</v>
      </c>
      <c r="C9" s="707"/>
      <c r="D9" s="709">
        <v>4.8</v>
      </c>
      <c r="E9" s="709"/>
      <c r="F9" s="485" t="s">
        <v>1099</v>
      </c>
      <c r="I9" s="707" t="s">
        <v>1171</v>
      </c>
      <c r="J9" s="707"/>
      <c r="K9" s="709">
        <v>12</v>
      </c>
      <c r="L9" s="709"/>
      <c r="M9" s="485" t="s">
        <v>1064</v>
      </c>
      <c r="P9" s="707" t="s">
        <v>1171</v>
      </c>
      <c r="Q9" s="707"/>
      <c r="R9" s="709">
        <v>12</v>
      </c>
      <c r="S9" s="709"/>
      <c r="T9" s="485" t="s">
        <v>1064</v>
      </c>
    </row>
    <row r="10" spans="1:20">
      <c r="B10" s="707" t="s">
        <v>1280</v>
      </c>
      <c r="C10" s="707"/>
      <c r="D10" s="709">
        <v>2.5</v>
      </c>
      <c r="E10" s="709"/>
      <c r="F10" s="485" t="s">
        <v>1269</v>
      </c>
      <c r="I10" s="707" t="s">
        <v>1468</v>
      </c>
      <c r="J10" s="707"/>
      <c r="K10" s="709">
        <v>4.8</v>
      </c>
      <c r="L10" s="709"/>
      <c r="M10" s="485" t="s">
        <v>1099</v>
      </c>
      <c r="P10" s="707" t="s">
        <v>1280</v>
      </c>
      <c r="Q10" s="707"/>
      <c r="R10" s="709">
        <v>2.5</v>
      </c>
      <c r="S10" s="709"/>
      <c r="T10" s="485" t="s">
        <v>1269</v>
      </c>
    </row>
    <row r="11" spans="1:20">
      <c r="B11" s="710"/>
      <c r="C11" s="710"/>
      <c r="D11" s="710"/>
      <c r="E11" s="710"/>
      <c r="I11" s="710"/>
      <c r="J11" s="710"/>
      <c r="K11" s="710"/>
      <c r="L11" s="710"/>
      <c r="P11" s="710"/>
      <c r="Q11" s="710"/>
      <c r="R11" s="710"/>
      <c r="S11" s="710"/>
    </row>
    <row r="12" spans="1:20">
      <c r="B12" s="711" t="s">
        <v>1171</v>
      </c>
      <c r="C12" s="711"/>
      <c r="D12" s="708">
        <f>D9*D10</f>
        <v>12</v>
      </c>
      <c r="E12" s="708"/>
      <c r="F12" s="485" t="s">
        <v>1064</v>
      </c>
      <c r="I12" s="707" t="s">
        <v>1280</v>
      </c>
      <c r="J12" s="707"/>
      <c r="K12" s="708">
        <f>K9/K10</f>
        <v>2.5</v>
      </c>
      <c r="L12" s="708"/>
      <c r="M12" s="485" t="s">
        <v>1269</v>
      </c>
      <c r="P12" s="707" t="s">
        <v>1468</v>
      </c>
      <c r="Q12" s="707"/>
      <c r="R12" s="708">
        <f>R9/R10</f>
        <v>4.8</v>
      </c>
      <c r="S12" s="708"/>
      <c r="T12" s="485" t="s">
        <v>1099</v>
      </c>
    </row>
    <row r="13" spans="1:20">
      <c r="B13" s="707" t="s">
        <v>1330</v>
      </c>
      <c r="C13" s="707"/>
      <c r="D13" s="708">
        <f>D10^2*D9</f>
        <v>30</v>
      </c>
      <c r="E13" s="708"/>
      <c r="F13" s="485" t="s">
        <v>1331</v>
      </c>
      <c r="I13" s="707" t="s">
        <v>1330</v>
      </c>
      <c r="J13" s="707"/>
      <c r="K13" s="708">
        <f>K9^2/K10</f>
        <v>30</v>
      </c>
      <c r="L13" s="708"/>
      <c r="M13" s="485" t="s">
        <v>1331</v>
      </c>
      <c r="P13" s="707" t="s">
        <v>1330</v>
      </c>
      <c r="Q13" s="707"/>
      <c r="R13" s="708">
        <f>R9*R10</f>
        <v>30</v>
      </c>
      <c r="S13" s="708"/>
      <c r="T13" s="485" t="s">
        <v>1331</v>
      </c>
    </row>
  </sheetData>
  <mergeCells count="31">
    <mergeCell ref="A1:D1"/>
    <mergeCell ref="P9:Q9"/>
    <mergeCell ref="P10:Q10"/>
    <mergeCell ref="P11:Q11"/>
    <mergeCell ref="P12:Q12"/>
    <mergeCell ref="B9:C9"/>
    <mergeCell ref="B10:C10"/>
    <mergeCell ref="B11:C11"/>
    <mergeCell ref="B12:C12"/>
    <mergeCell ref="I9:J9"/>
    <mergeCell ref="I10:J10"/>
    <mergeCell ref="I11:J11"/>
    <mergeCell ref="I12:J12"/>
    <mergeCell ref="D9:E9"/>
    <mergeCell ref="D10:E10"/>
    <mergeCell ref="D11:E11"/>
    <mergeCell ref="D12:E12"/>
    <mergeCell ref="K9:L9"/>
    <mergeCell ref="K10:L10"/>
    <mergeCell ref="K11:L11"/>
    <mergeCell ref="K12:L12"/>
    <mergeCell ref="R9:S9"/>
    <mergeCell ref="R10:S10"/>
    <mergeCell ref="R11:S11"/>
    <mergeCell ref="R12:S12"/>
    <mergeCell ref="R13:S13"/>
    <mergeCell ref="P13:Q13"/>
    <mergeCell ref="I13:J13"/>
    <mergeCell ref="B13:C13"/>
    <mergeCell ref="D13:E13"/>
    <mergeCell ref="K13:L13"/>
  </mergeCells>
  <phoneticPr fontId="42"/>
  <hyperlinks>
    <hyperlink ref="A1:D1" location="目次!A1" display="　目次　" xr:uid="{85946A96-B814-4D6C-8D56-95DB877BE372}"/>
  </hyperlinks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5"/>
  <sheetViews>
    <sheetView workbookViewId="0">
      <selection sqref="A1:C1"/>
    </sheetView>
  </sheetViews>
  <sheetFormatPr defaultColWidth="3.625" defaultRowHeight="13.5"/>
  <cols>
    <col min="1" max="21" width="3.625" customWidth="1"/>
  </cols>
  <sheetData>
    <row r="1" spans="1:37">
      <c r="A1" s="686" t="s">
        <v>61</v>
      </c>
      <c r="B1" s="686"/>
      <c r="C1" s="686"/>
    </row>
    <row r="2" spans="1:37" ht="21">
      <c r="B2" s="139" t="s">
        <v>107</v>
      </c>
      <c r="L2" s="121"/>
      <c r="M2" s="121"/>
      <c r="AK2" s="139"/>
    </row>
    <row r="3" spans="1:37" ht="21">
      <c r="L3" s="121"/>
      <c r="M3" s="121"/>
      <c r="AK3" s="139"/>
    </row>
    <row r="4" spans="1:37" ht="21">
      <c r="C4" s="132"/>
      <c r="D4" s="132"/>
      <c r="E4" s="132"/>
      <c r="F4" s="63" t="s">
        <v>86</v>
      </c>
      <c r="G4" s="63"/>
      <c r="H4" s="63"/>
      <c r="I4" s="63"/>
      <c r="J4" s="63"/>
      <c r="K4" s="63"/>
      <c r="L4" s="9"/>
      <c r="M4" s="9"/>
      <c r="N4" s="696"/>
      <c r="O4" s="696"/>
      <c r="P4" s="63"/>
      <c r="Q4" s="63"/>
      <c r="R4" s="63"/>
      <c r="S4" s="63"/>
      <c r="T4" s="696"/>
      <c r="U4" s="696"/>
      <c r="V4" s="63"/>
      <c r="W4" s="63"/>
      <c r="X4" s="63"/>
      <c r="Y4" s="63"/>
      <c r="Z4" s="63"/>
      <c r="AA4" s="63"/>
      <c r="AB4" s="63"/>
      <c r="AC4" s="63"/>
      <c r="AD4" s="63"/>
      <c r="AK4" s="139"/>
    </row>
    <row r="5" spans="1:37" ht="21">
      <c r="C5" s="133"/>
      <c r="D5" s="133"/>
      <c r="E5" s="133"/>
      <c r="F5" s="63" t="s">
        <v>63</v>
      </c>
      <c r="G5" s="63"/>
      <c r="H5" s="63"/>
      <c r="I5" s="63"/>
      <c r="J5" s="63"/>
      <c r="K5" s="63"/>
      <c r="L5" s="9"/>
      <c r="M5" s="9"/>
      <c r="N5" s="696"/>
      <c r="O5" s="696"/>
      <c r="Q5" s="63"/>
      <c r="R5" s="63"/>
      <c r="S5" s="63"/>
      <c r="T5" s="696"/>
      <c r="U5" s="696"/>
      <c r="V5" s="63"/>
      <c r="W5" s="63"/>
      <c r="X5" s="63"/>
      <c r="Y5" s="63"/>
      <c r="Z5" s="63"/>
      <c r="AA5" s="63"/>
      <c r="AB5" s="63"/>
      <c r="AC5" s="63"/>
      <c r="AD5" s="63"/>
      <c r="AK5" s="139"/>
    </row>
    <row r="6" spans="1:37">
      <c r="N6" s="696"/>
      <c r="O6" s="696"/>
      <c r="P6" s="63"/>
      <c r="T6" s="696"/>
      <c r="U6" s="696"/>
    </row>
    <row r="8" spans="1:37">
      <c r="B8" s="130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81"/>
    </row>
    <row r="9" spans="1:37">
      <c r="B9" s="76"/>
      <c r="C9" s="131" t="s">
        <v>108</v>
      </c>
      <c r="D9" s="63"/>
      <c r="E9" s="63"/>
      <c r="F9" s="63"/>
      <c r="G9" s="63"/>
      <c r="H9" s="63"/>
      <c r="I9" s="63"/>
      <c r="J9" s="63"/>
      <c r="K9" s="63"/>
      <c r="L9" s="63"/>
      <c r="M9" s="131" t="s">
        <v>109</v>
      </c>
      <c r="N9" s="63"/>
      <c r="O9" s="63"/>
      <c r="P9" s="63"/>
      <c r="Q9" s="63"/>
      <c r="R9" s="63"/>
      <c r="S9" s="63"/>
      <c r="T9" s="63"/>
      <c r="U9" s="63"/>
      <c r="V9" s="63"/>
      <c r="W9" s="131" t="s">
        <v>110</v>
      </c>
      <c r="X9" s="63"/>
      <c r="Y9" s="63"/>
      <c r="Z9" s="63"/>
      <c r="AA9" s="63"/>
      <c r="AB9" s="63"/>
      <c r="AC9" s="63"/>
      <c r="AD9" s="63"/>
      <c r="AE9" s="63"/>
      <c r="AF9" s="82"/>
    </row>
    <row r="10" spans="1:37">
      <c r="B10" s="76"/>
      <c r="D10" s="63"/>
      <c r="E10" s="63"/>
      <c r="F10" s="63"/>
      <c r="G10" s="63"/>
      <c r="H10" s="63"/>
      <c r="I10" s="63"/>
      <c r="J10" s="63"/>
      <c r="K10" s="63"/>
      <c r="L10" s="63"/>
      <c r="N10" s="63"/>
      <c r="O10" s="63"/>
      <c r="P10" s="63"/>
      <c r="Q10" s="63"/>
      <c r="R10" s="63"/>
      <c r="S10" s="63"/>
      <c r="T10" s="63"/>
      <c r="U10" s="63"/>
      <c r="V10" s="63"/>
      <c r="X10" s="63"/>
      <c r="Y10" s="63"/>
      <c r="Z10" s="63"/>
      <c r="AA10" s="63"/>
      <c r="AB10" s="63"/>
      <c r="AC10" s="63"/>
      <c r="AD10" s="63"/>
      <c r="AE10" s="63"/>
      <c r="AF10" s="82"/>
    </row>
    <row r="11" spans="1:37">
      <c r="B11" s="76"/>
      <c r="C11" s="696" t="s">
        <v>111</v>
      </c>
      <c r="D11" s="696"/>
      <c r="E11" s="696"/>
      <c r="F11" s="696"/>
      <c r="G11" s="701">
        <v>5</v>
      </c>
      <c r="H11" s="701"/>
      <c r="I11" s="701"/>
      <c r="J11" s="63" t="s">
        <v>65</v>
      </c>
      <c r="K11" s="63"/>
      <c r="L11" s="63"/>
      <c r="M11" s="696" t="s">
        <v>111</v>
      </c>
      <c r="N11" s="696"/>
      <c r="O11" s="696"/>
      <c r="P11" s="696"/>
      <c r="Q11" s="701">
        <v>5</v>
      </c>
      <c r="R11" s="701"/>
      <c r="S11" s="701"/>
      <c r="T11" s="63" t="s">
        <v>65</v>
      </c>
      <c r="U11" s="63"/>
      <c r="V11" s="63"/>
      <c r="W11" s="696" t="s">
        <v>87</v>
      </c>
      <c r="X11" s="696"/>
      <c r="Y11" s="696"/>
      <c r="Z11" s="696"/>
      <c r="AA11" s="701">
        <v>35</v>
      </c>
      <c r="AB11" s="701"/>
      <c r="AC11" s="701"/>
      <c r="AD11" s="63" t="s">
        <v>93</v>
      </c>
      <c r="AE11" s="63"/>
      <c r="AF11" s="82"/>
    </row>
    <row r="12" spans="1:37">
      <c r="B12" s="76"/>
      <c r="C12" s="696" t="s">
        <v>112</v>
      </c>
      <c r="D12" s="696"/>
      <c r="E12" s="696"/>
      <c r="F12" s="696"/>
      <c r="G12" s="701">
        <v>2.5</v>
      </c>
      <c r="H12" s="701"/>
      <c r="I12" s="701"/>
      <c r="J12" s="63" t="s">
        <v>65</v>
      </c>
      <c r="K12" s="63"/>
      <c r="L12" s="63"/>
      <c r="M12" s="696" t="s">
        <v>112</v>
      </c>
      <c r="N12" s="696"/>
      <c r="O12" s="696"/>
      <c r="P12" s="696"/>
      <c r="Q12" s="701">
        <v>2.2000000000000002</v>
      </c>
      <c r="R12" s="701"/>
      <c r="S12" s="701"/>
      <c r="T12" s="63" t="s">
        <v>65</v>
      </c>
      <c r="U12" s="63"/>
      <c r="V12" s="63"/>
      <c r="W12" s="696" t="s">
        <v>112</v>
      </c>
      <c r="X12" s="696"/>
      <c r="Y12" s="696"/>
      <c r="Z12" s="696"/>
      <c r="AA12" s="701">
        <v>1.5</v>
      </c>
      <c r="AB12" s="701"/>
      <c r="AC12" s="701"/>
      <c r="AD12" s="63" t="s">
        <v>65</v>
      </c>
      <c r="AE12" s="63"/>
      <c r="AF12" s="82"/>
    </row>
    <row r="13" spans="1:37">
      <c r="B13" s="76"/>
      <c r="C13" s="696" t="s">
        <v>113</v>
      </c>
      <c r="D13" s="696"/>
      <c r="E13" s="696"/>
      <c r="F13" s="696"/>
      <c r="G13" s="701">
        <v>0.5</v>
      </c>
      <c r="H13" s="701"/>
      <c r="I13" s="701"/>
      <c r="J13" s="63" t="s">
        <v>93</v>
      </c>
      <c r="K13" s="63"/>
      <c r="L13" s="63"/>
      <c r="M13" s="696" t="s">
        <v>114</v>
      </c>
      <c r="N13" s="696"/>
      <c r="O13" s="696"/>
      <c r="P13" s="696"/>
      <c r="Q13" s="715">
        <v>100</v>
      </c>
      <c r="R13" s="715"/>
      <c r="S13" s="715"/>
      <c r="T13" s="63" t="s">
        <v>91</v>
      </c>
      <c r="U13" s="63"/>
      <c r="V13" s="63"/>
      <c r="W13" s="696" t="s">
        <v>114</v>
      </c>
      <c r="X13" s="696"/>
      <c r="Y13" s="696"/>
      <c r="Z13" s="696"/>
      <c r="AA13" s="701">
        <v>100</v>
      </c>
      <c r="AB13" s="701"/>
      <c r="AC13" s="701"/>
      <c r="AD13" s="63" t="s">
        <v>91</v>
      </c>
      <c r="AE13" s="63"/>
      <c r="AF13" s="82"/>
    </row>
    <row r="14" spans="1:37">
      <c r="B14" s="76"/>
      <c r="C14" s="712" t="s">
        <v>114</v>
      </c>
      <c r="D14" s="712"/>
      <c r="E14" s="712"/>
      <c r="F14" s="712"/>
      <c r="G14" s="713">
        <f>(G11-G12)/G13*1000</f>
        <v>5000</v>
      </c>
      <c r="H14" s="713"/>
      <c r="I14" s="713"/>
      <c r="J14" s="75" t="s">
        <v>91</v>
      </c>
      <c r="K14" s="63"/>
      <c r="L14" s="63"/>
      <c r="M14" s="712" t="s">
        <v>87</v>
      </c>
      <c r="N14" s="712"/>
      <c r="O14" s="712"/>
      <c r="P14" s="712"/>
      <c r="Q14" s="714">
        <f>(Q11-Q12)/Q13*1000</f>
        <v>27.999999999999996</v>
      </c>
      <c r="R14" s="714"/>
      <c r="S14" s="714"/>
      <c r="T14" s="75" t="s">
        <v>93</v>
      </c>
      <c r="U14" s="63"/>
      <c r="V14" s="63"/>
      <c r="W14" s="712" t="s">
        <v>115</v>
      </c>
      <c r="X14" s="712"/>
      <c r="Y14" s="712"/>
      <c r="Z14" s="712"/>
      <c r="AA14" s="713">
        <f>AA13*(AA11/1000)+AA12</f>
        <v>5</v>
      </c>
      <c r="AB14" s="713"/>
      <c r="AC14" s="713"/>
      <c r="AD14" s="75" t="s">
        <v>65</v>
      </c>
      <c r="AE14" s="63"/>
      <c r="AF14" s="82"/>
    </row>
    <row r="15" spans="1:37">
      <c r="B15" s="77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83"/>
    </row>
  </sheetData>
  <mergeCells count="31">
    <mergeCell ref="AA13:AC13"/>
    <mergeCell ref="C14:F14"/>
    <mergeCell ref="G14:I14"/>
    <mergeCell ref="M14:P14"/>
    <mergeCell ref="Q14:S14"/>
    <mergeCell ref="W14:Z14"/>
    <mergeCell ref="AA14:AC14"/>
    <mergeCell ref="C13:F13"/>
    <mergeCell ref="G13:I13"/>
    <mergeCell ref="M13:P13"/>
    <mergeCell ref="Q13:S13"/>
    <mergeCell ref="W13:Z13"/>
    <mergeCell ref="W11:Z11"/>
    <mergeCell ref="AA11:AC11"/>
    <mergeCell ref="C12:F12"/>
    <mergeCell ref="G12:I12"/>
    <mergeCell ref="M12:P12"/>
    <mergeCell ref="Q12:S12"/>
    <mergeCell ref="W12:Z12"/>
    <mergeCell ref="AA12:AC12"/>
    <mergeCell ref="N6:O6"/>
    <mergeCell ref="T6:U6"/>
    <mergeCell ref="C11:F11"/>
    <mergeCell ref="G11:I11"/>
    <mergeCell ref="M11:P11"/>
    <mergeCell ref="Q11:S11"/>
    <mergeCell ref="A1:C1"/>
    <mergeCell ref="N4:O4"/>
    <mergeCell ref="T4:U4"/>
    <mergeCell ref="N5:O5"/>
    <mergeCell ref="T5:U5"/>
  </mergeCells>
  <phoneticPr fontId="42"/>
  <hyperlinks>
    <hyperlink ref="A1:C1" location="目次!A1" display="　目次　" xr:uid="{00000000-0004-0000-04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2"/>
  <sheetViews>
    <sheetView workbookViewId="0">
      <selection sqref="A1:C1"/>
    </sheetView>
  </sheetViews>
  <sheetFormatPr defaultColWidth="3.625" defaultRowHeight="13.5"/>
  <cols>
    <col min="1" max="21" width="3.625" customWidth="1"/>
  </cols>
  <sheetData>
    <row r="1" spans="1:37">
      <c r="A1" s="686" t="s">
        <v>61</v>
      </c>
      <c r="B1" s="686"/>
      <c r="C1" s="686"/>
    </row>
    <row r="2" spans="1:37" ht="21">
      <c r="B2" s="139" t="s">
        <v>116</v>
      </c>
      <c r="L2" s="121"/>
      <c r="M2" s="121"/>
      <c r="AK2" s="139"/>
    </row>
    <row r="3" spans="1:37" ht="21">
      <c r="L3" s="121"/>
      <c r="M3" s="121"/>
      <c r="AK3" s="139"/>
    </row>
    <row r="4" spans="1:37" ht="21">
      <c r="C4" s="132"/>
      <c r="D4" s="132"/>
      <c r="E4" s="132"/>
      <c r="F4" s="63" t="s">
        <v>86</v>
      </c>
      <c r="G4" s="63"/>
      <c r="H4" s="63"/>
      <c r="I4" s="63"/>
      <c r="J4" s="206" t="s">
        <v>117</v>
      </c>
      <c r="K4" s="63"/>
      <c r="L4" s="9"/>
      <c r="M4" s="9"/>
      <c r="N4" s="65"/>
      <c r="O4" s="65"/>
      <c r="P4" s="63"/>
      <c r="Q4" s="63"/>
      <c r="R4" s="63"/>
      <c r="S4" s="63"/>
      <c r="T4" s="696"/>
      <c r="U4" s="696"/>
      <c r="V4" s="63"/>
      <c r="W4" s="63"/>
      <c r="X4" s="63"/>
      <c r="Y4" s="63"/>
      <c r="Z4" s="63"/>
      <c r="AA4" s="63"/>
      <c r="AB4" s="63"/>
      <c r="AC4" s="63"/>
      <c r="AD4" s="63"/>
      <c r="AK4" s="139"/>
    </row>
    <row r="5" spans="1:37" ht="21">
      <c r="C5" s="133"/>
      <c r="D5" s="133"/>
      <c r="E5" s="133"/>
      <c r="F5" s="63" t="s">
        <v>63</v>
      </c>
      <c r="G5" s="63"/>
      <c r="H5" s="63"/>
      <c r="I5" s="63"/>
      <c r="J5" s="63"/>
      <c r="K5" s="63"/>
      <c r="L5" s="9"/>
      <c r="M5" s="9"/>
      <c r="N5" s="696"/>
      <c r="O5" s="696"/>
      <c r="Q5" s="63"/>
      <c r="R5" s="63"/>
      <c r="S5" s="63"/>
      <c r="T5" s="696"/>
      <c r="U5" s="696"/>
      <c r="V5" s="63"/>
      <c r="W5" s="63"/>
      <c r="X5" s="63"/>
      <c r="Y5" s="63"/>
      <c r="Z5" s="63"/>
      <c r="AA5" s="63"/>
      <c r="AB5" s="63"/>
      <c r="AC5" s="63"/>
      <c r="AD5" s="63"/>
      <c r="AK5" s="139"/>
    </row>
    <row r="6" spans="1:37">
      <c r="N6" s="696"/>
      <c r="O6" s="696"/>
      <c r="P6" s="63"/>
      <c r="T6" s="65"/>
      <c r="U6" s="65"/>
    </row>
    <row r="15" spans="1:37">
      <c r="B15" s="198"/>
      <c r="C15" s="199"/>
      <c r="D15" s="199"/>
      <c r="E15" s="199"/>
      <c r="F15" s="199"/>
      <c r="G15" s="199"/>
      <c r="H15" s="199"/>
      <c r="I15" s="199"/>
      <c r="J15" s="199"/>
      <c r="K15" s="199"/>
      <c r="L15" s="199"/>
      <c r="M15" s="199"/>
      <c r="N15" s="207"/>
    </row>
    <row r="16" spans="1:37">
      <c r="B16" s="200"/>
      <c r="C16" s="201"/>
      <c r="D16" s="202"/>
      <c r="E16" s="202"/>
      <c r="F16" s="202"/>
      <c r="G16" s="202"/>
      <c r="H16" s="202"/>
      <c r="I16" s="202"/>
      <c r="J16" s="202"/>
      <c r="K16" s="202"/>
      <c r="L16" s="202"/>
      <c r="M16" s="201"/>
      <c r="N16" s="208"/>
    </row>
    <row r="17" spans="2:14">
      <c r="B17" s="200"/>
      <c r="C17" s="202" t="s">
        <v>118</v>
      </c>
      <c r="D17" s="717">
        <v>250</v>
      </c>
      <c r="E17" s="717"/>
      <c r="F17" s="202" t="s">
        <v>119</v>
      </c>
      <c r="G17" s="202"/>
      <c r="H17" s="202"/>
      <c r="I17" s="202" t="s">
        <v>120</v>
      </c>
      <c r="J17" s="717">
        <v>6700</v>
      </c>
      <c r="K17" s="717"/>
      <c r="L17" s="202" t="s">
        <v>119</v>
      </c>
      <c r="M17" s="202"/>
      <c r="N17" s="208"/>
    </row>
    <row r="18" spans="2:14">
      <c r="B18" s="200"/>
      <c r="C18" s="203" t="s">
        <v>121</v>
      </c>
      <c r="D18" s="717">
        <v>35</v>
      </c>
      <c r="E18" s="717"/>
      <c r="F18" s="203" t="s">
        <v>122</v>
      </c>
      <c r="G18" s="203"/>
      <c r="H18" s="203"/>
      <c r="I18" s="203" t="s">
        <v>121</v>
      </c>
      <c r="J18" s="717">
        <v>35</v>
      </c>
      <c r="K18" s="717"/>
      <c r="L18" s="203" t="s">
        <v>122</v>
      </c>
      <c r="M18" s="203"/>
      <c r="N18" s="208"/>
    </row>
    <row r="19" spans="2:14">
      <c r="B19" s="200"/>
      <c r="C19" s="203" t="s">
        <v>123</v>
      </c>
      <c r="D19" s="717">
        <v>250</v>
      </c>
      <c r="E19" s="717"/>
      <c r="F19" s="203" t="s">
        <v>122</v>
      </c>
      <c r="G19" s="203"/>
      <c r="H19" s="203"/>
      <c r="I19" s="203" t="s">
        <v>123</v>
      </c>
      <c r="J19" s="717">
        <v>250</v>
      </c>
      <c r="K19" s="717"/>
      <c r="L19" s="203" t="s">
        <v>122</v>
      </c>
      <c r="M19" s="203"/>
      <c r="N19" s="208"/>
    </row>
    <row r="20" spans="2:14">
      <c r="B20" s="200"/>
      <c r="C20" s="203"/>
      <c r="D20" s="203"/>
      <c r="E20" s="203"/>
      <c r="F20" s="203"/>
      <c r="G20" s="203"/>
      <c r="H20" s="203"/>
      <c r="I20" s="203"/>
      <c r="J20" s="202"/>
      <c r="K20" s="202"/>
      <c r="L20" s="202"/>
      <c r="M20" s="203"/>
      <c r="N20" s="208"/>
    </row>
    <row r="21" spans="2:14">
      <c r="B21" s="200"/>
      <c r="C21" s="716">
        <f>D17*10^-6*(D19/D18)^2*1000</f>
        <v>12.755102040816327</v>
      </c>
      <c r="D21" s="716"/>
      <c r="E21" s="716"/>
      <c r="F21" s="203" t="s">
        <v>124</v>
      </c>
      <c r="G21" s="203"/>
      <c r="H21" s="203"/>
      <c r="I21" s="716">
        <f>J17*10^-6*(J18/J19)^2*1000</f>
        <v>0.13132000000000002</v>
      </c>
      <c r="J21" s="716"/>
      <c r="K21" s="716"/>
      <c r="L21" s="716"/>
      <c r="M21" s="203" t="s">
        <v>124</v>
      </c>
      <c r="N21" s="208"/>
    </row>
    <row r="22" spans="2:14">
      <c r="B22" s="204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9"/>
    </row>
  </sheetData>
  <mergeCells count="13">
    <mergeCell ref="C21:E21"/>
    <mergeCell ref="I21:L21"/>
    <mergeCell ref="D17:E17"/>
    <mergeCell ref="J17:K17"/>
    <mergeCell ref="D18:E18"/>
    <mergeCell ref="J18:K18"/>
    <mergeCell ref="D19:E19"/>
    <mergeCell ref="J19:K19"/>
    <mergeCell ref="A1:C1"/>
    <mergeCell ref="T4:U4"/>
    <mergeCell ref="N5:O5"/>
    <mergeCell ref="T5:U5"/>
    <mergeCell ref="N6:O6"/>
  </mergeCells>
  <phoneticPr fontId="42"/>
  <hyperlinks>
    <hyperlink ref="J4" r:id="rId1" xr:uid="{00000000-0004-0000-0500-000000000000}"/>
    <hyperlink ref="A1:C1" location="目次!A1" display="　目次　" xr:uid="{00000000-0004-0000-0500-000001000000}"/>
  </hyperlinks>
  <pageMargins left="0.69930555555555596" right="0.69930555555555596" top="0.75" bottom="0.75" header="0.3" footer="0.3"/>
  <pageSetup paperSize="9" orientation="portrait" r:id="rId2"/>
  <headerFooter alignWithMargins="0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5"/>
  <sheetViews>
    <sheetView tabSelected="1" zoomScale="60" zoomScaleNormal="60" workbookViewId="0">
      <selection activeCell="AC39" sqref="AC39"/>
    </sheetView>
  </sheetViews>
  <sheetFormatPr defaultColWidth="3.375" defaultRowHeight="13.5"/>
  <cols>
    <col min="1" max="1" width="9" customWidth="1"/>
  </cols>
  <sheetData>
    <row r="1" spans="1:34">
      <c r="A1" s="686" t="s">
        <v>61</v>
      </c>
      <c r="B1" s="686"/>
      <c r="C1" s="686"/>
    </row>
    <row r="2" spans="1:34" ht="21">
      <c r="B2" s="139" t="s">
        <v>125</v>
      </c>
      <c r="AH2" s="139"/>
    </row>
    <row r="3" spans="1:34" ht="21">
      <c r="AH3" s="139"/>
    </row>
    <row r="4" spans="1:34" ht="21">
      <c r="C4" s="132"/>
      <c r="D4" s="132"/>
      <c r="E4" s="132"/>
      <c r="F4" s="63" t="s">
        <v>86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H4" s="139"/>
    </row>
    <row r="5" spans="1:34" ht="21">
      <c r="C5" s="197"/>
      <c r="D5" s="197"/>
      <c r="E5" s="197"/>
      <c r="F5" s="63" t="s">
        <v>63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H5" s="139"/>
    </row>
    <row r="7" spans="1:34">
      <c r="C7" s="130"/>
      <c r="D7" s="75" t="s">
        <v>126</v>
      </c>
      <c r="E7" s="75"/>
      <c r="F7" s="75"/>
      <c r="G7" s="75"/>
      <c r="H7" s="75"/>
      <c r="I7" s="75"/>
      <c r="J7" s="81"/>
      <c r="L7" s="130"/>
      <c r="M7" s="75" t="s">
        <v>127</v>
      </c>
      <c r="N7" s="75"/>
      <c r="O7" s="75"/>
      <c r="P7" s="75"/>
      <c r="Q7" s="75"/>
      <c r="R7" s="75"/>
      <c r="S7" s="81"/>
    </row>
    <row r="8" spans="1:34">
      <c r="C8" s="76"/>
      <c r="D8" s="63"/>
      <c r="E8" s="63"/>
      <c r="F8" s="63"/>
      <c r="G8" s="63"/>
      <c r="H8" s="63"/>
      <c r="I8" s="63"/>
      <c r="J8" s="82"/>
      <c r="L8" s="76"/>
      <c r="M8" s="63"/>
      <c r="N8" s="63"/>
      <c r="O8" s="63"/>
      <c r="P8" s="63"/>
      <c r="Q8" s="63"/>
      <c r="R8" s="63"/>
      <c r="S8" s="82"/>
    </row>
    <row r="9" spans="1:34">
      <c r="C9" s="76"/>
      <c r="D9" s="63" t="s">
        <v>128</v>
      </c>
      <c r="E9" s="63"/>
      <c r="F9" s="63"/>
      <c r="G9" s="63"/>
      <c r="H9" s="63"/>
      <c r="I9" s="63"/>
      <c r="J9" s="82"/>
      <c r="L9" s="76"/>
      <c r="M9" s="407" t="s">
        <v>1691</v>
      </c>
      <c r="N9" s="63"/>
      <c r="O9" s="63"/>
      <c r="P9" s="63"/>
      <c r="Q9" s="63"/>
      <c r="R9" s="63"/>
      <c r="S9" s="82"/>
    </row>
    <row r="10" spans="1:34">
      <c r="C10" s="76"/>
      <c r="D10" s="63"/>
      <c r="E10" s="63"/>
      <c r="F10" s="63"/>
      <c r="G10" s="63" t="s">
        <v>129</v>
      </c>
      <c r="H10" s="63"/>
      <c r="I10" s="63"/>
      <c r="J10" s="82"/>
      <c r="L10" s="76"/>
      <c r="M10" s="63"/>
      <c r="N10" s="63"/>
      <c r="O10" s="63"/>
      <c r="P10" s="63" t="s">
        <v>129</v>
      </c>
      <c r="Q10" s="63"/>
      <c r="R10" s="63"/>
      <c r="S10" s="82"/>
    </row>
    <row r="11" spans="1:34">
      <c r="C11" s="76"/>
      <c r="D11" s="696" t="s">
        <v>130</v>
      </c>
      <c r="E11" s="696"/>
      <c r="F11" s="701">
        <v>2</v>
      </c>
      <c r="G11" s="701"/>
      <c r="H11" s="63" t="s">
        <v>131</v>
      </c>
      <c r="I11" s="63"/>
      <c r="J11" s="82"/>
      <c r="L11" s="76"/>
      <c r="M11" s="696" t="s">
        <v>130</v>
      </c>
      <c r="N11" s="696"/>
      <c r="O11" s="701">
        <v>2</v>
      </c>
      <c r="P11" s="701"/>
      <c r="Q11" s="63" t="s">
        <v>131</v>
      </c>
      <c r="R11" s="63"/>
      <c r="S11" s="82"/>
    </row>
    <row r="12" spans="1:34">
      <c r="C12" s="76"/>
      <c r="D12" s="696" t="s">
        <v>132</v>
      </c>
      <c r="E12" s="696"/>
      <c r="F12" s="718">
        <f>20*LOG(F11)</f>
        <v>6.0205999132796242</v>
      </c>
      <c r="G12" s="718"/>
      <c r="H12" s="63" t="s">
        <v>133</v>
      </c>
      <c r="I12" s="63"/>
      <c r="J12" s="82"/>
      <c r="L12" s="76"/>
      <c r="M12" s="696" t="s">
        <v>132</v>
      </c>
      <c r="N12" s="696"/>
      <c r="O12" s="718">
        <f>10*LOG(O11)</f>
        <v>3.0102999566398121</v>
      </c>
      <c r="P12" s="718"/>
      <c r="Q12" s="407" t="s">
        <v>1692</v>
      </c>
      <c r="R12" s="63"/>
      <c r="S12" s="82"/>
    </row>
    <row r="13" spans="1:34">
      <c r="C13" s="76"/>
      <c r="D13" s="63"/>
      <c r="E13" s="63"/>
      <c r="F13" s="63"/>
      <c r="G13" s="63"/>
      <c r="H13" s="63"/>
      <c r="I13" s="63"/>
      <c r="J13" s="82"/>
      <c r="L13" s="76"/>
      <c r="M13" s="63"/>
      <c r="N13" s="63"/>
      <c r="O13" s="63"/>
      <c r="P13" s="63"/>
      <c r="Q13" s="63"/>
      <c r="R13" s="63"/>
      <c r="S13" s="82"/>
    </row>
    <row r="14" spans="1:34">
      <c r="C14" s="76"/>
      <c r="D14" s="63" t="s">
        <v>134</v>
      </c>
      <c r="E14" s="63"/>
      <c r="F14" s="63"/>
      <c r="G14" s="63"/>
      <c r="H14" s="63"/>
      <c r="I14" s="63"/>
      <c r="J14" s="82"/>
      <c r="L14" s="76"/>
      <c r="M14" s="63" t="s">
        <v>135</v>
      </c>
      <c r="N14" s="63"/>
      <c r="O14" s="63"/>
      <c r="P14" s="63"/>
      <c r="Q14" s="63"/>
      <c r="R14" s="63"/>
      <c r="S14" s="82"/>
    </row>
    <row r="15" spans="1:34">
      <c r="C15" s="76"/>
      <c r="D15" s="63"/>
      <c r="E15" s="63"/>
      <c r="F15" s="63"/>
      <c r="G15" s="63" t="s">
        <v>129</v>
      </c>
      <c r="H15" s="63"/>
      <c r="I15" s="63"/>
      <c r="J15" s="82"/>
      <c r="L15" s="76"/>
      <c r="M15" s="63"/>
      <c r="N15" s="63"/>
      <c r="O15" s="63"/>
      <c r="P15" s="63" t="s">
        <v>129</v>
      </c>
      <c r="Q15" s="63"/>
      <c r="R15" s="63"/>
      <c r="S15" s="82"/>
    </row>
    <row r="16" spans="1:34">
      <c r="C16" s="76"/>
      <c r="D16" s="696" t="s">
        <v>132</v>
      </c>
      <c r="E16" s="696"/>
      <c r="F16" s="701">
        <v>6</v>
      </c>
      <c r="G16" s="701"/>
      <c r="H16" s="63" t="s">
        <v>133</v>
      </c>
      <c r="I16" s="63"/>
      <c r="J16" s="82"/>
      <c r="L16" s="76"/>
      <c r="M16" s="696" t="s">
        <v>132</v>
      </c>
      <c r="N16" s="696"/>
      <c r="O16" s="701">
        <v>3</v>
      </c>
      <c r="P16" s="701"/>
      <c r="Q16" s="407" t="s">
        <v>1692</v>
      </c>
      <c r="R16" s="63"/>
      <c r="S16" s="82"/>
    </row>
    <row r="17" spans="3:19">
      <c r="C17" s="76"/>
      <c r="D17" s="696" t="s">
        <v>130</v>
      </c>
      <c r="E17" s="696"/>
      <c r="F17" s="718">
        <f>10^(F16/20)</f>
        <v>1.9952623149688797</v>
      </c>
      <c r="G17" s="718"/>
      <c r="H17" s="63" t="s">
        <v>131</v>
      </c>
      <c r="I17" s="63"/>
      <c r="J17" s="82"/>
      <c r="L17" s="76"/>
      <c r="M17" s="696" t="s">
        <v>130</v>
      </c>
      <c r="N17" s="696"/>
      <c r="O17" s="718">
        <f>10^(O16/10)</f>
        <v>1.9952623149688797</v>
      </c>
      <c r="P17" s="718"/>
      <c r="Q17" s="63" t="s">
        <v>131</v>
      </c>
      <c r="R17" s="63"/>
      <c r="S17" s="82"/>
    </row>
    <row r="18" spans="3:19">
      <c r="C18" s="77"/>
      <c r="D18" s="78"/>
      <c r="E18" s="78"/>
      <c r="F18" s="78"/>
      <c r="G18" s="78"/>
      <c r="H18" s="78"/>
      <c r="I18" s="78"/>
      <c r="J18" s="83"/>
      <c r="L18" s="77"/>
      <c r="M18" s="78"/>
      <c r="N18" s="78"/>
      <c r="O18" s="78"/>
      <c r="P18" s="78"/>
      <c r="Q18" s="78"/>
      <c r="R18" s="78"/>
      <c r="S18" s="83"/>
    </row>
    <row r="20" spans="3:19">
      <c r="C20" s="130"/>
      <c r="D20" s="75" t="s">
        <v>136</v>
      </c>
      <c r="E20" s="75"/>
      <c r="F20" s="75"/>
      <c r="G20" s="75"/>
      <c r="H20" s="75"/>
      <c r="I20" s="75"/>
      <c r="J20" s="81"/>
      <c r="L20" s="130"/>
      <c r="M20" s="75" t="s">
        <v>137</v>
      </c>
      <c r="N20" s="75"/>
      <c r="O20" s="75"/>
      <c r="P20" s="75"/>
      <c r="Q20" s="75"/>
      <c r="R20" s="75"/>
      <c r="S20" s="81"/>
    </row>
    <row r="21" spans="3:19">
      <c r="C21" s="76"/>
      <c r="D21" s="63"/>
      <c r="E21" s="63"/>
      <c r="F21" s="63"/>
      <c r="G21" s="63"/>
      <c r="H21" s="63"/>
      <c r="I21" s="63"/>
      <c r="J21" s="82"/>
      <c r="L21" s="76"/>
      <c r="M21" s="63"/>
      <c r="N21" s="63"/>
      <c r="O21" s="63"/>
      <c r="P21" s="63"/>
      <c r="Q21" s="63"/>
      <c r="R21" s="63"/>
      <c r="S21" s="82"/>
    </row>
    <row r="22" spans="3:19">
      <c r="C22" s="76" t="s">
        <v>138</v>
      </c>
      <c r="D22" s="63"/>
      <c r="E22" s="63"/>
      <c r="F22" s="63"/>
      <c r="G22" s="63"/>
      <c r="H22" s="63"/>
      <c r="I22" s="63"/>
      <c r="J22" s="82"/>
      <c r="L22" s="76"/>
      <c r="M22" s="63" t="s">
        <v>139</v>
      </c>
      <c r="N22" s="63"/>
      <c r="O22" s="63"/>
      <c r="P22" s="63"/>
      <c r="Q22" s="63"/>
      <c r="R22" s="63"/>
      <c r="S22" s="82"/>
    </row>
    <row r="23" spans="3:19">
      <c r="C23" s="76" t="s">
        <v>140</v>
      </c>
      <c r="D23" s="63"/>
      <c r="E23" s="63"/>
      <c r="F23" s="63"/>
      <c r="G23" s="63"/>
      <c r="H23" s="63"/>
      <c r="I23" s="63"/>
      <c r="J23" s="82"/>
      <c r="L23" s="76"/>
      <c r="M23" s="63"/>
      <c r="N23" s="123" t="s">
        <v>94</v>
      </c>
      <c r="O23" s="701">
        <v>1000</v>
      </c>
      <c r="P23" s="701"/>
      <c r="Q23" s="63" t="s">
        <v>141</v>
      </c>
      <c r="R23" s="63"/>
      <c r="S23" s="82"/>
    </row>
    <row r="24" spans="3:19">
      <c r="C24" s="76"/>
      <c r="D24" s="63"/>
      <c r="E24" s="123" t="s">
        <v>142</v>
      </c>
      <c r="F24" s="701">
        <v>3.16</v>
      </c>
      <c r="G24" s="701"/>
      <c r="H24" s="63" t="s">
        <v>143</v>
      </c>
      <c r="I24" s="63"/>
      <c r="J24" s="82"/>
      <c r="L24" s="76"/>
      <c r="M24" s="63"/>
      <c r="N24" s="123" t="s">
        <v>144</v>
      </c>
      <c r="O24" s="718">
        <f>10*LOG10(O23/1)</f>
        <v>30</v>
      </c>
      <c r="P24" s="718"/>
      <c r="Q24" s="63" t="s">
        <v>144</v>
      </c>
      <c r="R24" s="63"/>
      <c r="S24" s="82"/>
    </row>
    <row r="25" spans="3:19">
      <c r="C25" s="76"/>
      <c r="D25" s="63"/>
      <c r="E25" s="123" t="s">
        <v>145</v>
      </c>
      <c r="F25" s="718">
        <f>20*LOG10(F24*10^-3/(1*10^-3))</f>
        <v>9.993741652368076</v>
      </c>
      <c r="G25" s="718"/>
      <c r="H25" s="65" t="s">
        <v>145</v>
      </c>
      <c r="I25" s="63"/>
      <c r="J25" s="82"/>
      <c r="L25" s="76"/>
      <c r="M25" s="63"/>
      <c r="N25" s="63"/>
      <c r="O25" s="63"/>
      <c r="P25" s="63"/>
      <c r="Q25" s="63"/>
      <c r="R25" s="63"/>
      <c r="S25" s="82"/>
    </row>
    <row r="26" spans="3:19">
      <c r="C26" s="76"/>
      <c r="D26" s="63"/>
      <c r="E26" s="123" t="s">
        <v>146</v>
      </c>
      <c r="F26" s="718">
        <f>20*LOG10(F24*10^-3/(1*10^-6))</f>
        <v>69.993741652368072</v>
      </c>
      <c r="G26" s="718"/>
      <c r="H26" s="65" t="s">
        <v>145</v>
      </c>
      <c r="I26" s="63"/>
      <c r="J26" s="82"/>
      <c r="L26" s="76"/>
      <c r="M26" s="63"/>
      <c r="N26" s="63"/>
      <c r="O26" s="63"/>
      <c r="P26" s="63"/>
      <c r="Q26" s="63"/>
      <c r="R26" s="63"/>
      <c r="S26" s="82"/>
    </row>
    <row r="27" spans="3:19">
      <c r="C27" s="76"/>
      <c r="D27" s="63"/>
      <c r="E27" s="123"/>
      <c r="F27" s="65"/>
      <c r="G27" s="63"/>
      <c r="H27" s="63"/>
      <c r="I27" s="63"/>
      <c r="J27" s="82"/>
      <c r="L27" s="76"/>
      <c r="M27" s="63"/>
      <c r="N27" s="63"/>
      <c r="O27" s="63"/>
      <c r="P27" s="63"/>
      <c r="Q27" s="63"/>
      <c r="R27" s="63"/>
      <c r="S27" s="82"/>
    </row>
    <row r="28" spans="3:19">
      <c r="C28" s="76" t="s">
        <v>147</v>
      </c>
      <c r="D28" s="63"/>
      <c r="E28" s="63"/>
      <c r="F28" s="63"/>
      <c r="G28" s="63"/>
      <c r="H28" s="63"/>
      <c r="I28" s="63"/>
      <c r="J28" s="82"/>
      <c r="L28" s="76"/>
      <c r="M28" s="63"/>
      <c r="N28" s="63"/>
      <c r="O28" s="63"/>
      <c r="P28" s="63"/>
      <c r="Q28" s="63"/>
      <c r="R28" s="63"/>
      <c r="S28" s="82"/>
    </row>
    <row r="29" spans="3:19">
      <c r="C29" s="76"/>
      <c r="D29" s="63"/>
      <c r="E29" s="123" t="s">
        <v>145</v>
      </c>
      <c r="F29" s="701">
        <v>9.9937000000000005</v>
      </c>
      <c r="G29" s="701"/>
      <c r="H29" s="63" t="s">
        <v>145</v>
      </c>
      <c r="I29" s="63"/>
      <c r="J29" s="82"/>
      <c r="L29" s="76"/>
      <c r="M29" s="63"/>
      <c r="N29" s="63"/>
      <c r="O29" s="63"/>
      <c r="P29" s="63"/>
      <c r="Q29" s="63"/>
      <c r="R29" s="63"/>
      <c r="S29" s="82"/>
    </row>
    <row r="30" spans="3:19">
      <c r="C30" s="76"/>
      <c r="D30" s="63"/>
      <c r="E30" s="123" t="s">
        <v>142</v>
      </c>
      <c r="F30" s="718">
        <f>10^(F29/20)</f>
        <v>3.159984846553086</v>
      </c>
      <c r="G30" s="718"/>
      <c r="H30" s="63" t="s">
        <v>143</v>
      </c>
      <c r="I30" s="63"/>
      <c r="J30" s="82"/>
      <c r="L30" s="76"/>
      <c r="M30" s="63"/>
      <c r="N30" s="63"/>
      <c r="O30" s="63"/>
      <c r="P30" s="63"/>
      <c r="Q30" s="63"/>
      <c r="R30" s="63"/>
      <c r="S30" s="82"/>
    </row>
    <row r="31" spans="3:19">
      <c r="C31" s="76"/>
      <c r="D31" s="63"/>
      <c r="E31" s="63"/>
      <c r="F31" s="63"/>
      <c r="G31" s="63"/>
      <c r="H31" s="63"/>
      <c r="I31" s="63"/>
      <c r="J31" s="82"/>
      <c r="L31" s="76"/>
      <c r="M31" s="63"/>
      <c r="N31" s="63"/>
      <c r="O31" s="63"/>
      <c r="P31" s="63"/>
      <c r="Q31" s="63"/>
      <c r="R31" s="63"/>
      <c r="S31" s="82"/>
    </row>
    <row r="32" spans="3:19">
      <c r="C32" s="76" t="s">
        <v>148</v>
      </c>
      <c r="D32" s="63"/>
      <c r="E32" s="63"/>
      <c r="F32" s="63"/>
      <c r="G32" s="63"/>
      <c r="H32" s="63"/>
      <c r="I32" s="63"/>
      <c r="J32" s="82"/>
      <c r="L32" s="76"/>
      <c r="M32" s="63"/>
      <c r="N32" s="63"/>
      <c r="O32" s="63"/>
      <c r="P32" s="63"/>
      <c r="Q32" s="63"/>
      <c r="R32" s="63"/>
      <c r="S32" s="82"/>
    </row>
    <row r="33" spans="3:19">
      <c r="C33" s="76"/>
      <c r="D33" s="63"/>
      <c r="E33" s="123" t="s">
        <v>146</v>
      </c>
      <c r="F33" s="701">
        <v>69.994</v>
      </c>
      <c r="G33" s="701"/>
      <c r="H33" s="63" t="s">
        <v>146</v>
      </c>
      <c r="I33" s="63"/>
      <c r="J33" s="82"/>
      <c r="L33" s="76"/>
      <c r="M33" s="63"/>
      <c r="N33" s="63"/>
      <c r="O33" s="63"/>
      <c r="P33" s="63"/>
      <c r="Q33" s="63"/>
      <c r="R33" s="63"/>
      <c r="S33" s="82"/>
    </row>
    <row r="34" spans="3:19">
      <c r="C34" s="76"/>
      <c r="D34" s="63"/>
      <c r="E34" s="123" t="s">
        <v>142</v>
      </c>
      <c r="F34" s="718">
        <f>10^(F33/20)*10^-3</f>
        <v>3.1600939904479501</v>
      </c>
      <c r="G34" s="718"/>
      <c r="H34" s="63" t="s">
        <v>149</v>
      </c>
      <c r="I34" s="63"/>
      <c r="J34" s="82"/>
      <c r="L34" s="76"/>
      <c r="M34" s="63"/>
      <c r="N34" s="63"/>
      <c r="O34" s="63"/>
      <c r="P34" s="63"/>
      <c r="Q34" s="63"/>
      <c r="R34" s="63"/>
      <c r="S34" s="82"/>
    </row>
    <row r="35" spans="3:19">
      <c r="C35" s="77"/>
      <c r="D35" s="78"/>
      <c r="E35" s="78"/>
      <c r="F35" s="78"/>
      <c r="G35" s="78"/>
      <c r="H35" s="78"/>
      <c r="I35" s="78"/>
      <c r="J35" s="83"/>
      <c r="L35" s="77"/>
      <c r="M35" s="78"/>
      <c r="N35" s="78"/>
      <c r="O35" s="78"/>
      <c r="P35" s="78"/>
      <c r="Q35" s="78"/>
      <c r="R35" s="78"/>
      <c r="S35" s="83"/>
    </row>
  </sheetData>
  <mergeCells count="26">
    <mergeCell ref="F30:G30"/>
    <mergeCell ref="F33:G33"/>
    <mergeCell ref="F34:G34"/>
    <mergeCell ref="F24:G24"/>
    <mergeCell ref="O24:P24"/>
    <mergeCell ref="F25:G25"/>
    <mergeCell ref="F26:G26"/>
    <mergeCell ref="F29:G29"/>
    <mergeCell ref="D17:E17"/>
    <mergeCell ref="F17:G17"/>
    <mergeCell ref="M17:N17"/>
    <mergeCell ref="O17:P17"/>
    <mergeCell ref="O23:P23"/>
    <mergeCell ref="D12:E12"/>
    <mergeCell ref="F12:G12"/>
    <mergeCell ref="M12:N12"/>
    <mergeCell ref="O12:P12"/>
    <mergeCell ref="D16:E16"/>
    <mergeCell ref="F16:G16"/>
    <mergeCell ref="M16:N16"/>
    <mergeCell ref="O16:P16"/>
    <mergeCell ref="A1:C1"/>
    <mergeCell ref="D11:E11"/>
    <mergeCell ref="F11:G11"/>
    <mergeCell ref="M11:N11"/>
    <mergeCell ref="O11:P11"/>
  </mergeCells>
  <phoneticPr fontId="42"/>
  <hyperlinks>
    <hyperlink ref="A1:C1" location="目次!A1" display="　目次　" xr:uid="{00000000-0004-0000-0600-000000000000}"/>
  </hyperlinks>
  <pageMargins left="0.75" right="0.75" top="1" bottom="1" header="0.51180555555555596" footer="0.51180555555555596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77"/>
  <sheetViews>
    <sheetView topLeftCell="A4" zoomScaleNormal="100" workbookViewId="0">
      <selection sqref="A1:C1"/>
    </sheetView>
  </sheetViews>
  <sheetFormatPr defaultColWidth="3.875" defaultRowHeight="13.5"/>
  <cols>
    <col min="1" max="10" width="3.875" customWidth="1"/>
    <col min="11" max="12" width="3.875" style="121" customWidth="1"/>
  </cols>
  <sheetData>
    <row r="1" spans="1:31">
      <c r="A1" s="686" t="s">
        <v>61</v>
      </c>
      <c r="B1" s="686"/>
      <c r="C1" s="686"/>
      <c r="K1"/>
      <c r="L1"/>
    </row>
    <row r="2" spans="1:31" ht="21">
      <c r="C2" s="139" t="s">
        <v>150</v>
      </c>
      <c r="AA2" s="121"/>
      <c r="AB2" s="121"/>
    </row>
    <row r="3" spans="1:31">
      <c r="AA3" s="121"/>
      <c r="AB3" s="121"/>
    </row>
    <row r="4" spans="1:31">
      <c r="B4" s="132"/>
      <c r="C4" s="132"/>
      <c r="D4" s="132"/>
      <c r="E4" s="63" t="s">
        <v>86</v>
      </c>
      <c r="F4" s="63"/>
      <c r="G4" s="63"/>
      <c r="H4" s="63"/>
      <c r="I4" s="63"/>
      <c r="J4" s="9"/>
      <c r="K4" s="9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</row>
    <row r="5" spans="1:31">
      <c r="B5" s="140"/>
      <c r="C5" s="140"/>
      <c r="D5" s="140"/>
      <c r="E5" s="63" t="s">
        <v>151</v>
      </c>
      <c r="F5" s="63"/>
      <c r="G5" s="63"/>
      <c r="H5" s="63"/>
      <c r="I5" s="63"/>
      <c r="J5" s="9"/>
      <c r="K5" s="9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</row>
    <row r="6" spans="1:31">
      <c r="B6" s="133"/>
      <c r="C6" s="133"/>
      <c r="D6" s="133"/>
      <c r="E6" s="63" t="s">
        <v>63</v>
      </c>
      <c r="F6" s="63"/>
      <c r="G6" s="63"/>
      <c r="H6" s="63"/>
      <c r="I6" s="63"/>
      <c r="J6" s="9"/>
      <c r="K6" s="9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</row>
    <row r="7" spans="1:31">
      <c r="B7" s="9"/>
      <c r="C7" s="9"/>
      <c r="D7" s="9"/>
      <c r="E7" s="63"/>
      <c r="F7" s="63"/>
      <c r="G7" s="63"/>
      <c r="H7" s="63"/>
      <c r="I7" s="63"/>
      <c r="J7" s="9"/>
      <c r="K7" s="9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</row>
    <row r="8" spans="1:31">
      <c r="B8" s="9"/>
      <c r="C8" s="9"/>
      <c r="D8" s="9"/>
      <c r="E8" s="63"/>
      <c r="F8" s="63"/>
      <c r="G8" s="63"/>
      <c r="H8" s="63"/>
      <c r="I8" s="63"/>
      <c r="J8" s="9"/>
      <c r="K8" s="9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</row>
    <row r="9" spans="1:31">
      <c r="B9" s="9"/>
      <c r="C9" s="9"/>
      <c r="D9" s="9"/>
      <c r="E9" s="63"/>
      <c r="F9" s="63"/>
      <c r="G9" s="63"/>
      <c r="H9" s="63"/>
      <c r="I9" s="63"/>
      <c r="J9" s="9"/>
      <c r="K9" s="9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</row>
    <row r="10" spans="1:31">
      <c r="S10" s="168" t="s">
        <v>152</v>
      </c>
      <c r="AA10" s="121"/>
      <c r="AB10" s="121"/>
    </row>
    <row r="11" spans="1:31">
      <c r="AB11" s="121"/>
      <c r="AC11" s="719"/>
      <c r="AD11" s="719"/>
      <c r="AE11" s="719"/>
    </row>
    <row r="12" spans="1:31">
      <c r="S12" s="40" t="s">
        <v>153</v>
      </c>
      <c r="T12" s="40"/>
      <c r="U12" s="40"/>
      <c r="V12" s="720">
        <v>50</v>
      </c>
      <c r="W12" s="720"/>
      <c r="X12" s="720"/>
      <c r="Y12" s="137" t="s">
        <v>154</v>
      </c>
      <c r="Z12" s="40" t="s">
        <v>91</v>
      </c>
      <c r="AA12" s="121"/>
      <c r="AB12" s="721">
        <f t="shared" ref="AB12:AB18" si="0">IF(Y12="k",V12*1000,IF(Y12="M",V12*1000000,V12))</f>
        <v>50000</v>
      </c>
      <c r="AC12" s="721"/>
      <c r="AD12" s="721"/>
      <c r="AE12" s="116" t="s">
        <v>91</v>
      </c>
    </row>
    <row r="13" spans="1:31">
      <c r="S13" s="40" t="s">
        <v>155</v>
      </c>
      <c r="T13" s="40"/>
      <c r="U13" s="40"/>
      <c r="V13" s="720">
        <v>12.5</v>
      </c>
      <c r="W13" s="720"/>
      <c r="X13" s="720"/>
      <c r="Y13" s="137" t="s">
        <v>154</v>
      </c>
      <c r="Z13" s="40" t="s">
        <v>91</v>
      </c>
      <c r="AA13" s="121"/>
      <c r="AB13" s="721">
        <f t="shared" si="0"/>
        <v>12500</v>
      </c>
      <c r="AC13" s="721"/>
      <c r="AD13" s="721"/>
      <c r="AE13" s="116" t="s">
        <v>91</v>
      </c>
    </row>
    <row r="14" spans="1:31">
      <c r="S14" s="42" t="s">
        <v>156</v>
      </c>
      <c r="T14" s="42"/>
      <c r="U14" s="42"/>
      <c r="V14" s="692">
        <f>IF((AB12*AB13/(AB13+AB12))&gt;1000000,(AB12*AB13/(AB13+AB12))/1000000,IF((AB12*AB13/(AB13+AB12))&gt;1000,(AB12*AB13/(AB13+AB12))/1000,(AB12*AB13/(AB13+AB12))))</f>
        <v>10</v>
      </c>
      <c r="W14" s="692"/>
      <c r="X14" s="692"/>
      <c r="Y14" s="42" t="str">
        <f>IF((AB12*AB13/(AB13+AB12))&gt;1000000,"M",IF((AB12*AB13/(AB13+AB12))&gt;1000,"k",""))</f>
        <v>k</v>
      </c>
      <c r="Z14" s="42" t="s">
        <v>91</v>
      </c>
      <c r="AA14" s="121"/>
      <c r="AB14" s="121"/>
    </row>
    <row r="15" spans="1:31">
      <c r="V15" s="170"/>
      <c r="W15" s="170"/>
      <c r="X15" s="170"/>
      <c r="AA15" s="121"/>
      <c r="AB15" s="121"/>
    </row>
    <row r="16" spans="1:31">
      <c r="AA16" s="121"/>
      <c r="AB16" s="121"/>
    </row>
    <row r="17" spans="2:51">
      <c r="S17" s="40" t="s">
        <v>156</v>
      </c>
      <c r="T17" s="40"/>
      <c r="U17" s="40"/>
      <c r="V17" s="691">
        <v>10</v>
      </c>
      <c r="W17" s="691"/>
      <c r="X17" s="691"/>
      <c r="Y17" s="137" t="s">
        <v>154</v>
      </c>
      <c r="Z17" s="40" t="s">
        <v>91</v>
      </c>
      <c r="AA17" s="121"/>
      <c r="AB17" s="721">
        <f t="shared" si="0"/>
        <v>10000</v>
      </c>
      <c r="AC17" s="721"/>
      <c r="AD17" s="721"/>
      <c r="AE17" s="116" t="s">
        <v>91</v>
      </c>
    </row>
    <row r="18" spans="2:51">
      <c r="S18" s="40" t="s">
        <v>153</v>
      </c>
      <c r="T18" s="40"/>
      <c r="U18" s="40"/>
      <c r="V18" s="691">
        <v>50</v>
      </c>
      <c r="W18" s="691"/>
      <c r="X18" s="691"/>
      <c r="Y18" s="137" t="s">
        <v>154</v>
      </c>
      <c r="Z18" s="40" t="s">
        <v>91</v>
      </c>
      <c r="AA18" s="121"/>
      <c r="AB18" s="721">
        <f t="shared" si="0"/>
        <v>50000</v>
      </c>
      <c r="AC18" s="721"/>
      <c r="AD18" s="721"/>
      <c r="AE18" s="116" t="s">
        <v>91</v>
      </c>
    </row>
    <row r="19" spans="2:51">
      <c r="S19" s="42" t="s">
        <v>155</v>
      </c>
      <c r="T19" s="42"/>
      <c r="U19" s="42"/>
      <c r="V19" s="692">
        <f>IF((AB18*AB17/(AB18-AB17))&gt;1000000,(AB18*AB17/(AB18-AB17))/1000000,IF((AB18*AB17/(AB18-AB17))&gt;1000,(AB18*AB17/(AB18-AB17))/1000,(AB18*AB17/(AB18-AB17))))</f>
        <v>12.5</v>
      </c>
      <c r="W19" s="692"/>
      <c r="X19" s="692"/>
      <c r="Y19" s="42" t="str">
        <f>IF((AB18*AB17/(AB18-AB17))&gt;1000000,"M",IF((AB18*AB17/(AB18-AB17))&gt;1000,"k",""))</f>
        <v>k</v>
      </c>
      <c r="Z19" s="42" t="s">
        <v>91</v>
      </c>
      <c r="AA19" s="121"/>
      <c r="AB19" s="121"/>
    </row>
    <row r="20" spans="2:51">
      <c r="B20" s="9"/>
      <c r="C20" s="9"/>
      <c r="D20" s="9"/>
      <c r="E20" s="9"/>
      <c r="F20" s="9"/>
      <c r="G20" s="63"/>
      <c r="H20" s="63"/>
      <c r="I20" s="63"/>
      <c r="J20" s="9"/>
      <c r="K20" s="9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2:51">
      <c r="B21" s="9"/>
      <c r="C21" s="9"/>
      <c r="D21" s="9"/>
      <c r="E21" s="9"/>
      <c r="F21" s="9"/>
      <c r="G21" s="63"/>
      <c r="H21" s="63"/>
      <c r="I21" s="63"/>
      <c r="J21" s="9"/>
      <c r="K21" s="9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2:51">
      <c r="B22" s="130"/>
      <c r="C22" s="75"/>
      <c r="D22" s="75"/>
      <c r="E22" s="75"/>
      <c r="F22" s="75"/>
      <c r="G22" s="75"/>
      <c r="H22" s="75"/>
      <c r="I22" s="75"/>
      <c r="J22" s="183"/>
      <c r="K22" s="183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81"/>
    </row>
    <row r="23" spans="2:51" ht="14.25">
      <c r="B23" s="76"/>
      <c r="C23" s="175" t="s">
        <v>157</v>
      </c>
      <c r="D23" s="63"/>
      <c r="E23" s="63"/>
      <c r="F23" s="63"/>
      <c r="G23" s="63"/>
      <c r="H23" s="63"/>
      <c r="I23" s="63"/>
      <c r="J23" s="9"/>
      <c r="K23" s="9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82"/>
    </row>
    <row r="24" spans="2:51">
      <c r="B24" s="76"/>
      <c r="C24" s="132" t="s">
        <v>158</v>
      </c>
      <c r="D24" s="132"/>
      <c r="E24" s="132"/>
      <c r="F24" s="722">
        <v>10000</v>
      </c>
      <c r="G24" s="723"/>
      <c r="H24" s="723"/>
      <c r="I24" s="184" t="s">
        <v>91</v>
      </c>
      <c r="J24" s="185"/>
      <c r="K24" s="185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53"/>
      <c r="Y24" s="63"/>
      <c r="Z24" s="63"/>
      <c r="AA24" s="63"/>
      <c r="AB24" s="63"/>
      <c r="AC24" s="63"/>
      <c r="AD24" s="63"/>
      <c r="AE24" s="63"/>
      <c r="AF24" s="82"/>
    </row>
    <row r="25" spans="2:51">
      <c r="B25" s="76"/>
      <c r="C25" s="132" t="s">
        <v>159</v>
      </c>
      <c r="D25" s="132"/>
      <c r="E25" s="132"/>
      <c r="F25" s="724">
        <v>2200</v>
      </c>
      <c r="G25" s="701"/>
      <c r="H25" s="701"/>
      <c r="I25" s="132" t="s">
        <v>91</v>
      </c>
      <c r="J25" s="187"/>
      <c r="K25" s="9"/>
      <c r="L25" s="63"/>
      <c r="M25" s="63"/>
      <c r="N25" s="63"/>
      <c r="O25" s="180"/>
      <c r="P25" s="63"/>
      <c r="Q25" s="63"/>
      <c r="R25" s="63"/>
      <c r="S25" s="63"/>
      <c r="T25" s="180"/>
      <c r="U25" s="63"/>
      <c r="V25" s="63"/>
      <c r="W25" s="63"/>
      <c r="X25" s="55"/>
      <c r="Y25" s="63"/>
      <c r="Z25" s="63"/>
      <c r="AA25" s="63"/>
      <c r="AB25" s="63"/>
      <c r="AC25" s="63"/>
      <c r="AD25" s="63"/>
      <c r="AE25" s="63"/>
      <c r="AF25" s="82"/>
    </row>
    <row r="26" spans="2:51">
      <c r="B26" s="76"/>
      <c r="C26" s="132" t="s">
        <v>160</v>
      </c>
      <c r="D26" s="132"/>
      <c r="E26" s="132"/>
      <c r="F26" s="724">
        <v>24</v>
      </c>
      <c r="G26" s="701"/>
      <c r="H26" s="701"/>
      <c r="I26" s="188" t="s">
        <v>65</v>
      </c>
      <c r="J26" s="132"/>
      <c r="K26" s="724">
        <v>5</v>
      </c>
      <c r="L26" s="701"/>
      <c r="M26" s="701"/>
      <c r="N26" s="188" t="s">
        <v>65</v>
      </c>
      <c r="O26" s="132"/>
      <c r="P26" s="724">
        <v>75</v>
      </c>
      <c r="Q26" s="701"/>
      <c r="R26" s="701"/>
      <c r="S26" s="188" t="s">
        <v>65</v>
      </c>
      <c r="T26" s="132"/>
      <c r="U26" s="724">
        <v>100</v>
      </c>
      <c r="V26" s="701"/>
      <c r="W26" s="701"/>
      <c r="X26" s="188" t="s">
        <v>65</v>
      </c>
      <c r="Y26" s="63"/>
      <c r="Z26" s="63"/>
      <c r="AA26" s="63"/>
      <c r="AB26" s="63"/>
      <c r="AC26" s="63"/>
      <c r="AD26" s="63"/>
      <c r="AE26" s="63"/>
      <c r="AF26" s="82"/>
    </row>
    <row r="27" spans="2:51">
      <c r="B27" s="76"/>
      <c r="C27" s="63"/>
      <c r="D27" s="63"/>
      <c r="E27" s="63"/>
      <c r="F27" s="54"/>
      <c r="G27" s="63"/>
      <c r="H27" s="63"/>
      <c r="I27" s="55"/>
      <c r="J27" s="9"/>
      <c r="K27" s="56"/>
      <c r="L27" s="63"/>
      <c r="M27" s="63"/>
      <c r="N27" s="55"/>
      <c r="O27" s="63"/>
      <c r="P27" s="56"/>
      <c r="Q27" s="63"/>
      <c r="R27" s="63"/>
      <c r="S27" s="55"/>
      <c r="T27" s="63"/>
      <c r="U27" s="56"/>
      <c r="V27" s="63"/>
      <c r="W27" s="63"/>
      <c r="X27" s="55"/>
      <c r="Y27" s="63"/>
      <c r="Z27" s="63"/>
      <c r="AA27" s="63"/>
      <c r="AB27" s="63"/>
      <c r="AC27" s="63"/>
      <c r="AD27" s="63"/>
      <c r="AE27" s="63"/>
      <c r="AF27" s="82"/>
    </row>
    <row r="28" spans="2:51">
      <c r="B28" s="76"/>
      <c r="C28" s="63"/>
      <c r="D28" s="63"/>
      <c r="E28" s="63"/>
      <c r="F28" s="54"/>
      <c r="G28" s="63"/>
      <c r="H28" s="63"/>
      <c r="I28" s="55"/>
      <c r="J28" s="9"/>
      <c r="K28" s="56"/>
      <c r="L28" s="63"/>
      <c r="M28" s="63"/>
      <c r="N28" s="55"/>
      <c r="O28" s="63"/>
      <c r="P28" s="56"/>
      <c r="Q28" s="63"/>
      <c r="R28" s="63"/>
      <c r="S28" s="55"/>
      <c r="T28" s="63"/>
      <c r="U28" s="56"/>
      <c r="V28" s="63"/>
      <c r="W28" s="63"/>
      <c r="X28" s="55"/>
      <c r="Y28" s="63"/>
      <c r="Z28" s="63"/>
      <c r="AA28" s="9"/>
      <c r="AB28" s="63"/>
      <c r="AC28" s="63"/>
      <c r="AD28" s="63"/>
      <c r="AE28" s="63"/>
      <c r="AF28" s="82"/>
    </row>
    <row r="29" spans="2:51">
      <c r="B29" s="76"/>
      <c r="C29" s="176"/>
      <c r="D29" s="63"/>
      <c r="E29" s="63"/>
      <c r="F29" s="725" t="s">
        <v>161</v>
      </c>
      <c r="G29" s="726"/>
      <c r="H29" s="726"/>
      <c r="I29" s="727"/>
      <c r="J29" s="189"/>
      <c r="K29" s="182"/>
      <c r="L29" s="133"/>
      <c r="M29" s="133"/>
      <c r="N29" s="190"/>
      <c r="O29" s="133"/>
      <c r="P29" s="182"/>
      <c r="Q29" s="133"/>
      <c r="R29" s="133"/>
      <c r="S29" s="190"/>
      <c r="T29" s="133"/>
      <c r="U29" s="182"/>
      <c r="V29" s="133"/>
      <c r="W29" s="133"/>
      <c r="X29" s="190"/>
      <c r="Y29" s="63"/>
      <c r="Z29" s="63"/>
      <c r="AA29" s="63"/>
      <c r="AB29" s="63"/>
      <c r="AC29" s="63"/>
      <c r="AD29" s="63"/>
      <c r="AE29" s="63"/>
      <c r="AF29" s="82"/>
      <c r="AJ29" s="130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81"/>
    </row>
    <row r="30" spans="2:51">
      <c r="B30" s="76"/>
      <c r="C30" s="177"/>
      <c r="D30" s="63"/>
      <c r="E30" s="63"/>
      <c r="F30" s="728">
        <f>F25/(F24+F25)</f>
        <v>0.18032786885245902</v>
      </c>
      <c r="G30" s="697"/>
      <c r="H30" s="697"/>
      <c r="I30" s="191" t="s">
        <v>131</v>
      </c>
      <c r="J30" s="166"/>
      <c r="K30" s="182"/>
      <c r="L30" s="133"/>
      <c r="M30" s="133"/>
      <c r="N30" s="190"/>
      <c r="O30" s="133"/>
      <c r="P30" s="182"/>
      <c r="Q30" s="133"/>
      <c r="R30" s="133"/>
      <c r="S30" s="190"/>
      <c r="T30" s="133"/>
      <c r="U30" s="182"/>
      <c r="V30" s="133"/>
      <c r="W30" s="133"/>
      <c r="X30" s="190"/>
      <c r="Y30" s="63"/>
      <c r="Z30" s="63"/>
      <c r="AA30" s="9"/>
      <c r="AB30" s="63"/>
      <c r="AC30" s="63"/>
      <c r="AD30" s="63"/>
      <c r="AE30" s="63"/>
      <c r="AF30" s="82"/>
      <c r="AJ30" s="76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82"/>
    </row>
    <row r="31" spans="2:51">
      <c r="B31" s="76"/>
      <c r="C31" s="8"/>
      <c r="D31" s="177"/>
      <c r="E31" s="177"/>
      <c r="F31" s="178" t="s">
        <v>142</v>
      </c>
      <c r="G31" s="179"/>
      <c r="H31" s="133"/>
      <c r="I31" s="190"/>
      <c r="J31" s="133"/>
      <c r="K31" s="729" t="s">
        <v>142</v>
      </c>
      <c r="L31" s="730"/>
      <c r="M31" s="133"/>
      <c r="N31" s="190"/>
      <c r="O31" s="133"/>
      <c r="P31" s="729" t="s">
        <v>142</v>
      </c>
      <c r="Q31" s="730"/>
      <c r="R31" s="133"/>
      <c r="S31" s="190"/>
      <c r="T31" s="133"/>
      <c r="U31" s="729" t="s">
        <v>142</v>
      </c>
      <c r="V31" s="730"/>
      <c r="W31" s="133"/>
      <c r="X31" s="190"/>
      <c r="Y31" s="63"/>
      <c r="Z31" s="63"/>
      <c r="AA31" s="63"/>
      <c r="AB31" s="63"/>
      <c r="AC31" s="63"/>
      <c r="AD31" s="63"/>
      <c r="AE31" s="63"/>
      <c r="AF31" s="82"/>
      <c r="AJ31" s="76"/>
      <c r="AK31" s="63"/>
      <c r="AL31" s="131" t="s">
        <v>162</v>
      </c>
      <c r="AM31" s="63"/>
      <c r="AN31" s="63"/>
      <c r="AO31" s="63"/>
      <c r="AP31" s="63" t="s">
        <v>163</v>
      </c>
      <c r="AQ31" s="63"/>
      <c r="AR31" s="63"/>
      <c r="AS31" s="63"/>
      <c r="AT31" s="63"/>
      <c r="AU31" s="63"/>
      <c r="AV31" s="63"/>
      <c r="AW31" s="63"/>
      <c r="AX31" s="63"/>
      <c r="AY31" s="82"/>
    </row>
    <row r="32" spans="2:51">
      <c r="B32" s="76"/>
      <c r="C32" s="63"/>
      <c r="D32" s="8"/>
      <c r="E32" s="8"/>
      <c r="F32" s="728">
        <f>F26*F30</f>
        <v>4.3278688524590168</v>
      </c>
      <c r="G32" s="697"/>
      <c r="H32" s="697"/>
      <c r="I32" s="190" t="s">
        <v>65</v>
      </c>
      <c r="J32" s="133"/>
      <c r="K32" s="728">
        <f>K26*F30</f>
        <v>0.90163934426229508</v>
      </c>
      <c r="L32" s="697"/>
      <c r="M32" s="697"/>
      <c r="N32" s="190" t="s">
        <v>65</v>
      </c>
      <c r="O32" s="133"/>
      <c r="P32" s="728">
        <f>P26*F30</f>
        <v>13.524590163934427</v>
      </c>
      <c r="Q32" s="697"/>
      <c r="R32" s="697"/>
      <c r="S32" s="190" t="s">
        <v>65</v>
      </c>
      <c r="T32" s="133"/>
      <c r="U32" s="728">
        <f>U26*F30</f>
        <v>18.032786885245901</v>
      </c>
      <c r="V32" s="697"/>
      <c r="W32" s="697"/>
      <c r="X32" s="190" t="s">
        <v>65</v>
      </c>
      <c r="Y32" s="63"/>
      <c r="Z32" s="63"/>
      <c r="AA32" s="63"/>
      <c r="AB32" s="63"/>
      <c r="AC32" s="63"/>
      <c r="AD32" s="63"/>
      <c r="AE32" s="63"/>
      <c r="AF32" s="82"/>
      <c r="AJ32" s="76"/>
      <c r="AK32" s="63"/>
      <c r="AL32" s="63" t="s">
        <v>90</v>
      </c>
      <c r="AM32" s="63"/>
      <c r="AN32" s="732">
        <v>25</v>
      </c>
      <c r="AO32" s="732"/>
      <c r="AP32" s="172" t="s">
        <v>154</v>
      </c>
      <c r="AQ32" s="9" t="s">
        <v>91</v>
      </c>
      <c r="AR32" s="9" t="s">
        <v>102</v>
      </c>
      <c r="AS32" s="731">
        <f>(IF(AP32="k",AN32*1000,IF(AP32="M",AN32*1000000,AN32)))</f>
        <v>25000</v>
      </c>
      <c r="AT32" s="731"/>
      <c r="AU32" s="731"/>
      <c r="AV32" s="731"/>
      <c r="AW32" s="140" t="s">
        <v>91</v>
      </c>
      <c r="AX32" s="63"/>
      <c r="AY32" s="82"/>
    </row>
    <row r="33" spans="2:51">
      <c r="B33" s="76"/>
      <c r="C33" s="63"/>
      <c r="D33" s="63"/>
      <c r="E33" s="63"/>
      <c r="F33" s="58"/>
      <c r="G33" s="180"/>
      <c r="H33" s="180"/>
      <c r="I33" s="60"/>
      <c r="J33" s="63"/>
      <c r="K33" s="192"/>
      <c r="L33" s="187"/>
      <c r="M33" s="180"/>
      <c r="N33" s="60"/>
      <c r="O33" s="63"/>
      <c r="P33" s="58"/>
      <c r="Q33" s="180"/>
      <c r="R33" s="180"/>
      <c r="S33" s="60"/>
      <c r="T33" s="63"/>
      <c r="U33" s="58"/>
      <c r="V33" s="180"/>
      <c r="W33" s="180"/>
      <c r="X33" s="60"/>
      <c r="Y33" s="63"/>
      <c r="Z33" s="63"/>
      <c r="AA33" s="63"/>
      <c r="AB33" s="63"/>
      <c r="AC33" s="63"/>
      <c r="AD33" s="63"/>
      <c r="AE33" s="63"/>
      <c r="AF33" s="82"/>
      <c r="AJ33" s="76"/>
      <c r="AK33" s="63"/>
      <c r="AL33" s="63" t="s">
        <v>70</v>
      </c>
      <c r="AM33" s="63"/>
      <c r="AN33" s="732">
        <v>3.4</v>
      </c>
      <c r="AO33" s="732"/>
      <c r="AP33" s="732"/>
      <c r="AQ33" s="63" t="s">
        <v>65</v>
      </c>
      <c r="AR33" s="63"/>
      <c r="AS33" s="63"/>
      <c r="AT33" s="63"/>
      <c r="AU33" s="63"/>
      <c r="AV33" s="63"/>
      <c r="AW33" s="63"/>
      <c r="AX33" s="63"/>
      <c r="AY33" s="82"/>
    </row>
    <row r="34" spans="2:51">
      <c r="B34" s="77"/>
      <c r="C34" s="78"/>
      <c r="D34" s="78"/>
      <c r="E34" s="78"/>
      <c r="F34" s="78"/>
      <c r="G34" s="78"/>
      <c r="H34" s="78"/>
      <c r="I34" s="78"/>
      <c r="J34" s="78"/>
      <c r="K34" s="174"/>
      <c r="L34" s="174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83"/>
      <c r="AJ34" s="76"/>
      <c r="AK34" s="63"/>
      <c r="AL34" s="63" t="s">
        <v>87</v>
      </c>
      <c r="AM34" s="63"/>
      <c r="AN34" s="733">
        <f>IF(AN33/AS32&lt;0.001,AN33/AS32*1000000,IF(AN33/AS32&lt;1,AN33/AS32*1000,AN33/AS32))</f>
        <v>136</v>
      </c>
      <c r="AO34" s="733"/>
      <c r="AP34" s="733"/>
      <c r="AQ34" s="166" t="str">
        <f>IF(AN33/AS32&lt;0.001,"u",IF(AN33/AS32&lt;=1,"m",""))</f>
        <v>u</v>
      </c>
      <c r="AR34" s="166" t="s">
        <v>92</v>
      </c>
      <c r="AS34" s="63"/>
      <c r="AT34" s="63"/>
      <c r="AU34" s="63"/>
      <c r="AV34" s="63"/>
      <c r="AW34" s="63"/>
      <c r="AX34" s="63"/>
      <c r="AY34" s="82"/>
    </row>
    <row r="35" spans="2:51">
      <c r="B35" s="130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81"/>
      <c r="AJ35" s="76"/>
      <c r="AK35" s="63"/>
      <c r="AL35" s="9"/>
      <c r="AM35" s="9"/>
      <c r="AN35" s="9"/>
      <c r="AO35" s="702"/>
      <c r="AP35" s="702"/>
      <c r="AQ35" s="702"/>
      <c r="AR35" s="9"/>
      <c r="AS35" s="9"/>
      <c r="AT35" s="9"/>
      <c r="AU35" s="9"/>
      <c r="AV35" s="63"/>
      <c r="AW35" s="63"/>
      <c r="AX35" s="63"/>
      <c r="AY35" s="82"/>
    </row>
    <row r="36" spans="2:51" ht="14.25">
      <c r="B36" s="76"/>
      <c r="C36" s="175" t="s">
        <v>164</v>
      </c>
      <c r="D36" s="63"/>
      <c r="E36" s="63"/>
      <c r="F36" s="63"/>
      <c r="G36" s="63"/>
      <c r="H36" s="63"/>
      <c r="I36" s="63"/>
      <c r="J36" s="9"/>
      <c r="K36" s="9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82"/>
      <c r="AJ36" s="77"/>
      <c r="AK36" s="78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78"/>
      <c r="AX36" s="78"/>
      <c r="AY36" s="83"/>
    </row>
    <row r="37" spans="2:51">
      <c r="B37" s="76"/>
      <c r="C37" s="132" t="s">
        <v>165</v>
      </c>
      <c r="D37" s="132"/>
      <c r="E37" s="132"/>
      <c r="F37" s="132"/>
      <c r="G37" s="722">
        <v>5</v>
      </c>
      <c r="H37" s="723"/>
      <c r="I37" s="723"/>
      <c r="J37" s="184" t="s">
        <v>65</v>
      </c>
      <c r="K37" s="185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6"/>
      <c r="AA37" s="186"/>
      <c r="AB37" s="186"/>
      <c r="AC37" s="186"/>
      <c r="AD37" s="53"/>
      <c r="AE37" s="63"/>
      <c r="AF37" s="82"/>
    </row>
    <row r="38" spans="2:51">
      <c r="B38" s="76"/>
      <c r="C38" s="132" t="s">
        <v>166</v>
      </c>
      <c r="D38" s="132"/>
      <c r="E38" s="132"/>
      <c r="F38" s="132"/>
      <c r="G38" s="724">
        <v>3.3</v>
      </c>
      <c r="H38" s="701"/>
      <c r="I38" s="701"/>
      <c r="J38" s="132" t="s">
        <v>65</v>
      </c>
      <c r="K38" s="8"/>
      <c r="L38" s="8"/>
      <c r="M38" s="8"/>
      <c r="N38" s="9"/>
      <c r="O38" s="8"/>
      <c r="P38" s="8"/>
      <c r="Q38" s="8"/>
      <c r="R38" s="9"/>
      <c r="S38" s="8"/>
      <c r="T38" s="8"/>
      <c r="U38" s="8"/>
      <c r="V38" s="9"/>
      <c r="W38" s="8"/>
      <c r="X38" s="8"/>
      <c r="Y38" s="8"/>
      <c r="Z38" s="9"/>
      <c r="AA38" s="63"/>
      <c r="AB38" s="63"/>
      <c r="AC38" s="63"/>
      <c r="AD38" s="55"/>
      <c r="AE38" s="63"/>
      <c r="AF38" s="82"/>
    </row>
    <row r="39" spans="2:51">
      <c r="B39" s="76"/>
      <c r="C39" s="133" t="s">
        <v>167</v>
      </c>
      <c r="D39" s="133"/>
      <c r="E39" s="133"/>
      <c r="F39" s="133"/>
      <c r="G39" s="728">
        <f>G38/G37</f>
        <v>0.65999999999999992</v>
      </c>
      <c r="H39" s="697"/>
      <c r="I39" s="697"/>
      <c r="J39" s="133" t="s">
        <v>131</v>
      </c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55"/>
      <c r="AE39" s="63"/>
      <c r="AF39" s="82"/>
    </row>
    <row r="40" spans="2:51" ht="17.25">
      <c r="B40" s="76"/>
      <c r="C40" s="132" t="s">
        <v>168</v>
      </c>
      <c r="D40" s="132"/>
      <c r="E40" s="132"/>
      <c r="F40" s="132"/>
      <c r="G40" s="724" t="s">
        <v>185</v>
      </c>
      <c r="H40" s="701"/>
      <c r="I40" s="701"/>
      <c r="J40" s="701"/>
      <c r="K40" s="193" t="s">
        <v>170</v>
      </c>
      <c r="L40" s="8"/>
      <c r="M40" s="8"/>
      <c r="N40" s="9"/>
      <c r="O40" s="8"/>
      <c r="P40" s="194"/>
      <c r="Q40" s="8"/>
      <c r="R40" s="9"/>
      <c r="S40" s="8"/>
      <c r="T40" s="8"/>
      <c r="U40" s="194"/>
      <c r="V40" s="9"/>
      <c r="W40" s="702"/>
      <c r="X40" s="702"/>
      <c r="Y40" s="702"/>
      <c r="Z40" s="187"/>
      <c r="AA40" s="9"/>
      <c r="AB40" s="9"/>
      <c r="AC40" s="9"/>
      <c r="AD40" s="57"/>
      <c r="AE40" s="63"/>
      <c r="AF40" s="82"/>
    </row>
    <row r="41" spans="2:51">
      <c r="B41" s="76"/>
      <c r="C41" s="132" t="s">
        <v>171</v>
      </c>
      <c r="D41" s="132"/>
      <c r="E41" s="132"/>
      <c r="F41" s="132"/>
      <c r="G41" s="724">
        <v>4700</v>
      </c>
      <c r="H41" s="701"/>
      <c r="I41" s="701"/>
      <c r="J41" s="195" t="s">
        <v>91</v>
      </c>
      <c r="K41" s="132"/>
      <c r="L41" s="724">
        <v>680</v>
      </c>
      <c r="M41" s="701"/>
      <c r="N41" s="701"/>
      <c r="O41" s="195" t="s">
        <v>91</v>
      </c>
      <c r="P41" s="132"/>
      <c r="Q41" s="724">
        <v>820</v>
      </c>
      <c r="R41" s="701"/>
      <c r="S41" s="701"/>
      <c r="T41" s="195" t="s">
        <v>91</v>
      </c>
      <c r="U41" s="132"/>
      <c r="V41" s="724">
        <v>1000</v>
      </c>
      <c r="W41" s="701"/>
      <c r="X41" s="701"/>
      <c r="Y41" s="188" t="s">
        <v>91</v>
      </c>
      <c r="Z41" s="132"/>
      <c r="AA41" s="724">
        <v>22000</v>
      </c>
      <c r="AB41" s="701"/>
      <c r="AC41" s="701"/>
      <c r="AD41" s="188" t="s">
        <v>91</v>
      </c>
      <c r="AE41" s="63"/>
      <c r="AF41" s="82"/>
    </row>
    <row r="42" spans="2:51">
      <c r="B42" s="76"/>
      <c r="C42" s="63"/>
      <c r="D42" s="63"/>
      <c r="E42" s="63"/>
      <c r="F42" s="63"/>
      <c r="G42" s="54"/>
      <c r="H42" s="63"/>
      <c r="I42" s="63"/>
      <c r="J42" s="55"/>
      <c r="K42" s="63"/>
      <c r="L42" s="54"/>
      <c r="M42" s="63"/>
      <c r="N42" s="63"/>
      <c r="O42" s="55"/>
      <c r="P42" s="63"/>
      <c r="Q42" s="54"/>
      <c r="R42" s="63"/>
      <c r="S42" s="63"/>
      <c r="T42" s="55"/>
      <c r="U42" s="63"/>
      <c r="V42" s="54"/>
      <c r="W42" s="63"/>
      <c r="X42" s="63"/>
      <c r="Y42" s="55"/>
      <c r="Z42" s="63"/>
      <c r="AA42" s="54"/>
      <c r="AB42" s="63"/>
      <c r="AC42" s="63"/>
      <c r="AD42" s="55"/>
      <c r="AE42" s="63"/>
      <c r="AF42" s="82"/>
    </row>
    <row r="43" spans="2:51">
      <c r="B43" s="76"/>
      <c r="C43" s="181"/>
      <c r="D43" s="120"/>
      <c r="E43" s="133"/>
      <c r="F43" s="133"/>
      <c r="G43" s="182" t="s">
        <v>172</v>
      </c>
      <c r="H43" s="133"/>
      <c r="I43" s="133"/>
      <c r="J43" s="190"/>
      <c r="K43" s="133"/>
      <c r="L43" s="182" t="s">
        <v>172</v>
      </c>
      <c r="M43" s="133"/>
      <c r="N43" s="133"/>
      <c r="O43" s="190"/>
      <c r="P43" s="133"/>
      <c r="Q43" s="182" t="s">
        <v>172</v>
      </c>
      <c r="R43" s="133"/>
      <c r="S43" s="133"/>
      <c r="T43" s="190"/>
      <c r="U43" s="133"/>
      <c r="V43" s="182" t="s">
        <v>172</v>
      </c>
      <c r="W43" s="133"/>
      <c r="X43" s="133"/>
      <c r="Y43" s="190"/>
      <c r="Z43" s="133"/>
      <c r="AA43" s="182" t="s">
        <v>172</v>
      </c>
      <c r="AB43" s="133"/>
      <c r="AC43" s="133"/>
      <c r="AD43" s="190"/>
      <c r="AE43" s="63"/>
      <c r="AF43" s="82"/>
    </row>
    <row r="44" spans="2:51">
      <c r="B44" s="76"/>
      <c r="C44" s="133"/>
      <c r="D44" s="697" t="str">
        <f>IF(G40="R2","R1","*****")</f>
        <v>*****</v>
      </c>
      <c r="E44" s="697"/>
      <c r="F44" s="734"/>
      <c r="G44" s="728" t="str">
        <f>IF(G40="R2",(G41/G39)-G41,"*****")</f>
        <v>*****</v>
      </c>
      <c r="H44" s="697"/>
      <c r="I44" s="697"/>
      <c r="J44" s="190" t="s">
        <v>91</v>
      </c>
      <c r="K44" s="133"/>
      <c r="L44" s="728" t="str">
        <f>IF(G40="R2",(L41/G39)-L41,"*****")</f>
        <v>*****</v>
      </c>
      <c r="M44" s="697"/>
      <c r="N44" s="697"/>
      <c r="O44" s="190" t="s">
        <v>91</v>
      </c>
      <c r="P44" s="133"/>
      <c r="Q44" s="728" t="str">
        <f>IF(G40="R2",(Q41/G39)-Q41,"*****")</f>
        <v>*****</v>
      </c>
      <c r="R44" s="697"/>
      <c r="S44" s="697"/>
      <c r="T44" s="190" t="s">
        <v>91</v>
      </c>
      <c r="U44" s="133"/>
      <c r="V44" s="728" t="str">
        <f>IF(G40="R2",(V41/G39)-V41,"*****")</f>
        <v>*****</v>
      </c>
      <c r="W44" s="697"/>
      <c r="X44" s="697"/>
      <c r="Y44" s="190" t="s">
        <v>91</v>
      </c>
      <c r="Z44" s="133"/>
      <c r="AA44" s="728" t="str">
        <f>IF(G40="R2",(AA41/G39)-AA41,"*****")</f>
        <v>*****</v>
      </c>
      <c r="AB44" s="697"/>
      <c r="AC44" s="697"/>
      <c r="AD44" s="190" t="s">
        <v>91</v>
      </c>
      <c r="AE44" s="63"/>
      <c r="AF44" s="82"/>
    </row>
    <row r="45" spans="2:51">
      <c r="B45" s="76"/>
      <c r="C45" s="133"/>
      <c r="D45" s="697" t="str">
        <f>IF(G40="R1","R2","*****")</f>
        <v>R2</v>
      </c>
      <c r="E45" s="697"/>
      <c r="F45" s="697"/>
      <c r="G45" s="735">
        <f>IF(G40="R1",(G41*G39)/(1-G39),"*****")</f>
        <v>9123.5294117647027</v>
      </c>
      <c r="H45" s="736"/>
      <c r="I45" s="736"/>
      <c r="J45" s="147" t="s">
        <v>91</v>
      </c>
      <c r="K45" s="133"/>
      <c r="L45" s="735">
        <f>IF(G40="R1",(L41*G39)/(1-G39),"*****")</f>
        <v>1319.9999999999995</v>
      </c>
      <c r="M45" s="736"/>
      <c r="N45" s="736"/>
      <c r="O45" s="147" t="s">
        <v>91</v>
      </c>
      <c r="P45" s="133"/>
      <c r="Q45" s="735">
        <f>IF(G40="R1",(Q41*G39)/(1-G39),"*****")</f>
        <v>1591.7647058823525</v>
      </c>
      <c r="R45" s="736"/>
      <c r="S45" s="736"/>
      <c r="T45" s="147" t="s">
        <v>91</v>
      </c>
      <c r="U45" s="133"/>
      <c r="V45" s="735">
        <f>IF(G40="R1",(V41*G39)/(1-G39),"*****")</f>
        <v>1941.1764705882345</v>
      </c>
      <c r="W45" s="736"/>
      <c r="X45" s="736"/>
      <c r="Y45" s="147" t="s">
        <v>91</v>
      </c>
      <c r="Z45" s="133"/>
      <c r="AA45" s="735">
        <f>IF(G40="R1",(AA41*G39)/(1-G39),"*****")</f>
        <v>42705.88235294116</v>
      </c>
      <c r="AB45" s="736"/>
      <c r="AC45" s="736"/>
      <c r="AD45" s="147" t="s">
        <v>91</v>
      </c>
      <c r="AE45" s="63"/>
      <c r="AF45" s="82"/>
    </row>
    <row r="46" spans="2:51">
      <c r="B46" s="76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9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82"/>
    </row>
    <row r="47" spans="2:51">
      <c r="B47" s="77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83"/>
    </row>
    <row r="48" spans="2:51">
      <c r="C48" s="63"/>
      <c r="D48" s="63"/>
      <c r="E48" s="63"/>
      <c r="F48" s="63"/>
      <c r="G48" s="696"/>
      <c r="H48" s="696"/>
      <c r="I48" s="696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77" spans="40:40">
      <c r="AN77" s="196"/>
    </row>
  </sheetData>
  <mergeCells count="55">
    <mergeCell ref="AA45:AC45"/>
    <mergeCell ref="G48:I48"/>
    <mergeCell ref="D45:F45"/>
    <mergeCell ref="G45:I45"/>
    <mergeCell ref="L45:N45"/>
    <mergeCell ref="Q45:S45"/>
    <mergeCell ref="V45:X45"/>
    <mergeCell ref="AA41:AC41"/>
    <mergeCell ref="D44:F44"/>
    <mergeCell ref="G44:I44"/>
    <mergeCell ref="L44:N44"/>
    <mergeCell ref="Q44:S44"/>
    <mergeCell ref="V44:X44"/>
    <mergeCell ref="AA44:AC44"/>
    <mergeCell ref="G38:I38"/>
    <mergeCell ref="G39:I39"/>
    <mergeCell ref="G40:J40"/>
    <mergeCell ref="W40:Y40"/>
    <mergeCell ref="G41:I41"/>
    <mergeCell ref="L41:N41"/>
    <mergeCell ref="Q41:S41"/>
    <mergeCell ref="V41:X41"/>
    <mergeCell ref="AS32:AV32"/>
    <mergeCell ref="AN33:AP33"/>
    <mergeCell ref="AN34:AP34"/>
    <mergeCell ref="AO35:AQ35"/>
    <mergeCell ref="G37:I37"/>
    <mergeCell ref="F32:H32"/>
    <mergeCell ref="K32:M32"/>
    <mergeCell ref="P32:R32"/>
    <mergeCell ref="U32:W32"/>
    <mergeCell ref="AN32:AO32"/>
    <mergeCell ref="F29:I29"/>
    <mergeCell ref="F30:H30"/>
    <mergeCell ref="K31:L31"/>
    <mergeCell ref="P31:Q31"/>
    <mergeCell ref="U31:V31"/>
    <mergeCell ref="V19:X19"/>
    <mergeCell ref="F24:H24"/>
    <mergeCell ref="F25:H25"/>
    <mergeCell ref="F26:H26"/>
    <mergeCell ref="K26:M26"/>
    <mergeCell ref="P26:R26"/>
    <mergeCell ref="U26:W26"/>
    <mergeCell ref="V14:X14"/>
    <mergeCell ref="V17:X17"/>
    <mergeCell ref="AB17:AD17"/>
    <mergeCell ref="V18:X18"/>
    <mergeCell ref="AB18:AD18"/>
    <mergeCell ref="A1:C1"/>
    <mergeCell ref="AC11:AE11"/>
    <mergeCell ref="V12:X12"/>
    <mergeCell ref="AB12:AD12"/>
    <mergeCell ref="V13:X13"/>
    <mergeCell ref="AB13:AD13"/>
  </mergeCells>
  <phoneticPr fontId="42"/>
  <dataValidations count="3">
    <dataValidation type="list" allowBlank="1" showInputMessage="1" showErrorMessage="1" sqref="AP32 Y12:Y13 Y17:Y18" xr:uid="{00000000-0002-0000-0700-000000000000}">
      <formula1>"　,k,M"</formula1>
    </dataValidation>
    <dataValidation type="whole" operator="equal" showInputMessage="1" showErrorMessage="1" sqref="AR32:AW32 AN34:AR34 AQ32:AQ33" xr:uid="{00000000-0002-0000-0700-000001000000}">
      <formula1>10000000000000000</formula1>
    </dataValidation>
    <dataValidation type="list" allowBlank="1" showInputMessage="1" showErrorMessage="1" sqref="G40:J40" xr:uid="{00000000-0002-0000-0700-000002000000}">
      <formula1>"R1,R2"</formula1>
    </dataValidation>
  </dataValidations>
  <hyperlinks>
    <hyperlink ref="A1:C1" location="目次!A1" display="　目次　" xr:uid="{00000000-0004-0000-07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47"/>
  <sheetViews>
    <sheetView topLeftCell="A25" zoomScaleNormal="100" workbookViewId="0">
      <selection activeCell="M47" sqref="M47"/>
    </sheetView>
  </sheetViews>
  <sheetFormatPr defaultColWidth="3.875" defaultRowHeight="13.5"/>
  <cols>
    <col min="1" max="9" width="3.875" customWidth="1"/>
    <col min="10" max="11" width="3.875" style="121" customWidth="1"/>
  </cols>
  <sheetData>
    <row r="1" spans="1:51">
      <c r="A1" s="686" t="s">
        <v>61</v>
      </c>
      <c r="B1" s="686"/>
      <c r="C1" s="686"/>
      <c r="J1"/>
      <c r="K1"/>
    </row>
    <row r="2" spans="1:51" ht="21">
      <c r="B2" s="139" t="s">
        <v>173</v>
      </c>
      <c r="AH2" s="139"/>
    </row>
    <row r="3" spans="1:51" ht="21">
      <c r="AH3" s="139"/>
    </row>
    <row r="4" spans="1:51" ht="21">
      <c r="B4" s="132"/>
      <c r="C4" s="132"/>
      <c r="D4" s="132"/>
      <c r="E4" s="63" t="s">
        <v>86</v>
      </c>
      <c r="F4" s="63"/>
      <c r="G4" s="63"/>
      <c r="H4" s="63"/>
      <c r="I4" s="63"/>
      <c r="J4" s="9"/>
      <c r="K4" s="9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H4" s="139"/>
    </row>
    <row r="5" spans="1:51" ht="21">
      <c r="B5" s="167"/>
      <c r="C5" s="167"/>
      <c r="D5" s="167"/>
      <c r="E5" s="63" t="s">
        <v>174</v>
      </c>
      <c r="F5" s="63"/>
      <c r="G5" s="63"/>
      <c r="H5" s="63"/>
      <c r="I5" s="63"/>
      <c r="J5" s="9"/>
      <c r="K5" s="9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H5" s="139"/>
    </row>
    <row r="6" spans="1:51" ht="21">
      <c r="B6" s="140"/>
      <c r="C6" s="140"/>
      <c r="D6" s="140"/>
      <c r="E6" s="63" t="s">
        <v>151</v>
      </c>
      <c r="F6" s="63"/>
      <c r="G6" s="63"/>
      <c r="H6" s="63"/>
      <c r="I6" s="63"/>
      <c r="J6" s="9"/>
      <c r="K6" s="9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H6" s="139"/>
    </row>
    <row r="7" spans="1:51" ht="21">
      <c r="B7" s="133"/>
      <c r="C7" s="133"/>
      <c r="D7" s="133"/>
      <c r="E7" s="63" t="s">
        <v>63</v>
      </c>
      <c r="F7" s="63"/>
      <c r="G7" s="63"/>
      <c r="H7" s="63"/>
      <c r="I7" s="63"/>
      <c r="J7" s="9"/>
      <c r="K7" s="9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H7" s="139"/>
    </row>
    <row r="8" spans="1:51" ht="21">
      <c r="B8" s="9"/>
      <c r="C8" s="9"/>
      <c r="D8" s="9"/>
      <c r="E8" s="63"/>
      <c r="F8" s="63"/>
      <c r="AH8" s="139"/>
    </row>
    <row r="9" spans="1:51" ht="21">
      <c r="B9" s="9"/>
      <c r="C9" s="9"/>
      <c r="D9" s="9"/>
      <c r="E9" s="63"/>
      <c r="F9" s="63"/>
      <c r="AH9" s="139"/>
    </row>
    <row r="10" spans="1:51" ht="21">
      <c r="B10" s="168" t="s">
        <v>175</v>
      </c>
      <c r="Q10" s="168" t="s">
        <v>176</v>
      </c>
      <c r="AH10" s="139"/>
    </row>
    <row r="11" spans="1:51">
      <c r="AG11" s="130"/>
      <c r="AH11" s="75" t="s">
        <v>151</v>
      </c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81"/>
    </row>
    <row r="12" spans="1:51">
      <c r="B12" t="s">
        <v>153</v>
      </c>
      <c r="E12" s="720">
        <v>10000</v>
      </c>
      <c r="F12" s="720"/>
      <c r="G12" s="720"/>
      <c r="H12" s="169" t="s">
        <v>177</v>
      </c>
      <c r="I12" s="40" t="s">
        <v>91</v>
      </c>
      <c r="J12" s="121" t="s">
        <v>102</v>
      </c>
      <c r="K12" s="721">
        <f t="shared" ref="K12:K18" si="0">IF(H12="k",E12*1000,IF(H12="M",E12*1000000,E12))</f>
        <v>10000</v>
      </c>
      <c r="L12" s="721"/>
      <c r="M12" s="721"/>
      <c r="N12" s="116" t="s">
        <v>91</v>
      </c>
      <c r="Q12" t="s">
        <v>178</v>
      </c>
      <c r="T12" s="691">
        <v>12.5</v>
      </c>
      <c r="U12" s="691"/>
      <c r="V12" s="691"/>
      <c r="W12" s="169" t="s">
        <v>179</v>
      </c>
      <c r="X12" s="40" t="s">
        <v>180</v>
      </c>
      <c r="Y12" s="121" t="s">
        <v>102</v>
      </c>
      <c r="Z12" s="721">
        <f t="shared" ref="Z12:Z18" si="1">IF(W12="p",T12/1000000000000,IF(W12="u",T12/1000000,T12))</f>
        <v>1.25E-11</v>
      </c>
      <c r="AA12" s="721"/>
      <c r="AB12" s="721"/>
      <c r="AC12" s="116" t="s">
        <v>180</v>
      </c>
      <c r="AG12" s="76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82"/>
      <c r="AW12" s="63"/>
      <c r="AX12" s="63"/>
      <c r="AY12" s="63"/>
    </row>
    <row r="13" spans="1:51">
      <c r="B13" t="s">
        <v>155</v>
      </c>
      <c r="E13" s="720">
        <v>82000</v>
      </c>
      <c r="F13" s="720"/>
      <c r="G13" s="720"/>
      <c r="H13" s="169" t="s">
        <v>177</v>
      </c>
      <c r="I13" s="40" t="s">
        <v>91</v>
      </c>
      <c r="J13" s="121" t="s">
        <v>102</v>
      </c>
      <c r="K13" s="721">
        <f t="shared" si="0"/>
        <v>82000</v>
      </c>
      <c r="L13" s="721"/>
      <c r="M13" s="721"/>
      <c r="N13" s="116" t="s">
        <v>91</v>
      </c>
      <c r="Q13" t="s">
        <v>181</v>
      </c>
      <c r="T13" s="691">
        <v>50</v>
      </c>
      <c r="U13" s="691"/>
      <c r="V13" s="691"/>
      <c r="W13" s="169" t="s">
        <v>179</v>
      </c>
      <c r="X13" s="40" t="s">
        <v>180</v>
      </c>
      <c r="Y13" s="121" t="s">
        <v>102</v>
      </c>
      <c r="Z13" s="721">
        <f t="shared" si="1"/>
        <v>5.0000000000000002E-11</v>
      </c>
      <c r="AA13" s="721"/>
      <c r="AB13" s="721"/>
      <c r="AC13" s="116" t="s">
        <v>180</v>
      </c>
      <c r="AG13" s="76"/>
      <c r="AH13" s="63"/>
      <c r="AI13" s="131" t="s">
        <v>162</v>
      </c>
      <c r="AJ13" s="63"/>
      <c r="AK13" s="63"/>
      <c r="AL13" s="63"/>
      <c r="AM13" s="63" t="s">
        <v>163</v>
      </c>
      <c r="AN13" s="63"/>
      <c r="AO13" s="63"/>
      <c r="AP13" s="63"/>
      <c r="AQ13" s="63"/>
      <c r="AR13" s="63"/>
      <c r="AS13" s="63"/>
      <c r="AT13" s="63"/>
      <c r="AU13" s="63"/>
      <c r="AV13" s="82"/>
      <c r="AW13" s="63"/>
      <c r="AX13" s="63"/>
      <c r="AY13" s="63"/>
    </row>
    <row r="14" spans="1:51">
      <c r="B14" t="s">
        <v>156</v>
      </c>
      <c r="E14" s="692">
        <f>IF((K12*K13/(K13+K12))&gt;1000000,(K12*K13/(K13+K12))/1000000,IF((K12*K13/(K13+K12))&gt;1000,(K12*K13/(K13+K12))/1000,(K12*K13/(K13+K12))))</f>
        <v>8.9130434782608692</v>
      </c>
      <c r="F14" s="692"/>
      <c r="G14" s="692"/>
      <c r="H14" s="42" t="str">
        <f>IF((K12*K13/(K13+K12))&gt;1000000,"M",IF((K12*K13/(K13+K12))&gt;1000,"k",""))</f>
        <v>k</v>
      </c>
      <c r="I14" s="42" t="s">
        <v>91</v>
      </c>
      <c r="Q14" t="s">
        <v>182</v>
      </c>
      <c r="T14" s="692">
        <f>IF((Z12*Z13/(Z13+Z12))&lt;1/1000000000,(Z12*Z13/(Z13+Z12))*1000000000000,IF((Z12*Z13/(Z13+Z12))&lt;1/1000,(Z12*Z13/(Z13+Z12))*1000000,(Z12*Z13/(Z13+Z12))))</f>
        <v>10.000000000000002</v>
      </c>
      <c r="U14" s="692"/>
      <c r="V14" s="692"/>
      <c r="W14" s="42" t="str">
        <f>IF((Z12*Z13/(Z13+Z12))&lt;1/1000000000,"p",IF((Z12*Z13/(Z13+Z12))&lt;1/1000,"u",""))</f>
        <v>p</v>
      </c>
      <c r="X14" s="42" t="s">
        <v>180</v>
      </c>
      <c r="Y14" s="121"/>
      <c r="Z14" s="121"/>
      <c r="AG14" s="76"/>
      <c r="AH14" s="63"/>
      <c r="AI14" s="63" t="s">
        <v>90</v>
      </c>
      <c r="AJ14" s="63"/>
      <c r="AK14" s="732">
        <v>1</v>
      </c>
      <c r="AL14" s="732"/>
      <c r="AM14" s="173" t="s">
        <v>154</v>
      </c>
      <c r="AN14" s="9" t="s">
        <v>91</v>
      </c>
      <c r="AO14" s="9" t="s">
        <v>102</v>
      </c>
      <c r="AP14" s="731">
        <f>(IF(AM14="k",AK14*1000,IF(AM14="M",AK14*1000000,AK14)))</f>
        <v>1000</v>
      </c>
      <c r="AQ14" s="731"/>
      <c r="AR14" s="731"/>
      <c r="AS14" s="731"/>
      <c r="AT14" s="140" t="s">
        <v>91</v>
      </c>
      <c r="AU14" s="63"/>
      <c r="AV14" s="82"/>
      <c r="AW14" s="63"/>
      <c r="AX14" s="63"/>
      <c r="AY14" s="63"/>
    </row>
    <row r="15" spans="1:51">
      <c r="E15" s="170"/>
      <c r="F15" s="170"/>
      <c r="G15" s="170"/>
      <c r="T15" s="170"/>
      <c r="U15" s="170"/>
      <c r="V15" s="170"/>
      <c r="Y15" s="121"/>
      <c r="Z15" s="121"/>
      <c r="AG15" s="76"/>
      <c r="AH15" s="63"/>
      <c r="AI15" s="63" t="s">
        <v>70</v>
      </c>
      <c r="AJ15" s="63"/>
      <c r="AK15" s="732">
        <v>2</v>
      </c>
      <c r="AL15" s="732"/>
      <c r="AM15" s="732"/>
      <c r="AN15" s="63" t="s">
        <v>65</v>
      </c>
      <c r="AO15" s="63"/>
      <c r="AP15" s="63"/>
      <c r="AQ15" s="63"/>
      <c r="AR15" s="63"/>
      <c r="AS15" s="63"/>
      <c r="AT15" s="63"/>
      <c r="AU15" s="63"/>
      <c r="AV15" s="82"/>
      <c r="AW15" s="63"/>
      <c r="AX15" s="63"/>
      <c r="AY15" s="63"/>
    </row>
    <row r="16" spans="1:51">
      <c r="Y16" s="121"/>
      <c r="Z16" s="121"/>
      <c r="AG16" s="76"/>
      <c r="AH16" s="63"/>
      <c r="AI16" s="63" t="s">
        <v>87</v>
      </c>
      <c r="AJ16" s="63"/>
      <c r="AK16" s="733">
        <f>IF(AK15/AP14&lt;0.001,AK15/AP14*1000000,IF(AK15/AP14&lt;1,AK15/AP14*1000,AK15/AP14))</f>
        <v>2</v>
      </c>
      <c r="AL16" s="733"/>
      <c r="AM16" s="733"/>
      <c r="AN16" s="166" t="str">
        <f>IF(AK15/AP14&lt;0.001,"u",IF(AK15/AP14&lt;=1,"m",""))</f>
        <v>m</v>
      </c>
      <c r="AO16" s="166" t="s">
        <v>92</v>
      </c>
      <c r="AP16" s="63"/>
      <c r="AQ16" s="63"/>
      <c r="AR16" s="63"/>
      <c r="AS16" s="63"/>
      <c r="AT16" s="63"/>
      <c r="AU16" s="63"/>
      <c r="AV16" s="82"/>
      <c r="AW16" s="63"/>
      <c r="AX16" s="63"/>
      <c r="AY16" s="63"/>
    </row>
    <row r="17" spans="2:52">
      <c r="B17" t="s">
        <v>156</v>
      </c>
      <c r="E17" s="691">
        <v>14</v>
      </c>
      <c r="F17" s="691"/>
      <c r="G17" s="691"/>
      <c r="H17" s="169" t="s">
        <v>154</v>
      </c>
      <c r="I17" s="40" t="s">
        <v>91</v>
      </c>
      <c r="J17" s="121" t="s">
        <v>102</v>
      </c>
      <c r="K17" s="721">
        <f t="shared" si="0"/>
        <v>14000</v>
      </c>
      <c r="L17" s="721"/>
      <c r="M17" s="721"/>
      <c r="N17" s="116" t="s">
        <v>91</v>
      </c>
      <c r="Q17" t="s">
        <v>182</v>
      </c>
      <c r="T17" s="691">
        <v>10</v>
      </c>
      <c r="U17" s="691"/>
      <c r="V17" s="691"/>
      <c r="W17" s="169" t="s">
        <v>179</v>
      </c>
      <c r="X17" s="40" t="s">
        <v>180</v>
      </c>
      <c r="Y17" s="121" t="s">
        <v>102</v>
      </c>
      <c r="Z17" s="721">
        <f t="shared" si="1"/>
        <v>9.9999999999999994E-12</v>
      </c>
      <c r="AA17" s="721"/>
      <c r="AB17" s="721"/>
      <c r="AC17" s="116" t="s">
        <v>180</v>
      </c>
      <c r="AG17" s="76"/>
      <c r="AH17" s="63"/>
      <c r="AI17" s="9"/>
      <c r="AJ17" s="9"/>
      <c r="AK17" s="9"/>
      <c r="AL17" s="702"/>
      <c r="AM17" s="702"/>
      <c r="AN17" s="702"/>
      <c r="AO17" s="9"/>
      <c r="AP17" s="9"/>
      <c r="AQ17" s="9"/>
      <c r="AR17" s="9"/>
      <c r="AS17" s="63"/>
      <c r="AT17" s="63"/>
      <c r="AU17" s="63"/>
      <c r="AV17" s="82"/>
      <c r="AW17" s="63"/>
      <c r="AX17" s="63"/>
      <c r="AY17" s="63"/>
    </row>
    <row r="18" spans="2:52">
      <c r="B18" t="s">
        <v>153</v>
      </c>
      <c r="E18" s="691">
        <v>33</v>
      </c>
      <c r="F18" s="691"/>
      <c r="G18" s="691"/>
      <c r="H18" s="169" t="s">
        <v>154</v>
      </c>
      <c r="I18" s="40" t="s">
        <v>91</v>
      </c>
      <c r="J18" s="121" t="s">
        <v>102</v>
      </c>
      <c r="K18" s="721">
        <f t="shared" si="0"/>
        <v>33000</v>
      </c>
      <c r="L18" s="721"/>
      <c r="M18" s="721"/>
      <c r="N18" s="116" t="s">
        <v>91</v>
      </c>
      <c r="Q18" t="s">
        <v>178</v>
      </c>
      <c r="T18" s="691">
        <v>50</v>
      </c>
      <c r="U18" s="691"/>
      <c r="V18" s="691"/>
      <c r="W18" s="169" t="s">
        <v>179</v>
      </c>
      <c r="X18" s="40" t="s">
        <v>180</v>
      </c>
      <c r="Y18" s="121" t="s">
        <v>102</v>
      </c>
      <c r="Z18" s="721">
        <f t="shared" si="1"/>
        <v>5.0000000000000002E-11</v>
      </c>
      <c r="AA18" s="721"/>
      <c r="AB18" s="721"/>
      <c r="AC18" s="116" t="s">
        <v>180</v>
      </c>
      <c r="AG18" s="77"/>
      <c r="AH18" s="78"/>
      <c r="AI18" s="174"/>
      <c r="AJ18" s="174"/>
      <c r="AK18" s="174"/>
      <c r="AL18" s="174"/>
      <c r="AM18" s="174"/>
      <c r="AN18" s="174"/>
      <c r="AO18" s="174"/>
      <c r="AP18" s="174"/>
      <c r="AQ18" s="174"/>
      <c r="AR18" s="174"/>
      <c r="AS18" s="174"/>
      <c r="AT18" s="78"/>
      <c r="AU18" s="78"/>
      <c r="AV18" s="83"/>
      <c r="AW18" s="63"/>
      <c r="AX18" s="63"/>
      <c r="AY18" s="63"/>
    </row>
    <row r="19" spans="2:52">
      <c r="B19" t="s">
        <v>155</v>
      </c>
      <c r="E19" s="692">
        <f>IF((K18*K17/(K18-K17))&gt;1000000,(K18*K17/(K18-K17))/1000000,IF((K18*K17/(K18-K17))&gt;1000,(K18*K17/(K18-K17))/1000,(K18*K17/(K18-K17))))</f>
        <v>24.315789473684209</v>
      </c>
      <c r="F19" s="692"/>
      <c r="G19" s="692"/>
      <c r="H19" s="42" t="str">
        <f>IF((K18*K17/(K18-K17))&gt;1000000,"M",IF((K18*K17/(K18-K17))&gt;1000,"k",""))</f>
        <v>k</v>
      </c>
      <c r="I19" s="42" t="s">
        <v>91</v>
      </c>
      <c r="Q19" t="s">
        <v>181</v>
      </c>
      <c r="T19" s="692">
        <f>IF((Z18*Z17/(Z18-Z17))*1/1000000000,(Z18*Z17/(Z18-Z17))*1000000000000,IF((Z18*Z17/(Z18-Z17))&lt;1/1000,(Z18*Z17/(Z18-Z17))/1000000,(Z18*Z17/(Z18-Z17))))</f>
        <v>12.499999999999996</v>
      </c>
      <c r="U19" s="692"/>
      <c r="V19" s="692"/>
      <c r="W19" s="42" t="str">
        <f>IF((Z18*Z17/(Z18-Z17))&lt;1/1000000000,"p",IF((Z18*Z17/(Z18-Z17))&lt;1/1000,"u",""))</f>
        <v>p</v>
      </c>
      <c r="X19" s="42" t="s">
        <v>180</v>
      </c>
      <c r="Y19" s="121"/>
      <c r="Z19" s="121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</row>
    <row r="22" spans="2:52" s="39" customFormat="1"/>
    <row r="23" spans="2:52" s="39" customFormat="1"/>
    <row r="24" spans="2:52" s="121" customFormat="1"/>
    <row r="25" spans="2:52">
      <c r="B25" s="168" t="s">
        <v>183</v>
      </c>
      <c r="J25"/>
      <c r="K25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</row>
    <row r="26" spans="2:52">
      <c r="B26" s="132"/>
      <c r="C26" s="132" t="s">
        <v>86</v>
      </c>
      <c r="D26" s="132"/>
      <c r="E26" s="63"/>
      <c r="F26" s="63"/>
      <c r="G26" s="63"/>
      <c r="H26" s="63"/>
      <c r="I26" s="63"/>
      <c r="J26" s="9"/>
      <c r="K26" s="9"/>
      <c r="L26" s="63"/>
      <c r="M26" s="63"/>
      <c r="N26" s="63"/>
      <c r="O26" s="9"/>
      <c r="P26" s="9"/>
      <c r="Q26" s="63"/>
      <c r="R26" s="63"/>
      <c r="S26" s="63"/>
      <c r="T26" s="9"/>
      <c r="U26" s="9"/>
      <c r="V26" s="63"/>
      <c r="W26" s="63"/>
      <c r="X26" s="63"/>
      <c r="Y26" s="9"/>
      <c r="Z26" s="9"/>
      <c r="AA26" s="63"/>
      <c r="AB26" s="63"/>
      <c r="AC26" s="63"/>
      <c r="AD26" s="63"/>
      <c r="AE26" s="63"/>
      <c r="AF26" s="63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</row>
    <row r="27" spans="2:52">
      <c r="B27" s="743" t="s">
        <v>184</v>
      </c>
      <c r="C27" s="743"/>
      <c r="D27" s="743"/>
      <c r="E27" s="63"/>
      <c r="F27" s="63"/>
      <c r="G27" s="63"/>
      <c r="H27" s="63"/>
      <c r="I27" s="63"/>
      <c r="J27" s="9"/>
      <c r="K27" s="9"/>
      <c r="L27" s="63"/>
      <c r="M27" s="63"/>
      <c r="N27" s="63"/>
      <c r="O27" s="9"/>
      <c r="P27" s="9"/>
      <c r="Q27" s="63"/>
      <c r="R27" s="63"/>
      <c r="S27" s="63"/>
      <c r="T27" s="9"/>
      <c r="U27" s="9"/>
      <c r="V27" s="63"/>
      <c r="W27" s="63"/>
      <c r="X27" s="63"/>
      <c r="Y27" s="9"/>
      <c r="Z27" s="9"/>
      <c r="AA27" s="63"/>
      <c r="AB27" s="63"/>
      <c r="AC27" s="63"/>
      <c r="AD27" s="63"/>
      <c r="AE27" s="63"/>
      <c r="AF27" s="63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</row>
    <row r="28" spans="2:52">
      <c r="B28" s="133"/>
      <c r="C28" s="133" t="s">
        <v>63</v>
      </c>
      <c r="D28" s="133"/>
      <c r="E28" s="63"/>
      <c r="F28" s="63"/>
      <c r="G28" s="63"/>
      <c r="H28" s="63"/>
      <c r="I28" s="63"/>
      <c r="J28" s="9"/>
      <c r="K28" s="9"/>
      <c r="L28" s="63"/>
      <c r="M28" s="63"/>
      <c r="N28" s="63"/>
      <c r="O28" s="9"/>
      <c r="P28" s="9"/>
      <c r="Q28" s="63"/>
      <c r="R28" s="63"/>
      <c r="S28" s="63"/>
      <c r="T28" s="9"/>
      <c r="U28" s="9"/>
      <c r="V28" s="63"/>
      <c r="W28" s="63"/>
      <c r="X28" s="63"/>
      <c r="Y28" s="9"/>
      <c r="Z28" s="9"/>
      <c r="AA28" s="63"/>
      <c r="AB28" s="63"/>
      <c r="AC28" s="63"/>
      <c r="AD28" s="63"/>
      <c r="AE28" s="63"/>
      <c r="AF28" s="63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</row>
    <row r="29" spans="2:52">
      <c r="B29" s="9"/>
      <c r="C29" s="9"/>
      <c r="D29" s="9"/>
      <c r="E29" s="63"/>
      <c r="F29" s="63"/>
      <c r="G29" s="63"/>
      <c r="H29" s="63"/>
      <c r="I29" s="63"/>
      <c r="J29" s="9"/>
      <c r="K29" s="9"/>
      <c r="L29" s="63"/>
      <c r="M29" s="63"/>
      <c r="N29" s="63"/>
      <c r="O29" s="9"/>
      <c r="P29" s="9"/>
      <c r="Q29" s="63"/>
      <c r="R29" s="63"/>
      <c r="S29" s="63"/>
      <c r="T29" s="9"/>
      <c r="U29" s="9"/>
      <c r="V29" s="63"/>
      <c r="W29" s="63"/>
      <c r="X29" s="63"/>
      <c r="Y29" s="9"/>
      <c r="Z29" s="9"/>
      <c r="AA29" s="63"/>
      <c r="AB29" s="63"/>
      <c r="AC29" s="63"/>
      <c r="AD29" s="63"/>
      <c r="AE29" s="63"/>
      <c r="AF29" s="63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</row>
    <row r="30" spans="2:52">
      <c r="D30" s="738" t="s">
        <v>185</v>
      </c>
      <c r="E30" s="738"/>
      <c r="F30" s="738"/>
      <c r="G30" s="738"/>
      <c r="I30" s="738" t="s">
        <v>169</v>
      </c>
      <c r="J30" s="738"/>
      <c r="K30" s="738"/>
      <c r="L30" s="738"/>
      <c r="N30" s="738" t="s">
        <v>186</v>
      </c>
      <c r="O30" s="738"/>
      <c r="P30" s="738"/>
      <c r="Q30" s="738"/>
      <c r="S30" s="738" t="s">
        <v>187</v>
      </c>
      <c r="T30" s="738"/>
      <c r="U30" s="738"/>
      <c r="V30" s="738"/>
      <c r="X30" s="738" t="s">
        <v>188</v>
      </c>
      <c r="Y30" s="738"/>
      <c r="Z30" s="738"/>
      <c r="AA30" s="738"/>
      <c r="AC30" s="738" t="s">
        <v>189</v>
      </c>
      <c r="AD30" s="738"/>
      <c r="AE30" s="738"/>
      <c r="AF30" s="738"/>
      <c r="AH30" s="738" t="s">
        <v>190</v>
      </c>
      <c r="AI30" s="738"/>
      <c r="AJ30" s="738"/>
      <c r="AK30" s="738"/>
      <c r="AM30" s="738" t="s">
        <v>191</v>
      </c>
      <c r="AN30" s="738"/>
      <c r="AO30" s="738"/>
      <c r="AP30" s="738"/>
      <c r="AR30" s="738" t="s">
        <v>192</v>
      </c>
      <c r="AS30" s="738"/>
      <c r="AT30" s="738"/>
      <c r="AU30" s="738"/>
      <c r="AW30" s="738" t="s">
        <v>193</v>
      </c>
      <c r="AX30" s="738"/>
      <c r="AY30" s="738"/>
      <c r="AZ30" s="738"/>
    </row>
    <row r="31" spans="2:52">
      <c r="B31" s="738" t="s">
        <v>172</v>
      </c>
      <c r="C31" s="738"/>
      <c r="D31" s="691">
        <v>100</v>
      </c>
      <c r="E31" s="691"/>
      <c r="F31" s="691"/>
      <c r="G31" t="s">
        <v>91</v>
      </c>
      <c r="I31" s="691">
        <v>100</v>
      </c>
      <c r="J31" s="691"/>
      <c r="K31" s="691"/>
      <c r="L31" t="s">
        <v>91</v>
      </c>
      <c r="N31" s="691">
        <v>100</v>
      </c>
      <c r="O31" s="691"/>
      <c r="P31" s="691"/>
      <c r="Q31" t="s">
        <v>91</v>
      </c>
      <c r="S31" s="691"/>
      <c r="T31" s="691"/>
      <c r="U31" s="691"/>
      <c r="V31" t="s">
        <v>91</v>
      </c>
      <c r="X31" s="691"/>
      <c r="Y31" s="691"/>
      <c r="Z31" s="691"/>
      <c r="AA31" t="s">
        <v>91</v>
      </c>
      <c r="AC31" s="691">
        <v>470</v>
      </c>
      <c r="AD31" s="691"/>
      <c r="AE31" s="691"/>
      <c r="AF31" t="s">
        <v>91</v>
      </c>
      <c r="AH31" s="691">
        <v>470</v>
      </c>
      <c r="AI31" s="691"/>
      <c r="AJ31" s="691"/>
      <c r="AK31" t="s">
        <v>91</v>
      </c>
      <c r="AM31" s="691">
        <v>470</v>
      </c>
      <c r="AN31" s="691"/>
      <c r="AO31" s="691"/>
      <c r="AP31" t="s">
        <v>91</v>
      </c>
      <c r="AR31" s="691">
        <v>470</v>
      </c>
      <c r="AS31" s="691"/>
      <c r="AT31" s="691"/>
      <c r="AU31" t="s">
        <v>91</v>
      </c>
      <c r="AW31" s="691"/>
      <c r="AX31" s="691"/>
      <c r="AY31" s="691"/>
      <c r="AZ31" t="s">
        <v>91</v>
      </c>
    </row>
    <row r="32" spans="2:52">
      <c r="B32" s="738" t="s">
        <v>194</v>
      </c>
      <c r="C32" s="738"/>
      <c r="D32" s="742">
        <f>IF(D31="",0,(1/D31))</f>
        <v>0.01</v>
      </c>
      <c r="E32" s="742"/>
      <c r="F32" s="742"/>
      <c r="G32" s="742"/>
      <c r="I32" s="742">
        <f>IF(I31="",0,(1/I31))</f>
        <v>0.01</v>
      </c>
      <c r="J32" s="742"/>
      <c r="K32" s="742"/>
      <c r="L32" s="742"/>
      <c r="N32" s="742">
        <f>IF(N31="",0,(1/N31))</f>
        <v>0.01</v>
      </c>
      <c r="O32" s="742"/>
      <c r="P32" s="742"/>
      <c r="Q32" s="742"/>
      <c r="S32" s="742">
        <f>IF(S31="",0,(1/S31))</f>
        <v>0</v>
      </c>
      <c r="T32" s="742"/>
      <c r="U32" s="742"/>
      <c r="V32" s="742"/>
      <c r="X32" s="742">
        <f>IF(X31="",0,(1/X31))</f>
        <v>0</v>
      </c>
      <c r="Y32" s="742"/>
      <c r="Z32" s="742"/>
      <c r="AA32" s="742"/>
      <c r="AC32" s="742">
        <f>IF(AC31="",0,(1/AC31))</f>
        <v>2.1276595744680851E-3</v>
      </c>
      <c r="AD32" s="742"/>
      <c r="AE32" s="742"/>
      <c r="AF32" s="742"/>
      <c r="AH32" s="742">
        <f>IF(AH31="",0,(1/AH31))</f>
        <v>2.1276595744680851E-3</v>
      </c>
      <c r="AI32" s="742"/>
      <c r="AJ32" s="742"/>
      <c r="AK32" s="742"/>
      <c r="AM32" s="742">
        <f>IF(AM31="",0,(1/AM31))</f>
        <v>2.1276595744680851E-3</v>
      </c>
      <c r="AN32" s="742"/>
      <c r="AO32" s="742"/>
      <c r="AP32" s="742"/>
      <c r="AR32" s="742">
        <f>IF(AR31="",0,(1/AR31))</f>
        <v>2.1276595744680851E-3</v>
      </c>
      <c r="AS32" s="742"/>
      <c r="AT32" s="742"/>
      <c r="AU32" s="742"/>
      <c r="AW32" s="742">
        <f>IF(AW31="",0,(1/(IF(AY31="M",AW31*1000000,IF(AY31="k",AW31*1000,AW31)))))</f>
        <v>0</v>
      </c>
      <c r="AX32" s="742"/>
      <c r="AY32" s="742"/>
      <c r="AZ32" s="742"/>
    </row>
    <row r="33" spans="2:27">
      <c r="J33"/>
      <c r="K33"/>
    </row>
    <row r="34" spans="2:27">
      <c r="B34" s="744" t="s">
        <v>156</v>
      </c>
      <c r="C34" s="744"/>
      <c r="D34" s="737">
        <f>1/(D32+I32+N32+S32+X32+AC32+AH32+AM32+AR32+AW32+I36+N36+S36)</f>
        <v>25.966850828729275</v>
      </c>
      <c r="E34" s="737"/>
      <c r="F34" s="737"/>
      <c r="G34" s="171" t="s">
        <v>91</v>
      </c>
      <c r="I34" s="738" t="s">
        <v>195</v>
      </c>
      <c r="J34" s="738"/>
      <c r="K34" s="738"/>
      <c r="L34" s="738"/>
      <c r="N34" s="738" t="s">
        <v>196</v>
      </c>
      <c r="O34" s="738"/>
      <c r="P34" s="738"/>
      <c r="Q34" s="738"/>
      <c r="S34" s="738" t="s">
        <v>197</v>
      </c>
      <c r="T34" s="738"/>
      <c r="U34" s="738"/>
      <c r="V34" s="738"/>
    </row>
    <row r="35" spans="2:27">
      <c r="I35" s="691"/>
      <c r="J35" s="691"/>
      <c r="K35" s="691"/>
      <c r="L35" t="s">
        <v>91</v>
      </c>
      <c r="N35" s="691"/>
      <c r="O35" s="691"/>
      <c r="P35" s="691"/>
      <c r="Q35" t="s">
        <v>91</v>
      </c>
      <c r="S35" s="691"/>
      <c r="T35" s="691"/>
      <c r="U35" s="691"/>
      <c r="V35" t="s">
        <v>91</v>
      </c>
    </row>
    <row r="36" spans="2:27">
      <c r="I36" s="742">
        <f>IF(I35="",0,(1/I35))</f>
        <v>0</v>
      </c>
      <c r="J36" s="742"/>
      <c r="K36" s="742"/>
      <c r="L36" s="742"/>
      <c r="N36" s="742">
        <f>IF(N35="",0,(1/N35))</f>
        <v>0</v>
      </c>
      <c r="O36" s="742"/>
      <c r="P36" s="742"/>
      <c r="Q36" s="742"/>
      <c r="S36" s="742">
        <f>IF(S35="",0,(1/S35))</f>
        <v>0</v>
      </c>
      <c r="T36" s="742"/>
      <c r="U36" s="742"/>
      <c r="V36" s="742"/>
    </row>
    <row r="37" spans="2:27">
      <c r="J37"/>
      <c r="K37"/>
    </row>
    <row r="38" spans="2:27">
      <c r="C38" s="10"/>
      <c r="D38" s="10"/>
      <c r="E38" s="10"/>
      <c r="F38" s="10"/>
      <c r="I38" s="10"/>
      <c r="J38" s="10"/>
      <c r="K38" s="10"/>
      <c r="N38" s="10"/>
      <c r="O38" s="10"/>
      <c r="P38" s="10"/>
      <c r="S38" s="10"/>
      <c r="T38" s="10"/>
      <c r="U38" s="10"/>
      <c r="X38" s="10"/>
      <c r="Y38" s="10"/>
      <c r="Z38" s="10"/>
    </row>
    <row r="39" spans="2:27">
      <c r="B39" s="168" t="s">
        <v>198</v>
      </c>
      <c r="J39"/>
      <c r="K39"/>
    </row>
    <row r="40" spans="2:27">
      <c r="D40" s="738" t="s">
        <v>199</v>
      </c>
      <c r="E40" s="738"/>
      <c r="F40" s="738"/>
      <c r="G40" s="738"/>
      <c r="I40" s="738" t="s">
        <v>200</v>
      </c>
      <c r="J40" s="738"/>
      <c r="K40" s="738"/>
      <c r="L40" s="738"/>
      <c r="N40" s="738" t="s">
        <v>201</v>
      </c>
      <c r="O40" s="738"/>
      <c r="P40" s="738"/>
      <c r="Q40" s="738"/>
      <c r="S40" s="738" t="s">
        <v>202</v>
      </c>
      <c r="T40" s="738"/>
      <c r="U40" s="738"/>
      <c r="V40" s="738"/>
      <c r="X40" s="738" t="s">
        <v>203</v>
      </c>
      <c r="Y40" s="738"/>
      <c r="Z40" s="738"/>
      <c r="AA40" s="738"/>
    </row>
    <row r="41" spans="2:27">
      <c r="B41" s="739" t="s">
        <v>1349</v>
      </c>
      <c r="C41" s="738"/>
      <c r="D41" s="691">
        <v>1000</v>
      </c>
      <c r="E41" s="691"/>
      <c r="F41" s="691"/>
      <c r="G41" s="477" t="s">
        <v>1348</v>
      </c>
      <c r="I41" s="691">
        <v>1000</v>
      </c>
      <c r="J41" s="691"/>
      <c r="K41" s="691"/>
      <c r="L41" s="477" t="s">
        <v>1348</v>
      </c>
      <c r="N41" s="691">
        <v>1000</v>
      </c>
      <c r="O41" s="691"/>
      <c r="P41" s="691"/>
      <c r="Q41" s="477" t="s">
        <v>1348</v>
      </c>
      <c r="S41" s="691">
        <v>1000</v>
      </c>
      <c r="T41" s="691"/>
      <c r="U41" s="691"/>
      <c r="V41" s="477" t="s">
        <v>1348</v>
      </c>
      <c r="X41" s="691"/>
      <c r="Y41" s="691"/>
      <c r="Z41" s="691"/>
      <c r="AA41" s="477" t="s">
        <v>1348</v>
      </c>
    </row>
    <row r="42" spans="2:27" s="474" customFormat="1">
      <c r="B42" s="739"/>
      <c r="C42" s="738"/>
      <c r="D42" s="742">
        <f>D41/1000000</f>
        <v>1E-3</v>
      </c>
      <c r="E42" s="742"/>
      <c r="F42" s="742"/>
      <c r="G42" s="482" t="s">
        <v>1352</v>
      </c>
      <c r="I42" s="742">
        <f>I41/1000000</f>
        <v>1E-3</v>
      </c>
      <c r="J42" s="742"/>
      <c r="K42" s="742"/>
      <c r="L42" s="482" t="s">
        <v>1352</v>
      </c>
      <c r="N42" s="742">
        <f>N41/1000000</f>
        <v>1E-3</v>
      </c>
      <c r="O42" s="742"/>
      <c r="P42" s="742"/>
      <c r="Q42" s="482" t="s">
        <v>1352</v>
      </c>
      <c r="S42" s="742">
        <f>S41/1000000</f>
        <v>1E-3</v>
      </c>
      <c r="T42" s="742"/>
      <c r="U42" s="742"/>
      <c r="V42" s="482" t="s">
        <v>1352</v>
      </c>
      <c r="X42" s="742">
        <f>X41/1000000</f>
        <v>0</v>
      </c>
      <c r="Y42" s="742"/>
      <c r="Z42" s="742"/>
      <c r="AA42" s="482" t="s">
        <v>1352</v>
      </c>
    </row>
    <row r="43" spans="2:27">
      <c r="B43" s="739" t="s">
        <v>1350</v>
      </c>
      <c r="C43" s="738"/>
      <c r="D43" s="742">
        <f>1/D41</f>
        <v>1E-3</v>
      </c>
      <c r="E43" s="742"/>
      <c r="F43" s="742"/>
      <c r="G43" s="742"/>
      <c r="I43" s="742">
        <f>1/I41</f>
        <v>1E-3</v>
      </c>
      <c r="J43" s="742"/>
      <c r="K43" s="742"/>
      <c r="L43" s="742"/>
      <c r="N43" s="742">
        <f>IF(N41="",1/1E+22,(1/(IF(P41="p",N41/1000000000000,IF(P41="u",N41/1000000,N41)))))</f>
        <v>1E-3</v>
      </c>
      <c r="O43" s="742"/>
      <c r="P43" s="742"/>
      <c r="Q43" s="742"/>
      <c r="S43" s="742">
        <f>IF(S41="",1/1E+22,(1/(IF(U41="p",S41/1000000000000,IF(U41="u",S41/1000000,S41)))))</f>
        <v>1E-3</v>
      </c>
      <c r="T43" s="742"/>
      <c r="U43" s="742"/>
      <c r="V43" s="742"/>
      <c r="X43" s="742">
        <f>IF(X41="",0,(1/(IF(Z41="M",X41*1000000,IF(Z41="k",X41*1000,X41)))))</f>
        <v>0</v>
      </c>
      <c r="Y43" s="742"/>
      <c r="Z43" s="742"/>
      <c r="AA43" s="742"/>
    </row>
    <row r="44" spans="2:27">
      <c r="J44"/>
      <c r="K44"/>
    </row>
    <row r="45" spans="2:27">
      <c r="B45" s="740" t="s">
        <v>1351</v>
      </c>
      <c r="C45" s="741"/>
      <c r="D45" s="737">
        <f>1/(D43+I43+N43+S43+X43)</f>
        <v>250</v>
      </c>
      <c r="E45" s="737"/>
      <c r="F45" s="737"/>
      <c r="G45" s="171" t="s">
        <v>1348</v>
      </c>
      <c r="J45"/>
      <c r="K45"/>
    </row>
    <row r="46" spans="2:27">
      <c r="D46" s="737">
        <f>D45/1000000</f>
        <v>2.5000000000000001E-4</v>
      </c>
      <c r="E46" s="737"/>
      <c r="F46" s="737"/>
      <c r="G46" s="171" t="s">
        <v>1352</v>
      </c>
      <c r="J46"/>
      <c r="K46"/>
    </row>
    <row r="47" spans="2:27">
      <c r="D47" s="738"/>
      <c r="E47" s="738"/>
      <c r="J47"/>
      <c r="K47"/>
    </row>
  </sheetData>
  <mergeCells count="97">
    <mergeCell ref="N43:Q43"/>
    <mergeCell ref="S43:V43"/>
    <mergeCell ref="X43:AA43"/>
    <mergeCell ref="B41:C41"/>
    <mergeCell ref="D41:F41"/>
    <mergeCell ref="N41:P41"/>
    <mergeCell ref="S41:U41"/>
    <mergeCell ref="X41:Z41"/>
    <mergeCell ref="N42:P42"/>
    <mergeCell ref="S42:U42"/>
    <mergeCell ref="X42:Z42"/>
    <mergeCell ref="D40:G40"/>
    <mergeCell ref="I40:L40"/>
    <mergeCell ref="N40:Q40"/>
    <mergeCell ref="S40:V40"/>
    <mergeCell ref="X40:AA40"/>
    <mergeCell ref="I35:K35"/>
    <mergeCell ref="N35:P35"/>
    <mergeCell ref="S35:U35"/>
    <mergeCell ref="I36:L36"/>
    <mergeCell ref="N36:Q36"/>
    <mergeCell ref="S36:V36"/>
    <mergeCell ref="AW32:AZ32"/>
    <mergeCell ref="B34:C34"/>
    <mergeCell ref="D34:F34"/>
    <mergeCell ref="I34:L34"/>
    <mergeCell ref="N34:Q34"/>
    <mergeCell ref="S34:V34"/>
    <mergeCell ref="X32:AA32"/>
    <mergeCell ref="AC32:AF32"/>
    <mergeCell ref="AH32:AK32"/>
    <mergeCell ref="AM32:AP32"/>
    <mergeCell ref="AR32:AU32"/>
    <mergeCell ref="B32:C32"/>
    <mergeCell ref="D32:G32"/>
    <mergeCell ref="I32:L32"/>
    <mergeCell ref="N32:Q32"/>
    <mergeCell ref="S32:V32"/>
    <mergeCell ref="AW30:AZ30"/>
    <mergeCell ref="B31:C31"/>
    <mergeCell ref="D31:F31"/>
    <mergeCell ref="I31:K31"/>
    <mergeCell ref="N31:P31"/>
    <mergeCell ref="S31:U31"/>
    <mergeCell ref="X31:Z31"/>
    <mergeCell ref="AC31:AE31"/>
    <mergeCell ref="AH31:AJ31"/>
    <mergeCell ref="AM31:AO31"/>
    <mergeCell ref="AR31:AT31"/>
    <mergeCell ref="AW31:AY31"/>
    <mergeCell ref="X30:AA30"/>
    <mergeCell ref="AC30:AF30"/>
    <mergeCell ref="AH30:AK30"/>
    <mergeCell ref="AM30:AP30"/>
    <mergeCell ref="B27:D27"/>
    <mergeCell ref="D30:G30"/>
    <mergeCell ref="I30:L30"/>
    <mergeCell ref="N30:Q30"/>
    <mergeCell ref="S30:V30"/>
    <mergeCell ref="T18:V18"/>
    <mergeCell ref="Z18:AB18"/>
    <mergeCell ref="E19:G19"/>
    <mergeCell ref="T19:V19"/>
    <mergeCell ref="AR30:AU30"/>
    <mergeCell ref="E18:G18"/>
    <mergeCell ref="K18:M18"/>
    <mergeCell ref="AK14:AL14"/>
    <mergeCell ref="AP14:AS14"/>
    <mergeCell ref="AK15:AM15"/>
    <mergeCell ref="AK16:AM16"/>
    <mergeCell ref="E17:G17"/>
    <mergeCell ref="K17:M17"/>
    <mergeCell ref="T17:V17"/>
    <mergeCell ref="Z17:AB17"/>
    <mergeCell ref="AL17:AN17"/>
    <mergeCell ref="A1:C1"/>
    <mergeCell ref="E12:G12"/>
    <mergeCell ref="K12:M12"/>
    <mergeCell ref="T12:V12"/>
    <mergeCell ref="Z12:AB12"/>
    <mergeCell ref="E13:G13"/>
    <mergeCell ref="K13:M13"/>
    <mergeCell ref="T13:V13"/>
    <mergeCell ref="Z13:AB13"/>
    <mergeCell ref="E14:G14"/>
    <mergeCell ref="T14:V14"/>
    <mergeCell ref="D45:F45"/>
    <mergeCell ref="D47:E47"/>
    <mergeCell ref="B42:C42"/>
    <mergeCell ref="D46:F46"/>
    <mergeCell ref="I41:K41"/>
    <mergeCell ref="B45:C45"/>
    <mergeCell ref="B43:C43"/>
    <mergeCell ref="D43:G43"/>
    <mergeCell ref="I43:L43"/>
    <mergeCell ref="D42:F42"/>
    <mergeCell ref="I42:K42"/>
  </mergeCells>
  <phoneticPr fontId="42"/>
  <dataValidations disablePrompts="1" count="3">
    <dataValidation type="list" allowBlank="1" showInputMessage="1" showErrorMessage="1" sqref="AM14 H12:H13 H17:H18" xr:uid="{00000000-0002-0000-0800-000000000000}">
      <formula1>"　,k,M"</formula1>
    </dataValidation>
    <dataValidation type="list" allowBlank="1" showInputMessage="1" showErrorMessage="1" sqref="W12:W13 W17:W18" xr:uid="{00000000-0002-0000-0800-000001000000}">
      <formula1>"　,p,u"</formula1>
    </dataValidation>
    <dataValidation type="whole" operator="equal" showInputMessage="1" showErrorMessage="1" sqref="AO14:AT14 AK16:AO16 AN14:AN15" xr:uid="{00000000-0002-0000-0800-000002000000}">
      <formula1>10000000000000000</formula1>
    </dataValidation>
  </dataValidations>
  <hyperlinks>
    <hyperlink ref="A1:C1" location="目次!A1" display="　目次　" xr:uid="{00000000-0004-0000-0800-000000000000}"/>
  </hyperlinks>
  <pageMargins left="0.69930555555555596" right="0.69930555555555596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35"/>
  <sheetViews>
    <sheetView zoomScale="85" zoomScaleNormal="85" workbookViewId="0">
      <selection sqref="A1:C1"/>
    </sheetView>
  </sheetViews>
  <sheetFormatPr defaultColWidth="4.125" defaultRowHeight="13.5"/>
  <cols>
    <col min="1" max="1" width="9" style="371" customWidth="1"/>
    <col min="2" max="7" width="4.125" style="371" customWidth="1"/>
    <col min="8" max="8" width="2.25" style="371" customWidth="1"/>
    <col min="9" max="17" width="4.125" style="371" customWidth="1"/>
    <col min="18" max="23" width="4.125" style="371"/>
    <col min="24" max="24" width="7.25" style="371" customWidth="1"/>
    <col min="25" max="16384" width="4.125" style="371"/>
  </cols>
  <sheetData>
    <row r="1" spans="1:43">
      <c r="A1" s="745" t="s">
        <v>61</v>
      </c>
      <c r="B1" s="745"/>
      <c r="C1" s="745"/>
    </row>
    <row r="2" spans="1:43">
      <c r="B2" s="372"/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4"/>
      <c r="W2" s="372"/>
      <c r="X2" s="373"/>
      <c r="Y2" s="373"/>
      <c r="Z2" s="373"/>
      <c r="AA2" s="373"/>
      <c r="AB2" s="373"/>
      <c r="AC2" s="373"/>
      <c r="AD2" s="373"/>
      <c r="AE2" s="373"/>
      <c r="AF2" s="373"/>
      <c r="AG2" s="373"/>
      <c r="AH2" s="373"/>
      <c r="AI2" s="373"/>
      <c r="AJ2" s="373"/>
      <c r="AK2" s="373"/>
      <c r="AL2" s="373"/>
      <c r="AM2" s="373"/>
      <c r="AN2" s="373"/>
      <c r="AO2" s="373"/>
      <c r="AP2" s="373"/>
      <c r="AQ2" s="374"/>
    </row>
    <row r="3" spans="1:43" ht="18.75">
      <c r="B3" s="375"/>
      <c r="C3" s="376" t="s">
        <v>204</v>
      </c>
      <c r="D3" s="377"/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8"/>
      <c r="W3" s="375"/>
      <c r="X3" s="376" t="s">
        <v>205</v>
      </c>
      <c r="Y3" s="377"/>
      <c r="Z3" s="377"/>
      <c r="AA3" s="377"/>
      <c r="AB3" s="377"/>
      <c r="AC3" s="377"/>
      <c r="AD3" s="377"/>
      <c r="AE3" s="377"/>
      <c r="AF3" s="377"/>
      <c r="AG3" s="377"/>
      <c r="AH3" s="377"/>
      <c r="AI3" s="377"/>
      <c r="AJ3" s="377"/>
      <c r="AK3" s="377"/>
      <c r="AL3" s="377"/>
      <c r="AM3" s="377"/>
      <c r="AN3" s="377"/>
      <c r="AO3" s="377"/>
      <c r="AP3" s="377"/>
      <c r="AQ3" s="378"/>
    </row>
    <row r="4" spans="1:43" ht="18.75">
      <c r="B4" s="375"/>
      <c r="C4" s="376"/>
      <c r="D4" s="377"/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8"/>
      <c r="W4" s="375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/>
      <c r="AN4" s="377"/>
      <c r="AO4" s="377"/>
      <c r="AP4" s="377"/>
      <c r="AQ4" s="378"/>
    </row>
    <row r="5" spans="1:43" ht="18.75">
      <c r="B5" s="375"/>
      <c r="C5" s="379"/>
      <c r="D5" s="380"/>
      <c r="E5" s="380"/>
      <c r="F5" s="381" t="s">
        <v>206</v>
      </c>
      <c r="G5" s="377"/>
      <c r="H5" s="377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78"/>
      <c r="W5" s="375"/>
      <c r="X5" s="379"/>
      <c r="Y5" s="380"/>
      <c r="Z5" s="380"/>
      <c r="AA5" s="381" t="s">
        <v>206</v>
      </c>
      <c r="AB5" s="377"/>
      <c r="AC5" s="377"/>
      <c r="AD5" s="381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  <c r="AQ5" s="378"/>
    </row>
    <row r="6" spans="1:43" ht="18.75">
      <c r="B6" s="375"/>
      <c r="C6" s="382"/>
      <c r="D6" s="383"/>
      <c r="E6" s="383"/>
      <c r="F6" s="381" t="s">
        <v>207</v>
      </c>
      <c r="G6" s="377"/>
      <c r="H6" s="377"/>
      <c r="I6" s="377"/>
      <c r="J6" s="377"/>
      <c r="K6" s="377"/>
      <c r="L6" s="377"/>
      <c r="M6" s="377"/>
      <c r="N6" s="377"/>
      <c r="O6" s="377"/>
      <c r="P6" s="377"/>
      <c r="Q6" s="377"/>
      <c r="R6" s="377"/>
      <c r="S6" s="377"/>
      <c r="T6" s="377"/>
      <c r="U6" s="378"/>
      <c r="W6" s="375"/>
      <c r="X6" s="382"/>
      <c r="Y6" s="383"/>
      <c r="Z6" s="383"/>
      <c r="AA6" s="381" t="s">
        <v>207</v>
      </c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/>
      <c r="AN6" s="377"/>
      <c r="AO6" s="377"/>
      <c r="AP6" s="377"/>
      <c r="AQ6" s="378"/>
    </row>
    <row r="7" spans="1:43">
      <c r="B7" s="375"/>
      <c r="C7" s="377"/>
      <c r="D7" s="377"/>
      <c r="E7" s="377"/>
      <c r="F7" s="377"/>
      <c r="G7" s="377"/>
      <c r="H7" s="377"/>
      <c r="I7" s="377"/>
      <c r="J7" s="377"/>
      <c r="K7" s="377"/>
      <c r="L7" s="377"/>
      <c r="M7" s="377"/>
      <c r="N7" s="377"/>
      <c r="O7" s="377"/>
      <c r="P7" s="377"/>
      <c r="Q7" s="377"/>
      <c r="R7" s="377"/>
      <c r="S7" s="377"/>
      <c r="T7" s="377"/>
      <c r="U7" s="378"/>
      <c r="W7" s="375"/>
      <c r="X7" s="377"/>
      <c r="Y7" s="377"/>
      <c r="Z7" s="377"/>
      <c r="AA7" s="377"/>
      <c r="AB7" s="377"/>
      <c r="AC7" s="377"/>
      <c r="AD7" s="377"/>
      <c r="AE7" s="377"/>
      <c r="AF7" s="377"/>
      <c r="AG7" s="377"/>
      <c r="AH7" s="377"/>
      <c r="AI7" s="377"/>
      <c r="AJ7" s="377"/>
      <c r="AK7" s="377"/>
      <c r="AL7" s="377"/>
      <c r="AM7" s="377"/>
      <c r="AN7" s="377"/>
      <c r="AO7" s="377"/>
      <c r="AP7" s="377"/>
      <c r="AQ7" s="378"/>
    </row>
    <row r="8" spans="1:43">
      <c r="B8" s="375"/>
      <c r="C8" s="384" t="s">
        <v>208</v>
      </c>
      <c r="D8" s="377"/>
      <c r="E8" s="377"/>
      <c r="F8" s="377"/>
      <c r="G8" s="377"/>
      <c r="H8" s="381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8"/>
      <c r="W8" s="375"/>
      <c r="X8" s="385" t="s">
        <v>209</v>
      </c>
      <c r="Y8" s="746">
        <v>5</v>
      </c>
      <c r="Z8" s="747"/>
      <c r="AA8" s="747"/>
      <c r="AB8" s="747"/>
      <c r="AC8" s="386" t="s">
        <v>210</v>
      </c>
      <c r="AD8" s="387"/>
      <c r="AE8" s="746">
        <v>10</v>
      </c>
      <c r="AF8" s="747"/>
      <c r="AG8" s="747"/>
      <c r="AH8" s="747"/>
      <c r="AI8" s="386" t="s">
        <v>211</v>
      </c>
      <c r="AJ8" s="387"/>
      <c r="AK8" s="746">
        <v>8</v>
      </c>
      <c r="AL8" s="747"/>
      <c r="AM8" s="747"/>
      <c r="AN8" s="747"/>
      <c r="AO8" s="386" t="s">
        <v>212</v>
      </c>
      <c r="AP8" s="387"/>
      <c r="AQ8" s="378"/>
    </row>
    <row r="9" spans="1:43">
      <c r="B9" s="375"/>
      <c r="C9" s="377" t="s">
        <v>213</v>
      </c>
      <c r="D9" s="377"/>
      <c r="E9" s="377"/>
      <c r="F9" s="748">
        <v>1000</v>
      </c>
      <c r="G9" s="748"/>
      <c r="H9" s="748"/>
      <c r="I9" s="377" t="s">
        <v>214</v>
      </c>
      <c r="J9" s="377"/>
      <c r="K9" s="377" t="s">
        <v>102</v>
      </c>
      <c r="L9" s="749">
        <f>F9/1000000</f>
        <v>1E-3</v>
      </c>
      <c r="M9" s="749"/>
      <c r="N9" s="749"/>
      <c r="O9" s="377" t="s">
        <v>215</v>
      </c>
      <c r="P9" s="377"/>
      <c r="Q9" s="377"/>
      <c r="R9" s="377"/>
      <c r="S9" s="377"/>
      <c r="T9" s="377"/>
      <c r="U9" s="378"/>
      <c r="W9" s="375"/>
      <c r="X9" s="388"/>
      <c r="Y9" s="389"/>
      <c r="Z9" s="377"/>
      <c r="AA9" s="377"/>
      <c r="AB9" s="377"/>
      <c r="AC9" s="377"/>
      <c r="AD9" s="390"/>
      <c r="AE9" s="389"/>
      <c r="AF9" s="377"/>
      <c r="AG9" s="377"/>
      <c r="AH9" s="377"/>
      <c r="AI9" s="377"/>
      <c r="AJ9" s="390"/>
      <c r="AK9" s="389"/>
      <c r="AL9" s="377"/>
      <c r="AM9" s="377"/>
      <c r="AN9" s="377"/>
      <c r="AO9" s="377"/>
      <c r="AP9" s="390"/>
      <c r="AQ9" s="378"/>
    </row>
    <row r="10" spans="1:43">
      <c r="B10" s="375"/>
      <c r="C10" s="377" t="s">
        <v>90</v>
      </c>
      <c r="D10" s="377"/>
      <c r="E10" s="377"/>
      <c r="F10" s="748">
        <v>1000</v>
      </c>
      <c r="G10" s="748"/>
      <c r="H10" s="748"/>
      <c r="I10" s="377" t="s">
        <v>91</v>
      </c>
      <c r="J10" s="377"/>
      <c r="K10" s="377"/>
      <c r="L10" s="377"/>
      <c r="M10" s="377"/>
      <c r="N10" s="377"/>
      <c r="O10" s="377"/>
      <c r="P10" s="377"/>
      <c r="Q10" s="377"/>
      <c r="R10" s="377"/>
      <c r="S10" s="377"/>
      <c r="T10" s="377"/>
      <c r="U10" s="378"/>
      <c r="W10" s="375"/>
      <c r="X10" s="388" t="s">
        <v>216</v>
      </c>
      <c r="Y10" s="752">
        <f>1/Y8</f>
        <v>0.2</v>
      </c>
      <c r="Z10" s="753"/>
      <c r="AA10" s="753"/>
      <c r="AB10" s="753"/>
      <c r="AC10" s="753"/>
      <c r="AD10" s="390" t="s">
        <v>217</v>
      </c>
      <c r="AE10" s="752">
        <f>1/AE8/1000</f>
        <v>1E-4</v>
      </c>
      <c r="AF10" s="753"/>
      <c r="AG10" s="753"/>
      <c r="AH10" s="753"/>
      <c r="AI10" s="753"/>
      <c r="AJ10" s="390" t="s">
        <v>217</v>
      </c>
      <c r="AK10" s="752">
        <f>1/AK8/1000000</f>
        <v>1.2499999999999999E-7</v>
      </c>
      <c r="AL10" s="753"/>
      <c r="AM10" s="753"/>
      <c r="AN10" s="753"/>
      <c r="AO10" s="753"/>
      <c r="AP10" s="390" t="s">
        <v>217</v>
      </c>
      <c r="AQ10" s="378"/>
    </row>
    <row r="11" spans="1:43">
      <c r="B11" s="375"/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  <c r="Q11" s="377"/>
      <c r="R11" s="377"/>
      <c r="S11" s="377"/>
      <c r="T11" s="377"/>
      <c r="U11" s="378"/>
      <c r="W11" s="375"/>
      <c r="X11" s="388"/>
      <c r="Y11" s="752">
        <f>Y10*1000</f>
        <v>200</v>
      </c>
      <c r="Z11" s="753"/>
      <c r="AA11" s="753"/>
      <c r="AB11" s="753"/>
      <c r="AC11" s="753"/>
      <c r="AD11" s="390" t="s">
        <v>218</v>
      </c>
      <c r="AE11" s="752">
        <f>AE10*1000</f>
        <v>0.1</v>
      </c>
      <c r="AF11" s="753"/>
      <c r="AG11" s="753"/>
      <c r="AH11" s="753"/>
      <c r="AI11" s="753"/>
      <c r="AJ11" s="390" t="s">
        <v>218</v>
      </c>
      <c r="AK11" s="752">
        <f>AK10*1000</f>
        <v>1.25E-4</v>
      </c>
      <c r="AL11" s="753"/>
      <c r="AM11" s="753"/>
      <c r="AN11" s="753"/>
      <c r="AO11" s="753"/>
      <c r="AP11" s="390" t="s">
        <v>218</v>
      </c>
      <c r="AQ11" s="378"/>
    </row>
    <row r="12" spans="1:43" ht="18.75">
      <c r="B12" s="375"/>
      <c r="C12" s="756" t="s">
        <v>11</v>
      </c>
      <c r="D12" s="756"/>
      <c r="E12" s="756"/>
      <c r="F12" s="757">
        <f>1/(2*PI()*F9*10^-12*F10)</f>
        <v>159154.94309189534</v>
      </c>
      <c r="G12" s="757"/>
      <c r="H12" s="757"/>
      <c r="I12" s="757"/>
      <c r="J12" s="757"/>
      <c r="K12" s="757"/>
      <c r="L12" s="383" t="s">
        <v>210</v>
      </c>
      <c r="M12" s="756"/>
      <c r="N12" s="756"/>
      <c r="O12" s="756"/>
      <c r="P12" s="753">
        <f>(1/F12)</f>
        <v>6.2831853071795858E-6</v>
      </c>
      <c r="Q12" s="753"/>
      <c r="R12" s="753"/>
      <c r="S12" s="753"/>
      <c r="T12" s="391" t="s">
        <v>219</v>
      </c>
      <c r="U12" s="392"/>
      <c r="W12" s="375"/>
      <c r="X12" s="393"/>
      <c r="Y12" s="750">
        <f>Y10*1000000</f>
        <v>200000</v>
      </c>
      <c r="Z12" s="751"/>
      <c r="AA12" s="751"/>
      <c r="AB12" s="751"/>
      <c r="AC12" s="751"/>
      <c r="AD12" s="394" t="s">
        <v>220</v>
      </c>
      <c r="AE12" s="750">
        <f>AE10*1000000</f>
        <v>100</v>
      </c>
      <c r="AF12" s="751"/>
      <c r="AG12" s="751"/>
      <c r="AH12" s="751"/>
      <c r="AI12" s="751"/>
      <c r="AJ12" s="394" t="s">
        <v>220</v>
      </c>
      <c r="AK12" s="750">
        <f>AK10*1000000</f>
        <v>0.125</v>
      </c>
      <c r="AL12" s="751"/>
      <c r="AM12" s="751"/>
      <c r="AN12" s="751"/>
      <c r="AO12" s="751"/>
      <c r="AP12" s="394" t="s">
        <v>220</v>
      </c>
      <c r="AQ12" s="378"/>
    </row>
    <row r="13" spans="1:43" ht="18.75">
      <c r="B13" s="375"/>
      <c r="C13" s="756"/>
      <c r="D13" s="756"/>
      <c r="E13" s="756"/>
      <c r="F13" s="757">
        <f>F12/1000</f>
        <v>159.15494309189535</v>
      </c>
      <c r="G13" s="757"/>
      <c r="H13" s="757"/>
      <c r="I13" s="757"/>
      <c r="J13" s="757"/>
      <c r="K13" s="757"/>
      <c r="L13" s="383" t="s">
        <v>211</v>
      </c>
      <c r="M13" s="756"/>
      <c r="N13" s="756"/>
      <c r="O13" s="756"/>
      <c r="P13" s="753">
        <f>P12*1000</f>
        <v>6.2831853071795857E-3</v>
      </c>
      <c r="Q13" s="753"/>
      <c r="R13" s="753"/>
      <c r="S13" s="753"/>
      <c r="T13" s="391" t="s">
        <v>221</v>
      </c>
      <c r="U13" s="378"/>
      <c r="W13" s="375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  <c r="AQ13" s="378"/>
    </row>
    <row r="14" spans="1:43" ht="18.75">
      <c r="B14" s="375"/>
      <c r="C14" s="756"/>
      <c r="D14" s="756"/>
      <c r="E14" s="756"/>
      <c r="F14" s="757">
        <f>F12/1000000</f>
        <v>0.15915494309189535</v>
      </c>
      <c r="G14" s="757"/>
      <c r="H14" s="757"/>
      <c r="I14" s="757"/>
      <c r="J14" s="757"/>
      <c r="K14" s="757"/>
      <c r="L14" s="383" t="s">
        <v>212</v>
      </c>
      <c r="M14" s="756"/>
      <c r="N14" s="756"/>
      <c r="O14" s="756"/>
      <c r="P14" s="753">
        <f>P13*1000</f>
        <v>6.2831853071795853</v>
      </c>
      <c r="Q14" s="753"/>
      <c r="R14" s="753"/>
      <c r="S14" s="753"/>
      <c r="T14" s="391" t="s">
        <v>222</v>
      </c>
      <c r="U14" s="378"/>
      <c r="W14" s="375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  <c r="AQ14" s="378"/>
    </row>
    <row r="15" spans="1:43">
      <c r="B15" s="375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8"/>
      <c r="W15" s="375"/>
      <c r="X15" s="385" t="s">
        <v>216</v>
      </c>
      <c r="Y15" s="746">
        <v>80</v>
      </c>
      <c r="Z15" s="747"/>
      <c r="AA15" s="747"/>
      <c r="AB15" s="747"/>
      <c r="AC15" s="386" t="s">
        <v>223</v>
      </c>
      <c r="AD15" s="395"/>
      <c r="AE15" s="746">
        <v>200</v>
      </c>
      <c r="AF15" s="747"/>
      <c r="AG15" s="747"/>
      <c r="AH15" s="747"/>
      <c r="AI15" s="386" t="s">
        <v>220</v>
      </c>
      <c r="AJ15" s="387"/>
      <c r="AK15" s="377"/>
      <c r="AL15" s="377"/>
      <c r="AM15" s="377"/>
      <c r="AN15" s="377"/>
      <c r="AO15" s="377"/>
      <c r="AP15" s="377"/>
      <c r="AQ15" s="378"/>
    </row>
    <row r="16" spans="1:43">
      <c r="B16" s="375"/>
      <c r="C16" s="377"/>
      <c r="D16" s="377"/>
      <c r="E16" s="377"/>
      <c r="F16" s="377"/>
      <c r="G16" s="377"/>
      <c r="H16" s="377"/>
      <c r="I16" s="377"/>
      <c r="J16" s="377"/>
      <c r="K16" s="377"/>
      <c r="L16" s="377"/>
      <c r="M16" s="377"/>
      <c r="N16" s="377"/>
      <c r="O16" s="377"/>
      <c r="P16" s="754"/>
      <c r="Q16" s="754"/>
      <c r="R16" s="754"/>
      <c r="S16" s="377"/>
      <c r="T16" s="377"/>
      <c r="U16" s="378"/>
      <c r="W16" s="375"/>
      <c r="X16" s="388"/>
      <c r="Y16" s="389"/>
      <c r="Z16" s="377"/>
      <c r="AA16" s="377"/>
      <c r="AB16" s="377"/>
      <c r="AC16" s="377"/>
      <c r="AD16" s="390"/>
      <c r="AE16" s="389"/>
      <c r="AF16" s="377"/>
      <c r="AG16" s="377"/>
      <c r="AH16" s="377"/>
      <c r="AI16" s="377"/>
      <c r="AJ16" s="390"/>
      <c r="AK16" s="377"/>
      <c r="AL16" s="377"/>
      <c r="AM16" s="377"/>
      <c r="AN16" s="377"/>
      <c r="AO16" s="377"/>
      <c r="AP16" s="377"/>
      <c r="AQ16" s="378"/>
    </row>
    <row r="17" spans="2:43">
      <c r="B17" s="375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8"/>
      <c r="W17" s="375"/>
      <c r="X17" s="388" t="s">
        <v>209</v>
      </c>
      <c r="Y17" s="752">
        <f>1/(Y15/1000)</f>
        <v>12.5</v>
      </c>
      <c r="Z17" s="753"/>
      <c r="AA17" s="753"/>
      <c r="AB17" s="753"/>
      <c r="AC17" s="753"/>
      <c r="AD17" s="390" t="s">
        <v>210</v>
      </c>
      <c r="AE17" s="752">
        <f>1/(AE15/1000000)</f>
        <v>5000</v>
      </c>
      <c r="AF17" s="753"/>
      <c r="AG17" s="753"/>
      <c r="AH17" s="753"/>
      <c r="AI17" s="753"/>
      <c r="AJ17" s="390" t="s">
        <v>210</v>
      </c>
      <c r="AK17" s="377"/>
      <c r="AL17" s="377"/>
      <c r="AM17" s="377"/>
      <c r="AN17" s="377"/>
      <c r="AO17" s="377"/>
      <c r="AP17" s="377"/>
      <c r="AQ17" s="378"/>
    </row>
    <row r="18" spans="2:43">
      <c r="B18" s="375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8"/>
      <c r="W18" s="375"/>
      <c r="X18" s="388"/>
      <c r="Y18" s="752">
        <f>Y17/1000</f>
        <v>1.2500000000000001E-2</v>
      </c>
      <c r="Z18" s="753"/>
      <c r="AA18" s="753"/>
      <c r="AB18" s="753"/>
      <c r="AC18" s="753"/>
      <c r="AD18" s="390" t="s">
        <v>211</v>
      </c>
      <c r="AE18" s="752">
        <f>AE17/1000</f>
        <v>5</v>
      </c>
      <c r="AF18" s="753"/>
      <c r="AG18" s="753"/>
      <c r="AH18" s="753"/>
      <c r="AI18" s="753"/>
      <c r="AJ18" s="390" t="s">
        <v>211</v>
      </c>
      <c r="AK18" s="377"/>
      <c r="AL18" s="377"/>
      <c r="AM18" s="377"/>
      <c r="AN18" s="377"/>
      <c r="AO18" s="377"/>
      <c r="AP18" s="377"/>
      <c r="AQ18" s="378"/>
    </row>
    <row r="19" spans="2:43">
      <c r="B19" s="375"/>
      <c r="C19" s="384" t="s">
        <v>224</v>
      </c>
      <c r="D19" s="377"/>
      <c r="E19" s="377"/>
      <c r="F19" s="377"/>
      <c r="G19" s="377"/>
      <c r="H19" s="381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8"/>
      <c r="W19" s="375"/>
      <c r="X19" s="393"/>
      <c r="Y19" s="750">
        <f>Y17/1000000</f>
        <v>1.2500000000000001E-5</v>
      </c>
      <c r="Z19" s="751"/>
      <c r="AA19" s="751"/>
      <c r="AB19" s="751"/>
      <c r="AC19" s="751"/>
      <c r="AD19" s="394" t="s">
        <v>212</v>
      </c>
      <c r="AE19" s="750">
        <f>AE17/1000000</f>
        <v>5.0000000000000001E-3</v>
      </c>
      <c r="AF19" s="751"/>
      <c r="AG19" s="751"/>
      <c r="AH19" s="751"/>
      <c r="AI19" s="751"/>
      <c r="AJ19" s="394" t="s">
        <v>212</v>
      </c>
      <c r="AK19" s="377"/>
      <c r="AL19" s="377"/>
      <c r="AM19" s="377"/>
      <c r="AN19" s="377"/>
      <c r="AO19" s="377"/>
      <c r="AP19" s="377"/>
      <c r="AQ19" s="378"/>
    </row>
    <row r="20" spans="2:43">
      <c r="B20" s="375"/>
      <c r="C20" s="377" t="s">
        <v>213</v>
      </c>
      <c r="D20" s="377"/>
      <c r="E20" s="377"/>
      <c r="F20" s="748">
        <v>47</v>
      </c>
      <c r="G20" s="748"/>
      <c r="H20" s="748"/>
      <c r="I20" s="377" t="s">
        <v>214</v>
      </c>
      <c r="J20" s="377"/>
      <c r="K20" s="377" t="s">
        <v>102</v>
      </c>
      <c r="L20" s="749">
        <f>F20/1000000</f>
        <v>4.6999999999999997E-5</v>
      </c>
      <c r="M20" s="749"/>
      <c r="N20" s="749"/>
      <c r="O20" s="377" t="s">
        <v>215</v>
      </c>
      <c r="P20" s="377"/>
      <c r="Q20" s="377"/>
      <c r="R20" s="377"/>
      <c r="S20" s="377"/>
      <c r="T20" s="377"/>
      <c r="U20" s="378"/>
      <c r="W20" s="375"/>
      <c r="X20" s="377"/>
      <c r="Y20" s="377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8"/>
    </row>
    <row r="21" spans="2:43">
      <c r="B21" s="375"/>
      <c r="C21" s="377" t="s">
        <v>225</v>
      </c>
      <c r="D21" s="377"/>
      <c r="E21" s="377"/>
      <c r="F21" s="748">
        <v>470000</v>
      </c>
      <c r="G21" s="748"/>
      <c r="H21" s="748"/>
      <c r="I21" s="377" t="s">
        <v>226</v>
      </c>
      <c r="J21" s="377"/>
      <c r="K21" s="377" t="s">
        <v>102</v>
      </c>
      <c r="L21" s="749">
        <f>F21/1000</f>
        <v>470</v>
      </c>
      <c r="M21" s="749"/>
      <c r="N21" s="749"/>
      <c r="O21" s="377" t="s">
        <v>119</v>
      </c>
      <c r="P21" s="377"/>
      <c r="Q21" s="377"/>
      <c r="R21" s="377"/>
      <c r="S21" s="377"/>
      <c r="T21" s="377"/>
      <c r="U21" s="378"/>
      <c r="W21" s="396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  <c r="AH21" s="397"/>
      <c r="AI21" s="397"/>
      <c r="AJ21" s="397"/>
      <c r="AK21" s="397"/>
      <c r="AL21" s="397"/>
      <c r="AM21" s="397"/>
      <c r="AN21" s="397"/>
      <c r="AO21" s="397"/>
      <c r="AP21" s="397"/>
      <c r="AQ21" s="398"/>
    </row>
    <row r="22" spans="2:43">
      <c r="B22" s="375"/>
      <c r="C22" s="377"/>
      <c r="D22" s="377"/>
      <c r="E22" s="377"/>
      <c r="F22" s="377"/>
      <c r="G22" s="377"/>
      <c r="H22" s="377"/>
      <c r="I22" s="377"/>
      <c r="J22" s="377"/>
      <c r="K22" s="377"/>
      <c r="L22" s="377"/>
      <c r="M22" s="377"/>
      <c r="N22" s="377"/>
      <c r="O22" s="377"/>
      <c r="P22" s="377"/>
      <c r="Q22" s="377"/>
      <c r="R22" s="377"/>
      <c r="S22" s="377"/>
      <c r="T22" s="377"/>
      <c r="U22" s="378"/>
    </row>
    <row r="23" spans="2:43" ht="18.75">
      <c r="B23" s="375"/>
      <c r="C23" s="756" t="s">
        <v>11</v>
      </c>
      <c r="D23" s="756"/>
      <c r="E23" s="756"/>
      <c r="F23" s="757">
        <f>1/(2*PI()*SQRT(F20*10^-12*F21*10^-9))</f>
        <v>1070834.300095469</v>
      </c>
      <c r="G23" s="757"/>
      <c r="H23" s="757"/>
      <c r="I23" s="757"/>
      <c r="J23" s="757"/>
      <c r="K23" s="757"/>
      <c r="L23" s="383" t="s">
        <v>210</v>
      </c>
      <c r="M23" s="756"/>
      <c r="N23" s="756"/>
      <c r="O23" s="756"/>
      <c r="P23" s="753">
        <f>(1/F23)</f>
        <v>9.3385129698483335E-7</v>
      </c>
      <c r="Q23" s="753"/>
      <c r="R23" s="753"/>
      <c r="S23" s="753"/>
      <c r="T23" s="391" t="s">
        <v>219</v>
      </c>
      <c r="U23" s="378"/>
    </row>
    <row r="24" spans="2:43" ht="18.75">
      <c r="B24" s="375"/>
      <c r="C24" s="756"/>
      <c r="D24" s="756"/>
      <c r="E24" s="756"/>
      <c r="F24" s="757">
        <f>F23/1000</f>
        <v>1070.834300095469</v>
      </c>
      <c r="G24" s="757"/>
      <c r="H24" s="757"/>
      <c r="I24" s="757"/>
      <c r="J24" s="757"/>
      <c r="K24" s="757"/>
      <c r="L24" s="383" t="s">
        <v>211</v>
      </c>
      <c r="M24" s="756"/>
      <c r="N24" s="756"/>
      <c r="O24" s="756"/>
      <c r="P24" s="753">
        <f>P23*1000</f>
        <v>9.338512969848334E-4</v>
      </c>
      <c r="Q24" s="753"/>
      <c r="R24" s="753"/>
      <c r="S24" s="753"/>
      <c r="T24" s="391" t="s">
        <v>221</v>
      </c>
      <c r="U24" s="378"/>
    </row>
    <row r="25" spans="2:43" ht="18.75">
      <c r="B25" s="375"/>
      <c r="C25" s="756"/>
      <c r="D25" s="756"/>
      <c r="E25" s="756"/>
      <c r="F25" s="757">
        <f>F23/1000000</f>
        <v>1.070834300095469</v>
      </c>
      <c r="G25" s="757"/>
      <c r="H25" s="757"/>
      <c r="I25" s="757"/>
      <c r="J25" s="757"/>
      <c r="K25" s="757"/>
      <c r="L25" s="383" t="s">
        <v>212</v>
      </c>
      <c r="M25" s="756"/>
      <c r="N25" s="756"/>
      <c r="O25" s="756"/>
      <c r="P25" s="753">
        <f>P24*1000</f>
        <v>0.93385129698483338</v>
      </c>
      <c r="Q25" s="753"/>
      <c r="R25" s="753"/>
      <c r="S25" s="753"/>
      <c r="T25" s="391" t="s">
        <v>222</v>
      </c>
      <c r="U25" s="378"/>
    </row>
    <row r="26" spans="2:43">
      <c r="B26" s="396"/>
      <c r="C26" s="397"/>
      <c r="D26" s="397"/>
      <c r="E26" s="397"/>
      <c r="F26" s="397"/>
      <c r="G26" s="397"/>
      <c r="H26" s="397"/>
      <c r="I26" s="397"/>
      <c r="J26" s="397"/>
      <c r="K26" s="397"/>
      <c r="L26" s="397"/>
      <c r="M26" s="397"/>
      <c r="N26" s="397"/>
      <c r="O26" s="397"/>
      <c r="P26" s="397"/>
      <c r="Q26" s="397"/>
      <c r="R26" s="397"/>
      <c r="S26" s="397"/>
      <c r="T26" s="397"/>
      <c r="U26" s="398"/>
    </row>
    <row r="28" spans="2:43">
      <c r="AD28" s="399"/>
    </row>
    <row r="29" spans="2:43">
      <c r="AD29" s="399"/>
    </row>
    <row r="31" spans="2:43">
      <c r="G31" s="399"/>
      <c r="H31" s="755"/>
      <c r="I31" s="755"/>
      <c r="J31" s="755"/>
      <c r="M31" s="399"/>
      <c r="N31" s="755"/>
      <c r="O31" s="755"/>
      <c r="P31" s="755"/>
      <c r="AD31" s="399"/>
    </row>
    <row r="32" spans="2:43">
      <c r="G32" s="399"/>
      <c r="H32" s="755"/>
      <c r="I32" s="755"/>
      <c r="J32" s="755"/>
      <c r="M32" s="399"/>
      <c r="N32" s="755"/>
      <c r="O32" s="755"/>
      <c r="P32" s="755"/>
    </row>
    <row r="33" spans="7:16">
      <c r="G33" s="399"/>
      <c r="H33" s="755"/>
      <c r="I33" s="755"/>
      <c r="J33" s="755"/>
      <c r="M33" s="399"/>
      <c r="N33" s="400"/>
      <c r="O33" s="400"/>
      <c r="P33" s="400"/>
    </row>
    <row r="34" spans="7:16">
      <c r="G34" s="399"/>
      <c r="H34" s="755"/>
      <c r="I34" s="755"/>
      <c r="J34" s="755"/>
      <c r="M34" s="399"/>
      <c r="N34" s="755"/>
      <c r="O34" s="755"/>
      <c r="P34" s="755"/>
    </row>
    <row r="35" spans="7:16">
      <c r="H35" s="755"/>
      <c r="I35" s="755"/>
      <c r="J35" s="755"/>
      <c r="N35" s="755"/>
      <c r="O35" s="755"/>
      <c r="P35" s="755"/>
    </row>
  </sheetData>
  <mergeCells count="54">
    <mergeCell ref="C23:E25"/>
    <mergeCell ref="C12:E14"/>
    <mergeCell ref="M23:O25"/>
    <mergeCell ref="H34:J34"/>
    <mergeCell ref="N34:P34"/>
    <mergeCell ref="F14:K14"/>
    <mergeCell ref="P14:S14"/>
    <mergeCell ref="F12:K12"/>
    <mergeCell ref="P12:S12"/>
    <mergeCell ref="H35:J35"/>
    <mergeCell ref="N35:P35"/>
    <mergeCell ref="M12:O14"/>
    <mergeCell ref="H31:J31"/>
    <mergeCell ref="N31:P31"/>
    <mergeCell ref="H32:J32"/>
    <mergeCell ref="N32:P32"/>
    <mergeCell ref="H33:J33"/>
    <mergeCell ref="F23:K23"/>
    <mergeCell ref="P23:S23"/>
    <mergeCell ref="F24:K24"/>
    <mergeCell ref="P24:S24"/>
    <mergeCell ref="F25:K25"/>
    <mergeCell ref="P25:S25"/>
    <mergeCell ref="F13:K13"/>
    <mergeCell ref="P13:S13"/>
    <mergeCell ref="Y19:AC19"/>
    <mergeCell ref="AE19:AI19"/>
    <mergeCell ref="F20:H20"/>
    <mergeCell ref="L20:N20"/>
    <mergeCell ref="F21:H21"/>
    <mergeCell ref="L21:N21"/>
    <mergeCell ref="AE15:AH15"/>
    <mergeCell ref="P16:R16"/>
    <mergeCell ref="Y17:AC17"/>
    <mergeCell ref="AE17:AI17"/>
    <mergeCell ref="Y18:AC18"/>
    <mergeCell ref="AE18:AI18"/>
    <mergeCell ref="Y15:AB15"/>
    <mergeCell ref="Y12:AC12"/>
    <mergeCell ref="AE12:AI12"/>
    <mergeCell ref="AK12:AO12"/>
    <mergeCell ref="F10:H10"/>
    <mergeCell ref="Y10:AC10"/>
    <mergeCell ref="AE10:AI10"/>
    <mergeCell ref="AK10:AO10"/>
    <mergeCell ref="Y11:AC11"/>
    <mergeCell ref="AE11:AI11"/>
    <mergeCell ref="AK11:AO11"/>
    <mergeCell ref="A1:C1"/>
    <mergeCell ref="Y8:AB8"/>
    <mergeCell ref="AE8:AH8"/>
    <mergeCell ref="AK8:AN8"/>
    <mergeCell ref="F9:H9"/>
    <mergeCell ref="L9:N9"/>
  </mergeCells>
  <phoneticPr fontId="42"/>
  <hyperlinks>
    <hyperlink ref="A1:C1" location="目次!A1" display="　目次　" xr:uid="{00000000-0004-0000-0900-000000000000}"/>
  </hyperlinks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38"/>
  <sheetViews>
    <sheetView workbookViewId="0">
      <selection sqref="A1:C1"/>
    </sheetView>
  </sheetViews>
  <sheetFormatPr defaultColWidth="4.25" defaultRowHeight="13.5"/>
  <cols>
    <col min="1" max="1" width="3.125" customWidth="1"/>
    <col min="6" max="6" width="4.5" customWidth="1"/>
    <col min="11" max="11" width="4.5" customWidth="1"/>
    <col min="21" max="21" width="4.5" customWidth="1"/>
  </cols>
  <sheetData>
    <row r="1" spans="1:30">
      <c r="A1" s="686" t="s">
        <v>61</v>
      </c>
      <c r="B1" s="686"/>
      <c r="C1" s="686"/>
    </row>
    <row r="2" spans="1:30" ht="14.25">
      <c r="B2" s="115" t="s">
        <v>227</v>
      </c>
    </row>
    <row r="4" spans="1:30">
      <c r="B4" s="40"/>
      <c r="C4" s="40"/>
      <c r="D4" t="s">
        <v>228</v>
      </c>
    </row>
    <row r="5" spans="1:30">
      <c r="B5" s="42"/>
      <c r="C5" s="42"/>
      <c r="D5" t="s">
        <v>63</v>
      </c>
    </row>
    <row r="6" spans="1:30">
      <c r="B6" s="121"/>
      <c r="C6" s="121"/>
    </row>
    <row r="7" spans="1:30">
      <c r="B7" s="130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81"/>
      <c r="Q7" s="130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81"/>
    </row>
    <row r="8" spans="1:30">
      <c r="B8" s="76"/>
      <c r="C8" s="132" t="s">
        <v>229</v>
      </c>
      <c r="D8" s="132"/>
      <c r="E8" s="701">
        <v>100</v>
      </c>
      <c r="F8" s="701"/>
      <c r="G8" s="132" t="s">
        <v>65</v>
      </c>
      <c r="H8" s="63"/>
      <c r="I8" s="133" t="s">
        <v>230</v>
      </c>
      <c r="J8" s="133"/>
      <c r="K8" s="133">
        <f>E8*SQRT(2)</f>
        <v>141.42135623730951</v>
      </c>
      <c r="L8" s="133" t="s">
        <v>231</v>
      </c>
      <c r="M8" s="63"/>
      <c r="N8" s="63"/>
      <c r="O8" s="82"/>
      <c r="Q8" s="76"/>
      <c r="R8" s="132" t="s">
        <v>232</v>
      </c>
      <c r="S8" s="132"/>
      <c r="T8" s="132"/>
      <c r="U8" s="132">
        <v>130</v>
      </c>
      <c r="V8" s="132" t="s">
        <v>233</v>
      </c>
      <c r="W8" s="132"/>
      <c r="X8" s="63"/>
      <c r="Y8" s="63"/>
      <c r="Z8" s="63"/>
      <c r="AA8" s="63"/>
      <c r="AB8" s="63"/>
      <c r="AC8" s="63"/>
      <c r="AD8" s="82"/>
    </row>
    <row r="9" spans="1:30">
      <c r="B9" s="76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82"/>
      <c r="Q9" s="76"/>
      <c r="R9" s="63" t="s">
        <v>234</v>
      </c>
      <c r="S9" s="63"/>
      <c r="T9" s="63"/>
      <c r="U9" s="701" t="s">
        <v>235</v>
      </c>
      <c r="V9" s="701"/>
      <c r="W9" s="136" t="s">
        <v>170</v>
      </c>
      <c r="Y9" s="63"/>
      <c r="Z9" s="63"/>
      <c r="AA9" s="63"/>
      <c r="AB9" s="63"/>
      <c r="AC9" s="63"/>
      <c r="AD9" s="82"/>
    </row>
    <row r="10" spans="1:30">
      <c r="B10" s="76"/>
      <c r="C10" s="63" t="s">
        <v>236</v>
      </c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82"/>
      <c r="Q10" s="76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82"/>
    </row>
    <row r="11" spans="1:30">
      <c r="B11" s="76"/>
      <c r="C11" s="142" t="s">
        <v>235</v>
      </c>
      <c r="D11" s="143"/>
      <c r="E11" s="143"/>
      <c r="F11" s="144"/>
      <c r="G11" s="145" t="s">
        <v>237</v>
      </c>
      <c r="H11" s="143"/>
      <c r="I11" s="143"/>
      <c r="J11" s="144"/>
      <c r="K11" s="142" t="s">
        <v>238</v>
      </c>
      <c r="L11" s="143"/>
      <c r="M11" s="143"/>
      <c r="N11" s="144"/>
      <c r="O11" s="82"/>
      <c r="Q11" s="76"/>
      <c r="R11" s="63" t="s">
        <v>239</v>
      </c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82"/>
    </row>
    <row r="12" spans="1:30">
      <c r="B12" s="76"/>
      <c r="C12" s="735">
        <f>E8/SQRT(2)</f>
        <v>70.710678118654741</v>
      </c>
      <c r="D12" s="736"/>
      <c r="E12" s="146" t="s">
        <v>233</v>
      </c>
      <c r="F12" s="147"/>
      <c r="G12" s="735">
        <f>E8/SQRT(3)</f>
        <v>57.735026918962582</v>
      </c>
      <c r="H12" s="736"/>
      <c r="I12" s="146" t="s">
        <v>233</v>
      </c>
      <c r="J12" s="147"/>
      <c r="K12" s="735">
        <f>E8</f>
        <v>100</v>
      </c>
      <c r="L12" s="736"/>
      <c r="M12" s="146" t="s">
        <v>233</v>
      </c>
      <c r="N12" s="147"/>
      <c r="O12" s="82"/>
      <c r="Q12" s="76"/>
      <c r="R12" s="758" t="s">
        <v>235</v>
      </c>
      <c r="S12" s="759"/>
      <c r="T12" s="759"/>
      <c r="U12" s="760"/>
      <c r="V12" s="758" t="s">
        <v>237</v>
      </c>
      <c r="W12" s="759"/>
      <c r="X12" s="759"/>
      <c r="Y12" s="760"/>
      <c r="Z12" s="758" t="s">
        <v>238</v>
      </c>
      <c r="AA12" s="759"/>
      <c r="AB12" s="759"/>
      <c r="AC12" s="760"/>
      <c r="AD12" s="82"/>
    </row>
    <row r="13" spans="1:30">
      <c r="B13" s="77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83"/>
      <c r="Q13" s="76"/>
      <c r="R13" s="735">
        <f>IF(U9="正弦波",U8*SQRT(2),"*****")</f>
        <v>183.84776310850236</v>
      </c>
      <c r="S13" s="736"/>
      <c r="T13" s="736"/>
      <c r="U13" s="147" t="s">
        <v>240</v>
      </c>
      <c r="V13" s="735" t="str">
        <f>IF(U9="三角波",U8*SQRT(3),"*****")</f>
        <v>*****</v>
      </c>
      <c r="W13" s="736"/>
      <c r="X13" s="736"/>
      <c r="Y13" s="147" t="s">
        <v>240</v>
      </c>
      <c r="Z13" s="735" t="str">
        <f>IF(U9="方形波",U8,"*****")</f>
        <v>*****</v>
      </c>
      <c r="AA13" s="736"/>
      <c r="AB13" s="736"/>
      <c r="AC13" s="147" t="s">
        <v>240</v>
      </c>
      <c r="AD13" s="82"/>
    </row>
    <row r="14" spans="1:30">
      <c r="Q14" s="76"/>
      <c r="R14" s="758" t="s">
        <v>241</v>
      </c>
      <c r="S14" s="759"/>
      <c r="T14" s="759"/>
      <c r="U14" s="760"/>
      <c r="V14" s="758"/>
      <c r="W14" s="759"/>
      <c r="X14" s="143"/>
      <c r="Y14" s="144"/>
      <c r="Z14" s="758"/>
      <c r="AA14" s="759"/>
      <c r="AB14" s="759"/>
      <c r="AC14" s="760"/>
      <c r="AD14" s="82"/>
    </row>
    <row r="15" spans="1:30">
      <c r="Q15" s="76"/>
      <c r="R15" s="735">
        <f>IF(U9="正弦波",R13*2,"*****")</f>
        <v>367.69552621700473</v>
      </c>
      <c r="S15" s="736"/>
      <c r="T15" s="736"/>
      <c r="U15" s="165" t="s">
        <v>241</v>
      </c>
      <c r="V15" s="735" t="str">
        <f>IF(U9="三角波",V13*2,"*****")</f>
        <v>*****</v>
      </c>
      <c r="W15" s="736"/>
      <c r="X15" s="736"/>
      <c r="Y15" s="165" t="s">
        <v>241</v>
      </c>
      <c r="Z15" s="735" t="str">
        <f>IF(U9="方形波",Z13*2,"*****")</f>
        <v>*****</v>
      </c>
      <c r="AA15" s="736"/>
      <c r="AB15" s="736"/>
      <c r="AC15" s="165" t="s">
        <v>241</v>
      </c>
      <c r="AD15" s="82"/>
    </row>
    <row r="16" spans="1:30">
      <c r="B16" s="130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81"/>
      <c r="Q16" s="77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83"/>
    </row>
    <row r="17" spans="2:15">
      <c r="B17" s="76"/>
      <c r="C17" s="701" t="s">
        <v>241</v>
      </c>
      <c r="D17" s="701"/>
      <c r="E17" s="701">
        <v>600</v>
      </c>
      <c r="F17" s="701"/>
      <c r="G17" s="132" t="s">
        <v>65</v>
      </c>
      <c r="H17" s="63"/>
      <c r="I17" s="133" t="s">
        <v>242</v>
      </c>
      <c r="J17" s="133"/>
      <c r="K17" s="697">
        <f>E17/2</f>
        <v>300</v>
      </c>
      <c r="L17" s="697"/>
      <c r="M17" s="133" t="s">
        <v>231</v>
      </c>
      <c r="N17" s="63"/>
      <c r="O17" s="82"/>
    </row>
    <row r="18" spans="2:15">
      <c r="B18" s="76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82"/>
    </row>
    <row r="19" spans="2:15">
      <c r="B19" s="76"/>
      <c r="C19" s="63" t="s">
        <v>236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82"/>
    </row>
    <row r="20" spans="2:15">
      <c r="B20" s="76"/>
      <c r="C20" s="142" t="s">
        <v>235</v>
      </c>
      <c r="D20" s="143"/>
      <c r="E20" s="143"/>
      <c r="F20" s="144"/>
      <c r="G20" s="145" t="s">
        <v>237</v>
      </c>
      <c r="H20" s="143"/>
      <c r="I20" s="143"/>
      <c r="J20" s="144"/>
      <c r="K20" s="142" t="s">
        <v>238</v>
      </c>
      <c r="L20" s="143"/>
      <c r="M20" s="143"/>
      <c r="N20" s="144"/>
      <c r="O20" s="82"/>
    </row>
    <row r="21" spans="2:15">
      <c r="B21" s="76"/>
      <c r="C21" s="735">
        <f>K17/SQRT(2)</f>
        <v>212.13203435596424</v>
      </c>
      <c r="D21" s="736"/>
      <c r="E21" s="146" t="s">
        <v>233</v>
      </c>
      <c r="F21" s="147"/>
      <c r="G21" s="735">
        <f>K17/SQRT(3)</f>
        <v>173.20508075688775</v>
      </c>
      <c r="H21" s="736"/>
      <c r="I21" s="146" t="s">
        <v>233</v>
      </c>
      <c r="J21" s="147"/>
      <c r="K21" s="735">
        <f>K17</f>
        <v>300</v>
      </c>
      <c r="L21" s="736"/>
      <c r="M21" s="146" t="s">
        <v>233</v>
      </c>
      <c r="N21" s="147"/>
      <c r="O21" s="82"/>
    </row>
    <row r="22" spans="2:15">
      <c r="B22" s="77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83"/>
    </row>
    <row r="24" spans="2:15">
      <c r="B24" s="130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81"/>
    </row>
    <row r="25" spans="2:15">
      <c r="B25" s="76"/>
      <c r="C25" s="701" t="s">
        <v>241</v>
      </c>
      <c r="D25" s="701"/>
      <c r="E25" s="701">
        <v>1680</v>
      </c>
      <c r="F25" s="701"/>
      <c r="G25" s="132" t="s">
        <v>65</v>
      </c>
      <c r="H25" s="63"/>
      <c r="I25" s="133" t="s">
        <v>242</v>
      </c>
      <c r="J25" s="133"/>
      <c r="K25" s="697">
        <f>E25/2</f>
        <v>840</v>
      </c>
      <c r="L25" s="697"/>
      <c r="M25" s="133" t="s">
        <v>231</v>
      </c>
      <c r="N25" s="63"/>
      <c r="O25" s="82"/>
    </row>
    <row r="26" spans="2:15">
      <c r="B26" s="76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82"/>
    </row>
    <row r="27" spans="2:15">
      <c r="B27" s="76"/>
      <c r="C27" s="63" t="s">
        <v>236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82"/>
    </row>
    <row r="28" spans="2:15">
      <c r="B28" s="76"/>
      <c r="C28" s="142" t="s">
        <v>235</v>
      </c>
      <c r="D28" s="143"/>
      <c r="E28" s="143"/>
      <c r="F28" s="144"/>
      <c r="G28" s="145" t="s">
        <v>237</v>
      </c>
      <c r="H28" s="143"/>
      <c r="I28" s="143"/>
      <c r="J28" s="144"/>
      <c r="K28" s="142" t="s">
        <v>238</v>
      </c>
      <c r="L28" s="143"/>
      <c r="M28" s="143"/>
      <c r="N28" s="144"/>
      <c r="O28" s="82"/>
    </row>
    <row r="29" spans="2:15">
      <c r="B29" s="76"/>
      <c r="C29" s="735">
        <f>K25/SQRT(2)</f>
        <v>593.96969619669983</v>
      </c>
      <c r="D29" s="736"/>
      <c r="E29" s="146" t="s">
        <v>233</v>
      </c>
      <c r="F29" s="147"/>
      <c r="G29" s="735">
        <f>K25/SQRT(3)</f>
        <v>484.97422611928567</v>
      </c>
      <c r="H29" s="736"/>
      <c r="I29" s="146" t="s">
        <v>233</v>
      </c>
      <c r="J29" s="147"/>
      <c r="K29" s="735">
        <f>K25</f>
        <v>840</v>
      </c>
      <c r="L29" s="736"/>
      <c r="M29" s="146" t="s">
        <v>233</v>
      </c>
      <c r="N29" s="147"/>
      <c r="O29" s="82"/>
    </row>
    <row r="30" spans="2:15">
      <c r="B30" s="77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83"/>
    </row>
    <row r="32" spans="2:15">
      <c r="B32" s="148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61"/>
    </row>
    <row r="33" spans="2:15">
      <c r="B33" s="150"/>
      <c r="C33" s="763" t="s">
        <v>241</v>
      </c>
      <c r="D33" s="763"/>
      <c r="E33" s="763">
        <v>336</v>
      </c>
      <c r="F33" s="763"/>
      <c r="G33" s="151" t="s">
        <v>65</v>
      </c>
      <c r="H33" s="152"/>
      <c r="I33" s="162" t="s">
        <v>242</v>
      </c>
      <c r="J33" s="162"/>
      <c r="K33" s="764">
        <f>E33/2</f>
        <v>168</v>
      </c>
      <c r="L33" s="764"/>
      <c r="M33" s="162" t="s">
        <v>231</v>
      </c>
      <c r="N33" s="152"/>
      <c r="O33" s="163"/>
    </row>
    <row r="34" spans="2:15">
      <c r="B34" s="150"/>
      <c r="C34" s="152"/>
      <c r="D34" s="152"/>
      <c r="E34" s="152"/>
      <c r="F34" s="152"/>
      <c r="G34" s="152"/>
      <c r="H34" s="152"/>
      <c r="I34" s="152"/>
      <c r="J34" s="152"/>
      <c r="K34" s="152"/>
      <c r="L34" s="152"/>
      <c r="M34" s="152"/>
      <c r="N34" s="152"/>
      <c r="O34" s="163"/>
    </row>
    <row r="35" spans="2:15">
      <c r="B35" s="150"/>
      <c r="C35" s="152" t="s">
        <v>236</v>
      </c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63"/>
    </row>
    <row r="36" spans="2:15">
      <c r="B36" s="150"/>
      <c r="C36" s="153" t="s">
        <v>235</v>
      </c>
      <c r="D36" s="154"/>
      <c r="E36" s="154"/>
      <c r="F36" s="155"/>
      <c r="G36" s="156" t="s">
        <v>237</v>
      </c>
      <c r="H36" s="154"/>
      <c r="I36" s="154"/>
      <c r="J36" s="155"/>
      <c r="K36" s="153" t="s">
        <v>238</v>
      </c>
      <c r="L36" s="154"/>
      <c r="M36" s="154"/>
      <c r="N36" s="155"/>
      <c r="O36" s="163"/>
    </row>
    <row r="37" spans="2:15">
      <c r="B37" s="150"/>
      <c r="C37" s="761">
        <f>K33/SQRT(2)</f>
        <v>118.79393923933998</v>
      </c>
      <c r="D37" s="762"/>
      <c r="E37" s="157" t="s">
        <v>233</v>
      </c>
      <c r="F37" s="158"/>
      <c r="G37" s="761">
        <f>K33/SQRT(3)</f>
        <v>96.994845223857141</v>
      </c>
      <c r="H37" s="762"/>
      <c r="I37" s="157" t="s">
        <v>233</v>
      </c>
      <c r="J37" s="158"/>
      <c r="K37" s="761">
        <f>K33</f>
        <v>168</v>
      </c>
      <c r="L37" s="762"/>
      <c r="M37" s="157" t="s">
        <v>233</v>
      </c>
      <c r="N37" s="158"/>
      <c r="O37" s="163"/>
    </row>
    <row r="38" spans="2:15">
      <c r="B38" s="159"/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4"/>
    </row>
  </sheetData>
  <mergeCells count="36">
    <mergeCell ref="C37:D37"/>
    <mergeCell ref="G37:H37"/>
    <mergeCell ref="K37:L37"/>
    <mergeCell ref="C29:D29"/>
    <mergeCell ref="G29:H29"/>
    <mergeCell ref="K29:L29"/>
    <mergeCell ref="C33:D33"/>
    <mergeCell ref="E33:F33"/>
    <mergeCell ref="K33:L33"/>
    <mergeCell ref="C21:D21"/>
    <mergeCell ref="G21:H21"/>
    <mergeCell ref="K21:L21"/>
    <mergeCell ref="C25:D25"/>
    <mergeCell ref="E25:F25"/>
    <mergeCell ref="K25:L25"/>
    <mergeCell ref="R15:T15"/>
    <mergeCell ref="V15:X15"/>
    <mergeCell ref="Z15:AB15"/>
    <mergeCell ref="C17:D17"/>
    <mergeCell ref="E17:F17"/>
    <mergeCell ref="K17:L17"/>
    <mergeCell ref="Z12:AC12"/>
    <mergeCell ref="R13:T13"/>
    <mergeCell ref="V13:X13"/>
    <mergeCell ref="Z13:AB13"/>
    <mergeCell ref="R14:U14"/>
    <mergeCell ref="V14:W14"/>
    <mergeCell ref="Z14:AC14"/>
    <mergeCell ref="A1:C1"/>
    <mergeCell ref="E8:F8"/>
    <mergeCell ref="U9:V9"/>
    <mergeCell ref="C12:D12"/>
    <mergeCell ref="G12:H12"/>
    <mergeCell ref="K12:L12"/>
    <mergeCell ref="R12:U12"/>
    <mergeCell ref="V12:Y12"/>
  </mergeCells>
  <phoneticPr fontId="42"/>
  <dataValidations count="1">
    <dataValidation type="list" allowBlank="1" showInputMessage="1" showErrorMessage="1" sqref="U9:V9" xr:uid="{00000000-0002-0000-0A00-000000000000}">
      <formula1>"正弦波,三角波,方形波"</formula1>
    </dataValidation>
  </dataValidations>
  <hyperlinks>
    <hyperlink ref="A1:C1" location="目次!A1" display="　目次　" xr:uid="{00000000-0004-0000-0A00-000000000000}"/>
  </hyperlinks>
  <pageMargins left="0.69930555555555596" right="0.69930555555555596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56"/>
  <sheetViews>
    <sheetView workbookViewId="0">
      <selection sqref="A1:C1"/>
    </sheetView>
  </sheetViews>
  <sheetFormatPr defaultColWidth="4.25" defaultRowHeight="13.5"/>
  <cols>
    <col min="1" max="1" width="3.125" customWidth="1"/>
    <col min="6" max="6" width="4.5" customWidth="1"/>
    <col min="21" max="21" width="4.5" customWidth="1"/>
  </cols>
  <sheetData>
    <row r="1" spans="1:25">
      <c r="A1" s="686" t="s">
        <v>61</v>
      </c>
      <c r="B1" s="686"/>
      <c r="C1" s="686"/>
    </row>
    <row r="2" spans="1:25" ht="14.25">
      <c r="B2" s="115" t="s">
        <v>243</v>
      </c>
    </row>
    <row r="4" spans="1:25">
      <c r="B4" s="40"/>
      <c r="C4" s="40"/>
      <c r="D4" t="s">
        <v>228</v>
      </c>
    </row>
    <row r="5" spans="1:25">
      <c r="B5" s="42"/>
      <c r="C5" s="42"/>
      <c r="D5" t="s">
        <v>63</v>
      </c>
    </row>
    <row r="6" spans="1:25">
      <c r="B6" s="121"/>
      <c r="C6" s="121"/>
      <c r="L6" t="s">
        <v>244</v>
      </c>
      <c r="M6" s="738">
        <v>10</v>
      </c>
      <c r="N6" s="738"/>
      <c r="O6" s="738"/>
      <c r="P6" t="s">
        <v>245</v>
      </c>
      <c r="U6" t="s">
        <v>246</v>
      </c>
      <c r="V6" s="738">
        <v>10</v>
      </c>
      <c r="W6" s="738"/>
      <c r="X6" s="738"/>
      <c r="Y6" t="s">
        <v>245</v>
      </c>
    </row>
    <row r="8" spans="1:25">
      <c r="C8" s="29" t="s">
        <v>213</v>
      </c>
      <c r="D8" s="691">
        <v>100</v>
      </c>
      <c r="E8" s="691"/>
      <c r="F8" s="691"/>
      <c r="G8" t="s">
        <v>215</v>
      </c>
      <c r="L8" s="29" t="s">
        <v>213</v>
      </c>
      <c r="M8" s="691">
        <v>100</v>
      </c>
      <c r="N8" s="691"/>
      <c r="O8" s="691"/>
      <c r="P8" t="s">
        <v>215</v>
      </c>
      <c r="U8" s="29" t="s">
        <v>213</v>
      </c>
      <c r="V8" s="691">
        <f>M8-(M8*V6/100)</f>
        <v>90</v>
      </c>
      <c r="W8" s="691"/>
      <c r="X8" s="691"/>
      <c r="Y8" t="s">
        <v>215</v>
      </c>
    </row>
    <row r="10" spans="1:25">
      <c r="C10" s="29" t="s">
        <v>209</v>
      </c>
      <c r="D10" s="691">
        <v>1000000</v>
      </c>
      <c r="E10" s="691"/>
      <c r="F10" s="691"/>
      <c r="G10" t="s">
        <v>210</v>
      </c>
      <c r="L10" s="29" t="s">
        <v>209</v>
      </c>
      <c r="M10" s="691">
        <v>1000000</v>
      </c>
      <c r="N10" s="691"/>
      <c r="O10" s="691"/>
      <c r="P10" t="s">
        <v>210</v>
      </c>
      <c r="U10" s="29" t="s">
        <v>209</v>
      </c>
      <c r="V10" s="691">
        <v>1000000</v>
      </c>
      <c r="W10" s="691"/>
      <c r="X10" s="691"/>
      <c r="Y10" t="s">
        <v>210</v>
      </c>
    </row>
    <row r="11" spans="1:25">
      <c r="C11" s="29"/>
      <c r="L11" s="29"/>
      <c r="U11" s="29"/>
    </row>
    <row r="12" spans="1:25">
      <c r="C12" s="29" t="s">
        <v>70</v>
      </c>
      <c r="D12" s="691">
        <v>100</v>
      </c>
      <c r="E12" s="691"/>
      <c r="F12" s="691"/>
      <c r="G12" t="s">
        <v>65</v>
      </c>
      <c r="L12" s="29" t="s">
        <v>70</v>
      </c>
      <c r="M12" s="691">
        <v>40</v>
      </c>
      <c r="N12" s="691"/>
      <c r="O12" s="691"/>
      <c r="P12" t="s">
        <v>65</v>
      </c>
      <c r="U12" s="29" t="s">
        <v>70</v>
      </c>
      <c r="V12" s="691">
        <v>40</v>
      </c>
      <c r="W12" s="691"/>
      <c r="X12" s="691"/>
      <c r="Y12" t="s">
        <v>65</v>
      </c>
    </row>
    <row r="14" spans="1:25">
      <c r="C14" s="29" t="s">
        <v>43</v>
      </c>
      <c r="D14" s="765">
        <f>1/(2*PI()*D10*D8*10^-6)</f>
        <v>1.5915494309189536E-3</v>
      </c>
      <c r="E14" s="765"/>
      <c r="F14" s="765"/>
      <c r="G14" t="s">
        <v>91</v>
      </c>
      <c r="L14" s="29" t="s">
        <v>43</v>
      </c>
      <c r="M14" s="765">
        <f>1/(2*PI()*M10*M8*10^-6)</f>
        <v>1.5915494309189536E-3</v>
      </c>
      <c r="N14" s="765"/>
      <c r="O14" s="765"/>
      <c r="P14" t="s">
        <v>91</v>
      </c>
      <c r="U14" s="29" t="s">
        <v>43</v>
      </c>
      <c r="V14" s="765">
        <f>1/(2*PI()*V10*V8*10^-6)</f>
        <v>1.7683882565766149E-3</v>
      </c>
      <c r="W14" s="765"/>
      <c r="X14" s="765"/>
      <c r="Y14" t="s">
        <v>91</v>
      </c>
    </row>
    <row r="16" spans="1:25">
      <c r="C16" s="29" t="s">
        <v>247</v>
      </c>
      <c r="D16" s="765">
        <f>D12/D14</f>
        <v>62831.853071795857</v>
      </c>
      <c r="E16" s="765"/>
      <c r="F16" s="765"/>
      <c r="G16" t="s">
        <v>92</v>
      </c>
      <c r="L16" s="29" t="s">
        <v>247</v>
      </c>
      <c r="M16" s="765">
        <f>M12/M14</f>
        <v>25132.741228718343</v>
      </c>
      <c r="N16" s="765"/>
      <c r="O16" s="765"/>
      <c r="P16" t="s">
        <v>92</v>
      </c>
      <c r="U16" s="29" t="s">
        <v>247</v>
      </c>
      <c r="V16" s="765">
        <f>V12/V14</f>
        <v>22619.46710584651</v>
      </c>
      <c r="W16" s="765"/>
      <c r="X16" s="765"/>
      <c r="Y16" t="s">
        <v>92</v>
      </c>
    </row>
    <row r="18" spans="2:7" s="456" customFormat="1">
      <c r="B18" s="457" t="s">
        <v>1330</v>
      </c>
      <c r="D18" s="710">
        <f>D12*D16</f>
        <v>6283185.307179586</v>
      </c>
      <c r="E18" s="710"/>
      <c r="F18" s="710"/>
      <c r="G18" s="457" t="s">
        <v>1331</v>
      </c>
    </row>
    <row r="19" spans="2:7" s="456" customFormat="1"/>
    <row r="20" spans="2:7" s="456" customFormat="1"/>
    <row r="21" spans="2:7" s="456" customFormat="1"/>
    <row r="22" spans="2:7" s="456" customFormat="1"/>
    <row r="23" spans="2:7" s="456" customFormat="1"/>
    <row r="24" spans="2:7" s="456" customFormat="1"/>
    <row r="25" spans="2:7">
      <c r="B25" t="s">
        <v>248</v>
      </c>
    </row>
    <row r="27" spans="2:7">
      <c r="C27" s="29" t="s">
        <v>225</v>
      </c>
      <c r="D27" s="691">
        <v>10000</v>
      </c>
      <c r="E27" s="691"/>
      <c r="F27" s="691"/>
      <c r="G27" t="s">
        <v>119</v>
      </c>
    </row>
    <row r="29" spans="2:7">
      <c r="C29" s="29" t="s">
        <v>209</v>
      </c>
      <c r="D29" s="691">
        <v>60</v>
      </c>
      <c r="E29" s="691"/>
      <c r="F29" s="691"/>
      <c r="G29" t="s">
        <v>210</v>
      </c>
    </row>
    <row r="30" spans="2:7">
      <c r="C30" s="29"/>
    </row>
    <row r="31" spans="2:7">
      <c r="C31" s="29" t="s">
        <v>70</v>
      </c>
      <c r="D31" s="691">
        <v>100</v>
      </c>
      <c r="E31" s="691"/>
      <c r="F31" s="691"/>
      <c r="G31" t="s">
        <v>65</v>
      </c>
    </row>
    <row r="33" spans="2:21">
      <c r="C33" s="29" t="s">
        <v>43</v>
      </c>
      <c r="D33" s="765">
        <f>2*PI()*D29*D27*10^-6</f>
        <v>3.7699111843077513</v>
      </c>
      <c r="E33" s="765"/>
      <c r="F33" s="765"/>
      <c r="G33" t="s">
        <v>91</v>
      </c>
    </row>
    <row r="35" spans="2:21">
      <c r="C35" s="29" t="s">
        <v>247</v>
      </c>
      <c r="D35" s="765">
        <f>D31/D33</f>
        <v>26.525823848649228</v>
      </c>
      <c r="E35" s="765"/>
      <c r="F35" s="765"/>
      <c r="G35" t="s">
        <v>92</v>
      </c>
    </row>
    <row r="37" spans="2:21">
      <c r="B37" t="s">
        <v>249</v>
      </c>
    </row>
    <row r="40" spans="2:21">
      <c r="K40" s="738"/>
      <c r="L40" s="738"/>
    </row>
    <row r="41" spans="2:21">
      <c r="K41" s="738"/>
      <c r="L41" s="738"/>
    </row>
    <row r="42" spans="2:21">
      <c r="C42" s="29" t="s">
        <v>209</v>
      </c>
      <c r="D42" s="691">
        <v>60</v>
      </c>
      <c r="E42" s="691"/>
      <c r="F42" s="691"/>
      <c r="G42" t="s">
        <v>210</v>
      </c>
      <c r="J42" s="29" t="s">
        <v>209</v>
      </c>
      <c r="K42" s="691">
        <v>43000</v>
      </c>
      <c r="L42" s="691"/>
      <c r="M42" s="691"/>
      <c r="N42" t="s">
        <v>210</v>
      </c>
      <c r="Q42" s="29" t="s">
        <v>209</v>
      </c>
      <c r="R42" s="691">
        <v>43000</v>
      </c>
      <c r="S42" s="691"/>
      <c r="T42" s="691"/>
      <c r="U42" t="s">
        <v>210</v>
      </c>
    </row>
    <row r="43" spans="2:21">
      <c r="C43" s="29"/>
      <c r="J43" s="29"/>
      <c r="Q43" s="29"/>
    </row>
    <row r="44" spans="2:21">
      <c r="C44" s="29" t="s">
        <v>250</v>
      </c>
      <c r="D44" s="691">
        <v>2000</v>
      </c>
      <c r="E44" s="691"/>
      <c r="F44" s="691"/>
      <c r="G44" t="s">
        <v>119</v>
      </c>
      <c r="J44" s="29" t="s">
        <v>250</v>
      </c>
      <c r="K44" s="691">
        <v>2000</v>
      </c>
      <c r="L44" s="691"/>
      <c r="M44" s="691"/>
      <c r="N44" t="s">
        <v>119</v>
      </c>
      <c r="Q44" s="29" t="s">
        <v>250</v>
      </c>
      <c r="R44" s="691">
        <v>2000</v>
      </c>
      <c r="S44" s="691"/>
      <c r="T44" s="691"/>
      <c r="U44" t="s">
        <v>119</v>
      </c>
    </row>
    <row r="45" spans="2:21">
      <c r="C45" s="29"/>
      <c r="J45" s="29"/>
      <c r="Q45" s="29"/>
    </row>
    <row r="46" spans="2:21">
      <c r="C46" s="29" t="s">
        <v>213</v>
      </c>
      <c r="D46" s="691">
        <v>3900</v>
      </c>
      <c r="E46" s="691"/>
      <c r="F46" s="691"/>
      <c r="G46" t="s">
        <v>215</v>
      </c>
      <c r="J46" s="29" t="s">
        <v>213</v>
      </c>
      <c r="K46" s="691">
        <v>6.7999999999999996E-3</v>
      </c>
      <c r="L46" s="691"/>
      <c r="M46" s="691"/>
      <c r="N46" t="s">
        <v>215</v>
      </c>
      <c r="Q46" s="29" t="s">
        <v>213</v>
      </c>
      <c r="R46" s="691">
        <v>6.7999999999999996E-3</v>
      </c>
      <c r="S46" s="691"/>
      <c r="T46" s="691"/>
      <c r="U46" t="s">
        <v>215</v>
      </c>
    </row>
    <row r="47" spans="2:21">
      <c r="C47" s="29"/>
      <c r="J47" s="29"/>
      <c r="Q47" s="29"/>
    </row>
    <row r="48" spans="2:21">
      <c r="C48" s="29" t="s">
        <v>111</v>
      </c>
      <c r="D48" s="691">
        <v>40</v>
      </c>
      <c r="E48" s="691"/>
      <c r="F48" s="691"/>
      <c r="G48" t="s">
        <v>65</v>
      </c>
      <c r="J48" s="29" t="s">
        <v>111</v>
      </c>
      <c r="K48" s="691">
        <v>40</v>
      </c>
      <c r="L48" s="691"/>
      <c r="M48" s="691"/>
      <c r="N48" t="s">
        <v>65</v>
      </c>
      <c r="Q48" s="29" t="s">
        <v>111</v>
      </c>
      <c r="R48" s="691">
        <v>40</v>
      </c>
      <c r="S48" s="691"/>
      <c r="T48" s="691"/>
      <c r="U48" t="s">
        <v>65</v>
      </c>
    </row>
    <row r="49" spans="3:21">
      <c r="C49" s="29"/>
      <c r="J49" s="29"/>
      <c r="Q49" s="29"/>
    </row>
    <row r="50" spans="3:21">
      <c r="C50" s="29" t="s">
        <v>251</v>
      </c>
      <c r="D50" s="765">
        <f>2*PI()*D42*D44*10^-6</f>
        <v>0.75398223686155019</v>
      </c>
      <c r="E50" s="765"/>
      <c r="F50" s="765"/>
      <c r="G50" t="s">
        <v>91</v>
      </c>
      <c r="J50" s="29" t="s">
        <v>251</v>
      </c>
      <c r="K50" s="765">
        <f>2*PI()*K42*K44*10^-6</f>
        <v>540.35393641744429</v>
      </c>
      <c r="L50" s="765"/>
      <c r="M50" s="765"/>
      <c r="N50" t="s">
        <v>91</v>
      </c>
      <c r="Q50" s="29" t="s">
        <v>251</v>
      </c>
      <c r="R50" s="765">
        <f>2*PI()*R42*R44*10^-6</f>
        <v>540.35393641744429</v>
      </c>
      <c r="S50" s="765"/>
      <c r="T50" s="765"/>
      <c r="U50" t="s">
        <v>91</v>
      </c>
    </row>
    <row r="52" spans="3:21">
      <c r="C52" s="29" t="s">
        <v>252</v>
      </c>
      <c r="D52" s="765">
        <f>1/(2*PI()*D42*D46*10^-6)</f>
        <v>0.68014932945254425</v>
      </c>
      <c r="E52" s="765"/>
      <c r="F52" s="765"/>
      <c r="G52" t="s">
        <v>91</v>
      </c>
      <c r="J52" s="29" t="s">
        <v>252</v>
      </c>
      <c r="K52" s="765">
        <f>1/(2*PI()*K42*K46*10^-6)</f>
        <v>544.3055509298747</v>
      </c>
      <c r="L52" s="765"/>
      <c r="M52" s="765"/>
      <c r="N52" t="s">
        <v>91</v>
      </c>
      <c r="Q52" s="29" t="s">
        <v>252</v>
      </c>
      <c r="R52" s="765">
        <f>1/(2*PI()*R42*R46*10^-6)</f>
        <v>544.3055509298747</v>
      </c>
      <c r="S52" s="765"/>
      <c r="T52" s="765"/>
      <c r="U52" t="s">
        <v>91</v>
      </c>
    </row>
    <row r="54" spans="3:21">
      <c r="C54" t="s">
        <v>253</v>
      </c>
      <c r="D54" s="765">
        <f>SQRT((D50-D52)^2)</f>
        <v>7.3832907409005943E-2</v>
      </c>
      <c r="E54" s="765"/>
      <c r="F54" s="765"/>
      <c r="G54" t="s">
        <v>91</v>
      </c>
      <c r="J54" t="s">
        <v>253</v>
      </c>
      <c r="K54" s="765">
        <f>SQRT((K50-K52)^2)</f>
        <v>3.9516145124304103</v>
      </c>
      <c r="L54" s="765"/>
      <c r="M54" s="765"/>
      <c r="N54" t="s">
        <v>91</v>
      </c>
      <c r="Q54" t="s">
        <v>253</v>
      </c>
      <c r="R54" s="765">
        <f>SQRT((R50-R52)^2)</f>
        <v>3.9516145124304103</v>
      </c>
      <c r="S54" s="765"/>
      <c r="T54" s="765"/>
      <c r="U54" t="s">
        <v>91</v>
      </c>
    </row>
    <row r="56" spans="3:21">
      <c r="C56" t="s">
        <v>87</v>
      </c>
      <c r="D56" s="738">
        <f>D48/D54</f>
        <v>541.76384763524709</v>
      </c>
      <c r="E56" s="738"/>
      <c r="F56" s="738"/>
      <c r="G56" t="s">
        <v>92</v>
      </c>
      <c r="J56" t="s">
        <v>87</v>
      </c>
      <c r="K56" s="738">
        <f>K48/K54</f>
        <v>10.122444857456074</v>
      </c>
      <c r="L56" s="738"/>
      <c r="M56" s="738"/>
      <c r="N56" t="s">
        <v>92</v>
      </c>
      <c r="Q56" t="s">
        <v>87</v>
      </c>
      <c r="R56" s="738">
        <f>R48/R54</f>
        <v>10.122444857456074</v>
      </c>
      <c r="S56" s="738"/>
      <c r="T56" s="738"/>
      <c r="U56" t="s">
        <v>92</v>
      </c>
    </row>
  </sheetData>
  <mergeCells count="50">
    <mergeCell ref="D18:F18"/>
    <mergeCell ref="D56:F56"/>
    <mergeCell ref="K56:M56"/>
    <mergeCell ref="R56:T56"/>
    <mergeCell ref="D52:F52"/>
    <mergeCell ref="K52:M52"/>
    <mergeCell ref="R52:T52"/>
    <mergeCell ref="D54:F54"/>
    <mergeCell ref="K54:M54"/>
    <mergeCell ref="R54:T54"/>
    <mergeCell ref="D48:F48"/>
    <mergeCell ref="K48:M48"/>
    <mergeCell ref="R48:T48"/>
    <mergeCell ref="D50:F50"/>
    <mergeCell ref="K50:M50"/>
    <mergeCell ref="R50:T50"/>
    <mergeCell ref="D44:F44"/>
    <mergeCell ref="K44:M44"/>
    <mergeCell ref="R44:T44"/>
    <mergeCell ref="D46:F46"/>
    <mergeCell ref="K46:M46"/>
    <mergeCell ref="R46:T46"/>
    <mergeCell ref="K40:L40"/>
    <mergeCell ref="K41:L41"/>
    <mergeCell ref="D42:F42"/>
    <mergeCell ref="K42:M42"/>
    <mergeCell ref="R42:T42"/>
    <mergeCell ref="D27:F27"/>
    <mergeCell ref="D29:F29"/>
    <mergeCell ref="D31:F31"/>
    <mergeCell ref="D33:F33"/>
    <mergeCell ref="D35:F35"/>
    <mergeCell ref="D14:F14"/>
    <mergeCell ref="M14:O14"/>
    <mergeCell ref="V14:X14"/>
    <mergeCell ref="D16:F16"/>
    <mergeCell ref="M16:O16"/>
    <mergeCell ref="V16:X16"/>
    <mergeCell ref="D10:F10"/>
    <mergeCell ref="M10:O10"/>
    <mergeCell ref="V10:X10"/>
    <mergeCell ref="D12:F12"/>
    <mergeCell ref="M12:O12"/>
    <mergeCell ref="V12:X12"/>
    <mergeCell ref="A1:C1"/>
    <mergeCell ref="M6:O6"/>
    <mergeCell ref="V6:X6"/>
    <mergeCell ref="D8:F8"/>
    <mergeCell ref="M8:O8"/>
    <mergeCell ref="V8:X8"/>
  </mergeCells>
  <phoneticPr fontId="42"/>
  <hyperlinks>
    <hyperlink ref="A1:C1" location="目次!A1" display="　目次　" xr:uid="{00000000-0004-0000-0B00-000000000000}"/>
  </hyperlinks>
  <pageMargins left="0.69930555555555596" right="0.69930555555555596" top="0.75" bottom="0.75" header="0.3" footer="0.3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5"/>
  <sheetViews>
    <sheetView workbookViewId="0">
      <selection activeCell="J3" sqref="J3"/>
    </sheetView>
  </sheetViews>
  <sheetFormatPr defaultColWidth="4.25" defaultRowHeight="13.5"/>
  <cols>
    <col min="1" max="1" width="3.125" customWidth="1"/>
    <col min="6" max="6" width="4.5" customWidth="1"/>
  </cols>
  <sheetData>
    <row r="1" spans="1:12">
      <c r="A1" s="686" t="s">
        <v>61</v>
      </c>
      <c r="B1" s="686"/>
      <c r="C1" s="686"/>
    </row>
    <row r="2" spans="1:12" ht="14.25">
      <c r="B2" s="115" t="s">
        <v>254</v>
      </c>
    </row>
    <row r="4" spans="1:12">
      <c r="B4" s="40"/>
      <c r="C4" s="40"/>
      <c r="D4" t="s">
        <v>228</v>
      </c>
    </row>
    <row r="5" spans="1:12">
      <c r="B5" s="42"/>
      <c r="C5" s="42"/>
      <c r="D5" t="s">
        <v>63</v>
      </c>
    </row>
    <row r="6" spans="1:12">
      <c r="B6" s="121"/>
      <c r="C6" s="121"/>
    </row>
    <row r="7" spans="1:12">
      <c r="B7" s="130"/>
      <c r="C7" s="75"/>
      <c r="D7" s="75"/>
      <c r="E7" s="75"/>
      <c r="F7" s="75"/>
      <c r="G7" s="75"/>
      <c r="H7" s="75"/>
      <c r="I7" s="75"/>
      <c r="J7" s="75"/>
      <c r="K7" s="75"/>
      <c r="L7" s="81"/>
    </row>
    <row r="8" spans="1:12">
      <c r="B8" s="76"/>
      <c r="C8" s="9" t="s">
        <v>255</v>
      </c>
      <c r="D8" s="9"/>
      <c r="E8" s="9"/>
      <c r="F8" s="9"/>
      <c r="G8" s="9"/>
      <c r="H8" s="9"/>
      <c r="I8" s="9"/>
      <c r="J8" s="9"/>
      <c r="K8" s="9"/>
      <c r="L8" s="141"/>
    </row>
    <row r="9" spans="1:12">
      <c r="B9" s="76"/>
      <c r="C9" s="9" t="s">
        <v>256</v>
      </c>
      <c r="D9" s="9"/>
      <c r="E9" s="9"/>
      <c r="F9" s="9"/>
      <c r="G9" s="9"/>
      <c r="H9" s="9"/>
      <c r="I9" s="9"/>
      <c r="J9" s="9"/>
      <c r="K9" s="9"/>
      <c r="L9" s="141"/>
    </row>
    <row r="10" spans="1:12">
      <c r="B10" s="76"/>
      <c r="C10" s="9"/>
      <c r="D10" s="9"/>
      <c r="E10" s="9"/>
      <c r="F10" s="9"/>
      <c r="G10" s="9"/>
      <c r="H10" s="9"/>
      <c r="I10" s="9"/>
      <c r="J10" s="9"/>
      <c r="K10" s="9"/>
      <c r="L10" s="141"/>
    </row>
    <row r="11" spans="1:12">
      <c r="B11" s="76"/>
      <c r="C11" s="701" t="s">
        <v>257</v>
      </c>
      <c r="D11" s="701"/>
      <c r="E11" s="701"/>
      <c r="F11" s="132">
        <v>9</v>
      </c>
      <c r="G11" s="132" t="s">
        <v>214</v>
      </c>
      <c r="H11" s="9"/>
      <c r="I11" s="9"/>
      <c r="J11" s="9"/>
      <c r="K11" s="9"/>
      <c r="L11" s="141"/>
    </row>
    <row r="12" spans="1:12">
      <c r="B12" s="76"/>
      <c r="C12" s="701" t="s">
        <v>258</v>
      </c>
      <c r="D12" s="701"/>
      <c r="E12" s="701"/>
      <c r="F12" s="132">
        <v>5</v>
      </c>
      <c r="G12" s="132" t="s">
        <v>214</v>
      </c>
      <c r="H12" s="9" t="s">
        <v>259</v>
      </c>
      <c r="I12" s="9"/>
      <c r="J12" s="9"/>
      <c r="K12" s="9"/>
      <c r="L12" s="141"/>
    </row>
    <row r="13" spans="1:12">
      <c r="B13" s="76"/>
      <c r="C13" s="718" t="s">
        <v>260</v>
      </c>
      <c r="D13" s="765"/>
      <c r="E13" s="765"/>
      <c r="F13" s="49">
        <f>2*(F11-F12)</f>
        <v>8</v>
      </c>
      <c r="G13" s="49" t="s">
        <v>214</v>
      </c>
      <c r="H13" s="121"/>
      <c r="I13" s="121"/>
      <c r="J13" s="121"/>
      <c r="K13" s="121"/>
      <c r="L13" s="141"/>
    </row>
    <row r="14" spans="1:12">
      <c r="B14" s="76"/>
      <c r="L14" s="141"/>
    </row>
    <row r="15" spans="1:12">
      <c r="B15" s="77"/>
      <c r="C15" s="78"/>
      <c r="D15" s="78"/>
      <c r="E15" s="78"/>
      <c r="F15" s="78"/>
      <c r="G15" s="78"/>
      <c r="H15" s="78"/>
      <c r="I15" s="78"/>
      <c r="J15" s="78"/>
      <c r="K15" s="78"/>
      <c r="L15" s="83"/>
    </row>
  </sheetData>
  <mergeCells count="4">
    <mergeCell ref="A1:C1"/>
    <mergeCell ref="C11:E11"/>
    <mergeCell ref="C12:E12"/>
    <mergeCell ref="C13:E13"/>
  </mergeCells>
  <phoneticPr fontId="42"/>
  <hyperlinks>
    <hyperlink ref="A1:C1" location="目次!A1" display="　目次　" xr:uid="{00000000-0004-0000-0C00-000000000000}"/>
  </hyperlink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6"/>
  <sheetViews>
    <sheetView zoomScale="85" zoomScaleNormal="85" workbookViewId="0">
      <selection sqref="A1:C1"/>
    </sheetView>
  </sheetViews>
  <sheetFormatPr defaultColWidth="9" defaultRowHeight="13.5"/>
  <cols>
    <col min="1" max="1" width="9" customWidth="1"/>
  </cols>
  <sheetData>
    <row r="1" spans="1:34">
      <c r="A1" s="686" t="s">
        <v>61</v>
      </c>
      <c r="B1" s="686"/>
      <c r="C1" s="686"/>
    </row>
    <row r="2" spans="1:34" ht="21">
      <c r="B2" s="139" t="s">
        <v>261</v>
      </c>
      <c r="J2" s="121"/>
      <c r="K2" s="121"/>
      <c r="AH2" s="139"/>
    </row>
    <row r="3" spans="1:34" ht="21">
      <c r="J3" s="121"/>
      <c r="K3" s="121"/>
      <c r="AH3" s="139"/>
    </row>
    <row r="4" spans="1:34" ht="21">
      <c r="B4" s="132"/>
      <c r="C4" s="132"/>
      <c r="D4" s="132"/>
      <c r="E4" s="63" t="s">
        <v>86</v>
      </c>
      <c r="F4" s="63"/>
      <c r="G4" s="63"/>
      <c r="H4" s="63"/>
      <c r="I4" s="63"/>
      <c r="J4" s="9"/>
      <c r="K4" s="9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H4" s="139"/>
    </row>
    <row r="5" spans="1:34" ht="21">
      <c r="B5" s="140"/>
      <c r="C5" s="140"/>
      <c r="D5" s="140"/>
      <c r="E5" s="63" t="s">
        <v>151</v>
      </c>
      <c r="F5" s="63"/>
      <c r="G5" s="63"/>
      <c r="H5" s="63"/>
      <c r="I5" s="63"/>
      <c r="J5" s="9"/>
      <c r="K5" s="9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H5" s="139"/>
    </row>
    <row r="6" spans="1:34" ht="21">
      <c r="B6" s="133"/>
      <c r="C6" s="133"/>
      <c r="D6" s="133"/>
      <c r="E6" s="63" t="s">
        <v>63</v>
      </c>
      <c r="F6" s="63"/>
      <c r="G6" s="63"/>
      <c r="H6" s="63"/>
      <c r="I6" s="63"/>
      <c r="J6" s="9"/>
      <c r="K6" s="9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H6" s="139"/>
    </row>
    <row r="9" spans="1:34">
      <c r="B9" t="s">
        <v>262</v>
      </c>
      <c r="C9" s="691">
        <v>4.2</v>
      </c>
      <c r="D9" s="691"/>
    </row>
    <row r="10" spans="1:34">
      <c r="B10" t="s">
        <v>263</v>
      </c>
      <c r="C10" s="691">
        <v>3.2</v>
      </c>
      <c r="D10" s="691"/>
    </row>
    <row r="11" spans="1:34">
      <c r="B11" s="75" t="s">
        <v>264</v>
      </c>
      <c r="C11" s="713">
        <f>C10/C9*100</f>
        <v>76.19047619047619</v>
      </c>
      <c r="D11" s="713"/>
      <c r="E11" s="75" t="s">
        <v>265</v>
      </c>
    </row>
    <row r="14" spans="1:34">
      <c r="B14" t="s">
        <v>262</v>
      </c>
      <c r="C14" s="691">
        <v>3.2</v>
      </c>
      <c r="D14" s="691"/>
    </row>
    <row r="15" spans="1:34">
      <c r="B15" t="s">
        <v>266</v>
      </c>
      <c r="C15" s="691">
        <v>131.19999999999999</v>
      </c>
      <c r="D15" s="691"/>
      <c r="E15" t="s">
        <v>265</v>
      </c>
    </row>
    <row r="16" spans="1:34">
      <c r="B16" s="75" t="s">
        <v>267</v>
      </c>
      <c r="C16" s="713">
        <f>C14*(C15/100)</f>
        <v>4.1983999999999995</v>
      </c>
      <c r="D16" s="713"/>
      <c r="E16" s="75"/>
    </row>
  </sheetData>
  <mergeCells count="7">
    <mergeCell ref="C15:D15"/>
    <mergeCell ref="C16:D16"/>
    <mergeCell ref="A1:C1"/>
    <mergeCell ref="C9:D9"/>
    <mergeCell ref="C10:D10"/>
    <mergeCell ref="C11:D11"/>
    <mergeCell ref="C14:D14"/>
  </mergeCells>
  <phoneticPr fontId="42"/>
  <hyperlinks>
    <hyperlink ref="A1:C1" location="目次!A1" display="　目次　" xr:uid="{00000000-0004-0000-0D00-000000000000}"/>
  </hyperlinks>
  <pageMargins left="0.69930555555555596" right="0.69930555555555596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86"/>
  <sheetViews>
    <sheetView zoomScale="85" zoomScaleNormal="85" workbookViewId="0">
      <selection sqref="A1:C1"/>
    </sheetView>
  </sheetViews>
  <sheetFormatPr defaultColWidth="9" defaultRowHeight="13.5"/>
  <cols>
    <col min="1" max="1" width="4.25" customWidth="1"/>
    <col min="2" max="2" width="3.875" customWidth="1"/>
    <col min="7" max="7" width="10.375" customWidth="1"/>
    <col min="8" max="8" width="10.5" bestFit="1" customWidth="1"/>
    <col min="9" max="9" width="11.5" customWidth="1"/>
    <col min="12" max="12" width="8.875" customWidth="1"/>
    <col min="26" max="26" width="7" customWidth="1"/>
  </cols>
  <sheetData>
    <row r="1" spans="1:30">
      <c r="A1" s="686" t="s">
        <v>61</v>
      </c>
      <c r="B1" s="686"/>
      <c r="C1" s="686"/>
    </row>
    <row r="2" spans="1:30" ht="18.75">
      <c r="B2" s="129" t="s">
        <v>268</v>
      </c>
    </row>
    <row r="4" spans="1:30">
      <c r="B4" s="40"/>
      <c r="C4" s="40"/>
      <c r="D4" t="s">
        <v>228</v>
      </c>
    </row>
    <row r="5" spans="1:30">
      <c r="B5" s="42"/>
      <c r="C5" s="42"/>
      <c r="D5" t="s">
        <v>63</v>
      </c>
    </row>
    <row r="6" spans="1:30" ht="14.25" thickBot="1"/>
    <row r="7" spans="1:30">
      <c r="B7" s="130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81"/>
      <c r="Q7" s="130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81"/>
    </row>
    <row r="8" spans="1:30">
      <c r="B8" s="76"/>
      <c r="C8" s="131" t="s">
        <v>269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82"/>
      <c r="Q8" s="76"/>
      <c r="R8" s="131" t="s">
        <v>1235</v>
      </c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82"/>
    </row>
    <row r="9" spans="1:30">
      <c r="B9" s="76"/>
      <c r="C9" s="63"/>
      <c r="D9" s="63"/>
      <c r="E9" s="63"/>
      <c r="F9" s="63"/>
      <c r="G9" s="63"/>
      <c r="H9" s="63"/>
      <c r="I9" s="63"/>
      <c r="J9" s="63"/>
      <c r="K9" s="123" t="s">
        <v>270</v>
      </c>
      <c r="L9" s="132">
        <v>2</v>
      </c>
      <c r="M9" s="63" t="s">
        <v>65</v>
      </c>
      <c r="N9" s="63"/>
      <c r="O9" s="82"/>
      <c r="Q9" s="76"/>
      <c r="R9" s="63"/>
      <c r="S9" s="63"/>
      <c r="T9" s="63"/>
      <c r="U9" s="63"/>
      <c r="V9" s="63"/>
      <c r="W9" s="63"/>
      <c r="X9" s="63"/>
      <c r="Y9" s="63"/>
      <c r="Z9" s="414" t="s">
        <v>270</v>
      </c>
      <c r="AA9" s="132">
        <v>2</v>
      </c>
      <c r="AB9" s="63" t="s">
        <v>65</v>
      </c>
      <c r="AC9" s="63"/>
      <c r="AD9" s="82"/>
    </row>
    <row r="10" spans="1:30">
      <c r="B10" s="76"/>
      <c r="C10" s="63"/>
      <c r="D10" s="63"/>
      <c r="E10" s="63"/>
      <c r="F10" s="63"/>
      <c r="G10" s="63"/>
      <c r="H10" s="63"/>
      <c r="I10" s="63"/>
      <c r="J10" s="63"/>
      <c r="K10" s="123" t="s">
        <v>271</v>
      </c>
      <c r="L10" s="132">
        <v>3</v>
      </c>
      <c r="M10" s="63" t="s">
        <v>131</v>
      </c>
      <c r="N10" s="63"/>
      <c r="O10" s="82"/>
      <c r="Q10" s="76"/>
      <c r="R10" s="63"/>
      <c r="S10" s="63"/>
      <c r="T10" s="63"/>
      <c r="U10" s="63"/>
      <c r="V10" s="63"/>
      <c r="W10" s="63"/>
      <c r="X10" s="63"/>
      <c r="Y10" s="63"/>
      <c r="Z10" s="414" t="s">
        <v>271</v>
      </c>
      <c r="AA10" s="132">
        <v>3</v>
      </c>
      <c r="AB10" s="63" t="s">
        <v>131</v>
      </c>
      <c r="AC10" s="63"/>
      <c r="AD10" s="82"/>
    </row>
    <row r="11" spans="1:30" ht="13.5" customHeight="1">
      <c r="B11" s="76"/>
      <c r="C11" s="63"/>
      <c r="D11" s="63"/>
      <c r="E11" s="63"/>
      <c r="F11" s="63"/>
      <c r="G11" s="63"/>
      <c r="H11" s="63"/>
      <c r="I11" s="63"/>
      <c r="J11" s="63"/>
      <c r="K11" s="123" t="s">
        <v>142</v>
      </c>
      <c r="L11" s="133">
        <f>L9*L10</f>
        <v>6</v>
      </c>
      <c r="M11" s="63" t="s">
        <v>65</v>
      </c>
      <c r="N11" s="63"/>
      <c r="O11" s="82"/>
      <c r="Q11" s="76"/>
      <c r="R11" s="63"/>
      <c r="S11" s="63"/>
      <c r="T11" s="63"/>
      <c r="U11" s="63"/>
      <c r="V11" s="63"/>
      <c r="W11" s="63"/>
      <c r="X11" s="63"/>
      <c r="Y11" s="63"/>
      <c r="Z11" s="414" t="s">
        <v>142</v>
      </c>
      <c r="AA11" s="133">
        <f>AA9*AA10</f>
        <v>6</v>
      </c>
      <c r="AB11" s="63" t="s">
        <v>65</v>
      </c>
      <c r="AC11" s="63"/>
      <c r="AD11" s="82"/>
    </row>
    <row r="12" spans="1:30" ht="13.5" customHeight="1">
      <c r="B12" s="76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82"/>
      <c r="Q12" s="76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82"/>
    </row>
    <row r="13" spans="1:30" ht="13.5" customHeight="1">
      <c r="B13" s="76"/>
      <c r="C13" s="63"/>
      <c r="D13" s="63"/>
      <c r="E13" s="63"/>
      <c r="F13" s="63"/>
      <c r="G13" s="63"/>
      <c r="H13" s="63"/>
      <c r="I13" s="63"/>
      <c r="J13" s="63"/>
      <c r="K13" s="123" t="s">
        <v>270</v>
      </c>
      <c r="L13" s="132">
        <v>1</v>
      </c>
      <c r="M13" s="63" t="s">
        <v>65</v>
      </c>
      <c r="N13" s="63"/>
      <c r="O13" s="82"/>
      <c r="Q13" s="76"/>
      <c r="R13" s="63"/>
      <c r="S13" s="63"/>
      <c r="T13" s="63"/>
      <c r="U13" s="63"/>
      <c r="V13" s="63"/>
      <c r="W13" s="63"/>
      <c r="X13" s="63"/>
      <c r="Y13" s="63"/>
      <c r="Z13" s="414" t="s">
        <v>270</v>
      </c>
      <c r="AA13" s="132">
        <v>1</v>
      </c>
      <c r="AB13" s="63" t="s">
        <v>65</v>
      </c>
      <c r="AC13" s="63"/>
      <c r="AD13" s="82"/>
    </row>
    <row r="14" spans="1:30">
      <c r="B14" s="76"/>
      <c r="C14" s="63"/>
      <c r="D14" s="63"/>
      <c r="E14" s="63"/>
      <c r="F14" s="63"/>
      <c r="G14" s="63"/>
      <c r="H14" s="63"/>
      <c r="I14" s="63"/>
      <c r="J14" s="63"/>
      <c r="K14" s="123" t="s">
        <v>142</v>
      </c>
      <c r="L14" s="132">
        <v>2</v>
      </c>
      <c r="M14" s="63" t="s">
        <v>65</v>
      </c>
      <c r="N14" s="63"/>
      <c r="O14" s="82"/>
      <c r="Q14" s="76"/>
      <c r="R14" s="63"/>
      <c r="S14" s="63"/>
      <c r="T14" s="63"/>
      <c r="U14" s="63"/>
      <c r="V14" s="63"/>
      <c r="W14" s="63"/>
      <c r="X14" s="63"/>
      <c r="Y14" s="63"/>
      <c r="Z14" s="414" t="s">
        <v>142</v>
      </c>
      <c r="AA14" s="132">
        <v>2</v>
      </c>
      <c r="AB14" s="63" t="s">
        <v>65</v>
      </c>
      <c r="AC14" s="63"/>
      <c r="AD14" s="82"/>
    </row>
    <row r="15" spans="1:30">
      <c r="B15" s="76"/>
      <c r="C15" s="63"/>
      <c r="D15" s="63"/>
      <c r="E15" s="63"/>
      <c r="F15" s="63"/>
      <c r="G15" s="63"/>
      <c r="H15" s="63"/>
      <c r="I15" s="63"/>
      <c r="J15" s="63"/>
      <c r="K15" s="123" t="s">
        <v>271</v>
      </c>
      <c r="L15" s="133">
        <f>L14/L13</f>
        <v>2</v>
      </c>
      <c r="M15" s="63" t="s">
        <v>131</v>
      </c>
      <c r="N15" s="63"/>
      <c r="O15" s="82"/>
      <c r="Q15" s="76"/>
      <c r="R15" s="63"/>
      <c r="S15" s="63"/>
      <c r="T15" s="63"/>
      <c r="U15" s="63"/>
      <c r="V15" s="63"/>
      <c r="W15" s="63"/>
      <c r="X15" s="63"/>
      <c r="Y15" s="63"/>
      <c r="Z15" s="414" t="s">
        <v>271</v>
      </c>
      <c r="AA15" s="133">
        <f>AA14/AA13</f>
        <v>2</v>
      </c>
      <c r="AB15" s="63" t="s">
        <v>131</v>
      </c>
      <c r="AC15" s="63"/>
      <c r="AD15" s="82"/>
    </row>
    <row r="16" spans="1:30">
      <c r="B16" s="76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82"/>
      <c r="Q16" s="76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82"/>
    </row>
    <row r="17" spans="2:30">
      <c r="B17" s="76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82"/>
      <c r="Q17" s="76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82"/>
    </row>
    <row r="18" spans="2:30">
      <c r="B18" s="76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82"/>
      <c r="Q18" s="76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82"/>
    </row>
    <row r="19" spans="2:30">
      <c r="B19" s="76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82"/>
      <c r="Q19" s="76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82"/>
    </row>
    <row r="20" spans="2:30">
      <c r="B20" s="76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82"/>
      <c r="Q20" s="76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82"/>
    </row>
    <row r="21" spans="2:30">
      <c r="B21" s="76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82"/>
      <c r="Q21" s="76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82"/>
    </row>
    <row r="22" spans="2:30">
      <c r="B22" s="76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82"/>
      <c r="Q22" s="76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82"/>
    </row>
    <row r="23" spans="2:30">
      <c r="B23" s="76"/>
      <c r="C23" s="63"/>
      <c r="D23" s="123" t="s">
        <v>272</v>
      </c>
      <c r="E23" s="132">
        <v>1.5</v>
      </c>
      <c r="F23" s="63" t="s">
        <v>65</v>
      </c>
      <c r="G23" s="63"/>
      <c r="H23" s="123" t="s">
        <v>272</v>
      </c>
      <c r="I23" s="132">
        <v>1.1000000000000001</v>
      </c>
      <c r="J23" s="63" t="s">
        <v>65</v>
      </c>
      <c r="K23" s="63"/>
      <c r="L23" s="123" t="s">
        <v>272</v>
      </c>
      <c r="M23" s="132">
        <v>1</v>
      </c>
      <c r="N23" s="63" t="s">
        <v>65</v>
      </c>
      <c r="O23" s="82"/>
      <c r="Q23" s="76"/>
      <c r="R23" s="63"/>
      <c r="S23" s="414" t="s">
        <v>272</v>
      </c>
      <c r="T23" s="132">
        <v>2.5</v>
      </c>
      <c r="U23" s="63" t="s">
        <v>65</v>
      </c>
      <c r="V23" s="63"/>
      <c r="W23" s="414" t="s">
        <v>272</v>
      </c>
      <c r="X23" s="132">
        <v>1.1000000000000001</v>
      </c>
      <c r="Y23" s="63" t="s">
        <v>65</v>
      </c>
      <c r="Z23" s="63"/>
      <c r="AA23" s="414" t="s">
        <v>272</v>
      </c>
      <c r="AB23" s="132">
        <v>1</v>
      </c>
      <c r="AC23" s="63" t="s">
        <v>65</v>
      </c>
      <c r="AD23" s="82"/>
    </row>
    <row r="24" spans="2:30">
      <c r="B24" s="76"/>
      <c r="C24" s="63"/>
      <c r="D24" s="123" t="s">
        <v>273</v>
      </c>
      <c r="E24" s="132">
        <v>1000</v>
      </c>
      <c r="F24" s="63" t="s">
        <v>91</v>
      </c>
      <c r="G24" s="63"/>
      <c r="H24" s="123" t="s">
        <v>273</v>
      </c>
      <c r="I24" s="132">
        <v>10000</v>
      </c>
      <c r="J24" s="63" t="s">
        <v>91</v>
      </c>
      <c r="K24" s="63"/>
      <c r="L24" s="123" t="s">
        <v>274</v>
      </c>
      <c r="M24" s="132">
        <v>10000</v>
      </c>
      <c r="N24" s="63" t="s">
        <v>91</v>
      </c>
      <c r="O24" s="82"/>
      <c r="Q24" s="76"/>
      <c r="R24" s="63"/>
      <c r="S24" s="417" t="s">
        <v>1236</v>
      </c>
      <c r="T24" s="132">
        <v>1000</v>
      </c>
      <c r="U24" s="63" t="s">
        <v>91</v>
      </c>
      <c r="V24" s="63"/>
      <c r="W24" s="414" t="s">
        <v>273</v>
      </c>
      <c r="X24" s="132">
        <v>10000</v>
      </c>
      <c r="Y24" s="63" t="s">
        <v>91</v>
      </c>
      <c r="Z24" s="63"/>
      <c r="AA24" s="414" t="s">
        <v>274</v>
      </c>
      <c r="AB24" s="132">
        <v>10000</v>
      </c>
      <c r="AC24" s="63" t="s">
        <v>91</v>
      </c>
      <c r="AD24" s="82"/>
    </row>
    <row r="25" spans="2:30">
      <c r="B25" s="76"/>
      <c r="C25" s="63"/>
      <c r="D25" s="123" t="s">
        <v>274</v>
      </c>
      <c r="E25" s="132">
        <v>1000</v>
      </c>
      <c r="F25" s="63" t="s">
        <v>91</v>
      </c>
      <c r="G25" s="63"/>
      <c r="H25" s="123" t="s">
        <v>271</v>
      </c>
      <c r="I25" s="132">
        <v>2</v>
      </c>
      <c r="J25" s="63" t="s">
        <v>131</v>
      </c>
      <c r="K25" s="63"/>
      <c r="L25" s="123" t="s">
        <v>271</v>
      </c>
      <c r="M25" s="132">
        <v>1.1000000000000001</v>
      </c>
      <c r="N25" s="63" t="s">
        <v>131</v>
      </c>
      <c r="O25" s="82"/>
      <c r="Q25" s="76"/>
      <c r="R25" s="63"/>
      <c r="S25" s="414" t="s">
        <v>274</v>
      </c>
      <c r="T25" s="132">
        <v>10000</v>
      </c>
      <c r="U25" s="63" t="s">
        <v>91</v>
      </c>
      <c r="V25" s="63"/>
      <c r="W25" s="414" t="s">
        <v>271</v>
      </c>
      <c r="X25" s="132">
        <v>1.1000000000000001</v>
      </c>
      <c r="Y25" s="63" t="s">
        <v>131</v>
      </c>
      <c r="Z25" s="63"/>
      <c r="AA25" s="414" t="s">
        <v>271</v>
      </c>
      <c r="AB25" s="132">
        <v>1.1000000000000001</v>
      </c>
      <c r="AC25" s="63" t="s">
        <v>131</v>
      </c>
      <c r="AD25" s="82"/>
    </row>
    <row r="26" spans="2:30">
      <c r="B26" s="76"/>
      <c r="C26" s="63"/>
      <c r="D26" s="123" t="s">
        <v>271</v>
      </c>
      <c r="E26" s="133">
        <f>(E24+E25)/E24</f>
        <v>2</v>
      </c>
      <c r="F26" s="63" t="s">
        <v>131</v>
      </c>
      <c r="G26" s="63"/>
      <c r="H26" s="123" t="s">
        <v>274</v>
      </c>
      <c r="I26" s="133">
        <f>I25*I24-I24</f>
        <v>10000</v>
      </c>
      <c r="J26" s="63" t="s">
        <v>91</v>
      </c>
      <c r="K26" s="63"/>
      <c r="L26" s="123" t="s">
        <v>273</v>
      </c>
      <c r="M26" s="133">
        <f>M24/(M25-1)</f>
        <v>99999.999999999913</v>
      </c>
      <c r="N26" s="63" t="s">
        <v>91</v>
      </c>
      <c r="O26" s="82"/>
      <c r="Q26" s="76"/>
      <c r="R26" s="63"/>
      <c r="S26" s="414" t="s">
        <v>271</v>
      </c>
      <c r="T26" s="133">
        <f>T25/T24</f>
        <v>10</v>
      </c>
      <c r="U26" s="63" t="s">
        <v>131</v>
      </c>
      <c r="V26" s="63"/>
      <c r="W26" s="414" t="s">
        <v>274</v>
      </c>
      <c r="X26" s="133"/>
      <c r="Y26" s="63" t="s">
        <v>91</v>
      </c>
      <c r="Z26" s="63"/>
      <c r="AA26" s="414" t="s">
        <v>273</v>
      </c>
      <c r="AB26" s="133"/>
      <c r="AC26" s="63" t="s">
        <v>91</v>
      </c>
      <c r="AD26" s="82"/>
    </row>
    <row r="27" spans="2:30">
      <c r="B27" s="76"/>
      <c r="C27" s="63"/>
      <c r="D27" s="4" t="s">
        <v>275</v>
      </c>
      <c r="E27" s="133">
        <f>E23*E26</f>
        <v>3</v>
      </c>
      <c r="F27" s="9" t="s">
        <v>65</v>
      </c>
      <c r="G27" s="63"/>
      <c r="H27" s="123" t="s">
        <v>275</v>
      </c>
      <c r="I27" s="133">
        <f>I23*I25</f>
        <v>2.2000000000000002</v>
      </c>
      <c r="J27" s="63" t="s">
        <v>65</v>
      </c>
      <c r="K27" s="63"/>
      <c r="L27" s="4" t="s">
        <v>275</v>
      </c>
      <c r="M27" s="133">
        <f>M23*M25</f>
        <v>1.1000000000000001</v>
      </c>
      <c r="N27" s="63" t="s">
        <v>65</v>
      </c>
      <c r="O27" s="82"/>
      <c r="Q27" s="76"/>
      <c r="R27" s="63"/>
      <c r="S27" s="416" t="s">
        <v>275</v>
      </c>
      <c r="T27" s="133">
        <f>-T26*T23</f>
        <v>-25</v>
      </c>
      <c r="U27" s="415" t="s">
        <v>65</v>
      </c>
      <c r="V27" s="63"/>
      <c r="W27" s="417" t="s">
        <v>1237</v>
      </c>
      <c r="X27" s="133"/>
      <c r="Y27" s="63" t="s">
        <v>65</v>
      </c>
      <c r="Z27" s="63"/>
      <c r="AA27" s="416" t="s">
        <v>275</v>
      </c>
      <c r="AB27" s="133"/>
      <c r="AC27" s="63" t="s">
        <v>65</v>
      </c>
      <c r="AD27" s="82"/>
    </row>
    <row r="28" spans="2:30">
      <c r="B28" s="76"/>
      <c r="C28" s="63"/>
      <c r="D28" s="4"/>
      <c r="E28" s="63"/>
      <c r="F28" s="9"/>
      <c r="G28" s="63"/>
      <c r="H28" s="63"/>
      <c r="I28" s="63"/>
      <c r="J28" s="63"/>
      <c r="K28" s="63"/>
      <c r="L28" s="4"/>
      <c r="M28" s="63"/>
      <c r="N28" s="9"/>
      <c r="O28" s="82"/>
      <c r="Q28" s="76"/>
      <c r="R28" s="63"/>
      <c r="S28" s="416"/>
      <c r="T28" s="63"/>
      <c r="U28" s="415"/>
      <c r="V28" s="63"/>
      <c r="W28" s="63"/>
      <c r="X28" s="63"/>
      <c r="Y28" s="63"/>
      <c r="Z28" s="63"/>
      <c r="AA28" s="416"/>
      <c r="AB28" s="63"/>
      <c r="AC28" s="415"/>
      <c r="AD28" s="82"/>
    </row>
    <row r="29" spans="2:30">
      <c r="B29" s="76"/>
      <c r="C29" s="63"/>
      <c r="D29" s="4"/>
      <c r="E29" s="63"/>
      <c r="F29" s="9"/>
      <c r="G29" s="63"/>
      <c r="H29" s="63"/>
      <c r="I29" s="63"/>
      <c r="J29" s="63"/>
      <c r="K29" s="63"/>
      <c r="L29" s="4"/>
      <c r="M29" s="63"/>
      <c r="N29" s="9"/>
      <c r="O29" s="82"/>
      <c r="Q29" s="76"/>
      <c r="R29" s="63"/>
      <c r="S29" s="416"/>
      <c r="T29" s="63"/>
      <c r="U29" s="415"/>
      <c r="V29" s="63"/>
      <c r="W29" s="63"/>
      <c r="X29" s="63"/>
      <c r="Y29" s="63"/>
      <c r="Z29" s="63"/>
      <c r="AA29" s="416"/>
      <c r="AB29" s="63"/>
      <c r="AC29" s="415"/>
      <c r="AD29" s="82"/>
    </row>
    <row r="30" spans="2:30">
      <c r="B30" s="76"/>
      <c r="C30" s="63"/>
      <c r="D30" s="123"/>
      <c r="E30" s="63"/>
      <c r="F30" s="63"/>
      <c r="G30" s="63"/>
      <c r="H30" s="63"/>
      <c r="I30" s="63"/>
      <c r="J30" s="63"/>
      <c r="K30" s="63"/>
      <c r="L30" s="123"/>
      <c r="M30" s="63"/>
      <c r="N30" s="63"/>
      <c r="O30" s="82"/>
      <c r="Q30" s="76"/>
      <c r="R30" s="63"/>
      <c r="S30" s="414"/>
      <c r="T30" s="63"/>
      <c r="U30" s="63"/>
      <c r="V30" s="63"/>
      <c r="W30" s="63"/>
      <c r="X30" s="63"/>
      <c r="Y30" s="63"/>
      <c r="Z30" s="63"/>
      <c r="AA30" s="414"/>
      <c r="AB30" s="63"/>
      <c r="AC30" s="63"/>
      <c r="AD30" s="82"/>
    </row>
    <row r="31" spans="2:30">
      <c r="B31" s="76"/>
      <c r="C31" s="63"/>
      <c r="D31" s="123" t="s">
        <v>276</v>
      </c>
      <c r="E31" s="132">
        <v>1.5</v>
      </c>
      <c r="F31" s="63" t="s">
        <v>65</v>
      </c>
      <c r="G31" s="63"/>
      <c r="H31" s="123" t="s">
        <v>276</v>
      </c>
      <c r="I31" s="132">
        <v>2</v>
      </c>
      <c r="J31" s="63" t="s">
        <v>65</v>
      </c>
      <c r="K31" s="136"/>
      <c r="L31" s="123" t="s">
        <v>276</v>
      </c>
      <c r="M31" s="132">
        <v>2</v>
      </c>
      <c r="N31" s="63" t="s">
        <v>65</v>
      </c>
      <c r="O31" s="82"/>
      <c r="Q31" s="76"/>
      <c r="R31" s="63"/>
      <c r="S31" s="414" t="s">
        <v>276</v>
      </c>
      <c r="T31" s="132">
        <v>2</v>
      </c>
      <c r="U31" s="63" t="s">
        <v>65</v>
      </c>
      <c r="V31" s="63"/>
      <c r="W31" s="414" t="s">
        <v>276</v>
      </c>
      <c r="X31" s="132">
        <v>2</v>
      </c>
      <c r="Y31" s="63" t="s">
        <v>65</v>
      </c>
      <c r="Z31" s="136"/>
      <c r="AA31" s="414" t="s">
        <v>276</v>
      </c>
      <c r="AB31" s="132">
        <v>2</v>
      </c>
      <c r="AC31" s="63" t="s">
        <v>65</v>
      </c>
      <c r="AD31" s="82"/>
    </row>
    <row r="32" spans="2:30" ht="14.25" thickBot="1">
      <c r="B32" s="77"/>
      <c r="C32" s="134"/>
      <c r="D32" s="134" t="s">
        <v>277</v>
      </c>
      <c r="E32" s="135">
        <f>(E27-E31)*E26+E31</f>
        <v>4.5</v>
      </c>
      <c r="F32" s="78" t="s">
        <v>65</v>
      </c>
      <c r="G32" s="134"/>
      <c r="H32" s="134" t="s">
        <v>277</v>
      </c>
      <c r="I32" s="135">
        <f>(I27-I31)*I25+I31</f>
        <v>2.4000000000000004</v>
      </c>
      <c r="J32" s="78" t="s">
        <v>65</v>
      </c>
      <c r="K32" s="78"/>
      <c r="L32" s="134" t="s">
        <v>277</v>
      </c>
      <c r="M32" s="135">
        <f>(M27-M31)*M25+M31</f>
        <v>1.01</v>
      </c>
      <c r="N32" s="78" t="s">
        <v>65</v>
      </c>
      <c r="O32" s="83"/>
      <c r="Q32" s="77"/>
      <c r="R32" s="134"/>
      <c r="S32" s="134" t="s">
        <v>277</v>
      </c>
      <c r="T32" s="135"/>
      <c r="U32" s="78" t="s">
        <v>65</v>
      </c>
      <c r="V32" s="134"/>
      <c r="W32" s="134" t="s">
        <v>277</v>
      </c>
      <c r="X32" s="135"/>
      <c r="Y32" s="78" t="s">
        <v>65</v>
      </c>
      <c r="Z32" s="78"/>
      <c r="AA32" s="134" t="s">
        <v>277</v>
      </c>
      <c r="AB32" s="135"/>
      <c r="AC32" s="78" t="s">
        <v>65</v>
      </c>
      <c r="AD32" s="83"/>
    </row>
    <row r="35" spans="2:19">
      <c r="B35" s="130"/>
      <c r="C35" s="75"/>
      <c r="D35" s="75"/>
      <c r="E35" s="75"/>
      <c r="F35" s="75"/>
      <c r="G35" s="75"/>
      <c r="H35" s="75"/>
      <c r="I35" s="75"/>
      <c r="J35" s="81"/>
      <c r="K35" t="s">
        <v>208</v>
      </c>
    </row>
    <row r="36" spans="2:19">
      <c r="B36" s="76"/>
      <c r="C36" s="131" t="s">
        <v>1792</v>
      </c>
      <c r="D36" s="63"/>
      <c r="E36" s="63"/>
      <c r="F36" s="63"/>
      <c r="G36" s="131" t="s">
        <v>278</v>
      </c>
      <c r="H36" s="63"/>
      <c r="I36" s="63"/>
      <c r="J36" s="82"/>
      <c r="K36" t="s">
        <v>90</v>
      </c>
      <c r="M36" s="137">
        <v>5600</v>
      </c>
      <c r="N36" t="s">
        <v>91</v>
      </c>
    </row>
    <row r="37" spans="2:19">
      <c r="B37" s="76"/>
      <c r="C37" s="63"/>
      <c r="D37" s="63"/>
      <c r="E37" s="63"/>
      <c r="F37" s="63"/>
      <c r="G37" s="63"/>
      <c r="H37" s="63"/>
      <c r="I37" s="63"/>
      <c r="J37" s="82"/>
      <c r="K37" t="s">
        <v>213</v>
      </c>
      <c r="M37" s="137">
        <v>4700</v>
      </c>
      <c r="N37" t="s">
        <v>214</v>
      </c>
    </row>
    <row r="38" spans="2:19">
      <c r="B38" s="76"/>
      <c r="C38" s="63"/>
      <c r="D38" s="63"/>
      <c r="E38" s="63"/>
      <c r="F38" s="63"/>
      <c r="G38" s="63"/>
      <c r="H38" s="63"/>
      <c r="I38" s="63"/>
      <c r="J38" s="82"/>
    </row>
    <row r="39" spans="2:19" ht="14.25">
      <c r="B39" s="76"/>
      <c r="C39" s="63"/>
      <c r="D39" s="63"/>
      <c r="E39" s="63"/>
      <c r="F39" s="63"/>
      <c r="G39" s="63"/>
      <c r="H39" s="63"/>
      <c r="I39" s="63"/>
      <c r="J39" s="82"/>
      <c r="K39" s="692" t="s">
        <v>11</v>
      </c>
      <c r="L39" s="692"/>
      <c r="M39" s="766">
        <f>1/(2*PI()*M37*10^-12*M36)</f>
        <v>6046.9203302391852</v>
      </c>
      <c r="N39" s="766"/>
      <c r="O39" s="42" t="s">
        <v>210</v>
      </c>
      <c r="P39" s="692"/>
      <c r="Q39" s="692">
        <f>(1/M39)</f>
        <v>1.6537343728496669E-4</v>
      </c>
      <c r="R39" s="692"/>
      <c r="S39" s="138" t="s">
        <v>219</v>
      </c>
    </row>
    <row r="40" spans="2:19" ht="14.25">
      <c r="B40" s="76"/>
      <c r="C40" s="63"/>
      <c r="D40" s="63"/>
      <c r="E40" s="63"/>
      <c r="F40" s="63"/>
      <c r="G40" s="63"/>
      <c r="H40" s="63"/>
      <c r="I40" s="63"/>
      <c r="J40" s="82"/>
      <c r="K40" s="692"/>
      <c r="L40" s="692"/>
      <c r="M40" s="766">
        <f>M39/1000</f>
        <v>6.0469203302391854</v>
      </c>
      <c r="N40" s="766"/>
      <c r="O40" s="42" t="s">
        <v>211</v>
      </c>
      <c r="P40" s="692"/>
      <c r="Q40" s="692">
        <f>Q39*1000</f>
        <v>0.1653734372849667</v>
      </c>
      <c r="R40" s="692"/>
      <c r="S40" s="138" t="s">
        <v>221</v>
      </c>
    </row>
    <row r="41" spans="2:19" ht="14.25">
      <c r="B41" s="76"/>
      <c r="C41" s="63"/>
      <c r="D41" s="63"/>
      <c r="E41" s="63"/>
      <c r="F41" s="63"/>
      <c r="G41" s="63"/>
      <c r="H41" s="63"/>
      <c r="I41" s="63"/>
      <c r="J41" s="82"/>
      <c r="K41" s="692"/>
      <c r="L41" s="692"/>
      <c r="M41" s="766">
        <f>M40/1000</f>
        <v>6.0469203302391857E-3</v>
      </c>
      <c r="N41" s="766"/>
      <c r="O41" s="42" t="s">
        <v>212</v>
      </c>
      <c r="P41" s="692"/>
      <c r="Q41" s="692">
        <f>Q40*1000</f>
        <v>165.37343728496671</v>
      </c>
      <c r="R41" s="692"/>
      <c r="S41" s="138" t="s">
        <v>222</v>
      </c>
    </row>
    <row r="42" spans="2:19">
      <c r="B42" s="76"/>
      <c r="C42" s="63"/>
      <c r="D42" s="63"/>
      <c r="E42" s="63"/>
      <c r="F42" s="63"/>
      <c r="G42" s="63"/>
      <c r="H42" s="63"/>
      <c r="I42" s="63"/>
      <c r="J42" s="82"/>
    </row>
    <row r="43" spans="2:19">
      <c r="B43" s="76"/>
      <c r="C43" s="63"/>
      <c r="D43" s="63"/>
      <c r="E43" s="63"/>
      <c r="F43" s="63"/>
      <c r="G43" s="63"/>
      <c r="H43" s="63"/>
      <c r="I43" s="63"/>
      <c r="J43" s="82"/>
      <c r="K43" t="s">
        <v>224</v>
      </c>
    </row>
    <row r="44" spans="2:19">
      <c r="B44" s="76"/>
      <c r="C44" s="63"/>
      <c r="D44" s="63"/>
      <c r="E44" s="63"/>
      <c r="F44" s="63"/>
      <c r="G44" s="63"/>
      <c r="H44" s="63"/>
      <c r="I44" s="63"/>
      <c r="J44" s="82"/>
      <c r="K44" t="s">
        <v>225</v>
      </c>
      <c r="M44" s="137">
        <v>10</v>
      </c>
      <c r="N44" t="s">
        <v>226</v>
      </c>
    </row>
    <row r="45" spans="2:19">
      <c r="B45" s="76"/>
      <c r="C45" s="63"/>
      <c r="D45" s="63"/>
      <c r="E45" s="63"/>
      <c r="F45" s="63"/>
      <c r="G45" s="63"/>
      <c r="H45" s="63"/>
      <c r="I45" s="63"/>
      <c r="J45" s="82"/>
      <c r="K45" t="s">
        <v>213</v>
      </c>
      <c r="M45" s="137">
        <v>10</v>
      </c>
      <c r="N45" t="s">
        <v>214</v>
      </c>
    </row>
    <row r="46" spans="2:19" ht="13.5" customHeight="1">
      <c r="B46" s="76"/>
      <c r="C46" s="63"/>
      <c r="D46" s="63"/>
      <c r="E46" s="63"/>
      <c r="F46" s="63"/>
      <c r="G46" s="63"/>
      <c r="H46" s="63"/>
      <c r="I46" s="63"/>
      <c r="J46" s="82"/>
    </row>
    <row r="47" spans="2:19" ht="13.5" customHeight="1">
      <c r="B47" s="76"/>
      <c r="C47" s="63"/>
      <c r="D47" s="63"/>
      <c r="E47" s="63"/>
      <c r="F47" s="63"/>
      <c r="G47" s="63"/>
      <c r="H47" s="63"/>
      <c r="I47" s="63"/>
      <c r="J47" s="82"/>
      <c r="K47" s="692" t="s">
        <v>11</v>
      </c>
      <c r="L47" s="692"/>
      <c r="M47" s="766">
        <f>1/(2*PI()*SQRT(M44*10^-9*M45*10^-12))</f>
        <v>503292121.04487032</v>
      </c>
      <c r="N47" s="766"/>
      <c r="O47" s="42" t="s">
        <v>210</v>
      </c>
      <c r="P47" s="138"/>
      <c r="Q47" s="692">
        <f>(1/M47)</f>
        <v>1.9869176531592204E-9</v>
      </c>
      <c r="R47" s="692"/>
      <c r="S47" s="138" t="s">
        <v>219</v>
      </c>
    </row>
    <row r="48" spans="2:19" ht="13.5" customHeight="1">
      <c r="B48" s="76"/>
      <c r="C48" s="63"/>
      <c r="D48" s="63"/>
      <c r="E48" s="63"/>
      <c r="F48" s="63"/>
      <c r="G48" s="63"/>
      <c r="H48" s="63"/>
      <c r="I48" s="63"/>
      <c r="J48" s="82"/>
      <c r="K48" s="692"/>
      <c r="L48" s="692"/>
      <c r="M48" s="766">
        <f>M47/1000</f>
        <v>503292.12104487029</v>
      </c>
      <c r="N48" s="766"/>
      <c r="O48" s="42" t="s">
        <v>211</v>
      </c>
      <c r="P48" s="138"/>
      <c r="Q48" s="692">
        <f>Q47*1000</f>
        <v>1.9869176531592206E-6</v>
      </c>
      <c r="R48" s="692"/>
      <c r="S48" s="138" t="s">
        <v>221</v>
      </c>
    </row>
    <row r="49" spans="2:19" ht="14.25">
      <c r="B49" s="76"/>
      <c r="C49" s="63"/>
      <c r="D49" s="63"/>
      <c r="E49" s="63"/>
      <c r="F49" s="63"/>
      <c r="J49" s="82"/>
      <c r="K49" s="692"/>
      <c r="L49" s="692"/>
      <c r="M49" s="766">
        <f>M48/1000</f>
        <v>503.29212104487027</v>
      </c>
      <c r="N49" s="766"/>
      <c r="O49" s="42" t="s">
        <v>212</v>
      </c>
      <c r="P49" s="138"/>
      <c r="Q49" s="692">
        <f>Q48*1000</f>
        <v>1.9869176531592207E-3</v>
      </c>
      <c r="R49" s="692"/>
      <c r="S49" s="138" t="s">
        <v>222</v>
      </c>
    </row>
    <row r="50" spans="2:19">
      <c r="B50" s="76"/>
      <c r="C50" s="63"/>
      <c r="J50" s="82"/>
    </row>
    <row r="51" spans="2:19">
      <c r="B51" s="76"/>
      <c r="C51" s="63"/>
      <c r="J51" s="82"/>
    </row>
    <row r="52" spans="2:19">
      <c r="B52" s="76"/>
      <c r="C52" s="63"/>
      <c r="J52" s="82"/>
      <c r="L52" s="654"/>
    </row>
    <row r="53" spans="2:19">
      <c r="B53" s="76"/>
      <c r="F53" s="123" t="s">
        <v>185</v>
      </c>
      <c r="G53" s="132">
        <v>10000</v>
      </c>
      <c r="H53" s="63" t="s">
        <v>91</v>
      </c>
      <c r="J53" s="82"/>
    </row>
    <row r="54" spans="2:19">
      <c r="B54" s="76"/>
      <c r="F54" s="123" t="s">
        <v>169</v>
      </c>
      <c r="G54" s="132">
        <v>10000</v>
      </c>
      <c r="H54" s="63" t="s">
        <v>91</v>
      </c>
      <c r="J54" s="82"/>
    </row>
    <row r="55" spans="2:19">
      <c r="B55" s="76"/>
      <c r="F55" s="123" t="s">
        <v>199</v>
      </c>
      <c r="G55" s="132">
        <v>10000</v>
      </c>
      <c r="H55" s="63" t="s">
        <v>214</v>
      </c>
      <c r="J55" s="82"/>
    </row>
    <row r="56" spans="2:19">
      <c r="B56" s="76"/>
      <c r="F56" s="123" t="s">
        <v>200</v>
      </c>
      <c r="G56" s="132">
        <v>10000</v>
      </c>
      <c r="H56" s="63" t="s">
        <v>214</v>
      </c>
      <c r="I56" s="63"/>
      <c r="J56" s="82"/>
    </row>
    <row r="57" spans="2:19">
      <c r="B57" s="76"/>
      <c r="F57" s="767" t="s">
        <v>279</v>
      </c>
      <c r="G57" s="133">
        <f>1/(2*PI()*SQRT(G53*G54*G55*10^-12*G56*10^-12))</f>
        <v>1591.5494309189535</v>
      </c>
      <c r="H57" s="63" t="s">
        <v>210</v>
      </c>
      <c r="I57" s="63"/>
      <c r="J57" s="82"/>
    </row>
    <row r="58" spans="2:19">
      <c r="B58" s="76"/>
      <c r="F58" s="767"/>
      <c r="G58" s="133">
        <f>G57/1000</f>
        <v>1.5915494309189535</v>
      </c>
      <c r="H58" s="63" t="s">
        <v>211</v>
      </c>
      <c r="I58" s="63"/>
      <c r="J58" s="82"/>
    </row>
    <row r="59" spans="2:19">
      <c r="B59" s="76"/>
      <c r="F59" s="767"/>
      <c r="G59" s="133">
        <f>G57/1000000</f>
        <v>1.5915494309189536E-3</v>
      </c>
      <c r="H59" s="63" t="s">
        <v>212</v>
      </c>
      <c r="I59" s="63"/>
      <c r="J59" s="82"/>
    </row>
    <row r="60" spans="2:19">
      <c r="B60" s="76"/>
      <c r="C60" s="63"/>
      <c r="D60" s="63"/>
      <c r="E60" s="63"/>
      <c r="F60" s="63"/>
      <c r="G60" s="63"/>
      <c r="H60" s="63"/>
      <c r="I60" s="63"/>
      <c r="J60" s="82"/>
    </row>
    <row r="61" spans="2:19">
      <c r="B61" s="77"/>
      <c r="C61" s="78"/>
      <c r="D61" s="78"/>
      <c r="E61" s="78"/>
      <c r="F61" s="78"/>
      <c r="G61" s="78"/>
      <c r="H61" s="78"/>
      <c r="I61" s="78"/>
      <c r="J61" s="83"/>
    </row>
    <row r="63" spans="2:19" ht="14.25" thickBot="1"/>
    <row r="64" spans="2:19">
      <c r="B64" s="130"/>
      <c r="C64" s="75"/>
      <c r="D64" s="75"/>
      <c r="E64" s="75"/>
      <c r="F64" s="75"/>
      <c r="G64" s="75"/>
      <c r="H64" s="75"/>
      <c r="I64" s="75"/>
      <c r="J64" s="81"/>
    </row>
    <row r="65" spans="2:15">
      <c r="B65" s="76"/>
      <c r="C65" s="131" t="s">
        <v>1334</v>
      </c>
      <c r="D65" s="63"/>
      <c r="E65" s="63"/>
      <c r="F65" s="63"/>
      <c r="G65" s="63"/>
      <c r="H65" s="63"/>
      <c r="I65" s="63"/>
      <c r="J65" s="82"/>
    </row>
    <row r="66" spans="2:15">
      <c r="B66" s="76"/>
      <c r="C66" s="63"/>
      <c r="D66" s="63"/>
      <c r="E66" s="63"/>
      <c r="F66" s="63"/>
      <c r="G66" s="63"/>
      <c r="H66" s="63"/>
      <c r="I66" s="63"/>
      <c r="J66" s="82"/>
    </row>
    <row r="67" spans="2:15">
      <c r="B67" s="76"/>
      <c r="C67" s="63"/>
      <c r="D67" s="63"/>
      <c r="E67" s="63"/>
      <c r="F67" s="63"/>
      <c r="G67" s="63"/>
      <c r="H67" s="63"/>
      <c r="I67" s="63"/>
      <c r="J67" s="82"/>
    </row>
    <row r="68" spans="2:15">
      <c r="B68" s="76"/>
      <c r="C68" s="63"/>
      <c r="D68" s="63"/>
      <c r="E68" s="63"/>
      <c r="F68" s="63"/>
      <c r="G68" s="407" t="s">
        <v>1332</v>
      </c>
      <c r="H68" s="473">
        <v>47</v>
      </c>
      <c r="I68" s="407" t="s">
        <v>1337</v>
      </c>
      <c r="J68" s="82"/>
    </row>
    <row r="69" spans="2:15">
      <c r="B69" s="76"/>
      <c r="C69" s="63"/>
      <c r="D69" s="63"/>
      <c r="E69" s="63"/>
      <c r="F69" s="63"/>
      <c r="G69" s="407" t="s">
        <v>1333</v>
      </c>
      <c r="H69" s="463">
        <v>1000</v>
      </c>
      <c r="I69" s="407" t="s">
        <v>1338</v>
      </c>
      <c r="J69" s="82"/>
      <c r="M69" s="655" t="s">
        <v>185</v>
      </c>
      <c r="N69" s="132">
        <v>4700</v>
      </c>
      <c r="O69" s="63" t="s">
        <v>91</v>
      </c>
    </row>
    <row r="70" spans="2:15">
      <c r="B70" s="76"/>
      <c r="C70" s="63"/>
      <c r="D70" s="63"/>
      <c r="E70" s="63"/>
      <c r="F70" s="63"/>
      <c r="G70" s="407" t="s">
        <v>1339</v>
      </c>
      <c r="H70" s="463">
        <v>10000</v>
      </c>
      <c r="I70" s="407" t="s">
        <v>1338</v>
      </c>
      <c r="J70" s="82"/>
      <c r="M70" s="655" t="s">
        <v>169</v>
      </c>
      <c r="N70" s="132">
        <v>4700</v>
      </c>
      <c r="O70" s="63" t="s">
        <v>91</v>
      </c>
    </row>
    <row r="71" spans="2:15">
      <c r="B71" s="76"/>
      <c r="C71" s="63"/>
      <c r="D71" s="63"/>
      <c r="E71" s="63"/>
      <c r="F71" s="63"/>
      <c r="G71" s="63"/>
      <c r="H71" s="63"/>
      <c r="I71" s="63"/>
      <c r="J71" s="82"/>
      <c r="M71" s="655" t="s">
        <v>199</v>
      </c>
      <c r="N71" s="132">
        <v>100</v>
      </c>
      <c r="O71" s="63" t="s">
        <v>214</v>
      </c>
    </row>
    <row r="72" spans="2:15">
      <c r="B72" s="76"/>
      <c r="C72" s="63"/>
      <c r="D72" s="63"/>
      <c r="E72" s="63"/>
      <c r="F72" s="63"/>
      <c r="G72" s="63"/>
      <c r="H72" s="63"/>
      <c r="I72" s="63"/>
      <c r="J72" s="82"/>
      <c r="M72" s="655" t="s">
        <v>200</v>
      </c>
      <c r="N72" s="132">
        <v>100</v>
      </c>
      <c r="O72" s="63" t="s">
        <v>214</v>
      </c>
    </row>
    <row r="73" spans="2:15">
      <c r="B73" s="76"/>
      <c r="C73" s="63"/>
      <c r="D73" s="63"/>
      <c r="E73" s="63"/>
      <c r="F73" s="63"/>
      <c r="G73" s="407" t="s">
        <v>1335</v>
      </c>
      <c r="H73" s="409">
        <f>1/(H68*10^-12*H70)</f>
        <v>2127659.5744680851</v>
      </c>
      <c r="I73" s="407" t="s">
        <v>1336</v>
      </c>
      <c r="J73" s="82"/>
      <c r="M73" s="767" t="s">
        <v>279</v>
      </c>
      <c r="N73" s="133">
        <f>1/(2*PI()*SQRT(N69*N70*N71*10^-12*N72*10^-12))</f>
        <v>338627.53849339433</v>
      </c>
      <c r="O73" s="63" t="s">
        <v>210</v>
      </c>
    </row>
    <row r="74" spans="2:15">
      <c r="B74" s="76"/>
      <c r="C74" s="63"/>
      <c r="D74" s="63"/>
      <c r="E74" s="63"/>
      <c r="F74" s="63"/>
      <c r="G74" s="407" t="s">
        <v>1340</v>
      </c>
      <c r="H74" s="409">
        <f>H70/H69</f>
        <v>10</v>
      </c>
      <c r="I74" s="407" t="s">
        <v>1341</v>
      </c>
      <c r="J74" s="82"/>
      <c r="M74" s="767"/>
      <c r="N74" s="133">
        <f>N73/1000</f>
        <v>338.62753849339435</v>
      </c>
      <c r="O74" s="63" t="s">
        <v>211</v>
      </c>
    </row>
    <row r="75" spans="2:15">
      <c r="B75" s="76"/>
      <c r="C75" s="63"/>
      <c r="D75" s="63"/>
      <c r="E75" s="63"/>
      <c r="F75" s="63"/>
      <c r="G75" s="63"/>
      <c r="H75" s="63"/>
      <c r="I75" s="63"/>
      <c r="J75" s="82"/>
      <c r="M75" s="767"/>
      <c r="N75" s="133">
        <f>N73/1000000</f>
        <v>0.33862753849339433</v>
      </c>
      <c r="O75" s="63" t="s">
        <v>212</v>
      </c>
    </row>
    <row r="76" spans="2:15">
      <c r="B76" s="76"/>
      <c r="C76" s="63"/>
      <c r="D76" s="63"/>
      <c r="E76" s="63"/>
      <c r="F76" s="63"/>
      <c r="G76" s="63"/>
      <c r="H76" s="63"/>
      <c r="I76" s="63"/>
      <c r="J76" s="82"/>
    </row>
    <row r="77" spans="2:15">
      <c r="B77" s="76"/>
      <c r="C77" s="63"/>
      <c r="D77" s="63"/>
      <c r="E77" s="63"/>
      <c r="F77" s="63"/>
      <c r="G77" s="63"/>
      <c r="H77" s="63"/>
      <c r="I77" s="63"/>
      <c r="J77" s="82"/>
    </row>
    <row r="78" spans="2:15">
      <c r="B78" s="76"/>
      <c r="C78" s="63"/>
      <c r="D78" s="63"/>
      <c r="E78" s="63"/>
      <c r="F78" s="63"/>
      <c r="G78" s="63"/>
      <c r="H78" s="63"/>
      <c r="I78" s="63"/>
      <c r="J78" s="82"/>
    </row>
    <row r="79" spans="2:15">
      <c r="B79" s="76"/>
      <c r="C79" s="63"/>
      <c r="D79" s="63"/>
      <c r="E79" s="63"/>
      <c r="F79" s="63"/>
      <c r="G79" s="63"/>
      <c r="H79" s="63"/>
      <c r="I79" s="63"/>
      <c r="J79" s="82"/>
    </row>
    <row r="80" spans="2:15">
      <c r="B80" s="76"/>
      <c r="C80" s="63"/>
      <c r="D80" s="63"/>
      <c r="E80" s="63"/>
      <c r="F80" s="63"/>
      <c r="G80" s="63"/>
      <c r="H80" s="63"/>
      <c r="I80" s="63"/>
      <c r="J80" s="82"/>
    </row>
    <row r="81" spans="2:10">
      <c r="B81" s="76"/>
      <c r="C81" s="63"/>
      <c r="D81" s="63"/>
      <c r="E81" s="63"/>
      <c r="F81" s="63"/>
      <c r="G81" s="63"/>
      <c r="H81" s="63"/>
      <c r="I81" s="63"/>
      <c r="J81" s="82"/>
    </row>
    <row r="82" spans="2:10">
      <c r="B82" s="76"/>
      <c r="C82" s="63"/>
      <c r="D82" s="63"/>
      <c r="E82" s="63"/>
      <c r="F82" s="63"/>
      <c r="G82" s="63"/>
      <c r="H82" s="63"/>
      <c r="I82" s="63"/>
      <c r="J82" s="82"/>
    </row>
    <row r="83" spans="2:10">
      <c r="B83" s="76"/>
      <c r="C83" s="63"/>
      <c r="D83" s="63"/>
      <c r="E83" s="63"/>
      <c r="F83" s="63"/>
      <c r="G83" s="63"/>
      <c r="H83" s="63"/>
      <c r="I83" s="63"/>
      <c r="J83" s="82"/>
    </row>
    <row r="84" spans="2:10">
      <c r="B84" s="76"/>
      <c r="C84" s="63"/>
      <c r="D84" s="63"/>
      <c r="E84" s="63"/>
      <c r="F84" s="63"/>
      <c r="G84" s="63"/>
      <c r="H84" s="63"/>
      <c r="I84" s="63"/>
      <c r="J84" s="82"/>
    </row>
    <row r="85" spans="2:10">
      <c r="B85" s="76"/>
      <c r="C85" s="63"/>
      <c r="D85" s="63"/>
      <c r="E85" s="63"/>
      <c r="F85" s="63"/>
      <c r="G85" s="63"/>
      <c r="H85" s="63"/>
      <c r="I85" s="63"/>
      <c r="J85" s="82"/>
    </row>
    <row r="86" spans="2:10" ht="14.25" thickBot="1">
      <c r="B86" s="77"/>
      <c r="C86" s="78"/>
      <c r="D86" s="78"/>
      <c r="E86" s="78"/>
      <c r="F86" s="78"/>
      <c r="G86" s="78"/>
      <c r="H86" s="78"/>
      <c r="I86" s="78"/>
      <c r="J86" s="83"/>
    </row>
  </sheetData>
  <mergeCells count="18">
    <mergeCell ref="Q41:R41"/>
    <mergeCell ref="F57:F59"/>
    <mergeCell ref="P39:P41"/>
    <mergeCell ref="K39:L41"/>
    <mergeCell ref="K47:L49"/>
    <mergeCell ref="M41:N41"/>
    <mergeCell ref="M47:N47"/>
    <mergeCell ref="Q47:R47"/>
    <mergeCell ref="A1:C1"/>
    <mergeCell ref="M39:N39"/>
    <mergeCell ref="Q39:R39"/>
    <mergeCell ref="M40:N40"/>
    <mergeCell ref="Q40:R40"/>
    <mergeCell ref="M48:N48"/>
    <mergeCell ref="Q48:R48"/>
    <mergeCell ref="M73:M75"/>
    <mergeCell ref="M49:N49"/>
    <mergeCell ref="Q49:R49"/>
  </mergeCells>
  <phoneticPr fontId="42"/>
  <hyperlinks>
    <hyperlink ref="A1:C1" location="目次!A1" display="　目次　" xr:uid="{00000000-0004-0000-0E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47"/>
  <sheetViews>
    <sheetView workbookViewId="0">
      <selection sqref="A1:C1"/>
    </sheetView>
  </sheetViews>
  <sheetFormatPr defaultColWidth="3.25" defaultRowHeight="13.5"/>
  <cols>
    <col min="1" max="1" width="9" customWidth="1"/>
  </cols>
  <sheetData>
    <row r="1" spans="1:41">
      <c r="A1" s="686" t="s">
        <v>61</v>
      </c>
      <c r="B1" s="686"/>
      <c r="C1" s="686"/>
    </row>
    <row r="2" spans="1:41">
      <c r="B2" t="s">
        <v>280</v>
      </c>
    </row>
    <row r="4" spans="1:41">
      <c r="B4" t="s">
        <v>281</v>
      </c>
    </row>
    <row r="5" spans="1:41">
      <c r="B5" t="s">
        <v>282</v>
      </c>
      <c r="P5" t="s">
        <v>283</v>
      </c>
      <c r="AD5" t="s">
        <v>284</v>
      </c>
    </row>
    <row r="6" spans="1:41">
      <c r="B6" s="768" t="s">
        <v>285</v>
      </c>
      <c r="C6" s="768"/>
      <c r="D6" s="768"/>
      <c r="E6" s="768"/>
      <c r="F6" s="769">
        <v>6480</v>
      </c>
      <c r="G6" s="769"/>
      <c r="H6" s="769"/>
      <c r="I6" s="769"/>
      <c r="J6" s="770" t="s">
        <v>286</v>
      </c>
      <c r="K6" s="770"/>
      <c r="L6" s="770"/>
      <c r="M6" s="770"/>
      <c r="P6" s="768" t="s">
        <v>285</v>
      </c>
      <c r="Q6" s="768"/>
      <c r="R6" s="768"/>
      <c r="S6" s="768"/>
      <c r="T6" s="769">
        <v>6480</v>
      </c>
      <c r="U6" s="769"/>
      <c r="V6" s="769"/>
      <c r="W6" s="769"/>
      <c r="X6" s="770" t="s">
        <v>286</v>
      </c>
      <c r="Y6" s="770"/>
      <c r="Z6" s="770"/>
      <c r="AA6" s="770"/>
      <c r="AD6" s="768" t="s">
        <v>285</v>
      </c>
      <c r="AE6" s="768"/>
      <c r="AF6" s="768"/>
      <c r="AG6" s="768"/>
      <c r="AH6" s="769"/>
      <c r="AI6" s="769"/>
      <c r="AJ6" s="769"/>
      <c r="AK6" s="769"/>
      <c r="AL6" s="770" t="s">
        <v>286</v>
      </c>
      <c r="AM6" s="770"/>
      <c r="AN6" s="770"/>
      <c r="AO6" s="770"/>
    </row>
    <row r="7" spans="1:41">
      <c r="B7" s="768" t="s">
        <v>287</v>
      </c>
      <c r="C7" s="768"/>
      <c r="D7" s="768"/>
      <c r="E7" s="768"/>
      <c r="F7" s="769">
        <v>2</v>
      </c>
      <c r="G7" s="769"/>
      <c r="H7" s="769"/>
      <c r="I7" s="769"/>
      <c r="J7" s="770" t="s">
        <v>288</v>
      </c>
      <c r="K7" s="770"/>
      <c r="L7" s="770"/>
      <c r="M7" s="770"/>
      <c r="P7" s="768" t="s">
        <v>287</v>
      </c>
      <c r="Q7" s="768"/>
      <c r="R7" s="768"/>
      <c r="S7" s="768"/>
      <c r="T7" s="769">
        <v>2</v>
      </c>
      <c r="U7" s="769"/>
      <c r="V7" s="769"/>
      <c r="W7" s="769"/>
      <c r="X7" s="770" t="s">
        <v>288</v>
      </c>
      <c r="Y7" s="770"/>
      <c r="Z7" s="770"/>
      <c r="AA7" s="770"/>
      <c r="AD7" s="768" t="s">
        <v>287</v>
      </c>
      <c r="AE7" s="768"/>
      <c r="AF7" s="768"/>
      <c r="AG7" s="768"/>
      <c r="AH7" s="769"/>
      <c r="AI7" s="769"/>
      <c r="AJ7" s="769"/>
      <c r="AK7" s="769"/>
      <c r="AL7" s="770" t="s">
        <v>288</v>
      </c>
      <c r="AM7" s="770"/>
      <c r="AN7" s="770"/>
      <c r="AO7" s="770"/>
    </row>
    <row r="8" spans="1:41">
      <c r="B8" s="768" t="s">
        <v>289</v>
      </c>
      <c r="C8" s="768"/>
      <c r="D8" s="768"/>
      <c r="E8" s="768"/>
      <c r="F8" s="769">
        <v>115200</v>
      </c>
      <c r="G8" s="769"/>
      <c r="H8" s="769"/>
      <c r="I8" s="769"/>
      <c r="J8" s="770" t="s">
        <v>290</v>
      </c>
      <c r="K8" s="770"/>
      <c r="L8" s="770"/>
      <c r="M8" s="770"/>
      <c r="P8" s="768" t="s">
        <v>289</v>
      </c>
      <c r="Q8" s="768"/>
      <c r="R8" s="768"/>
      <c r="S8" s="768"/>
      <c r="T8" s="769">
        <v>1000000</v>
      </c>
      <c r="U8" s="769"/>
      <c r="V8" s="769"/>
      <c r="W8" s="769"/>
      <c r="X8" s="770" t="s">
        <v>290</v>
      </c>
      <c r="Y8" s="770"/>
      <c r="Z8" s="770"/>
      <c r="AA8" s="770"/>
      <c r="AD8" s="768" t="s">
        <v>289</v>
      </c>
      <c r="AE8" s="768"/>
      <c r="AF8" s="768"/>
      <c r="AG8" s="768"/>
      <c r="AH8" s="769"/>
      <c r="AI8" s="769"/>
      <c r="AJ8" s="769"/>
      <c r="AK8" s="769"/>
      <c r="AL8" s="770" t="s">
        <v>290</v>
      </c>
      <c r="AM8" s="770"/>
      <c r="AN8" s="770"/>
      <c r="AO8" s="770"/>
    </row>
    <row r="9" spans="1:41">
      <c r="B9" s="768"/>
      <c r="C9" s="768"/>
      <c r="D9" s="768"/>
      <c r="E9" s="768"/>
      <c r="F9" s="771">
        <f>F8/8</f>
        <v>14400</v>
      </c>
      <c r="G9" s="771"/>
      <c r="H9" s="771"/>
      <c r="I9" s="771"/>
      <c r="J9" s="770" t="s">
        <v>291</v>
      </c>
      <c r="K9" s="770"/>
      <c r="L9" s="770"/>
      <c r="M9" s="770"/>
      <c r="P9" s="768"/>
      <c r="Q9" s="768"/>
      <c r="R9" s="768"/>
      <c r="S9" s="768"/>
      <c r="T9" s="771">
        <f>T8/8</f>
        <v>125000</v>
      </c>
      <c r="U9" s="771"/>
      <c r="V9" s="771"/>
      <c r="W9" s="771"/>
      <c r="X9" s="770" t="s">
        <v>291</v>
      </c>
      <c r="Y9" s="770"/>
      <c r="Z9" s="770"/>
      <c r="AA9" s="770"/>
      <c r="AD9" s="768"/>
      <c r="AE9" s="768"/>
      <c r="AF9" s="768"/>
      <c r="AG9" s="768"/>
      <c r="AH9" s="771">
        <f>AH8/8</f>
        <v>0</v>
      </c>
      <c r="AI9" s="771"/>
      <c r="AJ9" s="771"/>
      <c r="AK9" s="771"/>
      <c r="AL9" s="770" t="s">
        <v>291</v>
      </c>
      <c r="AM9" s="770"/>
      <c r="AN9" s="770"/>
      <c r="AO9" s="770"/>
    </row>
    <row r="10" spans="1:41">
      <c r="B10" s="768" t="s">
        <v>209</v>
      </c>
      <c r="C10" s="768"/>
      <c r="D10" s="768"/>
      <c r="E10" s="768"/>
      <c r="F10" s="771">
        <f>F8/2</f>
        <v>57600</v>
      </c>
      <c r="G10" s="771"/>
      <c r="H10" s="771"/>
      <c r="I10" s="771"/>
      <c r="J10" s="770" t="s">
        <v>210</v>
      </c>
      <c r="K10" s="770"/>
      <c r="L10" s="770"/>
      <c r="M10" s="770"/>
      <c r="P10" s="768" t="s">
        <v>209</v>
      </c>
      <c r="Q10" s="768"/>
      <c r="R10" s="768"/>
      <c r="S10" s="768"/>
      <c r="T10" s="771">
        <f>T8/2</f>
        <v>500000</v>
      </c>
      <c r="U10" s="771"/>
      <c r="V10" s="771"/>
      <c r="W10" s="771"/>
      <c r="X10" s="770" t="s">
        <v>210</v>
      </c>
      <c r="Y10" s="770"/>
      <c r="Z10" s="770"/>
      <c r="AA10" s="770"/>
      <c r="AD10" s="768" t="s">
        <v>209</v>
      </c>
      <c r="AE10" s="768"/>
      <c r="AF10" s="768"/>
      <c r="AG10" s="768"/>
      <c r="AH10" s="771">
        <f>AH8/2</f>
        <v>0</v>
      </c>
      <c r="AI10" s="771"/>
      <c r="AJ10" s="771"/>
      <c r="AK10" s="771"/>
      <c r="AL10" s="770" t="s">
        <v>210</v>
      </c>
      <c r="AM10" s="770"/>
      <c r="AN10" s="770"/>
      <c r="AO10" s="770"/>
    </row>
    <row r="12" spans="1:41">
      <c r="B12" s="768" t="s">
        <v>292</v>
      </c>
      <c r="C12" s="768"/>
      <c r="D12" s="768"/>
      <c r="E12" s="768"/>
      <c r="F12" s="772">
        <f>F6/F9*F7</f>
        <v>0.9</v>
      </c>
      <c r="G12" s="772"/>
      <c r="H12" s="772"/>
      <c r="I12" s="772"/>
      <c r="J12" s="770" t="s">
        <v>293</v>
      </c>
      <c r="K12" s="770"/>
      <c r="L12" s="770"/>
      <c r="M12" s="770"/>
      <c r="P12" s="768" t="s">
        <v>292</v>
      </c>
      <c r="Q12" s="768"/>
      <c r="R12" s="768"/>
      <c r="S12" s="768"/>
      <c r="T12" s="772">
        <f>T6/T9*T7</f>
        <v>0.10367999999999999</v>
      </c>
      <c r="U12" s="772"/>
      <c r="V12" s="772"/>
      <c r="W12" s="772"/>
      <c r="X12" s="770" t="s">
        <v>293</v>
      </c>
      <c r="Y12" s="770"/>
      <c r="Z12" s="770"/>
      <c r="AA12" s="770"/>
      <c r="AD12" s="768" t="s">
        <v>292</v>
      </c>
      <c r="AE12" s="768"/>
      <c r="AF12" s="768"/>
      <c r="AG12" s="768"/>
      <c r="AH12" s="772" t="e">
        <f>AH6/AH9*AH7</f>
        <v>#DIV/0!</v>
      </c>
      <c r="AI12" s="772"/>
      <c r="AJ12" s="772"/>
      <c r="AK12" s="772"/>
      <c r="AL12" s="770" t="s">
        <v>293</v>
      </c>
      <c r="AM12" s="770"/>
      <c r="AN12" s="770"/>
      <c r="AO12" s="770"/>
    </row>
    <row r="13" spans="1:41">
      <c r="B13" s="768"/>
      <c r="C13" s="768"/>
      <c r="D13" s="768"/>
      <c r="E13" s="768"/>
      <c r="F13" s="772">
        <f>F12/60</f>
        <v>1.5000000000000001E-2</v>
      </c>
      <c r="G13" s="772"/>
      <c r="H13" s="772"/>
      <c r="I13" s="772"/>
      <c r="J13" s="770" t="s">
        <v>294</v>
      </c>
      <c r="K13" s="770"/>
      <c r="L13" s="770"/>
      <c r="M13" s="770"/>
      <c r="P13" s="768"/>
      <c r="Q13" s="768"/>
      <c r="R13" s="768"/>
      <c r="S13" s="768"/>
      <c r="T13" s="772">
        <f>T12/60</f>
        <v>1.7279999999999999E-3</v>
      </c>
      <c r="U13" s="772"/>
      <c r="V13" s="772"/>
      <c r="W13" s="772"/>
      <c r="X13" s="770" t="s">
        <v>294</v>
      </c>
      <c r="Y13" s="770"/>
      <c r="Z13" s="770"/>
      <c r="AA13" s="770"/>
      <c r="AD13" s="768"/>
      <c r="AE13" s="768"/>
      <c r="AF13" s="768"/>
      <c r="AG13" s="768"/>
      <c r="AH13" s="772" t="e">
        <f>AH12/60</f>
        <v>#DIV/0!</v>
      </c>
      <c r="AI13" s="772"/>
      <c r="AJ13" s="772"/>
      <c r="AK13" s="772"/>
      <c r="AL13" s="770" t="s">
        <v>294</v>
      </c>
      <c r="AM13" s="770"/>
      <c r="AN13" s="770"/>
      <c r="AO13" s="770"/>
    </row>
    <row r="14" spans="1:41">
      <c r="B14" s="768"/>
      <c r="C14" s="768"/>
      <c r="D14" s="768"/>
      <c r="E14" s="768"/>
      <c r="F14" s="772">
        <f>F13/60</f>
        <v>2.5000000000000001E-4</v>
      </c>
      <c r="G14" s="772"/>
      <c r="H14" s="772"/>
      <c r="I14" s="772"/>
      <c r="J14" s="770" t="s">
        <v>216</v>
      </c>
      <c r="K14" s="770"/>
      <c r="L14" s="770"/>
      <c r="M14" s="770"/>
      <c r="P14" s="768"/>
      <c r="Q14" s="768"/>
      <c r="R14" s="768"/>
      <c r="S14" s="768"/>
      <c r="T14" s="772">
        <f>T13/60</f>
        <v>2.8799999999999999E-5</v>
      </c>
      <c r="U14" s="772"/>
      <c r="V14" s="772"/>
      <c r="W14" s="772"/>
      <c r="X14" s="770" t="s">
        <v>216</v>
      </c>
      <c r="Y14" s="770"/>
      <c r="Z14" s="770"/>
      <c r="AA14" s="770"/>
      <c r="AD14" s="768"/>
      <c r="AE14" s="768"/>
      <c r="AF14" s="768"/>
      <c r="AG14" s="768"/>
      <c r="AH14" s="772" t="e">
        <f>AH13/60</f>
        <v>#DIV/0!</v>
      </c>
      <c r="AI14" s="772"/>
      <c r="AJ14" s="772"/>
      <c r="AK14" s="772"/>
      <c r="AL14" s="770" t="s">
        <v>216</v>
      </c>
      <c r="AM14" s="770"/>
      <c r="AN14" s="770"/>
      <c r="AO14" s="770"/>
    </row>
    <row r="15" spans="1:41">
      <c r="B15" s="744"/>
      <c r="C15" s="744"/>
      <c r="D15" s="744"/>
      <c r="E15" s="744"/>
    </row>
    <row r="16" spans="1:41">
      <c r="B16" s="744"/>
      <c r="C16" s="744"/>
      <c r="D16" s="744"/>
      <c r="E16" s="744"/>
    </row>
    <row r="17" spans="2:41">
      <c r="B17" s="744" t="s">
        <v>295</v>
      </c>
      <c r="C17" s="744"/>
      <c r="D17" s="744"/>
      <c r="E17" s="744"/>
    </row>
    <row r="18" spans="2:41">
      <c r="B18" t="s">
        <v>284</v>
      </c>
      <c r="P18" t="s">
        <v>284</v>
      </c>
      <c r="AD18" t="s">
        <v>284</v>
      </c>
    </row>
    <row r="19" spans="2:41">
      <c r="B19" s="768" t="s">
        <v>285</v>
      </c>
      <c r="C19" s="768"/>
      <c r="D19" s="768"/>
      <c r="E19" s="768"/>
      <c r="F19" s="769">
        <v>50</v>
      </c>
      <c r="G19" s="769"/>
      <c r="H19" s="769"/>
      <c r="I19" s="769"/>
      <c r="J19" s="770" t="s">
        <v>79</v>
      </c>
      <c r="K19" s="770"/>
      <c r="L19" s="770"/>
      <c r="M19" s="770"/>
      <c r="P19" s="768" t="s">
        <v>285</v>
      </c>
      <c r="Q19" s="768"/>
      <c r="R19" s="768"/>
      <c r="S19" s="768"/>
      <c r="T19" s="769"/>
      <c r="U19" s="769"/>
      <c r="V19" s="769"/>
      <c r="W19" s="769"/>
      <c r="X19" s="770" t="s">
        <v>79</v>
      </c>
      <c r="Y19" s="770"/>
      <c r="Z19" s="770"/>
      <c r="AA19" s="770"/>
      <c r="AD19" s="768" t="s">
        <v>285</v>
      </c>
      <c r="AE19" s="768"/>
      <c r="AF19" s="768"/>
      <c r="AG19" s="768"/>
      <c r="AH19" s="769"/>
      <c r="AI19" s="769"/>
      <c r="AJ19" s="769"/>
      <c r="AK19" s="769"/>
      <c r="AL19" s="770" t="s">
        <v>79</v>
      </c>
      <c r="AM19" s="770"/>
      <c r="AN19" s="770"/>
      <c r="AO19" s="770"/>
    </row>
    <row r="20" spans="2:41">
      <c r="B20" s="768" t="s">
        <v>209</v>
      </c>
      <c r="C20" s="768"/>
      <c r="D20" s="768"/>
      <c r="E20" s="768"/>
      <c r="F20" s="769">
        <v>400</v>
      </c>
      <c r="G20" s="769"/>
      <c r="H20" s="769"/>
      <c r="I20" s="769"/>
      <c r="J20" s="770" t="s">
        <v>210</v>
      </c>
      <c r="K20" s="770"/>
      <c r="L20" s="770"/>
      <c r="M20" s="770"/>
      <c r="P20" s="768" t="s">
        <v>209</v>
      </c>
      <c r="Q20" s="768"/>
      <c r="R20" s="768"/>
      <c r="S20" s="768"/>
      <c r="T20" s="769"/>
      <c r="U20" s="769"/>
      <c r="V20" s="769"/>
      <c r="W20" s="769"/>
      <c r="X20" s="770" t="s">
        <v>210</v>
      </c>
      <c r="Y20" s="770"/>
      <c r="Z20" s="770"/>
      <c r="AA20" s="770"/>
      <c r="AD20" s="768" t="s">
        <v>209</v>
      </c>
      <c r="AE20" s="768"/>
      <c r="AF20" s="768"/>
      <c r="AG20" s="768"/>
      <c r="AH20" s="769"/>
      <c r="AI20" s="769"/>
      <c r="AJ20" s="769"/>
      <c r="AK20" s="769"/>
      <c r="AL20" s="770" t="s">
        <v>210</v>
      </c>
      <c r="AM20" s="770"/>
      <c r="AN20" s="770"/>
      <c r="AO20" s="770"/>
    </row>
    <row r="21" spans="2:41">
      <c r="B21" s="768" t="s">
        <v>289</v>
      </c>
      <c r="C21" s="768"/>
      <c r="D21" s="768"/>
      <c r="E21" s="768"/>
      <c r="F21" s="771">
        <f>F20*2</f>
        <v>800</v>
      </c>
      <c r="G21" s="771"/>
      <c r="H21" s="771"/>
      <c r="I21" s="771"/>
      <c r="J21" s="770" t="s">
        <v>290</v>
      </c>
      <c r="K21" s="770"/>
      <c r="L21" s="770"/>
      <c r="M21" s="770"/>
      <c r="P21" s="768" t="s">
        <v>289</v>
      </c>
      <c r="Q21" s="768"/>
      <c r="R21" s="768"/>
      <c r="S21" s="768"/>
      <c r="T21" s="771">
        <f>T20*2</f>
        <v>0</v>
      </c>
      <c r="U21" s="771"/>
      <c r="V21" s="771"/>
      <c r="W21" s="771"/>
      <c r="X21" s="770" t="s">
        <v>290</v>
      </c>
      <c r="Y21" s="770"/>
      <c r="Z21" s="770"/>
      <c r="AA21" s="770"/>
      <c r="AD21" s="768" t="s">
        <v>289</v>
      </c>
      <c r="AE21" s="768"/>
      <c r="AF21" s="768"/>
      <c r="AG21" s="768"/>
      <c r="AH21" s="771">
        <f>AH20*2</f>
        <v>0</v>
      </c>
      <c r="AI21" s="771"/>
      <c r="AJ21" s="771"/>
      <c r="AK21" s="771"/>
      <c r="AL21" s="770" t="s">
        <v>290</v>
      </c>
      <c r="AM21" s="770"/>
      <c r="AN21" s="770"/>
      <c r="AO21" s="770"/>
    </row>
    <row r="22" spans="2:41">
      <c r="B22" s="768"/>
      <c r="C22" s="768"/>
      <c r="D22" s="768"/>
      <c r="E22" s="768"/>
      <c r="F22" s="771">
        <f>F21/8</f>
        <v>100</v>
      </c>
      <c r="G22" s="771"/>
      <c r="H22" s="771"/>
      <c r="I22" s="771"/>
      <c r="J22" s="770" t="s">
        <v>291</v>
      </c>
      <c r="K22" s="770"/>
      <c r="L22" s="770"/>
      <c r="M22" s="770"/>
      <c r="P22" s="768"/>
      <c r="Q22" s="768"/>
      <c r="R22" s="768"/>
      <c r="S22" s="768"/>
      <c r="T22" s="771">
        <f>T21/8</f>
        <v>0</v>
      </c>
      <c r="U22" s="771"/>
      <c r="V22" s="771"/>
      <c r="W22" s="771"/>
      <c r="X22" s="770" t="s">
        <v>291</v>
      </c>
      <c r="Y22" s="770"/>
      <c r="Z22" s="770"/>
      <c r="AA22" s="770"/>
      <c r="AD22" s="768"/>
      <c r="AE22" s="768"/>
      <c r="AF22" s="768"/>
      <c r="AG22" s="768"/>
      <c r="AH22" s="771">
        <f>AH21/8</f>
        <v>0</v>
      </c>
      <c r="AI22" s="771"/>
      <c r="AJ22" s="771"/>
      <c r="AK22" s="771"/>
      <c r="AL22" s="770" t="s">
        <v>291</v>
      </c>
      <c r="AM22" s="770"/>
      <c r="AN22" s="770"/>
      <c r="AO22" s="770"/>
    </row>
    <row r="23" spans="2:41">
      <c r="B23" s="744"/>
      <c r="C23" s="744"/>
      <c r="D23" s="744"/>
      <c r="E23" s="744"/>
      <c r="F23" s="744"/>
      <c r="G23" s="744"/>
      <c r="H23" s="744"/>
      <c r="I23" s="744"/>
      <c r="J23" s="744"/>
      <c r="K23" s="744"/>
      <c r="L23" s="744"/>
      <c r="M23" s="744"/>
      <c r="P23" s="744"/>
      <c r="Q23" s="744"/>
      <c r="R23" s="744"/>
      <c r="S23" s="744"/>
      <c r="T23" s="744"/>
      <c r="U23" s="744"/>
      <c r="V23" s="744"/>
      <c r="W23" s="744"/>
      <c r="X23" s="744"/>
      <c r="Y23" s="744"/>
      <c r="Z23" s="744"/>
      <c r="AA23" s="744"/>
      <c r="AD23" s="744"/>
      <c r="AE23" s="744"/>
      <c r="AF23" s="744"/>
      <c r="AG23" s="744"/>
      <c r="AH23" s="744"/>
      <c r="AI23" s="744"/>
      <c r="AJ23" s="744"/>
      <c r="AK23" s="744"/>
      <c r="AL23" s="744"/>
      <c r="AM23" s="744"/>
      <c r="AN23" s="744"/>
      <c r="AO23" s="744"/>
    </row>
    <row r="24" spans="2:41">
      <c r="B24" s="768" t="s">
        <v>292</v>
      </c>
      <c r="C24" s="768"/>
      <c r="D24" s="768"/>
      <c r="E24" s="768"/>
      <c r="F24" s="772">
        <f>F19/F22</f>
        <v>0.5</v>
      </c>
      <c r="G24" s="772"/>
      <c r="H24" s="772"/>
      <c r="I24" s="772"/>
      <c r="J24" s="770" t="s">
        <v>293</v>
      </c>
      <c r="K24" s="770"/>
      <c r="L24" s="770"/>
      <c r="M24" s="770"/>
      <c r="P24" s="768" t="s">
        <v>292</v>
      </c>
      <c r="Q24" s="768"/>
      <c r="R24" s="768"/>
      <c r="S24" s="768"/>
      <c r="T24" s="772" t="e">
        <f>T19/T22</f>
        <v>#DIV/0!</v>
      </c>
      <c r="U24" s="772"/>
      <c r="V24" s="772"/>
      <c r="W24" s="772"/>
      <c r="X24" s="770" t="s">
        <v>293</v>
      </c>
      <c r="Y24" s="770"/>
      <c r="Z24" s="770"/>
      <c r="AA24" s="770"/>
      <c r="AD24" s="768" t="s">
        <v>292</v>
      </c>
      <c r="AE24" s="768"/>
      <c r="AF24" s="768"/>
      <c r="AG24" s="768"/>
      <c r="AH24" s="772" t="e">
        <f>AH19/AH22</f>
        <v>#DIV/0!</v>
      </c>
      <c r="AI24" s="772"/>
      <c r="AJ24" s="772"/>
      <c r="AK24" s="772"/>
      <c r="AL24" s="770" t="s">
        <v>293</v>
      </c>
      <c r="AM24" s="770"/>
      <c r="AN24" s="770"/>
      <c r="AO24" s="770"/>
    </row>
    <row r="25" spans="2:41">
      <c r="B25" s="768"/>
      <c r="C25" s="768"/>
      <c r="D25" s="768"/>
      <c r="E25" s="768"/>
      <c r="F25" s="772">
        <f>F24/60</f>
        <v>8.3333333333333332E-3</v>
      </c>
      <c r="G25" s="772"/>
      <c r="H25" s="772"/>
      <c r="I25" s="772"/>
      <c r="J25" s="770" t="s">
        <v>294</v>
      </c>
      <c r="K25" s="770"/>
      <c r="L25" s="770"/>
      <c r="M25" s="770"/>
      <c r="P25" s="768"/>
      <c r="Q25" s="768"/>
      <c r="R25" s="768"/>
      <c r="S25" s="768"/>
      <c r="T25" s="772" t="e">
        <f>T24/60</f>
        <v>#DIV/0!</v>
      </c>
      <c r="U25" s="772"/>
      <c r="V25" s="772"/>
      <c r="W25" s="772"/>
      <c r="X25" s="770" t="s">
        <v>294</v>
      </c>
      <c r="Y25" s="770"/>
      <c r="Z25" s="770"/>
      <c r="AA25" s="770"/>
      <c r="AD25" s="768"/>
      <c r="AE25" s="768"/>
      <c r="AF25" s="768"/>
      <c r="AG25" s="768"/>
      <c r="AH25" s="772" t="e">
        <f>AH24/60</f>
        <v>#DIV/0!</v>
      </c>
      <c r="AI25" s="772"/>
      <c r="AJ25" s="772"/>
      <c r="AK25" s="772"/>
      <c r="AL25" s="770" t="s">
        <v>294</v>
      </c>
      <c r="AM25" s="770"/>
      <c r="AN25" s="770"/>
      <c r="AO25" s="770"/>
    </row>
    <row r="26" spans="2:41">
      <c r="B26" s="768"/>
      <c r="C26" s="768"/>
      <c r="D26" s="768"/>
      <c r="E26" s="768"/>
      <c r="F26" s="772">
        <f>F25/60</f>
        <v>1.3888888888888889E-4</v>
      </c>
      <c r="G26" s="772"/>
      <c r="H26" s="772"/>
      <c r="I26" s="772"/>
      <c r="J26" s="770" t="s">
        <v>216</v>
      </c>
      <c r="K26" s="770"/>
      <c r="L26" s="770"/>
      <c r="M26" s="770"/>
      <c r="P26" s="768"/>
      <c r="Q26" s="768"/>
      <c r="R26" s="768"/>
      <c r="S26" s="768"/>
      <c r="T26" s="772" t="e">
        <f>T25/60</f>
        <v>#DIV/0!</v>
      </c>
      <c r="U26" s="772"/>
      <c r="V26" s="772"/>
      <c r="W26" s="772"/>
      <c r="X26" s="770" t="s">
        <v>216</v>
      </c>
      <c r="Y26" s="770"/>
      <c r="Z26" s="770"/>
      <c r="AA26" s="770"/>
      <c r="AD26" s="768"/>
      <c r="AE26" s="768"/>
      <c r="AF26" s="768"/>
      <c r="AG26" s="768"/>
      <c r="AH26" s="772" t="e">
        <f>AH25/60</f>
        <v>#DIV/0!</v>
      </c>
      <c r="AI26" s="772"/>
      <c r="AJ26" s="772"/>
      <c r="AK26" s="772"/>
      <c r="AL26" s="770" t="s">
        <v>216</v>
      </c>
      <c r="AM26" s="770"/>
      <c r="AN26" s="770"/>
      <c r="AO26" s="770"/>
    </row>
    <row r="27" spans="2:41">
      <c r="B27" s="744"/>
      <c r="C27" s="744"/>
      <c r="D27" s="744"/>
      <c r="E27" s="744"/>
    </row>
    <row r="28" spans="2:41">
      <c r="B28" s="744"/>
      <c r="C28" s="744"/>
      <c r="D28" s="744"/>
      <c r="E28" s="744"/>
    </row>
    <row r="29" spans="2:41">
      <c r="B29" s="10" t="s">
        <v>296</v>
      </c>
      <c r="C29" s="10"/>
      <c r="D29" s="10"/>
      <c r="E29" s="10"/>
    </row>
    <row r="30" spans="2:41">
      <c r="B30" t="s">
        <v>297</v>
      </c>
    </row>
    <row r="31" spans="2:41">
      <c r="B31" s="770" t="s">
        <v>298</v>
      </c>
      <c r="C31" s="770"/>
      <c r="D31" s="770"/>
      <c r="E31" s="770"/>
      <c r="F31" s="769">
        <v>0</v>
      </c>
      <c r="G31" s="769"/>
      <c r="H31" s="770" t="s">
        <v>79</v>
      </c>
      <c r="I31" s="770"/>
      <c r="J31" s="770"/>
      <c r="K31" s="770" t="s">
        <v>299</v>
      </c>
      <c r="L31" s="770"/>
      <c r="M31" s="770"/>
      <c r="N31" s="770"/>
    </row>
    <row r="32" spans="2:41">
      <c r="B32" s="770" t="s">
        <v>300</v>
      </c>
      <c r="C32" s="770"/>
      <c r="D32" s="770"/>
      <c r="E32" s="770"/>
      <c r="F32" s="769">
        <v>1</v>
      </c>
      <c r="G32" s="769"/>
      <c r="H32" s="770" t="s">
        <v>79</v>
      </c>
      <c r="I32" s="770"/>
      <c r="J32" s="770"/>
      <c r="K32" s="770" t="s">
        <v>301</v>
      </c>
      <c r="L32" s="770"/>
      <c r="M32" s="770"/>
      <c r="N32" s="770"/>
    </row>
    <row r="33" spans="2:20">
      <c r="B33" s="770" t="s">
        <v>302</v>
      </c>
      <c r="C33" s="770"/>
      <c r="D33" s="770"/>
      <c r="E33" s="770"/>
      <c r="F33" s="769">
        <v>2</v>
      </c>
      <c r="G33" s="769"/>
      <c r="H33" s="770" t="s">
        <v>79</v>
      </c>
      <c r="I33" s="770"/>
      <c r="J33" s="770"/>
      <c r="K33" s="770" t="s">
        <v>303</v>
      </c>
      <c r="L33" s="770"/>
      <c r="M33" s="770"/>
      <c r="N33" s="770"/>
    </row>
    <row r="34" spans="2:20">
      <c r="B34" s="770" t="s">
        <v>304</v>
      </c>
      <c r="C34" s="770"/>
      <c r="D34" s="770"/>
      <c r="E34" s="770"/>
      <c r="F34" s="769">
        <v>2</v>
      </c>
      <c r="G34" s="769"/>
      <c r="H34" s="770" t="s">
        <v>79</v>
      </c>
      <c r="I34" s="770"/>
      <c r="J34" s="770"/>
      <c r="K34" s="770" t="s">
        <v>305</v>
      </c>
      <c r="L34" s="770"/>
      <c r="M34" s="770"/>
      <c r="N34" s="770"/>
    </row>
    <row r="35" spans="2:20">
      <c r="B35" s="770" t="s">
        <v>306</v>
      </c>
      <c r="C35" s="770"/>
      <c r="D35" s="770"/>
      <c r="E35" s="770"/>
      <c r="F35" s="769">
        <v>2</v>
      </c>
      <c r="G35" s="769"/>
      <c r="H35" s="770" t="s">
        <v>79</v>
      </c>
      <c r="I35" s="770"/>
      <c r="J35" s="770"/>
      <c r="K35" s="770" t="s">
        <v>294</v>
      </c>
      <c r="L35" s="770"/>
      <c r="M35" s="770"/>
      <c r="N35" s="770"/>
    </row>
    <row r="36" spans="2:20">
      <c r="B36" s="770" t="s">
        <v>307</v>
      </c>
      <c r="C36" s="770"/>
      <c r="D36" s="770"/>
      <c r="E36" s="770"/>
      <c r="F36" s="769">
        <v>2</v>
      </c>
      <c r="G36" s="769"/>
      <c r="H36" s="770" t="s">
        <v>79</v>
      </c>
      <c r="I36" s="770"/>
      <c r="J36" s="770"/>
      <c r="K36" s="770" t="s">
        <v>293</v>
      </c>
      <c r="L36" s="770"/>
      <c r="M36" s="770"/>
      <c r="N36" s="770"/>
    </row>
    <row r="37" spans="2:20">
      <c r="B37" s="770" t="s">
        <v>308</v>
      </c>
      <c r="C37" s="770"/>
      <c r="D37" s="770"/>
      <c r="E37" s="770"/>
      <c r="F37" s="769">
        <v>2</v>
      </c>
      <c r="G37" s="769"/>
      <c r="H37" s="770" t="s">
        <v>79</v>
      </c>
      <c r="I37" s="770"/>
      <c r="J37" s="770"/>
      <c r="K37" s="770" t="s">
        <v>309</v>
      </c>
      <c r="L37" s="770"/>
      <c r="M37" s="770"/>
      <c r="N37" s="770"/>
    </row>
    <row r="38" spans="2:20">
      <c r="B38" s="770" t="s">
        <v>310</v>
      </c>
      <c r="C38" s="770"/>
      <c r="D38" s="770"/>
      <c r="E38" s="770"/>
      <c r="F38" s="769">
        <v>2</v>
      </c>
      <c r="G38" s="769"/>
      <c r="H38" s="770" t="s">
        <v>79</v>
      </c>
      <c r="I38" s="770"/>
      <c r="J38" s="770"/>
      <c r="K38" s="770" t="s">
        <v>311</v>
      </c>
      <c r="L38" s="770"/>
      <c r="M38" s="770"/>
      <c r="N38" s="770"/>
    </row>
    <row r="39" spans="2:20">
      <c r="B39" s="770" t="s">
        <v>312</v>
      </c>
      <c r="C39" s="770"/>
      <c r="D39" s="770"/>
      <c r="E39" s="770"/>
      <c r="F39" s="769">
        <v>2</v>
      </c>
      <c r="G39" s="769"/>
      <c r="H39" s="770" t="s">
        <v>79</v>
      </c>
      <c r="I39" s="770"/>
      <c r="J39" s="770"/>
      <c r="K39" s="770" t="s">
        <v>313</v>
      </c>
      <c r="L39" s="770"/>
      <c r="M39" s="770"/>
      <c r="N39" s="770"/>
    </row>
    <row r="40" spans="2:20">
      <c r="B40" s="770" t="s">
        <v>314</v>
      </c>
      <c r="C40" s="770"/>
      <c r="D40" s="770"/>
      <c r="E40" s="770"/>
      <c r="F40" s="769">
        <v>0</v>
      </c>
      <c r="G40" s="769"/>
      <c r="H40" s="770" t="s">
        <v>79</v>
      </c>
      <c r="I40" s="770"/>
      <c r="J40" s="770"/>
      <c r="K40" s="770"/>
      <c r="L40" s="770"/>
      <c r="M40" s="770"/>
      <c r="N40" s="770"/>
    </row>
    <row r="41" spans="2:20">
      <c r="B41" s="770" t="s">
        <v>315</v>
      </c>
      <c r="C41" s="770"/>
      <c r="D41" s="770"/>
      <c r="E41" s="770"/>
      <c r="F41" s="771">
        <f>SUM(F31:F39)</f>
        <v>15</v>
      </c>
      <c r="G41" s="771"/>
      <c r="H41" s="770" t="s">
        <v>79</v>
      </c>
      <c r="I41" s="770"/>
      <c r="J41" s="770"/>
      <c r="K41" s="770"/>
      <c r="L41" s="770"/>
      <c r="M41" s="770"/>
      <c r="N41" s="770"/>
    </row>
    <row r="42" spans="2:20">
      <c r="B42" s="744"/>
      <c r="C42" s="744"/>
      <c r="D42" s="744"/>
      <c r="E42" s="744"/>
    </row>
    <row r="43" spans="2:20" ht="27" customHeight="1">
      <c r="B43" s="773" t="s">
        <v>316</v>
      </c>
      <c r="C43" s="773"/>
      <c r="D43" s="773"/>
      <c r="E43" s="773"/>
      <c r="F43" s="769">
        <v>600</v>
      </c>
      <c r="G43" s="769"/>
      <c r="H43" s="769"/>
      <c r="I43" s="770" t="s">
        <v>293</v>
      </c>
      <c r="J43" s="770"/>
    </row>
    <row r="44" spans="2:20">
      <c r="B44" s="770" t="s">
        <v>317</v>
      </c>
      <c r="C44" s="770"/>
      <c r="D44" s="770"/>
      <c r="E44" s="770"/>
      <c r="F44" s="769">
        <v>60</v>
      </c>
      <c r="G44" s="769"/>
      <c r="H44" s="769"/>
      <c r="I44" s="770" t="s">
        <v>293</v>
      </c>
      <c r="J44" s="770"/>
      <c r="K44" s="769">
        <v>60</v>
      </c>
      <c r="L44" s="769"/>
      <c r="M44" s="769"/>
      <c r="N44" s="770" t="s">
        <v>294</v>
      </c>
      <c r="O44" s="770"/>
      <c r="P44" s="769">
        <v>72</v>
      </c>
      <c r="Q44" s="769"/>
      <c r="R44" s="769"/>
      <c r="S44" s="770" t="s">
        <v>216</v>
      </c>
      <c r="T44" s="770"/>
    </row>
    <row r="45" spans="2:20" ht="16.5" customHeight="1">
      <c r="B45" s="770"/>
      <c r="C45" s="770"/>
      <c r="D45" s="770"/>
      <c r="E45" s="770"/>
      <c r="F45" s="770" t="s">
        <v>318</v>
      </c>
      <c r="G45" s="770"/>
      <c r="H45" s="770"/>
      <c r="I45" s="770"/>
      <c r="J45" s="770"/>
      <c r="K45" s="770" t="s">
        <v>318</v>
      </c>
      <c r="L45" s="770"/>
      <c r="M45" s="770"/>
      <c r="N45" s="770"/>
      <c r="O45" s="770"/>
      <c r="P45" s="768" t="s">
        <v>318</v>
      </c>
      <c r="Q45" s="768"/>
      <c r="R45" s="768"/>
      <c r="S45" s="768"/>
      <c r="T45" s="768"/>
    </row>
    <row r="46" spans="2:20">
      <c r="B46" s="770" t="s">
        <v>319</v>
      </c>
      <c r="C46" s="770"/>
      <c r="D46" s="770"/>
      <c r="E46" s="770"/>
      <c r="F46" s="772">
        <f>F44/F43*F41</f>
        <v>1.5</v>
      </c>
      <c r="G46" s="772"/>
      <c r="H46" s="772"/>
      <c r="I46" s="770" t="s">
        <v>79</v>
      </c>
      <c r="J46" s="770"/>
      <c r="K46" s="772">
        <f>K44*60/F43*F41</f>
        <v>90</v>
      </c>
      <c r="L46" s="772"/>
      <c r="M46" s="772"/>
      <c r="N46" s="770" t="s">
        <v>79</v>
      </c>
      <c r="O46" s="770"/>
      <c r="P46" s="772">
        <f>P44*60*60/F43*F41</f>
        <v>6480</v>
      </c>
      <c r="Q46" s="772"/>
      <c r="R46" s="772"/>
      <c r="S46" s="770" t="s">
        <v>79</v>
      </c>
      <c r="T46" s="770"/>
    </row>
    <row r="47" spans="2:20">
      <c r="K47" s="65"/>
      <c r="L47" s="65"/>
      <c r="M47" s="65"/>
    </row>
  </sheetData>
  <mergeCells count="216">
    <mergeCell ref="P44:R44"/>
    <mergeCell ref="S44:T44"/>
    <mergeCell ref="B45:E45"/>
    <mergeCell ref="F45:J45"/>
    <mergeCell ref="K45:O45"/>
    <mergeCell ref="P45:T45"/>
    <mergeCell ref="B46:E46"/>
    <mergeCell ref="F46:H46"/>
    <mergeCell ref="I46:J46"/>
    <mergeCell ref="K46:M46"/>
    <mergeCell ref="N46:O46"/>
    <mergeCell ref="P46:R46"/>
    <mergeCell ref="S46:T46"/>
    <mergeCell ref="B42:E42"/>
    <mergeCell ref="B43:E43"/>
    <mergeCell ref="F43:H43"/>
    <mergeCell ref="I43:J43"/>
    <mergeCell ref="B44:E44"/>
    <mergeCell ref="F44:H44"/>
    <mergeCell ref="I44:J44"/>
    <mergeCell ref="K44:M44"/>
    <mergeCell ref="N44:O44"/>
    <mergeCell ref="B39:E39"/>
    <mergeCell ref="F39:G39"/>
    <mergeCell ref="H39:J39"/>
    <mergeCell ref="K39:N39"/>
    <mergeCell ref="B40:E40"/>
    <mergeCell ref="F40:G40"/>
    <mergeCell ref="H40:J40"/>
    <mergeCell ref="K40:N40"/>
    <mergeCell ref="B41:E41"/>
    <mergeCell ref="F41:G41"/>
    <mergeCell ref="H41:J41"/>
    <mergeCell ref="K41:N41"/>
    <mergeCell ref="B36:E36"/>
    <mergeCell ref="F36:G36"/>
    <mergeCell ref="H36:J36"/>
    <mergeCell ref="K36:N36"/>
    <mergeCell ref="B37:E37"/>
    <mergeCell ref="F37:G37"/>
    <mergeCell ref="H37:J37"/>
    <mergeCell ref="K37:N37"/>
    <mergeCell ref="B38:E38"/>
    <mergeCell ref="F38:G38"/>
    <mergeCell ref="H38:J38"/>
    <mergeCell ref="K38:N38"/>
    <mergeCell ref="B33:E33"/>
    <mergeCell ref="F33:G33"/>
    <mergeCell ref="H33:J33"/>
    <mergeCell ref="K33:N33"/>
    <mergeCell ref="B34:E34"/>
    <mergeCell ref="F34:G34"/>
    <mergeCell ref="H34:J34"/>
    <mergeCell ref="K34:N34"/>
    <mergeCell ref="B35:E35"/>
    <mergeCell ref="F35:G35"/>
    <mergeCell ref="H35:J35"/>
    <mergeCell ref="K35:N35"/>
    <mergeCell ref="B27:E27"/>
    <mergeCell ref="B28:E28"/>
    <mergeCell ref="B31:E31"/>
    <mergeCell ref="F31:G31"/>
    <mergeCell ref="H31:J31"/>
    <mergeCell ref="K31:N31"/>
    <mergeCell ref="B32:E32"/>
    <mergeCell ref="F32:G32"/>
    <mergeCell ref="H32:J32"/>
    <mergeCell ref="K32:N32"/>
    <mergeCell ref="B26:E26"/>
    <mergeCell ref="F26:I26"/>
    <mergeCell ref="J26:M26"/>
    <mergeCell ref="P26:S26"/>
    <mergeCell ref="T26:W26"/>
    <mergeCell ref="X26:AA26"/>
    <mergeCell ref="AD26:AG26"/>
    <mergeCell ref="AH26:AK26"/>
    <mergeCell ref="AL26:AO26"/>
    <mergeCell ref="B25:E25"/>
    <mergeCell ref="F25:I25"/>
    <mergeCell ref="J25:M25"/>
    <mergeCell ref="P25:S25"/>
    <mergeCell ref="T25:W25"/>
    <mergeCell ref="X25:AA25"/>
    <mergeCell ref="AD25:AG25"/>
    <mergeCell ref="AH25:AK25"/>
    <mergeCell ref="AL25:AO25"/>
    <mergeCell ref="B24:E24"/>
    <mergeCell ref="F24:I24"/>
    <mergeCell ref="J24:M24"/>
    <mergeCell ref="P24:S24"/>
    <mergeCell ref="T24:W24"/>
    <mergeCell ref="X24:AA24"/>
    <mergeCell ref="AD24:AG24"/>
    <mergeCell ref="AH24:AK24"/>
    <mergeCell ref="AL24:AO24"/>
    <mergeCell ref="B23:E23"/>
    <mergeCell ref="F23:I23"/>
    <mergeCell ref="J23:M23"/>
    <mergeCell ref="P23:S23"/>
    <mergeCell ref="T23:W23"/>
    <mergeCell ref="X23:AA23"/>
    <mergeCell ref="AD23:AG23"/>
    <mergeCell ref="AH23:AK23"/>
    <mergeCell ref="AL23:AO23"/>
    <mergeCell ref="B22:E22"/>
    <mergeCell ref="F22:I22"/>
    <mergeCell ref="J22:M22"/>
    <mergeCell ref="P22:S22"/>
    <mergeCell ref="T22:W22"/>
    <mergeCell ref="X22:AA22"/>
    <mergeCell ref="AD22:AG22"/>
    <mergeCell ref="AH22:AK22"/>
    <mergeCell ref="AL22:AO22"/>
    <mergeCell ref="B21:E21"/>
    <mergeCell ref="F21:I21"/>
    <mergeCell ref="J21:M21"/>
    <mergeCell ref="P21:S21"/>
    <mergeCell ref="T21:W21"/>
    <mergeCell ref="X21:AA21"/>
    <mergeCell ref="AD21:AG21"/>
    <mergeCell ref="AH21:AK21"/>
    <mergeCell ref="AL21:AO21"/>
    <mergeCell ref="AD19:AG19"/>
    <mergeCell ref="AH19:AK19"/>
    <mergeCell ref="AL19:AO19"/>
    <mergeCell ref="B20:E20"/>
    <mergeCell ref="F20:I20"/>
    <mergeCell ref="J20:M20"/>
    <mergeCell ref="P20:S20"/>
    <mergeCell ref="T20:W20"/>
    <mergeCell ref="X20:AA20"/>
    <mergeCell ref="AD20:AG20"/>
    <mergeCell ref="AH20:AK20"/>
    <mergeCell ref="AL20:AO20"/>
    <mergeCell ref="B15:E15"/>
    <mergeCell ref="B16:E16"/>
    <mergeCell ref="B17:E17"/>
    <mergeCell ref="B19:E19"/>
    <mergeCell ref="F19:I19"/>
    <mergeCell ref="J19:M19"/>
    <mergeCell ref="P19:S19"/>
    <mergeCell ref="T19:W19"/>
    <mergeCell ref="X19:AA19"/>
    <mergeCell ref="B14:E14"/>
    <mergeCell ref="F14:I14"/>
    <mergeCell ref="J14:M14"/>
    <mergeCell ref="P14:S14"/>
    <mergeCell ref="T14:W14"/>
    <mergeCell ref="X14:AA14"/>
    <mergeCell ref="AD14:AG14"/>
    <mergeCell ref="AH14:AK14"/>
    <mergeCell ref="AL14:AO14"/>
    <mergeCell ref="B13:E13"/>
    <mergeCell ref="F13:I13"/>
    <mergeCell ref="J13:M13"/>
    <mergeCell ref="P13:S13"/>
    <mergeCell ref="T13:W13"/>
    <mergeCell ref="X13:AA13"/>
    <mergeCell ref="AD13:AG13"/>
    <mergeCell ref="AH13:AK13"/>
    <mergeCell ref="AL13:AO13"/>
    <mergeCell ref="B12:E12"/>
    <mergeCell ref="F12:I12"/>
    <mergeCell ref="J12:M12"/>
    <mergeCell ref="P12:S12"/>
    <mergeCell ref="T12:W12"/>
    <mergeCell ref="X12:AA12"/>
    <mergeCell ref="AD12:AG12"/>
    <mergeCell ref="AH12:AK12"/>
    <mergeCell ref="AL12:AO12"/>
    <mergeCell ref="B10:E10"/>
    <mergeCell ref="F10:I10"/>
    <mergeCell ref="J10:M10"/>
    <mergeCell ref="P10:S10"/>
    <mergeCell ref="T10:W10"/>
    <mergeCell ref="X10:AA10"/>
    <mergeCell ref="AD10:AG10"/>
    <mergeCell ref="AH10:AK10"/>
    <mergeCell ref="AL10:AO10"/>
    <mergeCell ref="B9:E9"/>
    <mergeCell ref="F9:I9"/>
    <mergeCell ref="J9:M9"/>
    <mergeCell ref="P9:S9"/>
    <mergeCell ref="T9:W9"/>
    <mergeCell ref="X9:AA9"/>
    <mergeCell ref="AD9:AG9"/>
    <mergeCell ref="AH9:AK9"/>
    <mergeCell ref="AL9:AO9"/>
    <mergeCell ref="B8:E8"/>
    <mergeCell ref="F8:I8"/>
    <mergeCell ref="J8:M8"/>
    <mergeCell ref="P8:S8"/>
    <mergeCell ref="T8:W8"/>
    <mergeCell ref="X8:AA8"/>
    <mergeCell ref="AD8:AG8"/>
    <mergeCell ref="AH8:AK8"/>
    <mergeCell ref="AL8:AO8"/>
    <mergeCell ref="AL6:AO6"/>
    <mergeCell ref="B7:E7"/>
    <mergeCell ref="F7:I7"/>
    <mergeCell ref="J7:M7"/>
    <mergeCell ref="P7:S7"/>
    <mergeCell ref="T7:W7"/>
    <mergeCell ref="X7:AA7"/>
    <mergeCell ref="AD7:AG7"/>
    <mergeCell ref="AH7:AK7"/>
    <mergeCell ref="AL7:AO7"/>
    <mergeCell ref="A1:C1"/>
    <mergeCell ref="B6:E6"/>
    <mergeCell ref="F6:I6"/>
    <mergeCell ref="J6:M6"/>
    <mergeCell ref="P6:S6"/>
    <mergeCell ref="T6:W6"/>
    <mergeCell ref="X6:AA6"/>
    <mergeCell ref="AD6:AG6"/>
    <mergeCell ref="AH6:AK6"/>
  </mergeCells>
  <phoneticPr fontId="42"/>
  <hyperlinks>
    <hyperlink ref="A1:C1" location="目次!A1" display="　目次　" xr:uid="{00000000-0004-0000-0F00-000000000000}"/>
  </hyperlinks>
  <pageMargins left="0.69930555555555596" right="0.69930555555555596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5"/>
  <sheetViews>
    <sheetView workbookViewId="0">
      <selection activeCell="C9" sqref="C9"/>
    </sheetView>
  </sheetViews>
  <sheetFormatPr defaultColWidth="9" defaultRowHeight="13.5"/>
  <cols>
    <col min="1" max="1" width="4.75" customWidth="1"/>
    <col min="2" max="2" width="11.125" customWidth="1"/>
    <col min="3" max="3" width="12.75" customWidth="1"/>
    <col min="4" max="4" width="5" customWidth="1"/>
  </cols>
  <sheetData>
    <row r="1" spans="1:6">
      <c r="A1" s="686" t="s">
        <v>61</v>
      </c>
      <c r="B1" s="686"/>
      <c r="C1" s="686"/>
    </row>
    <row r="2" spans="1:6" ht="14.25">
      <c r="B2" s="115" t="s">
        <v>320</v>
      </c>
    </row>
    <row r="3" spans="1:6">
      <c r="B3" s="40"/>
      <c r="C3" s="40"/>
      <c r="D3" t="s">
        <v>228</v>
      </c>
    </row>
    <row r="4" spans="1:6">
      <c r="B4" s="42"/>
      <c r="C4" s="42"/>
      <c r="D4" t="s">
        <v>63</v>
      </c>
    </row>
    <row r="6" spans="1:6">
      <c r="B6" t="s">
        <v>213</v>
      </c>
      <c r="C6" s="40">
        <v>1E-3</v>
      </c>
      <c r="D6" t="s">
        <v>215</v>
      </c>
      <c r="E6">
        <f>C6*1000000</f>
        <v>1000</v>
      </c>
      <c r="F6" t="s">
        <v>214</v>
      </c>
    </row>
    <row r="7" spans="1:6">
      <c r="B7" t="s">
        <v>90</v>
      </c>
      <c r="C7" s="40">
        <v>4.7E-2</v>
      </c>
      <c r="D7" t="s">
        <v>321</v>
      </c>
      <c r="E7">
        <f>C7*1000</f>
        <v>47</v>
      </c>
      <c r="F7" t="s">
        <v>322</v>
      </c>
    </row>
    <row r="9" spans="1:6">
      <c r="B9" t="s">
        <v>323</v>
      </c>
      <c r="C9" s="42">
        <f>C6*C7</f>
        <v>4.7000000000000004E-5</v>
      </c>
      <c r="D9" t="s">
        <v>217</v>
      </c>
    </row>
    <row r="10" spans="1:6">
      <c r="C10" s="128" t="s">
        <v>324</v>
      </c>
    </row>
    <row r="11" spans="1:6">
      <c r="C11" s="42">
        <f>C9*1000</f>
        <v>4.7000000000000007E-2</v>
      </c>
      <c r="D11" t="s">
        <v>218</v>
      </c>
    </row>
    <row r="12" spans="1:6">
      <c r="C12" s="128" t="s">
        <v>324</v>
      </c>
    </row>
    <row r="13" spans="1:6">
      <c r="C13" s="42">
        <f>C11*1000</f>
        <v>47.000000000000007</v>
      </c>
      <c r="D13" t="s">
        <v>220</v>
      </c>
    </row>
    <row r="20" spans="1:6">
      <c r="A20" s="738">
        <v>10</v>
      </c>
      <c r="B20" s="738" t="s">
        <v>325</v>
      </c>
      <c r="C20" s="121">
        <f>-C6*C7*LN(0.9)</f>
        <v>4.951944235917836E-6</v>
      </c>
      <c r="D20" t="s">
        <v>217</v>
      </c>
      <c r="E20" s="738" t="s">
        <v>326</v>
      </c>
      <c r="F20" s="738"/>
    </row>
    <row r="21" spans="1:6">
      <c r="A21" s="738"/>
      <c r="B21" s="738"/>
      <c r="C21" s="36">
        <f>C20*1000000</f>
        <v>4.9519442359178356</v>
      </c>
      <c r="D21" t="s">
        <v>220</v>
      </c>
      <c r="E21" s="738"/>
      <c r="F21" s="738"/>
    </row>
    <row r="22" spans="1:6">
      <c r="A22" s="738">
        <v>66</v>
      </c>
      <c r="B22" s="738" t="s">
        <v>325</v>
      </c>
      <c r="C22" s="121">
        <f>-C6*C7*LN(0.1)</f>
        <v>1.0822149937072014E-4</v>
      </c>
      <c r="D22" t="s">
        <v>217</v>
      </c>
      <c r="E22" s="738" t="s">
        <v>327</v>
      </c>
      <c r="F22" s="738"/>
    </row>
    <row r="23" spans="1:6">
      <c r="A23" s="738"/>
      <c r="B23" s="738"/>
      <c r="C23" s="36">
        <f>-C7*C6*LN(0.34)*1000000</f>
        <v>50.704054084480703</v>
      </c>
      <c r="D23" t="s">
        <v>220</v>
      </c>
      <c r="E23" s="738"/>
      <c r="F23" s="738"/>
    </row>
    <row r="25" spans="1:6">
      <c r="C25">
        <f>1/(C23*2*10^-6)</f>
        <v>9861.1444198707177</v>
      </c>
    </row>
  </sheetData>
  <mergeCells count="7">
    <mergeCell ref="E20:F21"/>
    <mergeCell ref="E22:F23"/>
    <mergeCell ref="A1:C1"/>
    <mergeCell ref="A20:A21"/>
    <mergeCell ref="A22:A23"/>
    <mergeCell ref="B20:B21"/>
    <mergeCell ref="B22:B23"/>
  </mergeCells>
  <phoneticPr fontId="42"/>
  <hyperlinks>
    <hyperlink ref="A1:C1" location="目次!A1" display="　目次　" xr:uid="{00000000-0004-0000-10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43"/>
  <sheetViews>
    <sheetView zoomScale="115" zoomScaleNormal="115" workbookViewId="0">
      <selection sqref="A1:C1"/>
    </sheetView>
  </sheetViews>
  <sheetFormatPr defaultColWidth="3.25" defaultRowHeight="13.5"/>
  <cols>
    <col min="1" max="1" width="9" customWidth="1"/>
  </cols>
  <sheetData>
    <row r="1" spans="1:42">
      <c r="A1" s="686" t="s">
        <v>61</v>
      </c>
      <c r="B1" s="686"/>
      <c r="C1" s="686"/>
    </row>
    <row r="2" spans="1:42">
      <c r="B2" t="s">
        <v>328</v>
      </c>
    </row>
    <row r="3" spans="1:42">
      <c r="C3" s="16"/>
      <c r="D3" s="16"/>
      <c r="E3" s="16"/>
      <c r="F3" s="16"/>
      <c r="G3" s="16"/>
      <c r="H3" s="10"/>
      <c r="I3" s="10"/>
      <c r="J3" s="10"/>
      <c r="K3" s="10"/>
    </row>
    <row r="4" spans="1:42">
      <c r="C4" s="16"/>
      <c r="D4" s="16"/>
      <c r="E4" s="16"/>
      <c r="F4" s="16"/>
      <c r="G4" s="16"/>
      <c r="H4" s="10"/>
      <c r="I4" s="10"/>
      <c r="J4" s="10"/>
      <c r="K4" s="10"/>
      <c r="AO4" s="10"/>
      <c r="AP4" s="10"/>
    </row>
    <row r="5" spans="1:42" s="10" customFormat="1">
      <c r="B5" s="10" t="s">
        <v>329</v>
      </c>
      <c r="W5" s="10" t="s">
        <v>330</v>
      </c>
    </row>
    <row r="6" spans="1:42" s="10" customFormat="1">
      <c r="C6" s="122" t="s">
        <v>331</v>
      </c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126"/>
    </row>
    <row r="7" spans="1:42" s="10" customFormat="1">
      <c r="C7" s="64"/>
      <c r="D7" s="767" t="s">
        <v>332</v>
      </c>
      <c r="E7" s="767"/>
      <c r="F7" s="65" t="s">
        <v>333</v>
      </c>
      <c r="G7" s="65"/>
      <c r="H7" s="65"/>
      <c r="I7" s="65"/>
      <c r="J7" s="65"/>
      <c r="K7" s="65"/>
      <c r="L7" s="65"/>
      <c r="M7" s="65"/>
      <c r="N7" s="65"/>
      <c r="O7" s="66"/>
      <c r="AJ7" s="10" t="s">
        <v>334</v>
      </c>
    </row>
    <row r="8" spans="1:42" s="10" customFormat="1">
      <c r="C8" s="64"/>
      <c r="D8" s="767" t="s">
        <v>335</v>
      </c>
      <c r="E8" s="767"/>
      <c r="F8" s="65" t="s">
        <v>90</v>
      </c>
      <c r="G8" s="65"/>
      <c r="H8" s="65"/>
      <c r="I8" s="65"/>
      <c r="J8" s="65"/>
      <c r="K8" s="65"/>
      <c r="L8" s="65"/>
      <c r="M8" s="65"/>
      <c r="N8" s="65"/>
      <c r="O8" s="66"/>
      <c r="AJ8" s="10" t="s">
        <v>336</v>
      </c>
    </row>
    <row r="9" spans="1:42" s="10" customFormat="1">
      <c r="C9" s="124"/>
      <c r="D9" s="774" t="s">
        <v>337</v>
      </c>
      <c r="E9" s="774"/>
      <c r="F9" s="125" t="s">
        <v>213</v>
      </c>
      <c r="G9" s="125"/>
      <c r="H9" s="125"/>
      <c r="I9" s="125"/>
      <c r="J9" s="125"/>
      <c r="K9" s="125"/>
      <c r="L9" s="125"/>
      <c r="M9" s="125"/>
      <c r="N9" s="125"/>
      <c r="O9" s="127"/>
    </row>
    <row r="10" spans="1:42" s="10" customFormat="1"/>
    <row r="11" spans="1:42" s="10" customFormat="1">
      <c r="A11"/>
      <c r="B11"/>
      <c r="C11" s="738" t="s">
        <v>338</v>
      </c>
      <c r="D11" s="738"/>
      <c r="E11" s="738"/>
      <c r="F11" s="738"/>
      <c r="G11" s="738"/>
      <c r="H11" s="775">
        <v>100000</v>
      </c>
      <c r="I11" s="775"/>
      <c r="J11" s="775"/>
      <c r="K11" s="775"/>
      <c r="L11" t="s">
        <v>214</v>
      </c>
      <c r="M11"/>
      <c r="N11" s="710">
        <f>H11/10^12</f>
        <v>9.9999999999999995E-8</v>
      </c>
      <c r="O11" s="710"/>
      <c r="P11" s="710"/>
      <c r="Q11" s="530" t="s">
        <v>1516</v>
      </c>
      <c r="R11"/>
      <c r="S11"/>
      <c r="T11"/>
    </row>
    <row r="12" spans="1:42" s="10" customFormat="1">
      <c r="A12"/>
      <c r="B12"/>
      <c r="C12" s="738" t="s">
        <v>339</v>
      </c>
      <c r="D12" s="738"/>
      <c r="E12" s="738"/>
      <c r="F12" s="738"/>
      <c r="G12" s="738"/>
      <c r="H12" s="775">
        <v>100000</v>
      </c>
      <c r="I12" s="775"/>
      <c r="J12" s="775"/>
      <c r="K12" s="775"/>
      <c r="L12" t="s">
        <v>91</v>
      </c>
      <c r="M12"/>
      <c r="N12" s="440" t="s">
        <v>1280</v>
      </c>
      <c r="O12" s="710">
        <f>H13/H12</f>
        <v>5.0000000000000002E-5</v>
      </c>
      <c r="P12" s="710"/>
      <c r="Q12" s="710"/>
      <c r="R12" s="436" t="s">
        <v>1281</v>
      </c>
      <c r="S12"/>
      <c r="T12"/>
      <c r="V12"/>
      <c r="W12"/>
      <c r="X12" s="738" t="s">
        <v>338</v>
      </c>
      <c r="Y12" s="738"/>
      <c r="Z12" s="738"/>
      <c r="AA12" s="738"/>
      <c r="AB12" s="738"/>
      <c r="AC12" s="775">
        <v>1000</v>
      </c>
      <c r="AD12" s="775"/>
      <c r="AE12" s="775"/>
      <c r="AF12" s="775"/>
      <c r="AG12" t="s">
        <v>214</v>
      </c>
      <c r="AH12"/>
      <c r="AI12"/>
      <c r="AJ12"/>
      <c r="AK12"/>
      <c r="AL12"/>
      <c r="AM12"/>
      <c r="AN12"/>
      <c r="AO12"/>
    </row>
    <row r="13" spans="1:42" s="10" customFormat="1">
      <c r="C13" s="738" t="s">
        <v>340</v>
      </c>
      <c r="D13" s="738"/>
      <c r="E13" s="738"/>
      <c r="F13" s="738"/>
      <c r="G13" s="738"/>
      <c r="H13" s="775">
        <v>5</v>
      </c>
      <c r="I13" s="775"/>
      <c r="J13" s="775"/>
      <c r="K13" s="775"/>
      <c r="L13" s="10" t="s">
        <v>65</v>
      </c>
      <c r="V13"/>
      <c r="W13"/>
      <c r="X13" s="738" t="s">
        <v>341</v>
      </c>
      <c r="Y13" s="738"/>
      <c r="Z13" s="738"/>
      <c r="AA13" s="738"/>
      <c r="AB13" s="738"/>
      <c r="AC13" s="776">
        <v>470000</v>
      </c>
      <c r="AD13" s="776"/>
      <c r="AE13" s="776"/>
      <c r="AF13" s="776"/>
      <c r="AG13" t="s">
        <v>91</v>
      </c>
      <c r="AH13"/>
      <c r="AI13" s="440" t="s">
        <v>1280</v>
      </c>
      <c r="AJ13" s="710">
        <f>AC14/AC13</f>
        <v>6.3829787234042555E-6</v>
      </c>
      <c r="AK13" s="710"/>
      <c r="AL13" s="710"/>
      <c r="AM13" s="436" t="s">
        <v>1281</v>
      </c>
      <c r="AN13"/>
      <c r="AO13"/>
    </row>
    <row r="14" spans="1:42" s="10" customFormat="1">
      <c r="C14" s="738" t="s">
        <v>342</v>
      </c>
      <c r="D14" s="738"/>
      <c r="E14" s="738"/>
      <c r="F14" s="738"/>
      <c r="G14" s="738"/>
      <c r="H14" s="775">
        <v>0</v>
      </c>
      <c r="I14" s="775"/>
      <c r="J14" s="775"/>
      <c r="K14" s="775"/>
      <c r="L14" t="s">
        <v>65</v>
      </c>
      <c r="X14" s="744" t="s">
        <v>343</v>
      </c>
      <c r="Y14" s="744"/>
      <c r="Z14" s="744"/>
      <c r="AA14" s="744"/>
      <c r="AB14" s="744"/>
      <c r="AC14" s="776">
        <v>3</v>
      </c>
      <c r="AD14" s="776"/>
      <c r="AE14" s="776"/>
      <c r="AF14" s="776"/>
      <c r="AG14" s="10" t="s">
        <v>65</v>
      </c>
    </row>
    <row r="15" spans="1:42" s="10" customFormat="1">
      <c r="C15" s="738" t="s">
        <v>344</v>
      </c>
      <c r="D15" s="738"/>
      <c r="E15" s="738"/>
      <c r="F15" s="738"/>
      <c r="G15" s="738"/>
      <c r="H15" s="775">
        <v>3.3</v>
      </c>
      <c r="I15" s="775"/>
      <c r="J15" s="775"/>
      <c r="K15" s="775"/>
      <c r="L15" t="s">
        <v>65</v>
      </c>
      <c r="X15" s="744" t="s">
        <v>345</v>
      </c>
      <c r="Y15" s="744"/>
      <c r="Z15" s="744"/>
      <c r="AA15" s="744"/>
      <c r="AB15" s="744"/>
      <c r="AC15" s="776">
        <v>0.6</v>
      </c>
      <c r="AD15" s="776"/>
      <c r="AE15" s="776"/>
      <c r="AF15" s="776"/>
      <c r="AG15" s="10" t="s">
        <v>65</v>
      </c>
    </row>
    <row r="16" spans="1:42" s="10" customFormat="1">
      <c r="C16" s="738" t="s">
        <v>346</v>
      </c>
      <c r="D16" s="738"/>
      <c r="E16" s="738"/>
      <c r="F16" s="738"/>
      <c r="G16" s="738"/>
      <c r="H16" s="777">
        <f>H15-H14</f>
        <v>3.3</v>
      </c>
      <c r="I16" s="777"/>
      <c r="J16" s="777"/>
      <c r="K16" s="777"/>
      <c r="L16" t="s">
        <v>65</v>
      </c>
      <c r="X16" s="744" t="s">
        <v>347</v>
      </c>
      <c r="Y16" s="744"/>
      <c r="Z16" s="744"/>
      <c r="AA16" s="744"/>
      <c r="AB16" s="744"/>
      <c r="AC16" s="744">
        <f>AC15/AC14*100</f>
        <v>20</v>
      </c>
      <c r="AD16" s="744"/>
      <c r="AE16" s="744"/>
      <c r="AF16" s="744"/>
      <c r="AG16" s="10" t="s">
        <v>245</v>
      </c>
    </row>
    <row r="17" spans="2:36" s="10" customFormat="1">
      <c r="C17" s="738" t="s">
        <v>348</v>
      </c>
      <c r="D17" s="738"/>
      <c r="E17" s="738"/>
      <c r="F17" s="738"/>
      <c r="G17" s="738"/>
      <c r="H17" s="777">
        <f>H16/H13*100</f>
        <v>65.999999999999986</v>
      </c>
      <c r="I17" s="777"/>
      <c r="J17" s="777"/>
      <c r="K17" s="777"/>
      <c r="L17" t="s">
        <v>245</v>
      </c>
    </row>
    <row r="18" spans="2:36" s="10" customFormat="1">
      <c r="X18" s="744" t="s">
        <v>349</v>
      </c>
      <c r="Y18" s="744"/>
      <c r="Z18" s="744"/>
      <c r="AA18" s="744"/>
      <c r="AB18" s="744"/>
      <c r="AC18" s="778">
        <f>-AC12*10^-12*AC13*LN(AC15/AC14)*1000000</f>
        <v>756.43581884402727</v>
      </c>
      <c r="AD18" s="778"/>
      <c r="AE18" s="778"/>
      <c r="AF18" s="778"/>
      <c r="AG18" s="10" t="s">
        <v>222</v>
      </c>
    </row>
    <row r="19" spans="2:36" s="10" customFormat="1">
      <c r="D19" s="738" t="s">
        <v>350</v>
      </c>
      <c r="E19" s="738"/>
      <c r="F19" s="738"/>
      <c r="G19" s="738"/>
      <c r="H19" s="778">
        <f>-H11*10^-12*H12*LN(1-H17/100)*1000000</f>
        <v>10788.096613719294</v>
      </c>
      <c r="I19" s="778"/>
      <c r="J19" s="778"/>
      <c r="K19" s="778"/>
      <c r="L19" s="10" t="s">
        <v>222</v>
      </c>
      <c r="X19" s="352"/>
      <c r="Y19" s="352"/>
      <c r="Z19" s="352"/>
      <c r="AA19" s="352"/>
      <c r="AB19" s="352"/>
      <c r="AC19" s="778">
        <f>AC18/1000</f>
        <v>0.75643581884402722</v>
      </c>
      <c r="AD19" s="778"/>
      <c r="AE19" s="778"/>
      <c r="AF19" s="778"/>
      <c r="AG19" s="368" t="s">
        <v>1200</v>
      </c>
      <c r="AH19" s="352"/>
      <c r="AI19" s="352"/>
    </row>
    <row r="20" spans="2:36" s="10" customFormat="1">
      <c r="B20" s="352"/>
      <c r="C20" s="352"/>
      <c r="D20" s="351"/>
      <c r="E20" s="351"/>
      <c r="F20" s="351"/>
      <c r="G20" s="351"/>
      <c r="H20" s="778">
        <f>H19/1000</f>
        <v>10.788096613719294</v>
      </c>
      <c r="I20" s="778"/>
      <c r="J20" s="778"/>
      <c r="K20" s="778"/>
      <c r="L20" s="368" t="s">
        <v>1200</v>
      </c>
      <c r="M20" s="352"/>
      <c r="N20" s="352"/>
      <c r="O20" s="352"/>
      <c r="P20" s="352"/>
      <c r="X20" s="352"/>
      <c r="Y20" s="352"/>
      <c r="Z20" s="352"/>
      <c r="AA20" s="352"/>
      <c r="AB20" s="352"/>
      <c r="AC20" s="778">
        <f>AC19/1000</f>
        <v>7.5643581884402727E-4</v>
      </c>
      <c r="AD20" s="778"/>
      <c r="AE20" s="778"/>
      <c r="AF20" s="778"/>
      <c r="AG20" s="368" t="s">
        <v>1201</v>
      </c>
      <c r="AH20" s="352"/>
      <c r="AI20" s="352"/>
    </row>
    <row r="21" spans="2:36" s="10" customFormat="1">
      <c r="B21" s="352"/>
      <c r="C21" s="352"/>
      <c r="D21" s="351"/>
      <c r="E21" s="351"/>
      <c r="F21" s="351"/>
      <c r="G21" s="351"/>
      <c r="H21" s="778">
        <f>H20/1000</f>
        <v>1.0788096613719293E-2</v>
      </c>
      <c r="I21" s="778"/>
      <c r="J21" s="778"/>
      <c r="K21" s="778"/>
      <c r="L21" s="368" t="s">
        <v>1201</v>
      </c>
      <c r="M21" s="352"/>
      <c r="N21" s="352"/>
      <c r="O21" s="352"/>
      <c r="P21" s="352"/>
      <c r="X21" s="352"/>
      <c r="Y21" s="352"/>
      <c r="Z21" s="352"/>
      <c r="AA21" s="352"/>
      <c r="AB21" s="352"/>
      <c r="AC21" s="778">
        <f>AC20/60</f>
        <v>1.2607263647400454E-5</v>
      </c>
      <c r="AD21" s="778"/>
      <c r="AE21" s="778"/>
      <c r="AF21" s="778"/>
      <c r="AG21" s="368" t="s">
        <v>1202</v>
      </c>
      <c r="AH21" s="352"/>
      <c r="AI21" s="352"/>
    </row>
    <row r="22" spans="2:36" s="10" customFormat="1">
      <c r="C22" s="352"/>
      <c r="D22" s="351"/>
      <c r="E22" s="351"/>
      <c r="F22" s="351"/>
      <c r="G22" s="351"/>
      <c r="H22" s="778">
        <f>H21/60</f>
        <v>1.7980161022865487E-4</v>
      </c>
      <c r="I22" s="778"/>
      <c r="J22" s="778"/>
      <c r="K22" s="778"/>
      <c r="L22" s="368" t="s">
        <v>1202</v>
      </c>
      <c r="M22" s="352"/>
      <c r="N22" s="352"/>
      <c r="O22" s="352"/>
      <c r="U22" s="352"/>
      <c r="V22" s="352"/>
      <c r="W22" s="352"/>
      <c r="X22" s="352"/>
      <c r="Y22" s="352"/>
      <c r="Z22" s="352"/>
      <c r="AA22" s="352"/>
      <c r="AB22" s="352"/>
      <c r="AC22" s="778">
        <f>AC21/60</f>
        <v>2.1012106079000755E-7</v>
      </c>
      <c r="AD22" s="778"/>
      <c r="AE22" s="778"/>
      <c r="AF22" s="778"/>
      <c r="AG22" s="368" t="s">
        <v>1203</v>
      </c>
      <c r="AH22" s="352"/>
      <c r="AI22" s="352"/>
      <c r="AJ22" s="352"/>
    </row>
    <row r="23" spans="2:36" s="352" customFormat="1">
      <c r="D23" s="351"/>
      <c r="E23" s="351"/>
      <c r="F23" s="351"/>
      <c r="G23" s="351"/>
      <c r="H23" s="778">
        <f>H22/60</f>
        <v>2.9966935038109145E-6</v>
      </c>
      <c r="I23" s="778"/>
      <c r="J23" s="778"/>
      <c r="K23" s="778"/>
      <c r="L23" s="368" t="s">
        <v>1203</v>
      </c>
      <c r="U23" s="10"/>
      <c r="V23" s="10"/>
      <c r="W23" s="10"/>
      <c r="X23" s="744" t="s">
        <v>209</v>
      </c>
      <c r="Y23" s="744"/>
      <c r="Z23" s="744"/>
      <c r="AA23" s="744"/>
      <c r="AB23" s="744"/>
      <c r="AC23" s="778">
        <f>1/(AC18*2*10^-6)</f>
        <v>660.99461123362948</v>
      </c>
      <c r="AD23" s="778"/>
      <c r="AE23" s="778"/>
      <c r="AF23" s="778"/>
      <c r="AG23" s="10" t="s">
        <v>210</v>
      </c>
      <c r="AH23" s="10"/>
      <c r="AI23" s="10"/>
      <c r="AJ23" s="10"/>
    </row>
    <row r="24" spans="2:36" s="10" customFormat="1">
      <c r="D24" s="738" t="s">
        <v>209</v>
      </c>
      <c r="E24" s="738"/>
      <c r="F24" s="738"/>
      <c r="G24" s="738"/>
      <c r="H24" s="779">
        <f>1/(H19*2*10^-6)</f>
        <v>46.3473787733924</v>
      </c>
      <c r="I24" s="779"/>
      <c r="J24" s="779"/>
      <c r="K24" s="779"/>
      <c r="L24" s="10" t="s">
        <v>210</v>
      </c>
      <c r="U24" s="352"/>
      <c r="V24" s="352"/>
      <c r="W24" s="352"/>
      <c r="X24" s="352"/>
      <c r="Y24" s="352"/>
      <c r="Z24" s="352"/>
      <c r="AA24" s="352"/>
      <c r="AB24" s="352"/>
      <c r="AC24" s="779">
        <f>AC23/1000</f>
        <v>0.66099461123362946</v>
      </c>
      <c r="AD24" s="779"/>
      <c r="AE24" s="779"/>
      <c r="AF24" s="779"/>
      <c r="AG24" s="10" t="s">
        <v>211</v>
      </c>
    </row>
    <row r="25" spans="2:36" s="10" customFormat="1">
      <c r="H25" s="779">
        <f>H24/1000</f>
        <v>4.63473787733924E-2</v>
      </c>
      <c r="I25" s="779"/>
      <c r="J25" s="779"/>
      <c r="K25" s="779"/>
      <c r="L25" s="10" t="s">
        <v>211</v>
      </c>
      <c r="AC25" s="779">
        <f>AC24/1000</f>
        <v>6.609946112336295E-4</v>
      </c>
      <c r="AD25" s="779"/>
      <c r="AE25" s="779"/>
      <c r="AF25" s="779"/>
      <c r="AG25" s="10" t="s">
        <v>212</v>
      </c>
    </row>
    <row r="26" spans="2:36" s="10" customFormat="1">
      <c r="H26" s="778">
        <f>H25/1000</f>
        <v>4.63473787733924E-5</v>
      </c>
      <c r="I26" s="778"/>
      <c r="J26" s="778"/>
      <c r="K26" s="778"/>
      <c r="L26" s="10" t="s">
        <v>351</v>
      </c>
    </row>
    <row r="27" spans="2:36" s="10" customFormat="1"/>
    <row r="28" spans="2:36" s="10" customFormat="1"/>
    <row r="29" spans="2:36" s="10" customFormat="1"/>
    <row r="30" spans="2:36" s="10" customFormat="1"/>
    <row r="31" spans="2:36" s="10" customFormat="1"/>
    <row r="32" spans="2:36" s="10" customFormat="1"/>
    <row r="33" spans="1:41" s="10" customFormat="1"/>
    <row r="34" spans="1:41" s="10" customFormat="1"/>
    <row r="35" spans="1:41" s="10" customFormat="1"/>
    <row r="36" spans="1:41" s="10" customFormat="1"/>
    <row r="37" spans="1:4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4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spans="1:41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spans="1:41">
      <c r="B40" s="10"/>
      <c r="C40" s="10"/>
      <c r="D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W40" s="10"/>
      <c r="X40" s="10"/>
      <c r="Y40" s="10"/>
      <c r="Z40" s="10"/>
      <c r="AA40" s="10"/>
      <c r="AB40" s="10"/>
    </row>
    <row r="41" spans="1:41"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X41" s="10"/>
      <c r="Y41" s="10"/>
      <c r="AC41" s="10"/>
      <c r="AD41" s="10"/>
      <c r="AE41" s="10"/>
      <c r="AF41" s="10"/>
      <c r="AG41" s="10"/>
      <c r="AH41" s="10"/>
      <c r="AI41" s="10"/>
    </row>
    <row r="42" spans="1:41"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41">
      <c r="X43" s="10"/>
      <c r="Y43" s="10"/>
      <c r="Z43" s="10"/>
      <c r="AA43" s="10"/>
      <c r="AB43" s="10"/>
    </row>
  </sheetData>
  <mergeCells count="51">
    <mergeCell ref="H26:K26"/>
    <mergeCell ref="D24:G24"/>
    <mergeCell ref="H24:K24"/>
    <mergeCell ref="AC24:AF24"/>
    <mergeCell ref="H25:K25"/>
    <mergeCell ref="AC25:AF25"/>
    <mergeCell ref="H23:K23"/>
    <mergeCell ref="AC22:AF22"/>
    <mergeCell ref="C17:G17"/>
    <mergeCell ref="H17:K17"/>
    <mergeCell ref="X18:AB18"/>
    <mergeCell ref="AC18:AF18"/>
    <mergeCell ref="D19:G19"/>
    <mergeCell ref="H19:K19"/>
    <mergeCell ref="X23:AB23"/>
    <mergeCell ref="AC23:AF23"/>
    <mergeCell ref="AC19:AF19"/>
    <mergeCell ref="H20:K20"/>
    <mergeCell ref="H21:K21"/>
    <mergeCell ref="H22:K22"/>
    <mergeCell ref="AC20:AF20"/>
    <mergeCell ref="AC21:AF21"/>
    <mergeCell ref="C15:G15"/>
    <mergeCell ref="H15:K15"/>
    <mergeCell ref="X15:AB15"/>
    <mergeCell ref="AC15:AF15"/>
    <mergeCell ref="C16:G16"/>
    <mergeCell ref="H16:K16"/>
    <mergeCell ref="X16:AB16"/>
    <mergeCell ref="AC16:AF16"/>
    <mergeCell ref="AC13:AF13"/>
    <mergeCell ref="C14:G14"/>
    <mergeCell ref="H14:K14"/>
    <mergeCell ref="X14:AB14"/>
    <mergeCell ref="AC14:AF14"/>
    <mergeCell ref="N11:P11"/>
    <mergeCell ref="O12:Q12"/>
    <mergeCell ref="AJ13:AL13"/>
    <mergeCell ref="A1:C1"/>
    <mergeCell ref="D7:E7"/>
    <mergeCell ref="D8:E8"/>
    <mergeCell ref="D9:E9"/>
    <mergeCell ref="C11:G11"/>
    <mergeCell ref="H11:K11"/>
    <mergeCell ref="C12:G12"/>
    <mergeCell ref="H12:K12"/>
    <mergeCell ref="X12:AB12"/>
    <mergeCell ref="AC12:AF12"/>
    <mergeCell ref="C13:G13"/>
    <mergeCell ref="H13:K13"/>
    <mergeCell ref="X13:AB13"/>
  </mergeCells>
  <phoneticPr fontId="42"/>
  <hyperlinks>
    <hyperlink ref="A1:C1" location="目次!A1" display="　目次　" xr:uid="{00000000-0004-0000-11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5"/>
  <sheetViews>
    <sheetView zoomScaleNormal="100" workbookViewId="0">
      <selection sqref="A1:C1"/>
    </sheetView>
  </sheetViews>
  <sheetFormatPr defaultColWidth="9" defaultRowHeight="13.5"/>
  <cols>
    <col min="1" max="1" width="3" customWidth="1"/>
    <col min="3" max="3" width="10" customWidth="1"/>
    <col min="7" max="7" width="10.5" customWidth="1"/>
    <col min="10" max="10" width="12.75" customWidth="1"/>
  </cols>
  <sheetData>
    <row r="1" spans="1:10">
      <c r="A1" s="686" t="s">
        <v>61</v>
      </c>
      <c r="B1" s="686"/>
      <c r="C1" s="686"/>
    </row>
    <row r="2" spans="1:10" ht="14.25">
      <c r="B2" s="115" t="s">
        <v>352</v>
      </c>
    </row>
    <row r="4" spans="1:10">
      <c r="B4" s="40"/>
      <c r="C4" s="40"/>
      <c r="D4" t="s">
        <v>228</v>
      </c>
    </row>
    <row r="5" spans="1:10">
      <c r="B5" s="42"/>
      <c r="C5" s="42"/>
      <c r="D5" t="s">
        <v>63</v>
      </c>
    </row>
    <row r="6" spans="1:10" s="121" customFormat="1"/>
    <row r="7" spans="1:10" s="121" customFormat="1">
      <c r="H7" s="121" t="s">
        <v>917</v>
      </c>
    </row>
    <row r="8" spans="1:10" s="121" customFormat="1">
      <c r="H8" s="780" t="s">
        <v>920</v>
      </c>
      <c r="I8" s="719"/>
      <c r="J8" s="228">
        <v>299792458</v>
      </c>
    </row>
    <row r="9" spans="1:10" s="121" customFormat="1">
      <c r="H9" s="719" t="s">
        <v>918</v>
      </c>
      <c r="I9" s="719"/>
      <c r="J9" s="228">
        <v>340</v>
      </c>
    </row>
    <row r="10" spans="1:10" s="121" customFormat="1">
      <c r="H10" s="719" t="s">
        <v>919</v>
      </c>
      <c r="I10" s="719"/>
      <c r="J10" s="228">
        <v>1520</v>
      </c>
    </row>
    <row r="11" spans="1:10" s="121" customFormat="1"/>
    <row r="12" spans="1:10" s="121" customFormat="1"/>
    <row r="13" spans="1:10" s="121" customFormat="1"/>
    <row r="14" spans="1:10" s="121" customFormat="1"/>
    <row r="15" spans="1:10" s="121" customFormat="1"/>
    <row r="16" spans="1:10">
      <c r="B16" s="121"/>
      <c r="C16" s="121"/>
    </row>
    <row r="17" spans="2:11">
      <c r="B17" s="16" t="s">
        <v>916</v>
      </c>
      <c r="C17" s="738">
        <v>299792458</v>
      </c>
      <c r="D17" s="738"/>
      <c r="E17" t="s">
        <v>354</v>
      </c>
    </row>
    <row r="18" spans="2:11">
      <c r="B18" s="738" t="s">
        <v>209</v>
      </c>
      <c r="C18" s="691">
        <v>920000000</v>
      </c>
      <c r="D18" s="691"/>
      <c r="E18" t="s">
        <v>210</v>
      </c>
    </row>
    <row r="19" spans="2:11">
      <c r="B19" s="738"/>
      <c r="C19" s="742">
        <f>C18/1000</f>
        <v>920000</v>
      </c>
      <c r="D19" s="742"/>
      <c r="E19" t="s">
        <v>211</v>
      </c>
    </row>
    <row r="20" spans="2:11">
      <c r="B20" s="738"/>
      <c r="C20" s="742">
        <f>C19/1000</f>
        <v>920</v>
      </c>
      <c r="D20" s="742"/>
      <c r="E20" t="s">
        <v>212</v>
      </c>
    </row>
    <row r="21" spans="2:11">
      <c r="B21" s="738"/>
      <c r="C21" s="742">
        <f>C20/1000</f>
        <v>0.92</v>
      </c>
      <c r="D21" s="742"/>
      <c r="E21" t="s">
        <v>355</v>
      </c>
    </row>
    <row r="22" spans="2:11" s="121" customFormat="1">
      <c r="B22" s="73"/>
      <c r="C22" s="73"/>
      <c r="D22" s="73"/>
    </row>
    <row r="23" spans="2:11">
      <c r="B23" s="738" t="s">
        <v>356</v>
      </c>
      <c r="C23" s="692">
        <f>C17/C18</f>
        <v>0.32586136739130434</v>
      </c>
      <c r="D23" s="692"/>
      <c r="E23" t="s">
        <v>357</v>
      </c>
    </row>
    <row r="24" spans="2:11">
      <c r="B24" s="738"/>
      <c r="C24" s="692">
        <f>C23*100</f>
        <v>32.586136739130431</v>
      </c>
      <c r="D24" s="692"/>
      <c r="E24" t="s">
        <v>358</v>
      </c>
    </row>
    <row r="25" spans="2:11">
      <c r="B25" s="738"/>
      <c r="C25" s="692">
        <f>C24*10</f>
        <v>325.86136739130433</v>
      </c>
      <c r="D25" s="692"/>
      <c r="E25" t="s">
        <v>359</v>
      </c>
    </row>
    <row r="27" spans="2:11">
      <c r="B27" s="16" t="s">
        <v>360</v>
      </c>
      <c r="C27" s="692">
        <f>C25/2</f>
        <v>162.93068369565216</v>
      </c>
      <c r="D27" s="692"/>
      <c r="E27" t="s">
        <v>359</v>
      </c>
    </row>
    <row r="28" spans="2:11">
      <c r="B28" s="16" t="s">
        <v>361</v>
      </c>
      <c r="C28" s="692">
        <f>C25/4</f>
        <v>81.465341847826082</v>
      </c>
      <c r="D28" s="692"/>
      <c r="E28" t="s">
        <v>359</v>
      </c>
      <c r="F28" t="s">
        <v>102</v>
      </c>
      <c r="G28">
        <f>C28/10</f>
        <v>8.1465341847826078</v>
      </c>
      <c r="H28" t="s">
        <v>358</v>
      </c>
      <c r="J28">
        <f>G28/100</f>
        <v>8.1465341847826084E-2</v>
      </c>
      <c r="K28" t="s">
        <v>357</v>
      </c>
    </row>
    <row r="32" spans="2:11" ht="14.25">
      <c r="B32" s="115" t="s">
        <v>362</v>
      </c>
    </row>
    <row r="43" spans="2:5">
      <c r="B43" t="s">
        <v>209</v>
      </c>
      <c r="C43" s="782">
        <v>300000000</v>
      </c>
      <c r="D43" s="782"/>
      <c r="E43" t="s">
        <v>363</v>
      </c>
    </row>
    <row r="45" spans="2:5">
      <c r="B45" t="s">
        <v>356</v>
      </c>
      <c r="C45" s="781">
        <f>300/C43*1/2*1000000</f>
        <v>0.5</v>
      </c>
      <c r="D45" s="781"/>
      <c r="E45" t="s">
        <v>357</v>
      </c>
    </row>
  </sheetData>
  <mergeCells count="18">
    <mergeCell ref="C45:D45"/>
    <mergeCell ref="B18:B21"/>
    <mergeCell ref="B23:B25"/>
    <mergeCell ref="C21:D21"/>
    <mergeCell ref="C23:D23"/>
    <mergeCell ref="C24:D24"/>
    <mergeCell ref="C25:D25"/>
    <mergeCell ref="C27:D27"/>
    <mergeCell ref="C18:D18"/>
    <mergeCell ref="C19:D19"/>
    <mergeCell ref="C20:D20"/>
    <mergeCell ref="C28:D28"/>
    <mergeCell ref="C43:D43"/>
    <mergeCell ref="H8:I8"/>
    <mergeCell ref="H9:I9"/>
    <mergeCell ref="H10:I10"/>
    <mergeCell ref="A1:C1"/>
    <mergeCell ref="C17:D17"/>
  </mergeCells>
  <phoneticPr fontId="42"/>
  <hyperlinks>
    <hyperlink ref="A1:C1" location="目次!A1" display="　目次　" xr:uid="{00000000-0004-0000-12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9"/>
  <sheetViews>
    <sheetView zoomScale="130" zoomScaleNormal="130" workbookViewId="0">
      <selection sqref="A1:C1"/>
    </sheetView>
  </sheetViews>
  <sheetFormatPr defaultColWidth="9" defaultRowHeight="13.5"/>
  <cols>
    <col min="1" max="1" width="9" customWidth="1"/>
    <col min="4" max="4" width="6.625" customWidth="1"/>
    <col min="9" max="9" width="3.375" bestFit="1" customWidth="1"/>
  </cols>
  <sheetData>
    <row r="1" spans="1:7">
      <c r="A1" s="686" t="s">
        <v>61</v>
      </c>
      <c r="B1" s="686"/>
      <c r="C1" s="686"/>
    </row>
    <row r="2" spans="1:7" ht="14.25">
      <c r="B2" s="236" t="s">
        <v>924</v>
      </c>
    </row>
    <row r="4" spans="1:7">
      <c r="B4" s="40"/>
      <c r="C4" s="40"/>
      <c r="D4" t="s">
        <v>364</v>
      </c>
    </row>
    <row r="5" spans="1:7">
      <c r="B5" s="42"/>
      <c r="C5" s="42"/>
      <c r="D5" t="s">
        <v>63</v>
      </c>
    </row>
    <row r="8" spans="1:7">
      <c r="G8" s="118"/>
    </row>
    <row r="14" spans="1:7">
      <c r="C14" s="29" t="s">
        <v>365</v>
      </c>
      <c r="D14" s="40">
        <v>10</v>
      </c>
      <c r="E14" t="s">
        <v>144</v>
      </c>
    </row>
    <row r="15" spans="1:7">
      <c r="C15" s="29" t="s">
        <v>366</v>
      </c>
      <c r="D15" s="40">
        <v>2440</v>
      </c>
      <c r="E15" t="s">
        <v>367</v>
      </c>
    </row>
    <row r="16" spans="1:7">
      <c r="C16" s="29" t="s">
        <v>368</v>
      </c>
      <c r="D16" s="40">
        <v>-1</v>
      </c>
      <c r="E16" t="s">
        <v>369</v>
      </c>
    </row>
    <row r="17" spans="2:8">
      <c r="C17" s="29" t="s">
        <v>370</v>
      </c>
      <c r="D17" s="40">
        <v>-1</v>
      </c>
      <c r="E17" t="s">
        <v>369</v>
      </c>
    </row>
    <row r="18" spans="2:8">
      <c r="C18" s="29" t="s">
        <v>371</v>
      </c>
      <c r="D18" s="40">
        <v>-102</v>
      </c>
      <c r="E18" t="s">
        <v>144</v>
      </c>
    </row>
    <row r="19" spans="2:8">
      <c r="B19" s="75"/>
      <c r="C19" s="713">
        <f>(10^((D14+D16+D17-D18)/20))/(41.88*D15)</f>
        <v>3.0945927280211039</v>
      </c>
      <c r="D19" s="713"/>
      <c r="E19" s="119" t="s">
        <v>372</v>
      </c>
      <c r="F19" s="10"/>
      <c r="G19" s="710"/>
      <c r="H19" s="710"/>
    </row>
    <row r="20" spans="2:8">
      <c r="B20" s="63"/>
      <c r="C20" s="697" t="s">
        <v>373</v>
      </c>
      <c r="D20" s="697"/>
      <c r="E20" s="65"/>
      <c r="F20" s="10"/>
      <c r="G20" s="710"/>
      <c r="H20" s="710"/>
    </row>
    <row r="21" spans="2:8">
      <c r="C21" s="692">
        <f>C19*1000</f>
        <v>3094.592728021104</v>
      </c>
      <c r="D21" s="692"/>
      <c r="E21" s="10" t="s">
        <v>357</v>
      </c>
      <c r="G21" s="710"/>
      <c r="H21" s="710"/>
    </row>
    <row r="22" spans="2:8">
      <c r="C22" s="697" t="s">
        <v>373</v>
      </c>
      <c r="D22" s="697"/>
      <c r="G22" s="710"/>
      <c r="H22" s="710"/>
    </row>
    <row r="23" spans="2:8">
      <c r="C23" s="692">
        <f>C21*0.07</f>
        <v>216.62149096147729</v>
      </c>
      <c r="D23" s="692"/>
      <c r="E23" s="10" t="s">
        <v>374</v>
      </c>
      <c r="G23" s="710"/>
      <c r="H23" s="710"/>
    </row>
    <row r="29" spans="2:8">
      <c r="B29" s="235" t="s">
        <v>962</v>
      </c>
    </row>
  </sheetData>
  <mergeCells count="11">
    <mergeCell ref="G19:H19"/>
    <mergeCell ref="G20:H20"/>
    <mergeCell ref="G21:H21"/>
    <mergeCell ref="G22:H22"/>
    <mergeCell ref="G23:H23"/>
    <mergeCell ref="C23:D23"/>
    <mergeCell ref="A1:C1"/>
    <mergeCell ref="C19:D19"/>
    <mergeCell ref="C20:D20"/>
    <mergeCell ref="C21:D21"/>
    <mergeCell ref="C22:D22"/>
  </mergeCells>
  <phoneticPr fontId="42"/>
  <hyperlinks>
    <hyperlink ref="A1:C1" location="目次!A1" display="　目次　" xr:uid="{00000000-0004-0000-13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3"/>
  <sheetViews>
    <sheetView workbookViewId="0">
      <selection activeCell="B13" sqref="B13:D13"/>
    </sheetView>
  </sheetViews>
  <sheetFormatPr defaultColWidth="3.375" defaultRowHeight="13.5"/>
  <cols>
    <col min="1" max="1" width="2.875" customWidth="1"/>
  </cols>
  <sheetData>
    <row r="1" spans="1:10">
      <c r="A1" s="686" t="s">
        <v>61</v>
      </c>
      <c r="B1" s="686"/>
      <c r="C1" s="686"/>
    </row>
    <row r="2" spans="1:10" ht="14.25">
      <c r="B2" s="115" t="s">
        <v>375</v>
      </c>
    </row>
    <row r="4" spans="1:10">
      <c r="B4" s="40"/>
      <c r="C4" s="40"/>
      <c r="D4" t="s">
        <v>364</v>
      </c>
    </row>
    <row r="5" spans="1:10">
      <c r="B5" s="42"/>
      <c r="C5" s="42"/>
      <c r="D5" t="s">
        <v>63</v>
      </c>
    </row>
    <row r="6" spans="1:10">
      <c r="A6" s="24"/>
      <c r="B6" s="116"/>
      <c r="C6" s="116"/>
      <c r="D6" t="s">
        <v>151</v>
      </c>
    </row>
    <row r="7" spans="1:10">
      <c r="G7" s="10"/>
      <c r="H7" s="10"/>
    </row>
    <row r="8" spans="1:10">
      <c r="B8" s="738" t="s">
        <v>376</v>
      </c>
      <c r="C8" s="738"/>
      <c r="D8" s="738"/>
      <c r="E8" s="691">
        <v>3600</v>
      </c>
      <c r="F8" s="691"/>
      <c r="G8" s="691"/>
      <c r="H8" s="691"/>
    </row>
    <row r="9" spans="1:10">
      <c r="B9" s="738" t="s">
        <v>377</v>
      </c>
      <c r="C9" s="738"/>
      <c r="D9" s="738"/>
      <c r="E9" s="691">
        <v>10</v>
      </c>
      <c r="F9" s="691"/>
      <c r="G9" s="691"/>
      <c r="H9" s="691"/>
      <c r="I9" t="s">
        <v>378</v>
      </c>
    </row>
    <row r="10" spans="1:10">
      <c r="E10" s="783">
        <f>E8*E9*10^-6</f>
        <v>3.5999999999999997E-2</v>
      </c>
      <c r="F10" s="783"/>
      <c r="G10" s="783"/>
      <c r="H10" s="783"/>
    </row>
    <row r="11" spans="1:10">
      <c r="B11" s="784" t="s">
        <v>379</v>
      </c>
      <c r="C11" s="784"/>
      <c r="D11" s="784"/>
      <c r="E11" s="785">
        <f>E8-E10</f>
        <v>3599.9639999999999</v>
      </c>
      <c r="F11" s="785"/>
      <c r="G11" s="785"/>
      <c r="H11" s="785"/>
      <c r="I11" s="117"/>
      <c r="J11" s="117"/>
    </row>
    <row r="12" spans="1:10">
      <c r="B12" s="702" t="s">
        <v>262</v>
      </c>
      <c r="C12" s="702"/>
      <c r="D12" s="702"/>
      <c r="E12" s="702">
        <f>E8</f>
        <v>3600</v>
      </c>
      <c r="F12" s="702"/>
      <c r="G12" s="702"/>
      <c r="H12" s="702"/>
      <c r="I12" s="9"/>
      <c r="J12" s="9"/>
    </row>
    <row r="13" spans="1:10">
      <c r="B13" s="738" t="s">
        <v>380</v>
      </c>
      <c r="C13" s="738"/>
      <c r="D13" s="738"/>
      <c r="E13" s="765">
        <f>E8+E10</f>
        <v>3600.0360000000001</v>
      </c>
      <c r="F13" s="765"/>
      <c r="G13" s="765"/>
      <c r="H13" s="765"/>
    </row>
  </sheetData>
  <mergeCells count="12">
    <mergeCell ref="B13:D13"/>
    <mergeCell ref="E13:H13"/>
    <mergeCell ref="E10:H10"/>
    <mergeCell ref="B11:D11"/>
    <mergeCell ref="E11:H11"/>
    <mergeCell ref="B12:D12"/>
    <mergeCell ref="E12:H12"/>
    <mergeCell ref="A1:C1"/>
    <mergeCell ref="B8:D8"/>
    <mergeCell ref="E8:H8"/>
    <mergeCell ref="B9:D9"/>
    <mergeCell ref="E9:H9"/>
  </mergeCells>
  <phoneticPr fontId="42"/>
  <hyperlinks>
    <hyperlink ref="A1:C1" location="目次!A1" display="　目次　" xr:uid="{00000000-0004-0000-1400-000000000000}"/>
  </hyperlinks>
  <pageMargins left="0.69930555555555596" right="0.69930555555555596" top="0.75" bottom="0.75" header="0.3" footer="0.3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8"/>
  <sheetViews>
    <sheetView zoomScale="85" zoomScaleNormal="85" workbookViewId="0">
      <selection activeCell="N29" sqref="N29"/>
    </sheetView>
  </sheetViews>
  <sheetFormatPr defaultColWidth="3.875" defaultRowHeight="13.5"/>
  <cols>
    <col min="1" max="1" width="9" customWidth="1"/>
  </cols>
  <sheetData>
    <row r="1" spans="1:3">
      <c r="A1" s="686" t="s">
        <v>61</v>
      </c>
      <c r="B1" s="686"/>
      <c r="C1" s="686"/>
    </row>
    <row r="23" spans="2:7">
      <c r="B23" s="738" t="s">
        <v>381</v>
      </c>
      <c r="C23" s="738"/>
      <c r="D23" s="691">
        <v>10</v>
      </c>
      <c r="E23" s="691"/>
      <c r="F23" s="691"/>
      <c r="G23" t="s">
        <v>65</v>
      </c>
    </row>
    <row r="24" spans="2:7">
      <c r="B24" s="738" t="s">
        <v>382</v>
      </c>
      <c r="C24" s="738"/>
      <c r="D24" s="691">
        <v>5</v>
      </c>
      <c r="E24" s="691"/>
      <c r="F24" s="691"/>
      <c r="G24" t="s">
        <v>65</v>
      </c>
    </row>
    <row r="25" spans="2:7">
      <c r="B25" s="738" t="s">
        <v>383</v>
      </c>
      <c r="C25" s="738"/>
      <c r="D25" s="691">
        <v>0.6</v>
      </c>
      <c r="E25" s="691"/>
      <c r="F25" s="691"/>
      <c r="G25" t="s">
        <v>65</v>
      </c>
    </row>
    <row r="26" spans="2:7">
      <c r="B26" s="738" t="s">
        <v>185</v>
      </c>
      <c r="C26" s="738"/>
      <c r="D26" s="691">
        <v>10000</v>
      </c>
      <c r="E26" s="691"/>
      <c r="F26" s="691"/>
      <c r="G26" t="s">
        <v>91</v>
      </c>
    </row>
    <row r="27" spans="2:7">
      <c r="B27" s="738" t="s">
        <v>384</v>
      </c>
      <c r="C27" s="738"/>
      <c r="D27" s="786">
        <f>(D23-D24)/D25-1</f>
        <v>7.3333333333333339</v>
      </c>
      <c r="E27" s="786"/>
      <c r="F27" s="786"/>
    </row>
    <row r="28" spans="2:7">
      <c r="B28" s="738" t="s">
        <v>169</v>
      </c>
      <c r="C28" s="738"/>
      <c r="D28" s="765">
        <f>D26/D27</f>
        <v>1363.6363636363635</v>
      </c>
      <c r="E28" s="765"/>
      <c r="F28" s="765"/>
      <c r="G28" t="s">
        <v>91</v>
      </c>
    </row>
  </sheetData>
  <mergeCells count="13">
    <mergeCell ref="B28:C28"/>
    <mergeCell ref="D28:F28"/>
    <mergeCell ref="B25:C25"/>
    <mergeCell ref="D25:F25"/>
    <mergeCell ref="B26:C26"/>
    <mergeCell ref="D26:F26"/>
    <mergeCell ref="B27:C27"/>
    <mergeCell ref="D27:F27"/>
    <mergeCell ref="A1:C1"/>
    <mergeCell ref="B23:C23"/>
    <mergeCell ref="D23:F23"/>
    <mergeCell ref="B24:C24"/>
    <mergeCell ref="D24:F24"/>
  </mergeCells>
  <phoneticPr fontId="42"/>
  <hyperlinks>
    <hyperlink ref="A1:C1" location="目次!A1" display="　目次　" xr:uid="{00000000-0004-0000-1500-000000000000}"/>
  </hyperlinks>
  <pageMargins left="0.75" right="0.75" top="1" bottom="1" header="0.51180555555555596" footer="0.51180555555555596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T40"/>
  <sheetViews>
    <sheetView zoomScale="85" zoomScaleNormal="85" workbookViewId="0">
      <selection sqref="A1:C1"/>
    </sheetView>
  </sheetViews>
  <sheetFormatPr defaultColWidth="9" defaultRowHeight="13.5"/>
  <cols>
    <col min="1" max="1" width="4.875" style="334" customWidth="1"/>
    <col min="2" max="2" width="5.5" style="334" customWidth="1"/>
    <col min="3" max="3" width="19" style="334" customWidth="1"/>
    <col min="4" max="4" width="15.125" style="334" customWidth="1"/>
    <col min="5" max="5" width="9" style="334"/>
    <col min="6" max="6" width="4.125" style="334" customWidth="1"/>
    <col min="7" max="7" width="6.75" style="334" customWidth="1"/>
    <col min="8" max="8" width="4.5" style="334" customWidth="1"/>
    <col min="9" max="9" width="22.125" style="334" customWidth="1"/>
    <col min="10" max="10" width="10.875" style="334" customWidth="1"/>
    <col min="11" max="11" width="9" style="334"/>
    <col min="12" max="12" width="4.875" style="334" customWidth="1"/>
    <col min="13" max="13" width="9" style="334"/>
    <col min="14" max="14" width="6.75" style="334" customWidth="1"/>
    <col min="15" max="15" width="4.5" style="334" customWidth="1"/>
    <col min="16" max="16" width="22.125" style="334" customWidth="1"/>
    <col min="17" max="17" width="12.75" style="334" bestFit="1" customWidth="1"/>
    <col min="18" max="18" width="9" style="334"/>
    <col min="19" max="19" width="4.875" style="334" customWidth="1"/>
    <col min="20" max="20" width="9" style="334"/>
    <col min="21" max="21" width="6.75" style="334" customWidth="1"/>
    <col min="22" max="22" width="4.5" style="334" customWidth="1"/>
    <col min="23" max="23" width="22.125" style="334" customWidth="1"/>
    <col min="24" max="24" width="11.75" style="334" customWidth="1"/>
    <col min="25" max="25" width="13.625" style="334" customWidth="1"/>
    <col min="26" max="26" width="4.875" style="334" customWidth="1"/>
    <col min="27" max="27" width="6.75" style="334" customWidth="1"/>
    <col min="28" max="28" width="4.5" style="334" customWidth="1"/>
    <col min="29" max="29" width="22.125" style="334" customWidth="1"/>
    <col min="30" max="30" width="12.5" style="334" customWidth="1"/>
    <col min="31" max="31" width="9" style="334"/>
    <col min="32" max="32" width="4.5" style="334" customWidth="1"/>
    <col min="33" max="33" width="6.75" style="334" customWidth="1"/>
    <col min="34" max="34" width="4.5" style="334" customWidth="1"/>
    <col min="35" max="35" width="22.125" style="334" customWidth="1"/>
    <col min="36" max="36" width="13.5" style="334" bestFit="1" customWidth="1"/>
    <col min="37" max="16384" width="9" style="334"/>
  </cols>
  <sheetData>
    <row r="1" spans="1:44" s="333" customFormat="1">
      <c r="A1" s="789" t="s">
        <v>61</v>
      </c>
      <c r="B1" s="789"/>
      <c r="C1" s="789"/>
      <c r="I1" s="334" t="s">
        <v>1054</v>
      </c>
      <c r="J1" s="335">
        <v>3600</v>
      </c>
      <c r="K1" s="334" t="s">
        <v>388</v>
      </c>
    </row>
    <row r="2" spans="1:44">
      <c r="B2" s="334" t="s">
        <v>385</v>
      </c>
      <c r="I2" s="334" t="s">
        <v>1055</v>
      </c>
      <c r="J2" s="335">
        <v>90</v>
      </c>
      <c r="K2" s="334" t="s">
        <v>265</v>
      </c>
    </row>
    <row r="3" spans="1:44">
      <c r="I3" s="334" t="s">
        <v>1069</v>
      </c>
      <c r="J3" s="335">
        <v>5</v>
      </c>
      <c r="K3" s="334" t="s">
        <v>1070</v>
      </c>
    </row>
    <row r="4" spans="1:44">
      <c r="C4" s="334" t="s">
        <v>387</v>
      </c>
      <c r="D4" s="335">
        <v>4000</v>
      </c>
      <c r="E4" s="334" t="s">
        <v>388</v>
      </c>
      <c r="G4" s="334" t="s">
        <v>1036</v>
      </c>
      <c r="N4" s="334" t="s">
        <v>1036</v>
      </c>
      <c r="U4" s="334" t="s">
        <v>386</v>
      </c>
      <c r="AB4" s="334" t="s">
        <v>386</v>
      </c>
      <c r="AH4" s="334" t="s">
        <v>386</v>
      </c>
      <c r="AN4" s="334" t="s">
        <v>386</v>
      </c>
    </row>
    <row r="6" spans="1:44">
      <c r="C6" s="334" t="s">
        <v>389</v>
      </c>
      <c r="D6" s="335">
        <v>15</v>
      </c>
      <c r="E6" s="334" t="s">
        <v>93</v>
      </c>
      <c r="G6" s="787" t="s">
        <v>387</v>
      </c>
      <c r="H6" s="787"/>
      <c r="I6" s="334" t="s">
        <v>387</v>
      </c>
      <c r="J6" s="336">
        <f>J1</f>
        <v>3600</v>
      </c>
      <c r="K6" s="334" t="s">
        <v>388</v>
      </c>
      <c r="N6" s="787" t="s">
        <v>387</v>
      </c>
      <c r="O6" s="787"/>
      <c r="P6" s="334" t="s">
        <v>387</v>
      </c>
      <c r="Q6" s="336">
        <f>J1</f>
        <v>3600</v>
      </c>
      <c r="R6" s="334" t="s">
        <v>388</v>
      </c>
      <c r="U6" s="787" t="s">
        <v>387</v>
      </c>
      <c r="V6" s="787"/>
      <c r="W6" s="334" t="s">
        <v>387</v>
      </c>
      <c r="X6" s="336">
        <f>J1</f>
        <v>3600</v>
      </c>
      <c r="Y6" s="334" t="s">
        <v>388</v>
      </c>
      <c r="AB6" s="787" t="s">
        <v>387</v>
      </c>
      <c r="AC6" s="787"/>
      <c r="AD6" s="334" t="s">
        <v>387</v>
      </c>
      <c r="AE6" s="336">
        <f>J1</f>
        <v>3600</v>
      </c>
      <c r="AF6" s="334" t="s">
        <v>388</v>
      </c>
      <c r="AH6" s="787" t="s">
        <v>387</v>
      </c>
      <c r="AI6" s="787"/>
      <c r="AJ6" s="334" t="s">
        <v>387</v>
      </c>
      <c r="AK6" s="336">
        <f>J1</f>
        <v>3600</v>
      </c>
      <c r="AL6" s="334" t="s">
        <v>388</v>
      </c>
      <c r="AN6" s="787" t="s">
        <v>387</v>
      </c>
      <c r="AO6" s="787"/>
      <c r="AP6" s="334" t="s">
        <v>387</v>
      </c>
      <c r="AQ6" s="336">
        <f>J1</f>
        <v>3600</v>
      </c>
      <c r="AR6" s="334" t="s">
        <v>388</v>
      </c>
    </row>
    <row r="7" spans="1:44">
      <c r="C7" s="334" t="s">
        <v>391</v>
      </c>
      <c r="D7" s="335">
        <v>1</v>
      </c>
      <c r="E7" s="334" t="s">
        <v>216</v>
      </c>
      <c r="G7" s="787"/>
      <c r="H7" s="787"/>
      <c r="I7" s="334" t="s">
        <v>390</v>
      </c>
      <c r="J7" s="336">
        <f>J2</f>
        <v>90</v>
      </c>
      <c r="K7" s="334" t="s">
        <v>265</v>
      </c>
      <c r="N7" s="787"/>
      <c r="O7" s="787"/>
      <c r="P7" s="334" t="s">
        <v>390</v>
      </c>
      <c r="Q7" s="336">
        <v>90</v>
      </c>
      <c r="R7" s="334" t="s">
        <v>265</v>
      </c>
      <c r="U7" s="787"/>
      <c r="V7" s="787"/>
      <c r="W7" s="334" t="s">
        <v>390</v>
      </c>
      <c r="X7" s="336">
        <f>J2</f>
        <v>90</v>
      </c>
      <c r="Y7" s="334" t="s">
        <v>265</v>
      </c>
      <c r="AB7" s="787"/>
      <c r="AC7" s="787"/>
      <c r="AD7" s="334" t="s">
        <v>390</v>
      </c>
      <c r="AE7" s="336">
        <f>J2</f>
        <v>90</v>
      </c>
      <c r="AF7" s="334" t="s">
        <v>265</v>
      </c>
      <c r="AH7" s="787"/>
      <c r="AI7" s="787"/>
      <c r="AJ7" s="334" t="s">
        <v>390</v>
      </c>
      <c r="AK7" s="336">
        <f>J2</f>
        <v>90</v>
      </c>
      <c r="AL7" s="334" t="s">
        <v>265</v>
      </c>
      <c r="AN7" s="787"/>
      <c r="AO7" s="787"/>
      <c r="AP7" s="334" t="s">
        <v>390</v>
      </c>
      <c r="AQ7" s="336">
        <f>J2</f>
        <v>90</v>
      </c>
      <c r="AR7" s="334" t="s">
        <v>265</v>
      </c>
    </row>
    <row r="8" spans="1:44" ht="14.25" thickBot="1">
      <c r="C8" s="334" t="s">
        <v>393</v>
      </c>
      <c r="D8" s="335">
        <f>D6*D7</f>
        <v>15</v>
      </c>
      <c r="E8" s="334" t="s">
        <v>394</v>
      </c>
      <c r="F8" s="337"/>
      <c r="G8" s="787"/>
      <c r="H8" s="787"/>
      <c r="I8" s="334" t="s">
        <v>392</v>
      </c>
      <c r="J8" s="336">
        <f>J6*(J7/100)</f>
        <v>3240</v>
      </c>
      <c r="K8" s="334" t="s">
        <v>388</v>
      </c>
      <c r="N8" s="787"/>
      <c r="O8" s="787"/>
      <c r="P8" s="334" t="s">
        <v>392</v>
      </c>
      <c r="Q8" s="336">
        <f>Q6*(Q7/100)</f>
        <v>3240</v>
      </c>
      <c r="R8" s="334" t="s">
        <v>388</v>
      </c>
      <c r="U8" s="787"/>
      <c r="V8" s="787"/>
      <c r="W8" s="334" t="s">
        <v>392</v>
      </c>
      <c r="X8" s="336">
        <f>X6*(X7/100)</f>
        <v>3240</v>
      </c>
      <c r="Y8" s="334" t="s">
        <v>388</v>
      </c>
      <c r="AB8" s="787"/>
      <c r="AC8" s="787"/>
      <c r="AD8" s="334" t="s">
        <v>392</v>
      </c>
      <c r="AE8" s="336">
        <f>AE6*(AE7/100)</f>
        <v>3240</v>
      </c>
      <c r="AF8" s="334" t="s">
        <v>388</v>
      </c>
      <c r="AH8" s="787"/>
      <c r="AI8" s="787"/>
      <c r="AJ8" s="334" t="s">
        <v>392</v>
      </c>
      <c r="AK8" s="336">
        <f>AK6*(AK7/100)</f>
        <v>3240</v>
      </c>
      <c r="AL8" s="334" t="s">
        <v>388</v>
      </c>
      <c r="AN8" s="787"/>
      <c r="AO8" s="787"/>
      <c r="AP8" s="334" t="s">
        <v>392</v>
      </c>
      <c r="AQ8" s="336">
        <f>AQ6*(AQ7/100)</f>
        <v>3240</v>
      </c>
      <c r="AR8" s="334" t="s">
        <v>388</v>
      </c>
    </row>
    <row r="9" spans="1:44" ht="14.25" thickTop="1">
      <c r="B9" s="338"/>
      <c r="C9" s="338" t="s">
        <v>395</v>
      </c>
      <c r="D9" s="339">
        <f>D4/D8</f>
        <v>266.66666666666669</v>
      </c>
      <c r="E9" s="338" t="s">
        <v>216</v>
      </c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S9" s="337"/>
      <c r="T9" s="337"/>
      <c r="U9" s="337"/>
      <c r="V9" s="337"/>
      <c r="W9" s="337"/>
      <c r="X9" s="337"/>
      <c r="Y9" s="337"/>
      <c r="Z9" s="337"/>
      <c r="AB9" s="337"/>
      <c r="AC9" s="337"/>
      <c r="AD9" s="337"/>
      <c r="AE9" s="337"/>
      <c r="AF9" s="337"/>
      <c r="AG9" s="337"/>
      <c r="AH9" s="337"/>
      <c r="AI9" s="337"/>
      <c r="AJ9" s="337"/>
      <c r="AK9" s="337"/>
      <c r="AL9" s="337"/>
      <c r="AN9" s="337"/>
      <c r="AO9" s="337"/>
      <c r="AP9" s="337"/>
      <c r="AQ9" s="337"/>
      <c r="AR9" s="337"/>
    </row>
    <row r="10" spans="1:44" ht="13.5" customHeight="1">
      <c r="D10" s="340">
        <f>D9/24</f>
        <v>11.111111111111112</v>
      </c>
      <c r="E10" s="334" t="s">
        <v>303</v>
      </c>
      <c r="G10" s="788" t="s">
        <v>396</v>
      </c>
      <c r="H10" s="787"/>
      <c r="I10" s="334" t="s">
        <v>1021</v>
      </c>
      <c r="J10" s="336">
        <f>J3</f>
        <v>5</v>
      </c>
      <c r="K10" s="334" t="s">
        <v>65</v>
      </c>
      <c r="M10" s="341"/>
      <c r="N10" s="788" t="s">
        <v>396</v>
      </c>
      <c r="O10" s="788"/>
      <c r="P10" s="334" t="s">
        <v>1021</v>
      </c>
      <c r="Q10" s="336">
        <f>J3</f>
        <v>5</v>
      </c>
      <c r="R10" s="334" t="s">
        <v>65</v>
      </c>
      <c r="T10" s="341"/>
      <c r="U10" s="788" t="s">
        <v>396</v>
      </c>
      <c r="V10" s="787"/>
      <c r="W10" s="334" t="s">
        <v>1021</v>
      </c>
      <c r="X10" s="336">
        <f>J3</f>
        <v>5</v>
      </c>
      <c r="Y10" s="334" t="s">
        <v>65</v>
      </c>
      <c r="AB10" s="788" t="s">
        <v>396</v>
      </c>
      <c r="AC10" s="787"/>
      <c r="AD10" s="334" t="s">
        <v>1021</v>
      </c>
      <c r="AE10" s="336">
        <f>J3</f>
        <v>5</v>
      </c>
      <c r="AF10" s="334" t="s">
        <v>65</v>
      </c>
      <c r="AH10" s="788" t="s">
        <v>396</v>
      </c>
      <c r="AI10" s="787"/>
      <c r="AJ10" s="334" t="s">
        <v>1021</v>
      </c>
      <c r="AK10" s="336">
        <f>J3</f>
        <v>5</v>
      </c>
      <c r="AL10" s="334" t="s">
        <v>65</v>
      </c>
      <c r="AN10" s="788" t="s">
        <v>396</v>
      </c>
      <c r="AO10" s="787"/>
      <c r="AP10" s="334" t="s">
        <v>1021</v>
      </c>
      <c r="AQ10" s="336">
        <f>J3</f>
        <v>5</v>
      </c>
      <c r="AR10" s="334" t="s">
        <v>65</v>
      </c>
    </row>
    <row r="11" spans="1:44">
      <c r="G11" s="787"/>
      <c r="H11" s="787"/>
      <c r="I11" s="334" t="s">
        <v>1025</v>
      </c>
      <c r="J11" s="335">
        <v>3.3</v>
      </c>
      <c r="K11" s="334" t="s">
        <v>65</v>
      </c>
      <c r="M11" s="341"/>
      <c r="N11" s="788"/>
      <c r="O11" s="788"/>
      <c r="P11" s="334" t="s">
        <v>1025</v>
      </c>
      <c r="Q11" s="335">
        <v>3.3</v>
      </c>
      <c r="R11" s="334" t="s">
        <v>65</v>
      </c>
      <c r="T11" s="341"/>
      <c r="U11" s="787"/>
      <c r="V11" s="787"/>
      <c r="W11" s="334" t="s">
        <v>1025</v>
      </c>
      <c r="X11" s="335">
        <v>3.3</v>
      </c>
      <c r="Y11" s="334" t="s">
        <v>65</v>
      </c>
      <c r="AB11" s="787"/>
      <c r="AC11" s="787"/>
      <c r="AD11" s="334" t="s">
        <v>1025</v>
      </c>
      <c r="AE11" s="335">
        <v>3.3</v>
      </c>
      <c r="AF11" s="334" t="s">
        <v>65</v>
      </c>
      <c r="AH11" s="787"/>
      <c r="AI11" s="787"/>
      <c r="AJ11" s="334" t="s">
        <v>1025</v>
      </c>
      <c r="AK11" s="335">
        <v>3.7</v>
      </c>
      <c r="AL11" s="334" t="s">
        <v>65</v>
      </c>
      <c r="AN11" s="787"/>
      <c r="AO11" s="787"/>
      <c r="AP11" s="334" t="s">
        <v>1025</v>
      </c>
      <c r="AQ11" s="335">
        <v>3</v>
      </c>
      <c r="AR11" s="334" t="s">
        <v>65</v>
      </c>
    </row>
    <row r="12" spans="1:44">
      <c r="G12" s="787"/>
      <c r="H12" s="787"/>
      <c r="I12" s="334" t="s">
        <v>1018</v>
      </c>
      <c r="J12" s="335">
        <v>90</v>
      </c>
      <c r="K12" s="334" t="s">
        <v>265</v>
      </c>
      <c r="M12" s="342"/>
      <c r="N12" s="788"/>
      <c r="O12" s="788"/>
      <c r="P12" s="334" t="s">
        <v>1018</v>
      </c>
      <c r="Q12" s="335">
        <v>90</v>
      </c>
      <c r="R12" s="334" t="s">
        <v>265</v>
      </c>
      <c r="T12" s="442"/>
      <c r="U12" s="787"/>
      <c r="V12" s="787"/>
      <c r="W12" s="334" t="s">
        <v>1018</v>
      </c>
      <c r="X12" s="335">
        <v>90</v>
      </c>
      <c r="Y12" s="334" t="s">
        <v>265</v>
      </c>
      <c r="AB12" s="787"/>
      <c r="AC12" s="787"/>
      <c r="AD12" s="334" t="s">
        <v>1018</v>
      </c>
      <c r="AE12" s="335">
        <v>90</v>
      </c>
      <c r="AF12" s="334" t="s">
        <v>265</v>
      </c>
      <c r="AH12" s="787"/>
      <c r="AI12" s="787"/>
      <c r="AJ12" s="334" t="s">
        <v>1018</v>
      </c>
      <c r="AK12" s="335">
        <v>100</v>
      </c>
      <c r="AL12" s="334" t="s">
        <v>265</v>
      </c>
      <c r="AN12" s="787"/>
      <c r="AO12" s="787"/>
      <c r="AP12" s="334" t="s">
        <v>1018</v>
      </c>
      <c r="AQ12" s="335">
        <v>100</v>
      </c>
      <c r="AR12" s="334" t="s">
        <v>265</v>
      </c>
    </row>
    <row r="13" spans="1:44">
      <c r="G13" s="787"/>
      <c r="H13" s="787"/>
      <c r="I13" s="334" t="s">
        <v>1022</v>
      </c>
      <c r="J13" s="336">
        <f>J11/J10*((100-J12)/100+1)</f>
        <v>0.72599999999999998</v>
      </c>
      <c r="K13" s="334" t="s">
        <v>131</v>
      </c>
      <c r="M13" s="342"/>
      <c r="N13" s="788"/>
      <c r="O13" s="788"/>
      <c r="P13" s="334" t="s">
        <v>1022</v>
      </c>
      <c r="Q13" s="336">
        <f>Q11/Q10*((100-Q12)/100+1)</f>
        <v>0.72599999999999998</v>
      </c>
      <c r="R13" s="334" t="s">
        <v>131</v>
      </c>
      <c r="T13" s="442"/>
      <c r="U13" s="787"/>
      <c r="V13" s="787"/>
      <c r="W13" s="334" t="s">
        <v>1022</v>
      </c>
      <c r="X13" s="336">
        <f>X11/X10*((100-X12)/100+1)</f>
        <v>0.72599999999999998</v>
      </c>
      <c r="Y13" s="334" t="s">
        <v>131</v>
      </c>
      <c r="AB13" s="787"/>
      <c r="AC13" s="787"/>
      <c r="AD13" s="334" t="s">
        <v>1022</v>
      </c>
      <c r="AE13" s="336">
        <f>AE11/AE10*((100-AE12)/100+1)</f>
        <v>0.72599999999999998</v>
      </c>
      <c r="AF13" s="334" t="s">
        <v>131</v>
      </c>
      <c r="AH13" s="787"/>
      <c r="AI13" s="787"/>
      <c r="AJ13" s="334" t="s">
        <v>1022</v>
      </c>
      <c r="AK13" s="336">
        <f>AK11/AK10*((100-AK12)/100+1)</f>
        <v>0.74</v>
      </c>
      <c r="AL13" s="334" t="s">
        <v>131</v>
      </c>
      <c r="AN13" s="787"/>
      <c r="AO13" s="787"/>
      <c r="AP13" s="334" t="s">
        <v>1022</v>
      </c>
      <c r="AQ13" s="336">
        <f>AQ11/AQ10*((100-AQ12)/100+1)</f>
        <v>0.6</v>
      </c>
      <c r="AR13" s="334" t="s">
        <v>131</v>
      </c>
    </row>
    <row r="14" spans="1:44">
      <c r="J14" s="337"/>
      <c r="M14" s="342"/>
      <c r="Q14" s="337"/>
      <c r="T14" s="442"/>
      <c r="X14" s="337"/>
      <c r="AE14" s="337"/>
      <c r="AK14" s="337"/>
      <c r="AQ14" s="337"/>
    </row>
    <row r="15" spans="1:44">
      <c r="G15" s="787" t="s">
        <v>247</v>
      </c>
      <c r="H15" s="787"/>
      <c r="I15" s="334" t="s">
        <v>1024</v>
      </c>
      <c r="J15" s="335">
        <v>61</v>
      </c>
      <c r="K15" s="334" t="s">
        <v>93</v>
      </c>
      <c r="N15" s="787" t="s">
        <v>247</v>
      </c>
      <c r="O15" s="787"/>
      <c r="P15" s="334" t="s">
        <v>1024</v>
      </c>
      <c r="Q15" s="335">
        <v>21</v>
      </c>
      <c r="R15" s="334" t="s">
        <v>93</v>
      </c>
      <c r="U15" s="787" t="s">
        <v>247</v>
      </c>
      <c r="V15" s="787"/>
      <c r="W15" s="334" t="s">
        <v>1024</v>
      </c>
      <c r="X15" s="335">
        <v>11.1</v>
      </c>
      <c r="Y15" s="334" t="s">
        <v>93</v>
      </c>
      <c r="AB15" s="787" t="s">
        <v>247</v>
      </c>
      <c r="AC15" s="787"/>
      <c r="AD15" s="334" t="s">
        <v>1024</v>
      </c>
      <c r="AE15" s="335">
        <v>0.5</v>
      </c>
      <c r="AF15" s="334" t="s">
        <v>93</v>
      </c>
      <c r="AH15" s="787" t="s">
        <v>247</v>
      </c>
      <c r="AI15" s="787"/>
      <c r="AJ15" s="334" t="s">
        <v>1024</v>
      </c>
      <c r="AK15" s="335">
        <v>7.3999999999999996E-2</v>
      </c>
      <c r="AL15" s="334" t="s">
        <v>93</v>
      </c>
      <c r="AN15" s="787" t="s">
        <v>247</v>
      </c>
      <c r="AO15" s="787"/>
      <c r="AP15" s="334" t="s">
        <v>1024</v>
      </c>
      <c r="AQ15" s="335">
        <v>0.56999999999999995</v>
      </c>
      <c r="AR15" s="334" t="s">
        <v>93</v>
      </c>
    </row>
    <row r="16" spans="1:44">
      <c r="F16" s="337"/>
      <c r="G16" s="787"/>
      <c r="H16" s="787"/>
      <c r="I16" s="334" t="s">
        <v>1023</v>
      </c>
      <c r="J16" s="336">
        <f>J15*J13</f>
        <v>44.286000000000001</v>
      </c>
      <c r="K16" s="334" t="s">
        <v>93</v>
      </c>
      <c r="N16" s="787"/>
      <c r="O16" s="787"/>
      <c r="P16" s="334" t="s">
        <v>1023</v>
      </c>
      <c r="Q16" s="336">
        <f>Q15*Q13</f>
        <v>15.245999999999999</v>
      </c>
      <c r="R16" s="334" t="s">
        <v>93</v>
      </c>
      <c r="U16" s="787"/>
      <c r="V16" s="787"/>
      <c r="W16" s="334" t="s">
        <v>1023</v>
      </c>
      <c r="X16" s="336">
        <f>X15*X13</f>
        <v>8.0586000000000002</v>
      </c>
      <c r="Y16" s="334" t="s">
        <v>93</v>
      </c>
      <c r="AB16" s="787"/>
      <c r="AC16" s="787"/>
      <c r="AD16" s="334" t="s">
        <v>1023</v>
      </c>
      <c r="AE16" s="336">
        <f>AE15*AE13</f>
        <v>0.36299999999999999</v>
      </c>
      <c r="AF16" s="334" t="s">
        <v>93</v>
      </c>
      <c r="AH16" s="787"/>
      <c r="AI16" s="787"/>
      <c r="AJ16" s="334" t="s">
        <v>1023</v>
      </c>
      <c r="AK16" s="336">
        <f>AK15*AK13</f>
        <v>5.4759999999999996E-2</v>
      </c>
      <c r="AL16" s="334" t="s">
        <v>93</v>
      </c>
      <c r="AN16" s="787"/>
      <c r="AO16" s="787"/>
      <c r="AP16" s="334" t="s">
        <v>1023</v>
      </c>
      <c r="AQ16" s="336">
        <f>AQ15*AQ13</f>
        <v>0.34199999999999997</v>
      </c>
      <c r="AR16" s="334" t="s">
        <v>93</v>
      </c>
    </row>
    <row r="17" spans="3:46"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B17" s="337"/>
      <c r="AC17" s="337"/>
      <c r="AD17" s="337"/>
      <c r="AE17" s="337"/>
      <c r="AF17" s="337"/>
      <c r="AG17" s="337"/>
      <c r="AH17" s="337"/>
      <c r="AI17" s="337"/>
      <c r="AJ17" s="337"/>
      <c r="AK17" s="337"/>
      <c r="AL17" s="337"/>
      <c r="AN17" s="337"/>
      <c r="AO17" s="337"/>
      <c r="AP17" s="337"/>
      <c r="AQ17" s="337"/>
      <c r="AR17" s="337"/>
    </row>
    <row r="18" spans="3:46">
      <c r="G18" s="787" t="s">
        <v>216</v>
      </c>
      <c r="H18" s="787"/>
      <c r="I18" s="334" t="s">
        <v>399</v>
      </c>
      <c r="J18" s="335">
        <v>60</v>
      </c>
      <c r="K18" s="334" t="s">
        <v>294</v>
      </c>
      <c r="N18" s="787" t="s">
        <v>216</v>
      </c>
      <c r="O18" s="787"/>
      <c r="P18" s="334" t="s">
        <v>399</v>
      </c>
      <c r="Q18" s="335">
        <v>60</v>
      </c>
      <c r="R18" s="334" t="s">
        <v>294</v>
      </c>
      <c r="U18" s="787" t="s">
        <v>216</v>
      </c>
      <c r="V18" s="787"/>
      <c r="W18" s="334" t="s">
        <v>399</v>
      </c>
      <c r="X18" s="335">
        <v>60</v>
      </c>
      <c r="Y18" s="334" t="s">
        <v>294</v>
      </c>
      <c r="AB18" s="787" t="s">
        <v>216</v>
      </c>
      <c r="AC18" s="787"/>
      <c r="AD18" s="334" t="s">
        <v>399</v>
      </c>
      <c r="AE18" s="335">
        <v>60</v>
      </c>
      <c r="AF18" s="334" t="s">
        <v>294</v>
      </c>
      <c r="AH18" s="787" t="s">
        <v>216</v>
      </c>
      <c r="AI18" s="787"/>
      <c r="AJ18" s="334" t="s">
        <v>399</v>
      </c>
      <c r="AK18" s="335">
        <v>60</v>
      </c>
      <c r="AL18" s="334" t="s">
        <v>294</v>
      </c>
      <c r="AN18" s="787" t="s">
        <v>216</v>
      </c>
      <c r="AO18" s="787"/>
      <c r="AP18" s="334" t="s">
        <v>399</v>
      </c>
      <c r="AQ18" s="335">
        <v>60</v>
      </c>
      <c r="AR18" s="334" t="s">
        <v>294</v>
      </c>
    </row>
    <row r="19" spans="3:46">
      <c r="F19" s="337"/>
      <c r="G19" s="787"/>
      <c r="H19" s="787"/>
      <c r="I19" s="334" t="s">
        <v>400</v>
      </c>
      <c r="J19" s="335">
        <v>1.5</v>
      </c>
      <c r="K19" s="334" t="s">
        <v>1161</v>
      </c>
      <c r="N19" s="787"/>
      <c r="O19" s="787"/>
      <c r="P19" s="334" t="s">
        <v>400</v>
      </c>
      <c r="Q19" s="335">
        <v>0.38</v>
      </c>
      <c r="R19" s="334" t="s">
        <v>1161</v>
      </c>
      <c r="U19" s="787"/>
      <c r="V19" s="787"/>
      <c r="W19" s="334" t="s">
        <v>400</v>
      </c>
      <c r="X19" s="335">
        <v>3598.32</v>
      </c>
      <c r="Y19" s="334" t="s">
        <v>1161</v>
      </c>
      <c r="AB19" s="787"/>
      <c r="AC19" s="787"/>
      <c r="AD19" s="334" t="s">
        <v>400</v>
      </c>
      <c r="AE19" s="335">
        <v>0</v>
      </c>
      <c r="AF19" s="334" t="s">
        <v>1161</v>
      </c>
      <c r="AH19" s="787"/>
      <c r="AI19" s="787"/>
      <c r="AJ19" s="334" t="s">
        <v>400</v>
      </c>
      <c r="AK19" s="335">
        <v>0</v>
      </c>
      <c r="AL19" s="334" t="s">
        <v>1161</v>
      </c>
      <c r="AN19" s="787"/>
      <c r="AO19" s="787"/>
      <c r="AP19" s="334" t="s">
        <v>400</v>
      </c>
      <c r="AQ19" s="335">
        <v>0</v>
      </c>
      <c r="AR19" s="334" t="s">
        <v>1161</v>
      </c>
    </row>
    <row r="20" spans="3:46">
      <c r="F20" s="337"/>
      <c r="G20" s="342"/>
      <c r="H20" s="342"/>
      <c r="I20" s="86" t="s">
        <v>1310</v>
      </c>
      <c r="J20" s="336">
        <f>J19/60</f>
        <v>2.5000000000000001E-2</v>
      </c>
      <c r="K20" s="86" t="s">
        <v>1309</v>
      </c>
      <c r="N20" s="442"/>
      <c r="O20" s="442"/>
      <c r="P20" s="86" t="s">
        <v>1310</v>
      </c>
      <c r="Q20" s="336">
        <f>Q19/60</f>
        <v>6.3333333333333332E-3</v>
      </c>
      <c r="R20" s="86" t="s">
        <v>1309</v>
      </c>
      <c r="U20" s="342"/>
      <c r="V20" s="342"/>
      <c r="W20" s="86" t="s">
        <v>1310</v>
      </c>
      <c r="X20" s="336">
        <f>X19/60</f>
        <v>59.972000000000001</v>
      </c>
      <c r="Y20" s="334" t="s">
        <v>294</v>
      </c>
      <c r="AC20" s="342"/>
      <c r="AD20" s="86" t="s">
        <v>1310</v>
      </c>
      <c r="AE20" s="336">
        <f>AE19/60</f>
        <v>0</v>
      </c>
      <c r="AF20" s="334" t="s">
        <v>1162</v>
      </c>
      <c r="AH20" s="342"/>
      <c r="AI20" s="342"/>
      <c r="AJ20" s="86" t="s">
        <v>1310</v>
      </c>
      <c r="AK20" s="336">
        <f>AK19/60</f>
        <v>0</v>
      </c>
      <c r="AL20" s="334" t="s">
        <v>1162</v>
      </c>
      <c r="AN20" s="342"/>
      <c r="AO20" s="342"/>
      <c r="AQ20" s="336">
        <f>AQ19/60</f>
        <v>0</v>
      </c>
      <c r="AR20" s="334" t="s">
        <v>1162</v>
      </c>
    </row>
    <row r="21" spans="3:46">
      <c r="C21" s="335"/>
      <c r="D21" s="334" t="s">
        <v>364</v>
      </c>
      <c r="G21" s="337"/>
      <c r="H21" s="337"/>
      <c r="I21" s="337"/>
      <c r="J21" s="337"/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B21" s="337"/>
      <c r="AC21" s="337"/>
      <c r="AD21" s="337"/>
      <c r="AE21" s="337"/>
      <c r="AF21" s="337"/>
      <c r="AG21" s="337"/>
      <c r="AH21" s="337"/>
      <c r="AI21" s="337"/>
      <c r="AJ21" s="337"/>
      <c r="AK21" s="337"/>
      <c r="AL21" s="337"/>
      <c r="AN21" s="337"/>
      <c r="AO21" s="337"/>
      <c r="AP21" s="337"/>
      <c r="AQ21" s="337"/>
      <c r="AR21" s="337"/>
    </row>
    <row r="22" spans="3:46">
      <c r="C22" s="336"/>
      <c r="D22" s="334" t="s">
        <v>404</v>
      </c>
      <c r="G22" s="787" t="s">
        <v>401</v>
      </c>
      <c r="H22" s="787"/>
      <c r="I22" s="86" t="s">
        <v>1311</v>
      </c>
      <c r="J22" s="336">
        <f>J20/J18</f>
        <v>4.1666666666666669E-4</v>
      </c>
      <c r="K22" s="86"/>
      <c r="N22" s="787" t="s">
        <v>401</v>
      </c>
      <c r="O22" s="787"/>
      <c r="P22" s="86" t="s">
        <v>1311</v>
      </c>
      <c r="Q22" s="336">
        <f>Q20/Q18</f>
        <v>1.0555555555555555E-4</v>
      </c>
      <c r="R22" s="86"/>
      <c r="U22" s="787" t="s">
        <v>401</v>
      </c>
      <c r="V22" s="787"/>
      <c r="W22" s="86" t="s">
        <v>1311</v>
      </c>
      <c r="X22" s="336">
        <f>X20/X18</f>
        <v>0.99953333333333338</v>
      </c>
      <c r="Y22" s="86"/>
      <c r="AB22" s="787" t="s">
        <v>401</v>
      </c>
      <c r="AC22" s="787"/>
      <c r="AD22" s="86" t="s">
        <v>1311</v>
      </c>
      <c r="AE22" s="336">
        <f>AE20/AE18</f>
        <v>0</v>
      </c>
      <c r="AF22" s="86"/>
      <c r="AH22" s="787" t="s">
        <v>401</v>
      </c>
      <c r="AI22" s="787"/>
      <c r="AJ22" s="86" t="s">
        <v>1311</v>
      </c>
      <c r="AK22" s="336">
        <f>AK20/AK18</f>
        <v>0</v>
      </c>
      <c r="AL22" s="86"/>
      <c r="AN22" s="787" t="s">
        <v>401</v>
      </c>
      <c r="AO22" s="787"/>
      <c r="AP22" s="334" t="s">
        <v>391</v>
      </c>
      <c r="AQ22" s="336">
        <f>(60/AQ18*AQ20)</f>
        <v>0</v>
      </c>
      <c r="AR22" s="334" t="s">
        <v>402</v>
      </c>
    </row>
    <row r="23" spans="3:46">
      <c r="C23" s="340"/>
      <c r="D23" s="334" t="s">
        <v>395</v>
      </c>
      <c r="G23" s="787"/>
      <c r="H23" s="787"/>
      <c r="I23" s="86" t="s">
        <v>1308</v>
      </c>
      <c r="J23" s="336">
        <f>J15*J22</f>
        <v>2.5416666666666667E-2</v>
      </c>
      <c r="K23" s="86" t="s">
        <v>1122</v>
      </c>
      <c r="N23" s="787"/>
      <c r="O23" s="787"/>
      <c r="P23" s="86" t="s">
        <v>1308</v>
      </c>
      <c r="Q23" s="336">
        <f>Q15*Q22</f>
        <v>2.2166666666666667E-3</v>
      </c>
      <c r="R23" s="86" t="s">
        <v>1122</v>
      </c>
      <c r="U23" s="787"/>
      <c r="V23" s="787"/>
      <c r="W23" s="334" t="s">
        <v>403</v>
      </c>
      <c r="X23" s="336">
        <f>X15*X22</f>
        <v>11.09482</v>
      </c>
      <c r="Y23" s="86" t="s">
        <v>1122</v>
      </c>
      <c r="AB23" s="787"/>
      <c r="AC23" s="787"/>
      <c r="AD23" s="334" t="s">
        <v>403</v>
      </c>
      <c r="AE23" s="336">
        <f>AE15*AE22</f>
        <v>0</v>
      </c>
      <c r="AF23" s="86" t="s">
        <v>1122</v>
      </c>
      <c r="AH23" s="787"/>
      <c r="AI23" s="787"/>
      <c r="AJ23" s="334" t="s">
        <v>403</v>
      </c>
      <c r="AK23" s="336">
        <f>AK15*AK22</f>
        <v>0</v>
      </c>
      <c r="AL23" s="86" t="s">
        <v>1122</v>
      </c>
      <c r="AN23" s="787"/>
      <c r="AO23" s="787"/>
      <c r="AP23" s="334" t="s">
        <v>403</v>
      </c>
      <c r="AQ23" s="336">
        <f>AQ15*AQ21/60</f>
        <v>0</v>
      </c>
      <c r="AR23" s="334" t="s">
        <v>1019</v>
      </c>
    </row>
    <row r="24" spans="3:46" s="337" customFormat="1" ht="14.25" thickBot="1"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  <c r="AN24" s="334"/>
      <c r="AO24" s="334"/>
      <c r="AP24" s="334"/>
      <c r="AQ24" s="334"/>
      <c r="AR24" s="334"/>
      <c r="AS24" s="334"/>
      <c r="AT24" s="334"/>
    </row>
    <row r="25" spans="3:46" ht="13.5" customHeight="1" thickTop="1">
      <c r="H25" s="338"/>
      <c r="I25" s="338" t="s">
        <v>405</v>
      </c>
      <c r="J25" s="339">
        <f>J8/J23</f>
        <v>127475.40983606558</v>
      </c>
      <c r="K25" s="338" t="s">
        <v>216</v>
      </c>
      <c r="L25" s="338"/>
      <c r="O25" s="338"/>
      <c r="P25" s="338" t="s">
        <v>405</v>
      </c>
      <c r="Q25" s="339">
        <f>Q8/Q23</f>
        <v>1461654.1353383458</v>
      </c>
      <c r="R25" s="338" t="s">
        <v>216</v>
      </c>
      <c r="S25" s="338"/>
      <c r="V25" s="338"/>
      <c r="W25" s="338" t="s">
        <v>405</v>
      </c>
      <c r="X25" s="339">
        <f>X8/X23</f>
        <v>292.0281717053544</v>
      </c>
      <c r="Y25" s="338" t="s">
        <v>216</v>
      </c>
      <c r="Z25" s="338"/>
      <c r="AC25" s="338"/>
      <c r="AD25" s="338" t="s">
        <v>405</v>
      </c>
      <c r="AE25" s="339" t="e">
        <f>AE8/AE23</f>
        <v>#DIV/0!</v>
      </c>
      <c r="AF25" s="338" t="s">
        <v>216</v>
      </c>
      <c r="AG25" s="338"/>
      <c r="AI25" s="338"/>
      <c r="AJ25" s="338" t="s">
        <v>405</v>
      </c>
      <c r="AK25" s="339" t="e">
        <f>AK8/AK23</f>
        <v>#DIV/0!</v>
      </c>
      <c r="AL25" s="338" t="s">
        <v>216</v>
      </c>
      <c r="AO25" s="338"/>
      <c r="AP25" s="338" t="s">
        <v>405</v>
      </c>
      <c r="AQ25" s="339" t="e">
        <f>AQ8/#REF!</f>
        <v>#REF!</v>
      </c>
      <c r="AR25" s="338" t="s">
        <v>216</v>
      </c>
      <c r="AS25" s="337"/>
      <c r="AT25" s="337"/>
    </row>
    <row r="26" spans="3:46">
      <c r="I26" s="334" t="s">
        <v>406</v>
      </c>
      <c r="J26" s="340">
        <f>J25/24</f>
        <v>5311.4754098360654</v>
      </c>
      <c r="K26" s="334" t="s">
        <v>303</v>
      </c>
      <c r="P26" s="334" t="s">
        <v>406</v>
      </c>
      <c r="Q26" s="340">
        <f>Q25/24</f>
        <v>60902.255639097741</v>
      </c>
      <c r="R26" s="334" t="s">
        <v>303</v>
      </c>
      <c r="W26" s="334" t="s">
        <v>406</v>
      </c>
      <c r="X26" s="340">
        <f>X25/24</f>
        <v>12.167840487723099</v>
      </c>
      <c r="Y26" s="334" t="s">
        <v>303</v>
      </c>
      <c r="AA26" s="337"/>
      <c r="AD26" s="334" t="s">
        <v>406</v>
      </c>
      <c r="AE26" s="340" t="e">
        <f>AE25/24</f>
        <v>#DIV/0!</v>
      </c>
      <c r="AF26" s="334" t="s">
        <v>303</v>
      </c>
      <c r="AJ26" s="334" t="s">
        <v>406</v>
      </c>
      <c r="AK26" s="340" t="e">
        <f>AK25/24</f>
        <v>#DIV/0!</v>
      </c>
      <c r="AL26" s="334" t="s">
        <v>303</v>
      </c>
      <c r="AM26" s="337"/>
      <c r="AP26" s="334" t="s">
        <v>406</v>
      </c>
      <c r="AQ26" s="340" t="e">
        <f>AQ25/24</f>
        <v>#REF!</v>
      </c>
      <c r="AR26" s="334" t="s">
        <v>303</v>
      </c>
    </row>
    <row r="30" spans="3:46">
      <c r="P30" s="343" t="s">
        <v>1042</v>
      </c>
      <c r="Q30" s="344">
        <f>J23+X23</f>
        <v>11.120236666666667</v>
      </c>
      <c r="R30" s="334" t="s">
        <v>1039</v>
      </c>
    </row>
    <row r="31" spans="3:46">
      <c r="Q31" s="344">
        <f>J8/Q30</f>
        <v>291.36070545261174</v>
      </c>
      <c r="R31" s="334" t="s">
        <v>1041</v>
      </c>
    </row>
    <row r="32" spans="3:46" s="337" customFormat="1">
      <c r="F32" s="334"/>
      <c r="G32" s="334"/>
      <c r="H32" s="334"/>
      <c r="I32" s="334"/>
      <c r="J32" s="334" t="s">
        <v>1038</v>
      </c>
      <c r="K32" s="334"/>
      <c r="L32" s="334"/>
      <c r="M32" s="334"/>
      <c r="N32" s="334"/>
      <c r="O32" s="334"/>
      <c r="P32" s="334"/>
      <c r="Q32" s="344">
        <f>Q31/24</f>
        <v>12.140029393858823</v>
      </c>
      <c r="R32" s="334" t="s">
        <v>1040</v>
      </c>
      <c r="S32" s="334"/>
      <c r="T32" s="334"/>
      <c r="U32" s="334"/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</row>
    <row r="33" spans="6:39">
      <c r="J33" s="334">
        <v>3.6</v>
      </c>
      <c r="M33" s="334">
        <v>5000</v>
      </c>
      <c r="AL33" s="337"/>
      <c r="AM33" s="337"/>
    </row>
    <row r="34" spans="6:39">
      <c r="J34" s="334">
        <v>5</v>
      </c>
      <c r="K34" s="334">
        <f>J33/J34</f>
        <v>0.72</v>
      </c>
      <c r="M34" s="334">
        <f>K34*M33</f>
        <v>3600</v>
      </c>
      <c r="P34" s="343" t="s">
        <v>1043</v>
      </c>
      <c r="Q34" s="344">
        <f>J23+X23+AE23</f>
        <v>11.120236666666667</v>
      </c>
      <c r="R34" s="334" t="s">
        <v>1039</v>
      </c>
      <c r="T34" s="337"/>
      <c r="AF34" s="337"/>
      <c r="AK34" s="334" t="e">
        <f>+N3O31:AK34</f>
        <v>#NAME?</v>
      </c>
    </row>
    <row r="35" spans="6:39" s="337" customFormat="1">
      <c r="F35" s="334"/>
      <c r="G35" s="334"/>
      <c r="H35" s="334"/>
      <c r="I35" s="334"/>
      <c r="J35" s="334">
        <v>3.3</v>
      </c>
      <c r="K35" s="334">
        <f>J34/J35</f>
        <v>1.5151515151515151</v>
      </c>
      <c r="L35" s="334"/>
      <c r="M35" s="334">
        <f>K35*M34</f>
        <v>5454.545454545454</v>
      </c>
      <c r="N35" s="334"/>
      <c r="O35" s="334"/>
      <c r="P35" s="334"/>
      <c r="Q35" s="344">
        <f>J8/Q38</f>
        <v>291.30263826685717</v>
      </c>
      <c r="R35" s="334" t="s">
        <v>1041</v>
      </c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</row>
    <row r="36" spans="6:39">
      <c r="M36" s="334">
        <f>M35*0.85</f>
        <v>4636.363636363636</v>
      </c>
      <c r="Q36" s="344">
        <f>Q35/24</f>
        <v>12.137609927785716</v>
      </c>
      <c r="R36" s="334" t="s">
        <v>1040</v>
      </c>
      <c r="AL36" s="337"/>
      <c r="AM36" s="337"/>
    </row>
    <row r="37" spans="6:39">
      <c r="T37" s="337"/>
      <c r="AF37" s="337"/>
    </row>
    <row r="38" spans="6:39">
      <c r="P38" s="446" t="s">
        <v>1307</v>
      </c>
      <c r="Q38" s="344">
        <f>J23+X23+AE23+AK23+Q23</f>
        <v>11.122453333333334</v>
      </c>
      <c r="R38" s="334" t="s">
        <v>1039</v>
      </c>
    </row>
    <row r="39" spans="6:39">
      <c r="Q39" s="344">
        <f>J8/Q38</f>
        <v>291.30263826685717</v>
      </c>
      <c r="R39" s="334" t="s">
        <v>1041</v>
      </c>
    </row>
    <row r="40" spans="6:39">
      <c r="Q40" s="344">
        <f>Q39/24</f>
        <v>12.137609927785716</v>
      </c>
      <c r="R40" s="334" t="s">
        <v>1040</v>
      </c>
    </row>
  </sheetData>
  <mergeCells count="31">
    <mergeCell ref="N6:O8"/>
    <mergeCell ref="N10:O13"/>
    <mergeCell ref="N15:O16"/>
    <mergeCell ref="N18:O19"/>
    <mergeCell ref="N22:O23"/>
    <mergeCell ref="AN6:AO8"/>
    <mergeCell ref="AN10:AO13"/>
    <mergeCell ref="AN15:AO16"/>
    <mergeCell ref="AN18:AO19"/>
    <mergeCell ref="AN22:AO23"/>
    <mergeCell ref="AB6:AC8"/>
    <mergeCell ref="AB10:AC13"/>
    <mergeCell ref="AB15:AC16"/>
    <mergeCell ref="AB18:AC19"/>
    <mergeCell ref="AB22:AC23"/>
    <mergeCell ref="U6:V8"/>
    <mergeCell ref="U10:V13"/>
    <mergeCell ref="U15:V16"/>
    <mergeCell ref="U18:V19"/>
    <mergeCell ref="U22:V23"/>
    <mergeCell ref="A1:C1"/>
    <mergeCell ref="G22:H23"/>
    <mergeCell ref="G6:H8"/>
    <mergeCell ref="G10:H13"/>
    <mergeCell ref="G15:H16"/>
    <mergeCell ref="G18:H19"/>
    <mergeCell ref="AH6:AI8"/>
    <mergeCell ref="AH10:AI13"/>
    <mergeCell ref="AH15:AI16"/>
    <mergeCell ref="AH18:AI19"/>
    <mergeCell ref="AH22:AI23"/>
  </mergeCells>
  <phoneticPr fontId="42"/>
  <hyperlinks>
    <hyperlink ref="A1:C1" location="目次!A1" display="　目次　" xr:uid="{00000000-0004-0000-1600-000000000000}"/>
  </hyperlinks>
  <pageMargins left="0.75" right="0.75" top="1" bottom="1" header="0.51180555555555596" footer="0.51180555555555596"/>
  <pageSetup paperSize="9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1"/>
  <sheetViews>
    <sheetView workbookViewId="0">
      <selection sqref="A1:C1"/>
    </sheetView>
  </sheetViews>
  <sheetFormatPr defaultColWidth="9" defaultRowHeight="13.5"/>
  <cols>
    <col min="1" max="1" width="9" customWidth="1"/>
    <col min="2" max="2" width="11.375" customWidth="1"/>
    <col min="3" max="3" width="10.625" customWidth="1"/>
  </cols>
  <sheetData>
    <row r="1" spans="1:4">
      <c r="A1" s="686" t="s">
        <v>61</v>
      </c>
      <c r="B1" s="686"/>
      <c r="C1" s="686"/>
    </row>
    <row r="2" spans="1:4">
      <c r="B2" t="s">
        <v>407</v>
      </c>
    </row>
    <row r="4" spans="1:4">
      <c r="B4" s="790" t="s">
        <v>408</v>
      </c>
      <c r="C4" s="114" t="s">
        <v>409</v>
      </c>
    </row>
    <row r="5" spans="1:4">
      <c r="B5" s="791"/>
      <c r="C5" s="67" t="s">
        <v>410</v>
      </c>
    </row>
    <row r="8" spans="1:4">
      <c r="B8" t="s">
        <v>411</v>
      </c>
      <c r="C8" s="21">
        <v>75</v>
      </c>
      <c r="D8" t="s">
        <v>91</v>
      </c>
    </row>
    <row r="9" spans="1:4">
      <c r="B9" t="s">
        <v>412</v>
      </c>
      <c r="C9" s="21">
        <v>3</v>
      </c>
      <c r="D9" t="s">
        <v>413</v>
      </c>
    </row>
    <row r="11" spans="1:4">
      <c r="B11" t="s">
        <v>414</v>
      </c>
      <c r="C11" s="36">
        <f>(C8*(C9-1))/(C9+1)</f>
        <v>37.5</v>
      </c>
      <c r="D11" t="s">
        <v>91</v>
      </c>
    </row>
  </sheetData>
  <mergeCells count="2">
    <mergeCell ref="A1:C1"/>
    <mergeCell ref="B4:B5"/>
  </mergeCells>
  <phoneticPr fontId="42"/>
  <hyperlinks>
    <hyperlink ref="A1:C1" location="目次!A1" display="　目次　" xr:uid="{00000000-0004-0000-1700-000000000000}"/>
  </hyperlinks>
  <pageMargins left="0.69930555555555596" right="0.69930555555555596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5"/>
  <sheetViews>
    <sheetView workbookViewId="0">
      <selection sqref="A1:C1"/>
    </sheetView>
  </sheetViews>
  <sheetFormatPr defaultColWidth="9" defaultRowHeight="13.5"/>
  <cols>
    <col min="1" max="1" width="3.375" customWidth="1"/>
    <col min="2" max="2" width="13.875" customWidth="1"/>
  </cols>
  <sheetData>
    <row r="1" spans="1:4">
      <c r="A1" s="686" t="s">
        <v>61</v>
      </c>
      <c r="B1" s="686"/>
      <c r="C1" s="686"/>
    </row>
    <row r="2" spans="1:4">
      <c r="A2" s="113" t="s">
        <v>415</v>
      </c>
    </row>
    <row r="3" spans="1:4">
      <c r="B3" t="s">
        <v>272</v>
      </c>
      <c r="C3" s="21">
        <v>24</v>
      </c>
      <c r="D3" t="s">
        <v>65</v>
      </c>
    </row>
    <row r="4" spans="1:4">
      <c r="B4" t="s">
        <v>142</v>
      </c>
      <c r="C4" s="21">
        <v>24</v>
      </c>
      <c r="D4" t="s">
        <v>65</v>
      </c>
    </row>
    <row r="5" spans="1:4">
      <c r="B5" t="s">
        <v>416</v>
      </c>
      <c r="C5" s="21">
        <v>100</v>
      </c>
      <c r="D5" t="s">
        <v>245</v>
      </c>
    </row>
    <row r="6" spans="1:4">
      <c r="B6" t="s">
        <v>417</v>
      </c>
      <c r="C6" s="21">
        <v>10</v>
      </c>
      <c r="D6" t="s">
        <v>93</v>
      </c>
    </row>
    <row r="8" spans="1:4">
      <c r="B8" t="s">
        <v>418</v>
      </c>
      <c r="C8" s="23">
        <f>C4/C3</f>
        <v>1</v>
      </c>
      <c r="D8" t="s">
        <v>131</v>
      </c>
    </row>
    <row r="9" spans="1:4">
      <c r="B9" s="684" t="s">
        <v>1994</v>
      </c>
      <c r="C9" s="23">
        <f>C6*C8*(1+(100-C5)/100)</f>
        <v>10</v>
      </c>
      <c r="D9" t="s">
        <v>93</v>
      </c>
    </row>
    <row r="11" spans="1:4">
      <c r="A11" s="113" t="s">
        <v>419</v>
      </c>
    </row>
    <row r="12" spans="1:4">
      <c r="B12" t="s">
        <v>387</v>
      </c>
      <c r="C12" s="21">
        <v>10000</v>
      </c>
      <c r="D12" t="s">
        <v>388</v>
      </c>
    </row>
    <row r="13" spans="1:4">
      <c r="B13" t="s">
        <v>417</v>
      </c>
      <c r="C13" s="21">
        <v>1000</v>
      </c>
      <c r="D13" t="s">
        <v>93</v>
      </c>
    </row>
    <row r="14" spans="1:4">
      <c r="B14" t="s">
        <v>420</v>
      </c>
      <c r="C14" s="21">
        <v>90</v>
      </c>
      <c r="D14" t="s">
        <v>245</v>
      </c>
    </row>
    <row r="15" spans="1:4">
      <c r="B15" t="s">
        <v>421</v>
      </c>
      <c r="C15" s="36">
        <f>C12/C13*(C14/100)</f>
        <v>9</v>
      </c>
      <c r="D15" t="s">
        <v>422</v>
      </c>
    </row>
  </sheetData>
  <mergeCells count="1">
    <mergeCell ref="A1:C1"/>
  </mergeCells>
  <phoneticPr fontId="42"/>
  <hyperlinks>
    <hyperlink ref="A1:C1" location="目次!A1" display="　目次　" xr:uid="{00000000-0004-0000-1800-000000000000}"/>
  </hyperlinks>
  <pageMargins left="0.69930555555555596" right="0.69930555555555596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49"/>
  <sheetViews>
    <sheetView workbookViewId="0">
      <selection sqref="A1:C1"/>
    </sheetView>
  </sheetViews>
  <sheetFormatPr defaultRowHeight="13.5"/>
  <cols>
    <col min="1" max="1" width="3.5" style="237" customWidth="1"/>
    <col min="2" max="2" width="11.375" style="237" customWidth="1"/>
    <col min="3" max="3" width="12.25" style="237" customWidth="1"/>
    <col min="4" max="4" width="9.5" style="237" customWidth="1"/>
    <col min="5" max="5" width="11.375" style="237" customWidth="1"/>
    <col min="6" max="6" width="2.125" style="237" customWidth="1"/>
    <col min="7" max="7" width="15.125" style="237" customWidth="1"/>
    <col min="8" max="8" width="11.875" style="237" customWidth="1"/>
    <col min="9" max="9" width="12.125" style="237" customWidth="1"/>
    <col min="10" max="10" width="10" style="237" customWidth="1"/>
    <col min="11" max="12" width="9" style="237"/>
    <col min="13" max="13" width="9.75" style="237" customWidth="1"/>
    <col min="14" max="256" width="9" style="237"/>
    <col min="257" max="257" width="3.5" style="237" customWidth="1"/>
    <col min="258" max="258" width="11.375" style="237" customWidth="1"/>
    <col min="259" max="259" width="12.25" style="237" customWidth="1"/>
    <col min="260" max="260" width="9.5" style="237" customWidth="1"/>
    <col min="261" max="261" width="11.375" style="237" customWidth="1"/>
    <col min="262" max="262" width="2.125" style="237" customWidth="1"/>
    <col min="263" max="264" width="11.875" style="237" customWidth="1"/>
    <col min="265" max="265" width="12.125" style="237" customWidth="1"/>
    <col min="266" max="266" width="10" style="237" customWidth="1"/>
    <col min="267" max="268" width="9" style="237"/>
    <col min="269" max="269" width="9.75" style="237" customWidth="1"/>
    <col min="270" max="512" width="9" style="237"/>
    <col min="513" max="513" width="3.5" style="237" customWidth="1"/>
    <col min="514" max="514" width="11.375" style="237" customWidth="1"/>
    <col min="515" max="515" width="12.25" style="237" customWidth="1"/>
    <col min="516" max="516" width="9.5" style="237" customWidth="1"/>
    <col min="517" max="517" width="11.375" style="237" customWidth="1"/>
    <col min="518" max="518" width="2.125" style="237" customWidth="1"/>
    <col min="519" max="520" width="11.875" style="237" customWidth="1"/>
    <col min="521" max="521" width="12.125" style="237" customWidth="1"/>
    <col min="522" max="522" width="10" style="237" customWidth="1"/>
    <col min="523" max="524" width="9" style="237"/>
    <col min="525" max="525" width="9.75" style="237" customWidth="1"/>
    <col min="526" max="768" width="9" style="237"/>
    <col min="769" max="769" width="3.5" style="237" customWidth="1"/>
    <col min="770" max="770" width="11.375" style="237" customWidth="1"/>
    <col min="771" max="771" width="12.25" style="237" customWidth="1"/>
    <col min="772" max="772" width="9.5" style="237" customWidth="1"/>
    <col min="773" max="773" width="11.375" style="237" customWidth="1"/>
    <col min="774" max="774" width="2.125" style="237" customWidth="1"/>
    <col min="775" max="776" width="11.875" style="237" customWidth="1"/>
    <col min="777" max="777" width="12.125" style="237" customWidth="1"/>
    <col min="778" max="778" width="10" style="237" customWidth="1"/>
    <col min="779" max="780" width="9" style="237"/>
    <col min="781" max="781" width="9.75" style="237" customWidth="1"/>
    <col min="782" max="1024" width="9" style="237"/>
    <col min="1025" max="1025" width="3.5" style="237" customWidth="1"/>
    <col min="1026" max="1026" width="11.375" style="237" customWidth="1"/>
    <col min="1027" max="1027" width="12.25" style="237" customWidth="1"/>
    <col min="1028" max="1028" width="9.5" style="237" customWidth="1"/>
    <col min="1029" max="1029" width="11.375" style="237" customWidth="1"/>
    <col min="1030" max="1030" width="2.125" style="237" customWidth="1"/>
    <col min="1031" max="1032" width="11.875" style="237" customWidth="1"/>
    <col min="1033" max="1033" width="12.125" style="237" customWidth="1"/>
    <col min="1034" max="1034" width="10" style="237" customWidth="1"/>
    <col min="1035" max="1036" width="9" style="237"/>
    <col min="1037" max="1037" width="9.75" style="237" customWidth="1"/>
    <col min="1038" max="1280" width="9" style="237"/>
    <col min="1281" max="1281" width="3.5" style="237" customWidth="1"/>
    <col min="1282" max="1282" width="11.375" style="237" customWidth="1"/>
    <col min="1283" max="1283" width="12.25" style="237" customWidth="1"/>
    <col min="1284" max="1284" width="9.5" style="237" customWidth="1"/>
    <col min="1285" max="1285" width="11.375" style="237" customWidth="1"/>
    <col min="1286" max="1286" width="2.125" style="237" customWidth="1"/>
    <col min="1287" max="1288" width="11.875" style="237" customWidth="1"/>
    <col min="1289" max="1289" width="12.125" style="237" customWidth="1"/>
    <col min="1290" max="1290" width="10" style="237" customWidth="1"/>
    <col min="1291" max="1292" width="9" style="237"/>
    <col min="1293" max="1293" width="9.75" style="237" customWidth="1"/>
    <col min="1294" max="1536" width="9" style="237"/>
    <col min="1537" max="1537" width="3.5" style="237" customWidth="1"/>
    <col min="1538" max="1538" width="11.375" style="237" customWidth="1"/>
    <col min="1539" max="1539" width="12.25" style="237" customWidth="1"/>
    <col min="1540" max="1540" width="9.5" style="237" customWidth="1"/>
    <col min="1541" max="1541" width="11.375" style="237" customWidth="1"/>
    <col min="1542" max="1542" width="2.125" style="237" customWidth="1"/>
    <col min="1543" max="1544" width="11.875" style="237" customWidth="1"/>
    <col min="1545" max="1545" width="12.125" style="237" customWidth="1"/>
    <col min="1546" max="1546" width="10" style="237" customWidth="1"/>
    <col min="1547" max="1548" width="9" style="237"/>
    <col min="1549" max="1549" width="9.75" style="237" customWidth="1"/>
    <col min="1550" max="1792" width="9" style="237"/>
    <col min="1793" max="1793" width="3.5" style="237" customWidth="1"/>
    <col min="1794" max="1794" width="11.375" style="237" customWidth="1"/>
    <col min="1795" max="1795" width="12.25" style="237" customWidth="1"/>
    <col min="1796" max="1796" width="9.5" style="237" customWidth="1"/>
    <col min="1797" max="1797" width="11.375" style="237" customWidth="1"/>
    <col min="1798" max="1798" width="2.125" style="237" customWidth="1"/>
    <col min="1799" max="1800" width="11.875" style="237" customWidth="1"/>
    <col min="1801" max="1801" width="12.125" style="237" customWidth="1"/>
    <col min="1802" max="1802" width="10" style="237" customWidth="1"/>
    <col min="1803" max="1804" width="9" style="237"/>
    <col min="1805" max="1805" width="9.75" style="237" customWidth="1"/>
    <col min="1806" max="2048" width="9" style="237"/>
    <col min="2049" max="2049" width="3.5" style="237" customWidth="1"/>
    <col min="2050" max="2050" width="11.375" style="237" customWidth="1"/>
    <col min="2051" max="2051" width="12.25" style="237" customWidth="1"/>
    <col min="2052" max="2052" width="9.5" style="237" customWidth="1"/>
    <col min="2053" max="2053" width="11.375" style="237" customWidth="1"/>
    <col min="2054" max="2054" width="2.125" style="237" customWidth="1"/>
    <col min="2055" max="2056" width="11.875" style="237" customWidth="1"/>
    <col min="2057" max="2057" width="12.125" style="237" customWidth="1"/>
    <col min="2058" max="2058" width="10" style="237" customWidth="1"/>
    <col min="2059" max="2060" width="9" style="237"/>
    <col min="2061" max="2061" width="9.75" style="237" customWidth="1"/>
    <col min="2062" max="2304" width="9" style="237"/>
    <col min="2305" max="2305" width="3.5" style="237" customWidth="1"/>
    <col min="2306" max="2306" width="11.375" style="237" customWidth="1"/>
    <col min="2307" max="2307" width="12.25" style="237" customWidth="1"/>
    <col min="2308" max="2308" width="9.5" style="237" customWidth="1"/>
    <col min="2309" max="2309" width="11.375" style="237" customWidth="1"/>
    <col min="2310" max="2310" width="2.125" style="237" customWidth="1"/>
    <col min="2311" max="2312" width="11.875" style="237" customWidth="1"/>
    <col min="2313" max="2313" width="12.125" style="237" customWidth="1"/>
    <col min="2314" max="2314" width="10" style="237" customWidth="1"/>
    <col min="2315" max="2316" width="9" style="237"/>
    <col min="2317" max="2317" width="9.75" style="237" customWidth="1"/>
    <col min="2318" max="2560" width="9" style="237"/>
    <col min="2561" max="2561" width="3.5" style="237" customWidth="1"/>
    <col min="2562" max="2562" width="11.375" style="237" customWidth="1"/>
    <col min="2563" max="2563" width="12.25" style="237" customWidth="1"/>
    <col min="2564" max="2564" width="9.5" style="237" customWidth="1"/>
    <col min="2565" max="2565" width="11.375" style="237" customWidth="1"/>
    <col min="2566" max="2566" width="2.125" style="237" customWidth="1"/>
    <col min="2567" max="2568" width="11.875" style="237" customWidth="1"/>
    <col min="2569" max="2569" width="12.125" style="237" customWidth="1"/>
    <col min="2570" max="2570" width="10" style="237" customWidth="1"/>
    <col min="2571" max="2572" width="9" style="237"/>
    <col min="2573" max="2573" width="9.75" style="237" customWidth="1"/>
    <col min="2574" max="2816" width="9" style="237"/>
    <col min="2817" max="2817" width="3.5" style="237" customWidth="1"/>
    <col min="2818" max="2818" width="11.375" style="237" customWidth="1"/>
    <col min="2819" max="2819" width="12.25" style="237" customWidth="1"/>
    <col min="2820" max="2820" width="9.5" style="237" customWidth="1"/>
    <col min="2821" max="2821" width="11.375" style="237" customWidth="1"/>
    <col min="2822" max="2822" width="2.125" style="237" customWidth="1"/>
    <col min="2823" max="2824" width="11.875" style="237" customWidth="1"/>
    <col min="2825" max="2825" width="12.125" style="237" customWidth="1"/>
    <col min="2826" max="2826" width="10" style="237" customWidth="1"/>
    <col min="2827" max="2828" width="9" style="237"/>
    <col min="2829" max="2829" width="9.75" style="237" customWidth="1"/>
    <col min="2830" max="3072" width="9" style="237"/>
    <col min="3073" max="3073" width="3.5" style="237" customWidth="1"/>
    <col min="3074" max="3074" width="11.375" style="237" customWidth="1"/>
    <col min="3075" max="3075" width="12.25" style="237" customWidth="1"/>
    <col min="3076" max="3076" width="9.5" style="237" customWidth="1"/>
    <col min="3077" max="3077" width="11.375" style="237" customWidth="1"/>
    <col min="3078" max="3078" width="2.125" style="237" customWidth="1"/>
    <col min="3079" max="3080" width="11.875" style="237" customWidth="1"/>
    <col min="3081" max="3081" width="12.125" style="237" customWidth="1"/>
    <col min="3082" max="3082" width="10" style="237" customWidth="1"/>
    <col min="3083" max="3084" width="9" style="237"/>
    <col min="3085" max="3085" width="9.75" style="237" customWidth="1"/>
    <col min="3086" max="3328" width="9" style="237"/>
    <col min="3329" max="3329" width="3.5" style="237" customWidth="1"/>
    <col min="3330" max="3330" width="11.375" style="237" customWidth="1"/>
    <col min="3331" max="3331" width="12.25" style="237" customWidth="1"/>
    <col min="3332" max="3332" width="9.5" style="237" customWidth="1"/>
    <col min="3333" max="3333" width="11.375" style="237" customWidth="1"/>
    <col min="3334" max="3334" width="2.125" style="237" customWidth="1"/>
    <col min="3335" max="3336" width="11.875" style="237" customWidth="1"/>
    <col min="3337" max="3337" width="12.125" style="237" customWidth="1"/>
    <col min="3338" max="3338" width="10" style="237" customWidth="1"/>
    <col min="3339" max="3340" width="9" style="237"/>
    <col min="3341" max="3341" width="9.75" style="237" customWidth="1"/>
    <col min="3342" max="3584" width="9" style="237"/>
    <col min="3585" max="3585" width="3.5" style="237" customWidth="1"/>
    <col min="3586" max="3586" width="11.375" style="237" customWidth="1"/>
    <col min="3587" max="3587" width="12.25" style="237" customWidth="1"/>
    <col min="3588" max="3588" width="9.5" style="237" customWidth="1"/>
    <col min="3589" max="3589" width="11.375" style="237" customWidth="1"/>
    <col min="3590" max="3590" width="2.125" style="237" customWidth="1"/>
    <col min="3591" max="3592" width="11.875" style="237" customWidth="1"/>
    <col min="3593" max="3593" width="12.125" style="237" customWidth="1"/>
    <col min="3594" max="3594" width="10" style="237" customWidth="1"/>
    <col min="3595" max="3596" width="9" style="237"/>
    <col min="3597" max="3597" width="9.75" style="237" customWidth="1"/>
    <col min="3598" max="3840" width="9" style="237"/>
    <col min="3841" max="3841" width="3.5" style="237" customWidth="1"/>
    <col min="3842" max="3842" width="11.375" style="237" customWidth="1"/>
    <col min="3843" max="3843" width="12.25" style="237" customWidth="1"/>
    <col min="3844" max="3844" width="9.5" style="237" customWidth="1"/>
    <col min="3845" max="3845" width="11.375" style="237" customWidth="1"/>
    <col min="3846" max="3846" width="2.125" style="237" customWidth="1"/>
    <col min="3847" max="3848" width="11.875" style="237" customWidth="1"/>
    <col min="3849" max="3849" width="12.125" style="237" customWidth="1"/>
    <col min="3850" max="3850" width="10" style="237" customWidth="1"/>
    <col min="3851" max="3852" width="9" style="237"/>
    <col min="3853" max="3853" width="9.75" style="237" customWidth="1"/>
    <col min="3854" max="4096" width="9" style="237"/>
    <col min="4097" max="4097" width="3.5" style="237" customWidth="1"/>
    <col min="4098" max="4098" width="11.375" style="237" customWidth="1"/>
    <col min="4099" max="4099" width="12.25" style="237" customWidth="1"/>
    <col min="4100" max="4100" width="9.5" style="237" customWidth="1"/>
    <col min="4101" max="4101" width="11.375" style="237" customWidth="1"/>
    <col min="4102" max="4102" width="2.125" style="237" customWidth="1"/>
    <col min="4103" max="4104" width="11.875" style="237" customWidth="1"/>
    <col min="4105" max="4105" width="12.125" style="237" customWidth="1"/>
    <col min="4106" max="4106" width="10" style="237" customWidth="1"/>
    <col min="4107" max="4108" width="9" style="237"/>
    <col min="4109" max="4109" width="9.75" style="237" customWidth="1"/>
    <col min="4110" max="4352" width="9" style="237"/>
    <col min="4353" max="4353" width="3.5" style="237" customWidth="1"/>
    <col min="4354" max="4354" width="11.375" style="237" customWidth="1"/>
    <col min="4355" max="4355" width="12.25" style="237" customWidth="1"/>
    <col min="4356" max="4356" width="9.5" style="237" customWidth="1"/>
    <col min="4357" max="4357" width="11.375" style="237" customWidth="1"/>
    <col min="4358" max="4358" width="2.125" style="237" customWidth="1"/>
    <col min="4359" max="4360" width="11.875" style="237" customWidth="1"/>
    <col min="4361" max="4361" width="12.125" style="237" customWidth="1"/>
    <col min="4362" max="4362" width="10" style="237" customWidth="1"/>
    <col min="4363" max="4364" width="9" style="237"/>
    <col min="4365" max="4365" width="9.75" style="237" customWidth="1"/>
    <col min="4366" max="4608" width="9" style="237"/>
    <col min="4609" max="4609" width="3.5" style="237" customWidth="1"/>
    <col min="4610" max="4610" width="11.375" style="237" customWidth="1"/>
    <col min="4611" max="4611" width="12.25" style="237" customWidth="1"/>
    <col min="4612" max="4612" width="9.5" style="237" customWidth="1"/>
    <col min="4613" max="4613" width="11.375" style="237" customWidth="1"/>
    <col min="4614" max="4614" width="2.125" style="237" customWidth="1"/>
    <col min="4615" max="4616" width="11.875" style="237" customWidth="1"/>
    <col min="4617" max="4617" width="12.125" style="237" customWidth="1"/>
    <col min="4618" max="4618" width="10" style="237" customWidth="1"/>
    <col min="4619" max="4620" width="9" style="237"/>
    <col min="4621" max="4621" width="9.75" style="237" customWidth="1"/>
    <col min="4622" max="4864" width="9" style="237"/>
    <col min="4865" max="4865" width="3.5" style="237" customWidth="1"/>
    <col min="4866" max="4866" width="11.375" style="237" customWidth="1"/>
    <col min="4867" max="4867" width="12.25" style="237" customWidth="1"/>
    <col min="4868" max="4868" width="9.5" style="237" customWidth="1"/>
    <col min="4869" max="4869" width="11.375" style="237" customWidth="1"/>
    <col min="4870" max="4870" width="2.125" style="237" customWidth="1"/>
    <col min="4871" max="4872" width="11.875" style="237" customWidth="1"/>
    <col min="4873" max="4873" width="12.125" style="237" customWidth="1"/>
    <col min="4874" max="4874" width="10" style="237" customWidth="1"/>
    <col min="4875" max="4876" width="9" style="237"/>
    <col min="4877" max="4877" width="9.75" style="237" customWidth="1"/>
    <col min="4878" max="5120" width="9" style="237"/>
    <col min="5121" max="5121" width="3.5" style="237" customWidth="1"/>
    <col min="5122" max="5122" width="11.375" style="237" customWidth="1"/>
    <col min="5123" max="5123" width="12.25" style="237" customWidth="1"/>
    <col min="5124" max="5124" width="9.5" style="237" customWidth="1"/>
    <col min="5125" max="5125" width="11.375" style="237" customWidth="1"/>
    <col min="5126" max="5126" width="2.125" style="237" customWidth="1"/>
    <col min="5127" max="5128" width="11.875" style="237" customWidth="1"/>
    <col min="5129" max="5129" width="12.125" style="237" customWidth="1"/>
    <col min="5130" max="5130" width="10" style="237" customWidth="1"/>
    <col min="5131" max="5132" width="9" style="237"/>
    <col min="5133" max="5133" width="9.75" style="237" customWidth="1"/>
    <col min="5134" max="5376" width="9" style="237"/>
    <col min="5377" max="5377" width="3.5" style="237" customWidth="1"/>
    <col min="5378" max="5378" width="11.375" style="237" customWidth="1"/>
    <col min="5379" max="5379" width="12.25" style="237" customWidth="1"/>
    <col min="5380" max="5380" width="9.5" style="237" customWidth="1"/>
    <col min="5381" max="5381" width="11.375" style="237" customWidth="1"/>
    <col min="5382" max="5382" width="2.125" style="237" customWidth="1"/>
    <col min="5383" max="5384" width="11.875" style="237" customWidth="1"/>
    <col min="5385" max="5385" width="12.125" style="237" customWidth="1"/>
    <col min="5386" max="5386" width="10" style="237" customWidth="1"/>
    <col min="5387" max="5388" width="9" style="237"/>
    <col min="5389" max="5389" width="9.75" style="237" customWidth="1"/>
    <col min="5390" max="5632" width="9" style="237"/>
    <col min="5633" max="5633" width="3.5" style="237" customWidth="1"/>
    <col min="5634" max="5634" width="11.375" style="237" customWidth="1"/>
    <col min="5635" max="5635" width="12.25" style="237" customWidth="1"/>
    <col min="5636" max="5636" width="9.5" style="237" customWidth="1"/>
    <col min="5637" max="5637" width="11.375" style="237" customWidth="1"/>
    <col min="5638" max="5638" width="2.125" style="237" customWidth="1"/>
    <col min="5639" max="5640" width="11.875" style="237" customWidth="1"/>
    <col min="5641" max="5641" width="12.125" style="237" customWidth="1"/>
    <col min="5642" max="5642" width="10" style="237" customWidth="1"/>
    <col min="5643" max="5644" width="9" style="237"/>
    <col min="5645" max="5645" width="9.75" style="237" customWidth="1"/>
    <col min="5646" max="5888" width="9" style="237"/>
    <col min="5889" max="5889" width="3.5" style="237" customWidth="1"/>
    <col min="5890" max="5890" width="11.375" style="237" customWidth="1"/>
    <col min="5891" max="5891" width="12.25" style="237" customWidth="1"/>
    <col min="5892" max="5892" width="9.5" style="237" customWidth="1"/>
    <col min="5893" max="5893" width="11.375" style="237" customWidth="1"/>
    <col min="5894" max="5894" width="2.125" style="237" customWidth="1"/>
    <col min="5895" max="5896" width="11.875" style="237" customWidth="1"/>
    <col min="5897" max="5897" width="12.125" style="237" customWidth="1"/>
    <col min="5898" max="5898" width="10" style="237" customWidth="1"/>
    <col min="5899" max="5900" width="9" style="237"/>
    <col min="5901" max="5901" width="9.75" style="237" customWidth="1"/>
    <col min="5902" max="6144" width="9" style="237"/>
    <col min="6145" max="6145" width="3.5" style="237" customWidth="1"/>
    <col min="6146" max="6146" width="11.375" style="237" customWidth="1"/>
    <col min="6147" max="6147" width="12.25" style="237" customWidth="1"/>
    <col min="6148" max="6148" width="9.5" style="237" customWidth="1"/>
    <col min="6149" max="6149" width="11.375" style="237" customWidth="1"/>
    <col min="6150" max="6150" width="2.125" style="237" customWidth="1"/>
    <col min="6151" max="6152" width="11.875" style="237" customWidth="1"/>
    <col min="6153" max="6153" width="12.125" style="237" customWidth="1"/>
    <col min="6154" max="6154" width="10" style="237" customWidth="1"/>
    <col min="6155" max="6156" width="9" style="237"/>
    <col min="6157" max="6157" width="9.75" style="237" customWidth="1"/>
    <col min="6158" max="6400" width="9" style="237"/>
    <col min="6401" max="6401" width="3.5" style="237" customWidth="1"/>
    <col min="6402" max="6402" width="11.375" style="237" customWidth="1"/>
    <col min="6403" max="6403" width="12.25" style="237" customWidth="1"/>
    <col min="6404" max="6404" width="9.5" style="237" customWidth="1"/>
    <col min="6405" max="6405" width="11.375" style="237" customWidth="1"/>
    <col min="6406" max="6406" width="2.125" style="237" customWidth="1"/>
    <col min="6407" max="6408" width="11.875" style="237" customWidth="1"/>
    <col min="6409" max="6409" width="12.125" style="237" customWidth="1"/>
    <col min="6410" max="6410" width="10" style="237" customWidth="1"/>
    <col min="6411" max="6412" width="9" style="237"/>
    <col min="6413" max="6413" width="9.75" style="237" customWidth="1"/>
    <col min="6414" max="6656" width="9" style="237"/>
    <col min="6657" max="6657" width="3.5" style="237" customWidth="1"/>
    <col min="6658" max="6658" width="11.375" style="237" customWidth="1"/>
    <col min="6659" max="6659" width="12.25" style="237" customWidth="1"/>
    <col min="6660" max="6660" width="9.5" style="237" customWidth="1"/>
    <col min="6661" max="6661" width="11.375" style="237" customWidth="1"/>
    <col min="6662" max="6662" width="2.125" style="237" customWidth="1"/>
    <col min="6663" max="6664" width="11.875" style="237" customWidth="1"/>
    <col min="6665" max="6665" width="12.125" style="237" customWidth="1"/>
    <col min="6666" max="6666" width="10" style="237" customWidth="1"/>
    <col min="6667" max="6668" width="9" style="237"/>
    <col min="6669" max="6669" width="9.75" style="237" customWidth="1"/>
    <col min="6670" max="6912" width="9" style="237"/>
    <col min="6913" max="6913" width="3.5" style="237" customWidth="1"/>
    <col min="6914" max="6914" width="11.375" style="237" customWidth="1"/>
    <col min="6915" max="6915" width="12.25" style="237" customWidth="1"/>
    <col min="6916" max="6916" width="9.5" style="237" customWidth="1"/>
    <col min="6917" max="6917" width="11.375" style="237" customWidth="1"/>
    <col min="6918" max="6918" width="2.125" style="237" customWidth="1"/>
    <col min="6919" max="6920" width="11.875" style="237" customWidth="1"/>
    <col min="6921" max="6921" width="12.125" style="237" customWidth="1"/>
    <col min="6922" max="6922" width="10" style="237" customWidth="1"/>
    <col min="6923" max="6924" width="9" style="237"/>
    <col min="6925" max="6925" width="9.75" style="237" customWidth="1"/>
    <col min="6926" max="7168" width="9" style="237"/>
    <col min="7169" max="7169" width="3.5" style="237" customWidth="1"/>
    <col min="7170" max="7170" width="11.375" style="237" customWidth="1"/>
    <col min="7171" max="7171" width="12.25" style="237" customWidth="1"/>
    <col min="7172" max="7172" width="9.5" style="237" customWidth="1"/>
    <col min="7173" max="7173" width="11.375" style="237" customWidth="1"/>
    <col min="7174" max="7174" width="2.125" style="237" customWidth="1"/>
    <col min="7175" max="7176" width="11.875" style="237" customWidth="1"/>
    <col min="7177" max="7177" width="12.125" style="237" customWidth="1"/>
    <col min="7178" max="7178" width="10" style="237" customWidth="1"/>
    <col min="7179" max="7180" width="9" style="237"/>
    <col min="7181" max="7181" width="9.75" style="237" customWidth="1"/>
    <col min="7182" max="7424" width="9" style="237"/>
    <col min="7425" max="7425" width="3.5" style="237" customWidth="1"/>
    <col min="7426" max="7426" width="11.375" style="237" customWidth="1"/>
    <col min="7427" max="7427" width="12.25" style="237" customWidth="1"/>
    <col min="7428" max="7428" width="9.5" style="237" customWidth="1"/>
    <col min="7429" max="7429" width="11.375" style="237" customWidth="1"/>
    <col min="7430" max="7430" width="2.125" style="237" customWidth="1"/>
    <col min="7431" max="7432" width="11.875" style="237" customWidth="1"/>
    <col min="7433" max="7433" width="12.125" style="237" customWidth="1"/>
    <col min="7434" max="7434" width="10" style="237" customWidth="1"/>
    <col min="7435" max="7436" width="9" style="237"/>
    <col min="7437" max="7437" width="9.75" style="237" customWidth="1"/>
    <col min="7438" max="7680" width="9" style="237"/>
    <col min="7681" max="7681" width="3.5" style="237" customWidth="1"/>
    <col min="7682" max="7682" width="11.375" style="237" customWidth="1"/>
    <col min="7683" max="7683" width="12.25" style="237" customWidth="1"/>
    <col min="7684" max="7684" width="9.5" style="237" customWidth="1"/>
    <col min="7685" max="7685" width="11.375" style="237" customWidth="1"/>
    <col min="7686" max="7686" width="2.125" style="237" customWidth="1"/>
    <col min="7687" max="7688" width="11.875" style="237" customWidth="1"/>
    <col min="7689" max="7689" width="12.125" style="237" customWidth="1"/>
    <col min="7690" max="7690" width="10" style="237" customWidth="1"/>
    <col min="7691" max="7692" width="9" style="237"/>
    <col min="7693" max="7693" width="9.75" style="237" customWidth="1"/>
    <col min="7694" max="7936" width="9" style="237"/>
    <col min="7937" max="7937" width="3.5" style="237" customWidth="1"/>
    <col min="7938" max="7938" width="11.375" style="237" customWidth="1"/>
    <col min="7939" max="7939" width="12.25" style="237" customWidth="1"/>
    <col min="7940" max="7940" width="9.5" style="237" customWidth="1"/>
    <col min="7941" max="7941" width="11.375" style="237" customWidth="1"/>
    <col min="7942" max="7942" width="2.125" style="237" customWidth="1"/>
    <col min="7943" max="7944" width="11.875" style="237" customWidth="1"/>
    <col min="7945" max="7945" width="12.125" style="237" customWidth="1"/>
    <col min="7946" max="7946" width="10" style="237" customWidth="1"/>
    <col min="7947" max="7948" width="9" style="237"/>
    <col min="7949" max="7949" width="9.75" style="237" customWidth="1"/>
    <col min="7950" max="8192" width="9" style="237"/>
    <col min="8193" max="8193" width="3.5" style="237" customWidth="1"/>
    <col min="8194" max="8194" width="11.375" style="237" customWidth="1"/>
    <col min="8195" max="8195" width="12.25" style="237" customWidth="1"/>
    <col min="8196" max="8196" width="9.5" style="237" customWidth="1"/>
    <col min="8197" max="8197" width="11.375" style="237" customWidth="1"/>
    <col min="8198" max="8198" width="2.125" style="237" customWidth="1"/>
    <col min="8199" max="8200" width="11.875" style="237" customWidth="1"/>
    <col min="8201" max="8201" width="12.125" style="237" customWidth="1"/>
    <col min="8202" max="8202" width="10" style="237" customWidth="1"/>
    <col min="8203" max="8204" width="9" style="237"/>
    <col min="8205" max="8205" width="9.75" style="237" customWidth="1"/>
    <col min="8206" max="8448" width="9" style="237"/>
    <col min="8449" max="8449" width="3.5" style="237" customWidth="1"/>
    <col min="8450" max="8450" width="11.375" style="237" customWidth="1"/>
    <col min="8451" max="8451" width="12.25" style="237" customWidth="1"/>
    <col min="8452" max="8452" width="9.5" style="237" customWidth="1"/>
    <col min="8453" max="8453" width="11.375" style="237" customWidth="1"/>
    <col min="8454" max="8454" width="2.125" style="237" customWidth="1"/>
    <col min="8455" max="8456" width="11.875" style="237" customWidth="1"/>
    <col min="8457" max="8457" width="12.125" style="237" customWidth="1"/>
    <col min="8458" max="8458" width="10" style="237" customWidth="1"/>
    <col min="8459" max="8460" width="9" style="237"/>
    <col min="8461" max="8461" width="9.75" style="237" customWidth="1"/>
    <col min="8462" max="8704" width="9" style="237"/>
    <col min="8705" max="8705" width="3.5" style="237" customWidth="1"/>
    <col min="8706" max="8706" width="11.375" style="237" customWidth="1"/>
    <col min="8707" max="8707" width="12.25" style="237" customWidth="1"/>
    <col min="8708" max="8708" width="9.5" style="237" customWidth="1"/>
    <col min="8709" max="8709" width="11.375" style="237" customWidth="1"/>
    <col min="8710" max="8710" width="2.125" style="237" customWidth="1"/>
    <col min="8711" max="8712" width="11.875" style="237" customWidth="1"/>
    <col min="8713" max="8713" width="12.125" style="237" customWidth="1"/>
    <col min="8714" max="8714" width="10" style="237" customWidth="1"/>
    <col min="8715" max="8716" width="9" style="237"/>
    <col min="8717" max="8717" width="9.75" style="237" customWidth="1"/>
    <col min="8718" max="8960" width="9" style="237"/>
    <col min="8961" max="8961" width="3.5" style="237" customWidth="1"/>
    <col min="8962" max="8962" width="11.375" style="237" customWidth="1"/>
    <col min="8963" max="8963" width="12.25" style="237" customWidth="1"/>
    <col min="8964" max="8964" width="9.5" style="237" customWidth="1"/>
    <col min="8965" max="8965" width="11.375" style="237" customWidth="1"/>
    <col min="8966" max="8966" width="2.125" style="237" customWidth="1"/>
    <col min="8967" max="8968" width="11.875" style="237" customWidth="1"/>
    <col min="8969" max="8969" width="12.125" style="237" customWidth="1"/>
    <col min="8970" max="8970" width="10" style="237" customWidth="1"/>
    <col min="8971" max="8972" width="9" style="237"/>
    <col min="8973" max="8973" width="9.75" style="237" customWidth="1"/>
    <col min="8974" max="9216" width="9" style="237"/>
    <col min="9217" max="9217" width="3.5" style="237" customWidth="1"/>
    <col min="9218" max="9218" width="11.375" style="237" customWidth="1"/>
    <col min="9219" max="9219" width="12.25" style="237" customWidth="1"/>
    <col min="9220" max="9220" width="9.5" style="237" customWidth="1"/>
    <col min="9221" max="9221" width="11.375" style="237" customWidth="1"/>
    <col min="9222" max="9222" width="2.125" style="237" customWidth="1"/>
    <col min="9223" max="9224" width="11.875" style="237" customWidth="1"/>
    <col min="9225" max="9225" width="12.125" style="237" customWidth="1"/>
    <col min="9226" max="9226" width="10" style="237" customWidth="1"/>
    <col min="9227" max="9228" width="9" style="237"/>
    <col min="9229" max="9229" width="9.75" style="237" customWidth="1"/>
    <col min="9230" max="9472" width="9" style="237"/>
    <col min="9473" max="9473" width="3.5" style="237" customWidth="1"/>
    <col min="9474" max="9474" width="11.375" style="237" customWidth="1"/>
    <col min="9475" max="9475" width="12.25" style="237" customWidth="1"/>
    <col min="9476" max="9476" width="9.5" style="237" customWidth="1"/>
    <col min="9477" max="9477" width="11.375" style="237" customWidth="1"/>
    <col min="9478" max="9478" width="2.125" style="237" customWidth="1"/>
    <col min="9479" max="9480" width="11.875" style="237" customWidth="1"/>
    <col min="9481" max="9481" width="12.125" style="237" customWidth="1"/>
    <col min="9482" max="9482" width="10" style="237" customWidth="1"/>
    <col min="9483" max="9484" width="9" style="237"/>
    <col min="9485" max="9485" width="9.75" style="237" customWidth="1"/>
    <col min="9486" max="9728" width="9" style="237"/>
    <col min="9729" max="9729" width="3.5" style="237" customWidth="1"/>
    <col min="9730" max="9730" width="11.375" style="237" customWidth="1"/>
    <col min="9731" max="9731" width="12.25" style="237" customWidth="1"/>
    <col min="9732" max="9732" width="9.5" style="237" customWidth="1"/>
    <col min="9733" max="9733" width="11.375" style="237" customWidth="1"/>
    <col min="9734" max="9734" width="2.125" style="237" customWidth="1"/>
    <col min="9735" max="9736" width="11.875" style="237" customWidth="1"/>
    <col min="9737" max="9737" width="12.125" style="237" customWidth="1"/>
    <col min="9738" max="9738" width="10" style="237" customWidth="1"/>
    <col min="9739" max="9740" width="9" style="237"/>
    <col min="9741" max="9741" width="9.75" style="237" customWidth="1"/>
    <col min="9742" max="9984" width="9" style="237"/>
    <col min="9985" max="9985" width="3.5" style="237" customWidth="1"/>
    <col min="9986" max="9986" width="11.375" style="237" customWidth="1"/>
    <col min="9987" max="9987" width="12.25" style="237" customWidth="1"/>
    <col min="9988" max="9988" width="9.5" style="237" customWidth="1"/>
    <col min="9989" max="9989" width="11.375" style="237" customWidth="1"/>
    <col min="9990" max="9990" width="2.125" style="237" customWidth="1"/>
    <col min="9991" max="9992" width="11.875" style="237" customWidth="1"/>
    <col min="9993" max="9993" width="12.125" style="237" customWidth="1"/>
    <col min="9994" max="9994" width="10" style="237" customWidth="1"/>
    <col min="9995" max="9996" width="9" style="237"/>
    <col min="9997" max="9997" width="9.75" style="237" customWidth="1"/>
    <col min="9998" max="10240" width="9" style="237"/>
    <col min="10241" max="10241" width="3.5" style="237" customWidth="1"/>
    <col min="10242" max="10242" width="11.375" style="237" customWidth="1"/>
    <col min="10243" max="10243" width="12.25" style="237" customWidth="1"/>
    <col min="10244" max="10244" width="9.5" style="237" customWidth="1"/>
    <col min="10245" max="10245" width="11.375" style="237" customWidth="1"/>
    <col min="10246" max="10246" width="2.125" style="237" customWidth="1"/>
    <col min="10247" max="10248" width="11.875" style="237" customWidth="1"/>
    <col min="10249" max="10249" width="12.125" style="237" customWidth="1"/>
    <col min="10250" max="10250" width="10" style="237" customWidth="1"/>
    <col min="10251" max="10252" width="9" style="237"/>
    <col min="10253" max="10253" width="9.75" style="237" customWidth="1"/>
    <col min="10254" max="10496" width="9" style="237"/>
    <col min="10497" max="10497" width="3.5" style="237" customWidth="1"/>
    <col min="10498" max="10498" width="11.375" style="237" customWidth="1"/>
    <col min="10499" max="10499" width="12.25" style="237" customWidth="1"/>
    <col min="10500" max="10500" width="9.5" style="237" customWidth="1"/>
    <col min="10501" max="10501" width="11.375" style="237" customWidth="1"/>
    <col min="10502" max="10502" width="2.125" style="237" customWidth="1"/>
    <col min="10503" max="10504" width="11.875" style="237" customWidth="1"/>
    <col min="10505" max="10505" width="12.125" style="237" customWidth="1"/>
    <col min="10506" max="10506" width="10" style="237" customWidth="1"/>
    <col min="10507" max="10508" width="9" style="237"/>
    <col min="10509" max="10509" width="9.75" style="237" customWidth="1"/>
    <col min="10510" max="10752" width="9" style="237"/>
    <col min="10753" max="10753" width="3.5" style="237" customWidth="1"/>
    <col min="10754" max="10754" width="11.375" style="237" customWidth="1"/>
    <col min="10755" max="10755" width="12.25" style="237" customWidth="1"/>
    <col min="10756" max="10756" width="9.5" style="237" customWidth="1"/>
    <col min="10757" max="10757" width="11.375" style="237" customWidth="1"/>
    <col min="10758" max="10758" width="2.125" style="237" customWidth="1"/>
    <col min="10759" max="10760" width="11.875" style="237" customWidth="1"/>
    <col min="10761" max="10761" width="12.125" style="237" customWidth="1"/>
    <col min="10762" max="10762" width="10" style="237" customWidth="1"/>
    <col min="10763" max="10764" width="9" style="237"/>
    <col min="10765" max="10765" width="9.75" style="237" customWidth="1"/>
    <col min="10766" max="11008" width="9" style="237"/>
    <col min="11009" max="11009" width="3.5" style="237" customWidth="1"/>
    <col min="11010" max="11010" width="11.375" style="237" customWidth="1"/>
    <col min="11011" max="11011" width="12.25" style="237" customWidth="1"/>
    <col min="11012" max="11012" width="9.5" style="237" customWidth="1"/>
    <col min="11013" max="11013" width="11.375" style="237" customWidth="1"/>
    <col min="11014" max="11014" width="2.125" style="237" customWidth="1"/>
    <col min="11015" max="11016" width="11.875" style="237" customWidth="1"/>
    <col min="11017" max="11017" width="12.125" style="237" customWidth="1"/>
    <col min="11018" max="11018" width="10" style="237" customWidth="1"/>
    <col min="11019" max="11020" width="9" style="237"/>
    <col min="11021" max="11021" width="9.75" style="237" customWidth="1"/>
    <col min="11022" max="11264" width="9" style="237"/>
    <col min="11265" max="11265" width="3.5" style="237" customWidth="1"/>
    <col min="11266" max="11266" width="11.375" style="237" customWidth="1"/>
    <col min="11267" max="11267" width="12.25" style="237" customWidth="1"/>
    <col min="11268" max="11268" width="9.5" style="237" customWidth="1"/>
    <col min="11269" max="11269" width="11.375" style="237" customWidth="1"/>
    <col min="11270" max="11270" width="2.125" style="237" customWidth="1"/>
    <col min="11271" max="11272" width="11.875" style="237" customWidth="1"/>
    <col min="11273" max="11273" width="12.125" style="237" customWidth="1"/>
    <col min="11274" max="11274" width="10" style="237" customWidth="1"/>
    <col min="11275" max="11276" width="9" style="237"/>
    <col min="11277" max="11277" width="9.75" style="237" customWidth="1"/>
    <col min="11278" max="11520" width="9" style="237"/>
    <col min="11521" max="11521" width="3.5" style="237" customWidth="1"/>
    <col min="11522" max="11522" width="11.375" style="237" customWidth="1"/>
    <col min="11523" max="11523" width="12.25" style="237" customWidth="1"/>
    <col min="11524" max="11524" width="9.5" style="237" customWidth="1"/>
    <col min="11525" max="11525" width="11.375" style="237" customWidth="1"/>
    <col min="11526" max="11526" width="2.125" style="237" customWidth="1"/>
    <col min="11527" max="11528" width="11.875" style="237" customWidth="1"/>
    <col min="11529" max="11529" width="12.125" style="237" customWidth="1"/>
    <col min="11530" max="11530" width="10" style="237" customWidth="1"/>
    <col min="11531" max="11532" width="9" style="237"/>
    <col min="11533" max="11533" width="9.75" style="237" customWidth="1"/>
    <col min="11534" max="11776" width="9" style="237"/>
    <col min="11777" max="11777" width="3.5" style="237" customWidth="1"/>
    <col min="11778" max="11778" width="11.375" style="237" customWidth="1"/>
    <col min="11779" max="11779" width="12.25" style="237" customWidth="1"/>
    <col min="11780" max="11780" width="9.5" style="237" customWidth="1"/>
    <col min="11781" max="11781" width="11.375" style="237" customWidth="1"/>
    <col min="11782" max="11782" width="2.125" style="237" customWidth="1"/>
    <col min="11783" max="11784" width="11.875" style="237" customWidth="1"/>
    <col min="11785" max="11785" width="12.125" style="237" customWidth="1"/>
    <col min="11786" max="11786" width="10" style="237" customWidth="1"/>
    <col min="11787" max="11788" width="9" style="237"/>
    <col min="11789" max="11789" width="9.75" style="237" customWidth="1"/>
    <col min="11790" max="12032" width="9" style="237"/>
    <col min="12033" max="12033" width="3.5" style="237" customWidth="1"/>
    <col min="12034" max="12034" width="11.375" style="237" customWidth="1"/>
    <col min="12035" max="12035" width="12.25" style="237" customWidth="1"/>
    <col min="12036" max="12036" width="9.5" style="237" customWidth="1"/>
    <col min="12037" max="12037" width="11.375" style="237" customWidth="1"/>
    <col min="12038" max="12038" width="2.125" style="237" customWidth="1"/>
    <col min="12039" max="12040" width="11.875" style="237" customWidth="1"/>
    <col min="12041" max="12041" width="12.125" style="237" customWidth="1"/>
    <col min="12042" max="12042" width="10" style="237" customWidth="1"/>
    <col min="12043" max="12044" width="9" style="237"/>
    <col min="12045" max="12045" width="9.75" style="237" customWidth="1"/>
    <col min="12046" max="12288" width="9" style="237"/>
    <col min="12289" max="12289" width="3.5" style="237" customWidth="1"/>
    <col min="12290" max="12290" width="11.375" style="237" customWidth="1"/>
    <col min="12291" max="12291" width="12.25" style="237" customWidth="1"/>
    <col min="12292" max="12292" width="9.5" style="237" customWidth="1"/>
    <col min="12293" max="12293" width="11.375" style="237" customWidth="1"/>
    <col min="12294" max="12294" width="2.125" style="237" customWidth="1"/>
    <col min="12295" max="12296" width="11.875" style="237" customWidth="1"/>
    <col min="12297" max="12297" width="12.125" style="237" customWidth="1"/>
    <col min="12298" max="12298" width="10" style="237" customWidth="1"/>
    <col min="12299" max="12300" width="9" style="237"/>
    <col min="12301" max="12301" width="9.75" style="237" customWidth="1"/>
    <col min="12302" max="12544" width="9" style="237"/>
    <col min="12545" max="12545" width="3.5" style="237" customWidth="1"/>
    <col min="12546" max="12546" width="11.375" style="237" customWidth="1"/>
    <col min="12547" max="12547" width="12.25" style="237" customWidth="1"/>
    <col min="12548" max="12548" width="9.5" style="237" customWidth="1"/>
    <col min="12549" max="12549" width="11.375" style="237" customWidth="1"/>
    <col min="12550" max="12550" width="2.125" style="237" customWidth="1"/>
    <col min="12551" max="12552" width="11.875" style="237" customWidth="1"/>
    <col min="12553" max="12553" width="12.125" style="237" customWidth="1"/>
    <col min="12554" max="12554" width="10" style="237" customWidth="1"/>
    <col min="12555" max="12556" width="9" style="237"/>
    <col min="12557" max="12557" width="9.75" style="237" customWidth="1"/>
    <col min="12558" max="12800" width="9" style="237"/>
    <col min="12801" max="12801" width="3.5" style="237" customWidth="1"/>
    <col min="12802" max="12802" width="11.375" style="237" customWidth="1"/>
    <col min="12803" max="12803" width="12.25" style="237" customWidth="1"/>
    <col min="12804" max="12804" width="9.5" style="237" customWidth="1"/>
    <col min="12805" max="12805" width="11.375" style="237" customWidth="1"/>
    <col min="12806" max="12806" width="2.125" style="237" customWidth="1"/>
    <col min="12807" max="12808" width="11.875" style="237" customWidth="1"/>
    <col min="12809" max="12809" width="12.125" style="237" customWidth="1"/>
    <col min="12810" max="12810" width="10" style="237" customWidth="1"/>
    <col min="12811" max="12812" width="9" style="237"/>
    <col min="12813" max="12813" width="9.75" style="237" customWidth="1"/>
    <col min="12814" max="13056" width="9" style="237"/>
    <col min="13057" max="13057" width="3.5" style="237" customWidth="1"/>
    <col min="13058" max="13058" width="11.375" style="237" customWidth="1"/>
    <col min="13059" max="13059" width="12.25" style="237" customWidth="1"/>
    <col min="13060" max="13060" width="9.5" style="237" customWidth="1"/>
    <col min="13061" max="13061" width="11.375" style="237" customWidth="1"/>
    <col min="13062" max="13062" width="2.125" style="237" customWidth="1"/>
    <col min="13063" max="13064" width="11.875" style="237" customWidth="1"/>
    <col min="13065" max="13065" width="12.125" style="237" customWidth="1"/>
    <col min="13066" max="13066" width="10" style="237" customWidth="1"/>
    <col min="13067" max="13068" width="9" style="237"/>
    <col min="13069" max="13069" width="9.75" style="237" customWidth="1"/>
    <col min="13070" max="13312" width="9" style="237"/>
    <col min="13313" max="13313" width="3.5" style="237" customWidth="1"/>
    <col min="13314" max="13314" width="11.375" style="237" customWidth="1"/>
    <col min="13315" max="13315" width="12.25" style="237" customWidth="1"/>
    <col min="13316" max="13316" width="9.5" style="237" customWidth="1"/>
    <col min="13317" max="13317" width="11.375" style="237" customWidth="1"/>
    <col min="13318" max="13318" width="2.125" style="237" customWidth="1"/>
    <col min="13319" max="13320" width="11.875" style="237" customWidth="1"/>
    <col min="13321" max="13321" width="12.125" style="237" customWidth="1"/>
    <col min="13322" max="13322" width="10" style="237" customWidth="1"/>
    <col min="13323" max="13324" width="9" style="237"/>
    <col min="13325" max="13325" width="9.75" style="237" customWidth="1"/>
    <col min="13326" max="13568" width="9" style="237"/>
    <col min="13569" max="13569" width="3.5" style="237" customWidth="1"/>
    <col min="13570" max="13570" width="11.375" style="237" customWidth="1"/>
    <col min="13571" max="13571" width="12.25" style="237" customWidth="1"/>
    <col min="13572" max="13572" width="9.5" style="237" customWidth="1"/>
    <col min="13573" max="13573" width="11.375" style="237" customWidth="1"/>
    <col min="13574" max="13574" width="2.125" style="237" customWidth="1"/>
    <col min="13575" max="13576" width="11.875" style="237" customWidth="1"/>
    <col min="13577" max="13577" width="12.125" style="237" customWidth="1"/>
    <col min="13578" max="13578" width="10" style="237" customWidth="1"/>
    <col min="13579" max="13580" width="9" style="237"/>
    <col min="13581" max="13581" width="9.75" style="237" customWidth="1"/>
    <col min="13582" max="13824" width="9" style="237"/>
    <col min="13825" max="13825" width="3.5" style="237" customWidth="1"/>
    <col min="13826" max="13826" width="11.375" style="237" customWidth="1"/>
    <col min="13827" max="13827" width="12.25" style="237" customWidth="1"/>
    <col min="13828" max="13828" width="9.5" style="237" customWidth="1"/>
    <col min="13829" max="13829" width="11.375" style="237" customWidth="1"/>
    <col min="13830" max="13830" width="2.125" style="237" customWidth="1"/>
    <col min="13831" max="13832" width="11.875" style="237" customWidth="1"/>
    <col min="13833" max="13833" width="12.125" style="237" customWidth="1"/>
    <col min="13834" max="13834" width="10" style="237" customWidth="1"/>
    <col min="13835" max="13836" width="9" style="237"/>
    <col min="13837" max="13837" width="9.75" style="237" customWidth="1"/>
    <col min="13838" max="14080" width="9" style="237"/>
    <col min="14081" max="14081" width="3.5" style="237" customWidth="1"/>
    <col min="14082" max="14082" width="11.375" style="237" customWidth="1"/>
    <col min="14083" max="14083" width="12.25" style="237" customWidth="1"/>
    <col min="14084" max="14084" width="9.5" style="237" customWidth="1"/>
    <col min="14085" max="14085" width="11.375" style="237" customWidth="1"/>
    <col min="14086" max="14086" width="2.125" style="237" customWidth="1"/>
    <col min="14087" max="14088" width="11.875" style="237" customWidth="1"/>
    <col min="14089" max="14089" width="12.125" style="237" customWidth="1"/>
    <col min="14090" max="14090" width="10" style="237" customWidth="1"/>
    <col min="14091" max="14092" width="9" style="237"/>
    <col min="14093" max="14093" width="9.75" style="237" customWidth="1"/>
    <col min="14094" max="14336" width="9" style="237"/>
    <col min="14337" max="14337" width="3.5" style="237" customWidth="1"/>
    <col min="14338" max="14338" width="11.375" style="237" customWidth="1"/>
    <col min="14339" max="14339" width="12.25" style="237" customWidth="1"/>
    <col min="14340" max="14340" width="9.5" style="237" customWidth="1"/>
    <col min="14341" max="14341" width="11.375" style="237" customWidth="1"/>
    <col min="14342" max="14342" width="2.125" style="237" customWidth="1"/>
    <col min="14343" max="14344" width="11.875" style="237" customWidth="1"/>
    <col min="14345" max="14345" width="12.125" style="237" customWidth="1"/>
    <col min="14346" max="14346" width="10" style="237" customWidth="1"/>
    <col min="14347" max="14348" width="9" style="237"/>
    <col min="14349" max="14349" width="9.75" style="237" customWidth="1"/>
    <col min="14350" max="14592" width="9" style="237"/>
    <col min="14593" max="14593" width="3.5" style="237" customWidth="1"/>
    <col min="14594" max="14594" width="11.375" style="237" customWidth="1"/>
    <col min="14595" max="14595" width="12.25" style="237" customWidth="1"/>
    <col min="14596" max="14596" width="9.5" style="237" customWidth="1"/>
    <col min="14597" max="14597" width="11.375" style="237" customWidth="1"/>
    <col min="14598" max="14598" width="2.125" style="237" customWidth="1"/>
    <col min="14599" max="14600" width="11.875" style="237" customWidth="1"/>
    <col min="14601" max="14601" width="12.125" style="237" customWidth="1"/>
    <col min="14602" max="14602" width="10" style="237" customWidth="1"/>
    <col min="14603" max="14604" width="9" style="237"/>
    <col min="14605" max="14605" width="9.75" style="237" customWidth="1"/>
    <col min="14606" max="14848" width="9" style="237"/>
    <col min="14849" max="14849" width="3.5" style="237" customWidth="1"/>
    <col min="14850" max="14850" width="11.375" style="237" customWidth="1"/>
    <col min="14851" max="14851" width="12.25" style="237" customWidth="1"/>
    <col min="14852" max="14852" width="9.5" style="237" customWidth="1"/>
    <col min="14853" max="14853" width="11.375" style="237" customWidth="1"/>
    <col min="14854" max="14854" width="2.125" style="237" customWidth="1"/>
    <col min="14855" max="14856" width="11.875" style="237" customWidth="1"/>
    <col min="14857" max="14857" width="12.125" style="237" customWidth="1"/>
    <col min="14858" max="14858" width="10" style="237" customWidth="1"/>
    <col min="14859" max="14860" width="9" style="237"/>
    <col min="14861" max="14861" width="9.75" style="237" customWidth="1"/>
    <col min="14862" max="15104" width="9" style="237"/>
    <col min="15105" max="15105" width="3.5" style="237" customWidth="1"/>
    <col min="15106" max="15106" width="11.375" style="237" customWidth="1"/>
    <col min="15107" max="15107" width="12.25" style="237" customWidth="1"/>
    <col min="15108" max="15108" width="9.5" style="237" customWidth="1"/>
    <col min="15109" max="15109" width="11.375" style="237" customWidth="1"/>
    <col min="15110" max="15110" width="2.125" style="237" customWidth="1"/>
    <col min="15111" max="15112" width="11.875" style="237" customWidth="1"/>
    <col min="15113" max="15113" width="12.125" style="237" customWidth="1"/>
    <col min="15114" max="15114" width="10" style="237" customWidth="1"/>
    <col min="15115" max="15116" width="9" style="237"/>
    <col min="15117" max="15117" width="9.75" style="237" customWidth="1"/>
    <col min="15118" max="15360" width="9" style="237"/>
    <col min="15361" max="15361" width="3.5" style="237" customWidth="1"/>
    <col min="15362" max="15362" width="11.375" style="237" customWidth="1"/>
    <col min="15363" max="15363" width="12.25" style="237" customWidth="1"/>
    <col min="15364" max="15364" width="9.5" style="237" customWidth="1"/>
    <col min="15365" max="15365" width="11.375" style="237" customWidth="1"/>
    <col min="15366" max="15366" width="2.125" style="237" customWidth="1"/>
    <col min="15367" max="15368" width="11.875" style="237" customWidth="1"/>
    <col min="15369" max="15369" width="12.125" style="237" customWidth="1"/>
    <col min="15370" max="15370" width="10" style="237" customWidth="1"/>
    <col min="15371" max="15372" width="9" style="237"/>
    <col min="15373" max="15373" width="9.75" style="237" customWidth="1"/>
    <col min="15374" max="15616" width="9" style="237"/>
    <col min="15617" max="15617" width="3.5" style="237" customWidth="1"/>
    <col min="15618" max="15618" width="11.375" style="237" customWidth="1"/>
    <col min="15619" max="15619" width="12.25" style="237" customWidth="1"/>
    <col min="15620" max="15620" width="9.5" style="237" customWidth="1"/>
    <col min="15621" max="15621" width="11.375" style="237" customWidth="1"/>
    <col min="15622" max="15622" width="2.125" style="237" customWidth="1"/>
    <col min="15623" max="15624" width="11.875" style="237" customWidth="1"/>
    <col min="15625" max="15625" width="12.125" style="237" customWidth="1"/>
    <col min="15626" max="15626" width="10" style="237" customWidth="1"/>
    <col min="15627" max="15628" width="9" style="237"/>
    <col min="15629" max="15629" width="9.75" style="237" customWidth="1"/>
    <col min="15630" max="15872" width="9" style="237"/>
    <col min="15873" max="15873" width="3.5" style="237" customWidth="1"/>
    <col min="15874" max="15874" width="11.375" style="237" customWidth="1"/>
    <col min="15875" max="15875" width="12.25" style="237" customWidth="1"/>
    <col min="15876" max="15876" width="9.5" style="237" customWidth="1"/>
    <col min="15877" max="15877" width="11.375" style="237" customWidth="1"/>
    <col min="15878" max="15878" width="2.125" style="237" customWidth="1"/>
    <col min="15879" max="15880" width="11.875" style="237" customWidth="1"/>
    <col min="15881" max="15881" width="12.125" style="237" customWidth="1"/>
    <col min="15882" max="15882" width="10" style="237" customWidth="1"/>
    <col min="15883" max="15884" width="9" style="237"/>
    <col min="15885" max="15885" width="9.75" style="237" customWidth="1"/>
    <col min="15886" max="16128" width="9" style="237"/>
    <col min="16129" max="16129" width="3.5" style="237" customWidth="1"/>
    <col min="16130" max="16130" width="11.375" style="237" customWidth="1"/>
    <col min="16131" max="16131" width="12.25" style="237" customWidth="1"/>
    <col min="16132" max="16132" width="9.5" style="237" customWidth="1"/>
    <col min="16133" max="16133" width="11.375" style="237" customWidth="1"/>
    <col min="16134" max="16134" width="2.125" style="237" customWidth="1"/>
    <col min="16135" max="16136" width="11.875" style="237" customWidth="1"/>
    <col min="16137" max="16137" width="12.125" style="237" customWidth="1"/>
    <col min="16138" max="16138" width="10" style="237" customWidth="1"/>
    <col min="16139" max="16140" width="9" style="237"/>
    <col min="16141" max="16141" width="9.75" style="237" customWidth="1"/>
    <col min="16142" max="16384" width="9" style="237"/>
  </cols>
  <sheetData>
    <row r="1" spans="1:13" s="229" customFormat="1">
      <c r="A1" s="686" t="s">
        <v>61</v>
      </c>
      <c r="B1" s="686"/>
      <c r="C1" s="686"/>
    </row>
    <row r="3" spans="1:13" ht="14.25" thickBot="1"/>
    <row r="4" spans="1:13" ht="14.25" thickBot="1">
      <c r="B4" s="238" t="s">
        <v>925</v>
      </c>
      <c r="C4" s="239"/>
      <c r="D4" s="239"/>
      <c r="G4" s="238" t="s">
        <v>926</v>
      </c>
      <c r="H4" s="239"/>
      <c r="L4" s="240" t="s">
        <v>927</v>
      </c>
      <c r="M4" s="241"/>
    </row>
    <row r="5" spans="1:13" ht="14.25" thickBot="1">
      <c r="B5" s="242" t="s">
        <v>928</v>
      </c>
      <c r="C5" s="243" t="s">
        <v>929</v>
      </c>
      <c r="D5" s="237" t="s">
        <v>930</v>
      </c>
      <c r="G5" s="243" t="s">
        <v>929</v>
      </c>
      <c r="H5" s="242" t="s">
        <v>928</v>
      </c>
      <c r="I5" s="243" t="s">
        <v>930</v>
      </c>
      <c r="L5" s="244" t="s">
        <v>931</v>
      </c>
      <c r="M5" s="245" t="s">
        <v>932</v>
      </c>
    </row>
    <row r="6" spans="1:13" ht="14.25" thickBot="1">
      <c r="B6" s="512">
        <v>0</v>
      </c>
      <c r="C6" s="502">
        <f>SUM(10^(B6/10))</f>
        <v>1</v>
      </c>
      <c r="D6" s="500">
        <f>SQRT(C7*50)</f>
        <v>0.22360679774997896</v>
      </c>
      <c r="E6" s="246">
        <f>SUM(D6*1000)</f>
        <v>223.60679774997897</v>
      </c>
      <c r="G6" s="510">
        <v>20</v>
      </c>
      <c r="H6" s="503">
        <f>10*LOG(G6)</f>
        <v>13.010299956639813</v>
      </c>
      <c r="I6" s="500">
        <f>SQRT((G6/1000)*50)</f>
        <v>1</v>
      </c>
      <c r="J6" s="246">
        <f>SUM(I6*1000)</f>
        <v>1000</v>
      </c>
      <c r="L6" s="508">
        <v>1.1220000000000001</v>
      </c>
      <c r="M6" s="507">
        <f>10*LOG(L6)</f>
        <v>0.49992856920142648</v>
      </c>
    </row>
    <row r="7" spans="1:13" ht="14.25" thickBot="1">
      <c r="C7" s="501">
        <f>SUM(10^(B6/10))/1000</f>
        <v>1E-3</v>
      </c>
      <c r="D7" s="247" t="s">
        <v>933</v>
      </c>
      <c r="E7" s="248" t="str">
        <f>IF(E6&lt;1,E6*1000,"")</f>
        <v/>
      </c>
      <c r="G7" s="249">
        <f>SUM(G6/1000)</f>
        <v>0.02</v>
      </c>
      <c r="I7" s="250" t="s">
        <v>933</v>
      </c>
      <c r="J7" s="248" t="str">
        <f>IF(J6&lt;1,J6*1000,"")</f>
        <v/>
      </c>
    </row>
    <row r="8" spans="1:13" ht="14.25" thickBot="1">
      <c r="D8" s="500">
        <f>(SQRT(C7*50)*(SQRT(2)))</f>
        <v>0.31622776601683794</v>
      </c>
      <c r="I8" s="509">
        <f>(SQRT((G6/1000)*50)*SQRT(2))</f>
        <v>1.4142135623730951</v>
      </c>
    </row>
    <row r="9" spans="1:13" ht="14.25" thickBot="1">
      <c r="L9" s="240" t="s">
        <v>934</v>
      </c>
      <c r="M9" s="239"/>
    </row>
    <row r="10" spans="1:13" ht="14.25" thickBot="1">
      <c r="L10" s="251" t="s">
        <v>935</v>
      </c>
      <c r="M10" s="252" t="s">
        <v>936</v>
      </c>
    </row>
    <row r="11" spans="1:13" ht="14.25" thickBot="1">
      <c r="E11" s="253"/>
      <c r="L11" s="505">
        <v>1</v>
      </c>
      <c r="M11" s="506">
        <f>(EXP(L11*LOG(200)/10))</f>
        <v>1.2587296518611861</v>
      </c>
    </row>
    <row r="12" spans="1:13" ht="14.25" thickBot="1">
      <c r="B12" s="254" t="s">
        <v>937</v>
      </c>
      <c r="C12" s="255"/>
      <c r="D12" s="239"/>
      <c r="G12" s="254" t="s">
        <v>938</v>
      </c>
      <c r="H12" s="255"/>
      <c r="I12" s="239"/>
    </row>
    <row r="13" spans="1:13" ht="14.25" thickBot="1">
      <c r="B13" s="243" t="s">
        <v>930</v>
      </c>
      <c r="C13" s="243" t="s">
        <v>939</v>
      </c>
      <c r="D13" s="243" t="s">
        <v>940</v>
      </c>
      <c r="G13" s="243" t="s">
        <v>933</v>
      </c>
      <c r="H13" s="243" t="s">
        <v>939</v>
      </c>
      <c r="I13" s="243" t="s">
        <v>940</v>
      </c>
    </row>
    <row r="14" spans="1:13" ht="14.25" thickBot="1">
      <c r="B14" s="513">
        <v>3</v>
      </c>
      <c r="C14" s="502">
        <f>SUM(B14^2/50)*1000</f>
        <v>180</v>
      </c>
      <c r="D14" s="503">
        <f>10*LOG(C14)</f>
        <v>22.552725051033061</v>
      </c>
      <c r="G14" s="511">
        <v>3</v>
      </c>
      <c r="H14" s="502">
        <f>SUM(((G14/SQRT(2))^2)/50)*1000</f>
        <v>89.999999999999986</v>
      </c>
      <c r="I14" s="503">
        <f>10*LOG(H14)</f>
        <v>19.542425094393248</v>
      </c>
    </row>
    <row r="15" spans="1:13" ht="14.25" thickBot="1">
      <c r="B15" s="256">
        <f>SUM(B14*SQRT(2))</f>
        <v>4.2426406871192857</v>
      </c>
      <c r="C15" s="504">
        <f>SUM(B14^2/50)</f>
        <v>0.18</v>
      </c>
      <c r="H15" s="504">
        <f>SUM((G14/SQRT(2))^2)/50</f>
        <v>8.9999999999999983E-2</v>
      </c>
    </row>
    <row r="16" spans="1:13" ht="14.25" thickBot="1">
      <c r="I16" s="253"/>
    </row>
    <row r="17" spans="1:4" ht="14.25" thickBot="1">
      <c r="B17" s="512"/>
      <c r="C17" s="257" t="s">
        <v>941</v>
      </c>
      <c r="D17" s="239"/>
    </row>
    <row r="18" spans="1:4">
      <c r="C18" s="258"/>
    </row>
    <row r="20" spans="1:4">
      <c r="A20" s="259"/>
    </row>
    <row r="49" spans="1:1">
      <c r="A49" s="237" t="s">
        <v>942</v>
      </c>
    </row>
  </sheetData>
  <mergeCells count="1">
    <mergeCell ref="A1:C1"/>
  </mergeCells>
  <phoneticPr fontId="42"/>
  <hyperlinks>
    <hyperlink ref="A1:C1" location="目次!A1" display="　目次　" xr:uid="{00000000-0004-0000-1900-000000000000}"/>
  </hyperlinks>
  <pageMargins left="0.75" right="0.75" top="1" bottom="1" header="0.51200000000000001" footer="0.51200000000000001"/>
  <pageSetup paperSize="9" orientation="portrait" horizontalDpi="360" verticalDpi="360" copies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30"/>
  <sheetViews>
    <sheetView zoomScale="85" zoomScaleNormal="85" workbookViewId="0">
      <selection sqref="A1:C1"/>
    </sheetView>
  </sheetViews>
  <sheetFormatPr defaultColWidth="4.25" defaultRowHeight="13.5"/>
  <cols>
    <col min="1" max="1" width="9" style="102" customWidth="1"/>
    <col min="2" max="16384" width="4.25" style="102"/>
  </cols>
  <sheetData>
    <row r="1" spans="1:33" customFormat="1">
      <c r="A1" s="686" t="s">
        <v>61</v>
      </c>
      <c r="B1" s="686"/>
      <c r="C1" s="686"/>
    </row>
    <row r="2" spans="1:33" ht="21">
      <c r="A2" s="103" t="s">
        <v>423</v>
      </c>
    </row>
    <row r="4" spans="1:33">
      <c r="A4" s="792" t="s">
        <v>424</v>
      </c>
      <c r="B4" s="792"/>
      <c r="C4" s="792"/>
      <c r="D4" s="792"/>
      <c r="E4" s="792"/>
      <c r="F4" s="792"/>
      <c r="G4" s="792"/>
      <c r="H4" s="792"/>
    </row>
    <row r="5" spans="1:33">
      <c r="A5" s="104"/>
      <c r="B5" s="104"/>
      <c r="C5" s="104"/>
      <c r="D5" s="104"/>
      <c r="E5" s="104"/>
      <c r="F5" s="104"/>
      <c r="G5" s="104"/>
      <c r="H5" s="104"/>
    </row>
    <row r="6" spans="1:33">
      <c r="A6" s="793" t="s">
        <v>425</v>
      </c>
      <c r="B6" s="793"/>
      <c r="C6" s="793"/>
      <c r="D6" s="793"/>
      <c r="E6" s="793"/>
      <c r="F6" s="793"/>
      <c r="G6" s="793"/>
      <c r="H6" s="793"/>
    </row>
    <row r="9" spans="1:33" ht="17.25">
      <c r="C9" s="105"/>
      <c r="D9" s="105" t="s">
        <v>426</v>
      </c>
      <c r="E9" s="794" t="s">
        <v>427</v>
      </c>
      <c r="F9" s="794"/>
      <c r="L9" s="105" t="s">
        <v>426</v>
      </c>
      <c r="M9" s="794" t="s">
        <v>427</v>
      </c>
      <c r="N9" s="794"/>
      <c r="T9" s="105" t="s">
        <v>426</v>
      </c>
      <c r="U9" s="794" t="s">
        <v>428</v>
      </c>
      <c r="V9" s="794"/>
      <c r="AB9" s="105" t="s">
        <v>426</v>
      </c>
      <c r="AC9" s="794" t="s">
        <v>428</v>
      </c>
      <c r="AD9" s="794"/>
    </row>
    <row r="11" spans="1:33">
      <c r="C11" s="102">
        <v>7</v>
      </c>
      <c r="D11" s="795" t="s">
        <v>427</v>
      </c>
      <c r="E11" s="795"/>
      <c r="F11" s="106">
        <f>IF(D11="IN",IF(E9="IN",1,0),IF(E9="IN",0,1))</f>
        <v>1</v>
      </c>
      <c r="G11" s="796" t="str">
        <f>DEC2HEX(F11*128+F12*64+F13*32+F14*16+F15*8+F16*4+F17*2+F18)</f>
        <v>FF</v>
      </c>
      <c r="H11" s="796"/>
      <c r="I11" s="796"/>
      <c r="K11" s="102">
        <v>7</v>
      </c>
      <c r="L11" s="795" t="s">
        <v>428</v>
      </c>
      <c r="M11" s="795"/>
      <c r="N11" s="106">
        <f>IF(L11="IN",IF(M9="IN",1,0),IF(M9="IN",0,1))</f>
        <v>0</v>
      </c>
      <c r="O11" s="796" t="str">
        <f>DEC2HEX(N11*128+N12*64+N13*32+N14*16+N15*8+N16*4+N17*2+N18)</f>
        <v>0</v>
      </c>
      <c r="P11" s="796"/>
      <c r="Q11" s="796"/>
      <c r="S11" s="102">
        <v>7</v>
      </c>
      <c r="T11" s="795" t="s">
        <v>427</v>
      </c>
      <c r="U11" s="795"/>
      <c r="V11" s="106">
        <f>IF(T11="IN",IF(U9="IN",1,0),IF(U9="IN",0,1))</f>
        <v>0</v>
      </c>
      <c r="W11" s="796" t="str">
        <f>DEC2HEX(V11*128+V12*64+V13*32+V14*16+V15*8+V16*4+V17*2+V18)</f>
        <v>55</v>
      </c>
      <c r="X11" s="796"/>
      <c r="Y11" s="796"/>
      <c r="AA11" s="102">
        <v>7</v>
      </c>
      <c r="AB11" s="795" t="s">
        <v>428</v>
      </c>
      <c r="AC11" s="795"/>
      <c r="AD11" s="106">
        <f>IF(AB11="IN",IF(AC9="IN",1,0),IF(AC9="IN",0,1))</f>
        <v>1</v>
      </c>
      <c r="AE11" s="796" t="str">
        <f>DEC2HEX(AD11*128+AD12*64+AD13*32+AD14*16+AD15*8+AD16*4+AD17*2+AD18)</f>
        <v>AA</v>
      </c>
      <c r="AF11" s="796"/>
      <c r="AG11" s="796"/>
    </row>
    <row r="12" spans="1:33">
      <c r="C12" s="102">
        <v>6</v>
      </c>
      <c r="D12" s="795" t="s">
        <v>427</v>
      </c>
      <c r="E12" s="795"/>
      <c r="F12" s="106">
        <f>IF(D12="IN",IF(E9="IN",1,0),IF(E9="IN",0,1))</f>
        <v>1</v>
      </c>
      <c r="G12" s="796"/>
      <c r="H12" s="796"/>
      <c r="I12" s="796"/>
      <c r="K12" s="102">
        <v>6</v>
      </c>
      <c r="L12" s="795" t="s">
        <v>428</v>
      </c>
      <c r="M12" s="795"/>
      <c r="N12" s="106">
        <f>IF(L12="IN",IF(M9="IN",1,0),IF(M9="IN",0,1))</f>
        <v>0</v>
      </c>
      <c r="O12" s="796"/>
      <c r="P12" s="796"/>
      <c r="Q12" s="796"/>
      <c r="S12" s="102">
        <v>6</v>
      </c>
      <c r="T12" s="795" t="s">
        <v>428</v>
      </c>
      <c r="U12" s="795"/>
      <c r="V12" s="106">
        <f>IF(T12="IN",IF(U9="IN",1,0),IF(U9="IN",0,1))</f>
        <v>1</v>
      </c>
      <c r="W12" s="796"/>
      <c r="X12" s="796"/>
      <c r="Y12" s="796"/>
      <c r="AA12" s="102">
        <v>6</v>
      </c>
      <c r="AB12" s="795" t="s">
        <v>427</v>
      </c>
      <c r="AC12" s="795"/>
      <c r="AD12" s="106">
        <f>IF(AB12="IN",IF(AC9="IN",1,0),IF(AC9="IN",0,1))</f>
        <v>0</v>
      </c>
      <c r="AE12" s="796"/>
      <c r="AF12" s="796"/>
      <c r="AG12" s="796"/>
    </row>
    <row r="13" spans="1:33">
      <c r="C13" s="102">
        <v>5</v>
      </c>
      <c r="D13" s="795" t="s">
        <v>427</v>
      </c>
      <c r="E13" s="795"/>
      <c r="F13" s="106">
        <f>IF(D13="IN",IF(E9="IN",1,0),IF(E9="IN",0,1))</f>
        <v>1</v>
      </c>
      <c r="G13" s="796"/>
      <c r="H13" s="796"/>
      <c r="I13" s="796"/>
      <c r="K13" s="102">
        <v>5</v>
      </c>
      <c r="L13" s="795" t="s">
        <v>428</v>
      </c>
      <c r="M13" s="795"/>
      <c r="N13" s="106">
        <f>IF(L13="IN",IF(M9="IN",1,0),IF(M9="IN",0,1))</f>
        <v>0</v>
      </c>
      <c r="O13" s="796"/>
      <c r="P13" s="796"/>
      <c r="Q13" s="796"/>
      <c r="S13" s="102">
        <v>5</v>
      </c>
      <c r="T13" s="795" t="s">
        <v>427</v>
      </c>
      <c r="U13" s="795"/>
      <c r="V13" s="106">
        <f>IF(T13="IN",IF(U9="IN",1,0),IF(U9="IN",0,1))</f>
        <v>0</v>
      </c>
      <c r="W13" s="796"/>
      <c r="X13" s="796"/>
      <c r="Y13" s="796"/>
      <c r="AA13" s="102">
        <v>5</v>
      </c>
      <c r="AB13" s="795" t="s">
        <v>428</v>
      </c>
      <c r="AC13" s="795"/>
      <c r="AD13" s="106">
        <f>IF(AB13="IN",IF(AC9="IN",1,0),IF(AC9="IN",0,1))</f>
        <v>1</v>
      </c>
      <c r="AE13" s="796"/>
      <c r="AF13" s="796"/>
      <c r="AG13" s="796"/>
    </row>
    <row r="14" spans="1:33">
      <c r="C14" s="102">
        <v>4</v>
      </c>
      <c r="D14" s="795" t="s">
        <v>427</v>
      </c>
      <c r="E14" s="795"/>
      <c r="F14" s="106">
        <f>IF(D14="IN",IF(E9="IN",1,0),IF(E9="IN",0,1))</f>
        <v>1</v>
      </c>
      <c r="G14" s="796"/>
      <c r="H14" s="796"/>
      <c r="I14" s="796"/>
      <c r="K14" s="102">
        <v>4</v>
      </c>
      <c r="L14" s="795" t="s">
        <v>428</v>
      </c>
      <c r="M14" s="795"/>
      <c r="N14" s="106">
        <f>IF(L14="IN",IF(M9="IN",1,0),IF(M9="IN",0,1))</f>
        <v>0</v>
      </c>
      <c r="O14" s="796"/>
      <c r="P14" s="796"/>
      <c r="Q14" s="796"/>
      <c r="S14" s="102">
        <v>4</v>
      </c>
      <c r="T14" s="795" t="s">
        <v>428</v>
      </c>
      <c r="U14" s="795"/>
      <c r="V14" s="106">
        <f>IF(T14="IN",IF(U9="IN",1,0),IF(U9="IN",0,1))</f>
        <v>1</v>
      </c>
      <c r="W14" s="796"/>
      <c r="X14" s="796"/>
      <c r="Y14" s="796"/>
      <c r="AA14" s="102">
        <v>4</v>
      </c>
      <c r="AB14" s="795" t="s">
        <v>427</v>
      </c>
      <c r="AC14" s="795"/>
      <c r="AD14" s="106">
        <f>IF(AB14="IN",IF(AC9="IN",1,0),IF(AC9="IN",0,1))</f>
        <v>0</v>
      </c>
      <c r="AE14" s="796"/>
      <c r="AF14" s="796"/>
      <c r="AG14" s="796"/>
    </row>
    <row r="15" spans="1:33">
      <c r="C15" s="102">
        <v>3</v>
      </c>
      <c r="D15" s="795" t="s">
        <v>427</v>
      </c>
      <c r="E15" s="795"/>
      <c r="F15" s="106">
        <f>IF(D15="IN",IF(E9="IN",1,0),IF(E9="IN",0,1))</f>
        <v>1</v>
      </c>
      <c r="G15" s="796"/>
      <c r="H15" s="796"/>
      <c r="I15" s="796"/>
      <c r="K15" s="102">
        <v>3</v>
      </c>
      <c r="L15" s="795" t="s">
        <v>428</v>
      </c>
      <c r="M15" s="795"/>
      <c r="N15" s="106">
        <f>IF(L15="IN",IF(M9="IN",1,0),IF(M9="IN",0,1))</f>
        <v>0</v>
      </c>
      <c r="O15" s="796"/>
      <c r="P15" s="796"/>
      <c r="Q15" s="796"/>
      <c r="S15" s="102">
        <v>3</v>
      </c>
      <c r="T15" s="795" t="s">
        <v>427</v>
      </c>
      <c r="U15" s="795"/>
      <c r="V15" s="106">
        <f>IF(T15="IN",IF(U9="IN",1,0),IF(U9="IN",0,1))</f>
        <v>0</v>
      </c>
      <c r="W15" s="796"/>
      <c r="X15" s="796"/>
      <c r="Y15" s="796"/>
      <c r="AA15" s="102">
        <v>3</v>
      </c>
      <c r="AB15" s="795" t="s">
        <v>428</v>
      </c>
      <c r="AC15" s="795"/>
      <c r="AD15" s="106">
        <f>IF(AB15="IN",IF(AC9="IN",1,0),IF(AC9="IN",0,1))</f>
        <v>1</v>
      </c>
      <c r="AE15" s="796"/>
      <c r="AF15" s="796"/>
      <c r="AG15" s="796"/>
    </row>
    <row r="16" spans="1:33">
      <c r="C16" s="102">
        <v>2</v>
      </c>
      <c r="D16" s="795" t="s">
        <v>427</v>
      </c>
      <c r="E16" s="795"/>
      <c r="F16" s="106">
        <f>IF(D16="IN",IF(E9="IN",1,0),IF(E9="IN",0,1))</f>
        <v>1</v>
      </c>
      <c r="G16" s="796"/>
      <c r="H16" s="796"/>
      <c r="I16" s="796"/>
      <c r="K16" s="102">
        <v>2</v>
      </c>
      <c r="L16" s="795" t="s">
        <v>428</v>
      </c>
      <c r="M16" s="795"/>
      <c r="N16" s="106">
        <f>IF(L16="IN",IF(M9="IN",1,0),IF(M9="IN",0,1))</f>
        <v>0</v>
      </c>
      <c r="O16" s="796"/>
      <c r="P16" s="796"/>
      <c r="Q16" s="796"/>
      <c r="S16" s="102">
        <v>2</v>
      </c>
      <c r="T16" s="795" t="s">
        <v>428</v>
      </c>
      <c r="U16" s="795"/>
      <c r="V16" s="106">
        <f>IF(T16="IN",IF(U9="IN",1,0),IF(U9="IN",0,1))</f>
        <v>1</v>
      </c>
      <c r="W16" s="796"/>
      <c r="X16" s="796"/>
      <c r="Y16" s="796"/>
      <c r="AA16" s="102">
        <v>2</v>
      </c>
      <c r="AB16" s="795" t="s">
        <v>427</v>
      </c>
      <c r="AC16" s="795"/>
      <c r="AD16" s="106">
        <f>IF(AB16="IN",IF(AC9="IN",1,0),IF(AC9="IN",0,1))</f>
        <v>0</v>
      </c>
      <c r="AE16" s="796"/>
      <c r="AF16" s="796"/>
      <c r="AG16" s="796"/>
    </row>
    <row r="17" spans="1:33">
      <c r="C17" s="102">
        <v>1</v>
      </c>
      <c r="D17" s="795" t="s">
        <v>427</v>
      </c>
      <c r="E17" s="795"/>
      <c r="F17" s="106">
        <f>IF(D17="IN",IF(E9="IN",1,0),IF(E9="IN",0,1))</f>
        <v>1</v>
      </c>
      <c r="G17" s="796"/>
      <c r="H17" s="796"/>
      <c r="I17" s="796"/>
      <c r="K17" s="102">
        <v>1</v>
      </c>
      <c r="L17" s="795" t="s">
        <v>428</v>
      </c>
      <c r="M17" s="795"/>
      <c r="N17" s="106">
        <f>IF(L17="IN",IF(M9="IN",1,0),IF(M9="IN",0,1))</f>
        <v>0</v>
      </c>
      <c r="O17" s="796"/>
      <c r="P17" s="796"/>
      <c r="Q17" s="796"/>
      <c r="S17" s="102">
        <v>1</v>
      </c>
      <c r="T17" s="795" t="s">
        <v>427</v>
      </c>
      <c r="U17" s="795"/>
      <c r="V17" s="106">
        <f>IF(T17="IN",IF(U9="IN",1,0),IF(U9="IN",0,1))</f>
        <v>0</v>
      </c>
      <c r="W17" s="796"/>
      <c r="X17" s="796"/>
      <c r="Y17" s="796"/>
      <c r="AA17" s="102">
        <v>1</v>
      </c>
      <c r="AB17" s="795" t="s">
        <v>428</v>
      </c>
      <c r="AC17" s="795"/>
      <c r="AD17" s="106">
        <f>IF(AB17="IN",IF(AC9="IN",1,0),IF(AC9="IN",0,1))</f>
        <v>1</v>
      </c>
      <c r="AE17" s="796"/>
      <c r="AF17" s="796"/>
      <c r="AG17" s="796"/>
    </row>
    <row r="18" spans="1:33">
      <c r="C18" s="102">
        <v>0</v>
      </c>
      <c r="D18" s="795" t="s">
        <v>427</v>
      </c>
      <c r="E18" s="795"/>
      <c r="F18" s="106">
        <f>IF(D18="IN",IF(E9="IN",1,0),IF(E9="IN",0,1))</f>
        <v>1</v>
      </c>
      <c r="G18" s="796"/>
      <c r="H18" s="796"/>
      <c r="I18" s="796"/>
      <c r="K18" s="102">
        <v>0</v>
      </c>
      <c r="L18" s="795" t="s">
        <v>428</v>
      </c>
      <c r="M18" s="795"/>
      <c r="N18" s="106">
        <f>IF(L18="IN",IF(M9="IN",1,0),IF(M9="IN",0,1))</f>
        <v>0</v>
      </c>
      <c r="O18" s="796"/>
      <c r="P18" s="796"/>
      <c r="Q18" s="796"/>
      <c r="S18" s="102">
        <v>0</v>
      </c>
      <c r="T18" s="795" t="s">
        <v>428</v>
      </c>
      <c r="U18" s="795"/>
      <c r="V18" s="106">
        <f>IF(T18="IN",IF(U9="IN",1,0),IF(U9="IN",0,1))</f>
        <v>1</v>
      </c>
      <c r="W18" s="796"/>
      <c r="X18" s="796"/>
      <c r="Y18" s="796"/>
      <c r="AA18" s="102">
        <v>0</v>
      </c>
      <c r="AB18" s="795" t="s">
        <v>427</v>
      </c>
      <c r="AC18" s="795"/>
      <c r="AD18" s="106">
        <f>IF(AB18="IN",IF(AC9="IN",1,0),IF(AC9="IN",0,1))</f>
        <v>0</v>
      </c>
      <c r="AE18" s="796"/>
      <c r="AF18" s="796"/>
      <c r="AG18" s="796"/>
    </row>
    <row r="19" spans="1:33">
      <c r="A19" s="107"/>
      <c r="B19" s="107"/>
      <c r="C19" s="107"/>
      <c r="D19" s="108"/>
      <c r="E19" s="108"/>
      <c r="F19" s="109"/>
      <c r="G19" s="109"/>
      <c r="H19" s="109"/>
      <c r="I19" s="109"/>
      <c r="J19" s="107"/>
      <c r="K19" s="107"/>
      <c r="L19" s="108"/>
      <c r="M19" s="108"/>
      <c r="N19" s="109"/>
      <c r="O19" s="109"/>
      <c r="P19" s="109"/>
      <c r="Q19" s="109"/>
      <c r="R19" s="107"/>
      <c r="S19" s="107"/>
      <c r="T19" s="108"/>
      <c r="U19" s="108"/>
      <c r="V19" s="109"/>
      <c r="W19" s="109"/>
      <c r="X19" s="109"/>
      <c r="Y19" s="109"/>
      <c r="Z19" s="107"/>
      <c r="AA19" s="107"/>
      <c r="AB19" s="108"/>
      <c r="AC19" s="108"/>
      <c r="AD19" s="109"/>
      <c r="AE19" s="109"/>
      <c r="AF19" s="109"/>
      <c r="AG19" s="106"/>
    </row>
    <row r="20" spans="1:33" s="101" customFormat="1">
      <c r="D20" s="110"/>
      <c r="E20" s="110"/>
      <c r="F20" s="111"/>
      <c r="G20" s="111"/>
      <c r="H20" s="111"/>
      <c r="I20" s="111"/>
      <c r="L20" s="110"/>
      <c r="M20" s="110"/>
      <c r="N20" s="111"/>
      <c r="O20" s="111"/>
      <c r="P20" s="111"/>
      <c r="Q20" s="111"/>
      <c r="T20" s="110"/>
      <c r="U20" s="110"/>
      <c r="V20" s="111"/>
      <c r="W20" s="111"/>
      <c r="X20" s="111"/>
      <c r="Y20" s="111"/>
      <c r="AB20" s="110"/>
      <c r="AC20" s="110"/>
      <c r="AD20" s="111"/>
      <c r="AE20" s="111"/>
      <c r="AF20" s="111"/>
      <c r="AG20" s="111"/>
    </row>
    <row r="21" spans="1:33" s="101" customFormat="1">
      <c r="D21" s="110"/>
      <c r="E21" s="110"/>
      <c r="F21" s="111"/>
      <c r="G21" s="111"/>
      <c r="H21" s="111"/>
      <c r="I21" s="111"/>
      <c r="L21" s="110"/>
      <c r="M21" s="110"/>
      <c r="N21" s="111"/>
      <c r="O21" s="111"/>
      <c r="P21" s="111"/>
      <c r="Q21" s="111"/>
      <c r="T21" s="110"/>
      <c r="U21" s="110"/>
      <c r="V21" s="111"/>
      <c r="W21" s="111"/>
      <c r="X21" s="111"/>
      <c r="Y21" s="111"/>
      <c r="AB21" s="110"/>
      <c r="AC21" s="110"/>
      <c r="AD21" s="111"/>
      <c r="AE21" s="111"/>
      <c r="AF21" s="111"/>
      <c r="AG21" s="111"/>
    </row>
    <row r="22" spans="1:33">
      <c r="G22" s="106"/>
      <c r="H22" s="106"/>
      <c r="I22" s="106"/>
    </row>
    <row r="23" spans="1:33">
      <c r="C23" s="102">
        <v>7</v>
      </c>
      <c r="D23" s="112">
        <v>1</v>
      </c>
      <c r="E23" s="796" t="str">
        <f>DEC2HEX(D23*128+D24*64+D25*32+D26*16+D27*8+D28*4+D29*2+D30)</f>
        <v>FF</v>
      </c>
      <c r="F23" s="796"/>
      <c r="G23" s="796"/>
      <c r="I23" s="102">
        <v>7</v>
      </c>
      <c r="J23" s="112">
        <v>0</v>
      </c>
      <c r="K23" s="796" t="str">
        <f>DEC2HEX(J23*128+J24*64+J25*32+J26*16+J27*8+J28*4+J29*2+J30)</f>
        <v>0</v>
      </c>
      <c r="L23" s="796"/>
      <c r="M23" s="796"/>
      <c r="O23" s="102">
        <v>7</v>
      </c>
      <c r="P23" s="112">
        <v>1</v>
      </c>
      <c r="Q23" s="796" t="str">
        <f>DEC2HEX(P23*128+P24*64+P25*32+P26*16+P27*8+P28*4+P29*2+P30)</f>
        <v>AA</v>
      </c>
      <c r="R23" s="796"/>
      <c r="S23" s="796"/>
      <c r="U23" s="102">
        <v>7</v>
      </c>
      <c r="V23" s="112">
        <v>0</v>
      </c>
      <c r="W23" s="796" t="str">
        <f>DEC2HEX(V23*128+V24*64+V25*32+V26*16+V27*8+V28*4+V29*2+V30)</f>
        <v>55</v>
      </c>
      <c r="X23" s="796"/>
      <c r="Y23" s="796"/>
    </row>
    <row r="24" spans="1:33">
      <c r="C24" s="102">
        <v>6</v>
      </c>
      <c r="D24" s="112">
        <v>1</v>
      </c>
      <c r="E24" s="796"/>
      <c r="F24" s="796"/>
      <c r="G24" s="796"/>
      <c r="I24" s="102">
        <v>6</v>
      </c>
      <c r="J24" s="112">
        <v>0</v>
      </c>
      <c r="K24" s="796"/>
      <c r="L24" s="796"/>
      <c r="M24" s="796"/>
      <c r="O24" s="102">
        <v>6</v>
      </c>
      <c r="P24" s="112">
        <v>0</v>
      </c>
      <c r="Q24" s="796"/>
      <c r="R24" s="796"/>
      <c r="S24" s="796"/>
      <c r="U24" s="102">
        <v>6</v>
      </c>
      <c r="V24" s="112">
        <v>1</v>
      </c>
      <c r="W24" s="796"/>
      <c r="X24" s="796"/>
      <c r="Y24" s="796"/>
    </row>
    <row r="25" spans="1:33">
      <c r="C25" s="102">
        <v>5</v>
      </c>
      <c r="D25" s="112">
        <v>1</v>
      </c>
      <c r="E25" s="796"/>
      <c r="F25" s="796"/>
      <c r="G25" s="796"/>
      <c r="I25" s="102">
        <v>5</v>
      </c>
      <c r="J25" s="112">
        <v>0</v>
      </c>
      <c r="K25" s="796"/>
      <c r="L25" s="796"/>
      <c r="M25" s="796"/>
      <c r="O25" s="102">
        <v>5</v>
      </c>
      <c r="P25" s="112">
        <v>1</v>
      </c>
      <c r="Q25" s="796"/>
      <c r="R25" s="796"/>
      <c r="S25" s="796"/>
      <c r="U25" s="102">
        <v>5</v>
      </c>
      <c r="V25" s="112">
        <v>0</v>
      </c>
      <c r="W25" s="796"/>
      <c r="X25" s="796"/>
      <c r="Y25" s="796"/>
    </row>
    <row r="26" spans="1:33">
      <c r="C26" s="102">
        <v>4</v>
      </c>
      <c r="D26" s="112">
        <v>1</v>
      </c>
      <c r="E26" s="796"/>
      <c r="F26" s="796"/>
      <c r="G26" s="796"/>
      <c r="I26" s="102">
        <v>4</v>
      </c>
      <c r="J26" s="112">
        <v>0</v>
      </c>
      <c r="K26" s="796"/>
      <c r="L26" s="796"/>
      <c r="M26" s="796"/>
      <c r="O26" s="102">
        <v>4</v>
      </c>
      <c r="P26" s="112">
        <v>0</v>
      </c>
      <c r="Q26" s="796"/>
      <c r="R26" s="796"/>
      <c r="S26" s="796"/>
      <c r="U26" s="102">
        <v>4</v>
      </c>
      <c r="V26" s="112">
        <v>1</v>
      </c>
      <c r="W26" s="796"/>
      <c r="X26" s="796"/>
      <c r="Y26" s="796"/>
    </row>
    <row r="27" spans="1:33">
      <c r="C27" s="102">
        <v>3</v>
      </c>
      <c r="D27" s="112">
        <v>1</v>
      </c>
      <c r="E27" s="796"/>
      <c r="F27" s="796"/>
      <c r="G27" s="796"/>
      <c r="I27" s="102">
        <v>3</v>
      </c>
      <c r="J27" s="112">
        <v>0</v>
      </c>
      <c r="K27" s="796"/>
      <c r="L27" s="796"/>
      <c r="M27" s="796"/>
      <c r="O27" s="102">
        <v>3</v>
      </c>
      <c r="P27" s="112">
        <v>1</v>
      </c>
      <c r="Q27" s="796"/>
      <c r="R27" s="796"/>
      <c r="S27" s="796"/>
      <c r="U27" s="102">
        <v>3</v>
      </c>
      <c r="V27" s="112">
        <v>0</v>
      </c>
      <c r="W27" s="796"/>
      <c r="X27" s="796"/>
      <c r="Y27" s="796"/>
    </row>
    <row r="28" spans="1:33">
      <c r="C28" s="102">
        <v>2</v>
      </c>
      <c r="D28" s="112">
        <v>1</v>
      </c>
      <c r="E28" s="796"/>
      <c r="F28" s="796"/>
      <c r="G28" s="796"/>
      <c r="I28" s="102">
        <v>2</v>
      </c>
      <c r="J28" s="112">
        <v>0</v>
      </c>
      <c r="K28" s="796"/>
      <c r="L28" s="796"/>
      <c r="M28" s="796"/>
      <c r="O28" s="102">
        <v>2</v>
      </c>
      <c r="P28" s="112">
        <v>0</v>
      </c>
      <c r="Q28" s="796"/>
      <c r="R28" s="796"/>
      <c r="S28" s="796"/>
      <c r="U28" s="102">
        <v>2</v>
      </c>
      <c r="V28" s="112">
        <v>1</v>
      </c>
      <c r="W28" s="796"/>
      <c r="X28" s="796"/>
      <c r="Y28" s="796"/>
    </row>
    <row r="29" spans="1:33">
      <c r="C29" s="102">
        <v>1</v>
      </c>
      <c r="D29" s="112">
        <v>1</v>
      </c>
      <c r="E29" s="796"/>
      <c r="F29" s="796"/>
      <c r="G29" s="796"/>
      <c r="I29" s="102">
        <v>1</v>
      </c>
      <c r="J29" s="112">
        <v>0</v>
      </c>
      <c r="K29" s="796"/>
      <c r="L29" s="796"/>
      <c r="M29" s="796"/>
      <c r="O29" s="102">
        <v>1</v>
      </c>
      <c r="P29" s="112">
        <v>1</v>
      </c>
      <c r="Q29" s="796"/>
      <c r="R29" s="796"/>
      <c r="S29" s="796"/>
      <c r="U29" s="102">
        <v>1</v>
      </c>
      <c r="V29" s="112">
        <v>0</v>
      </c>
      <c r="W29" s="796"/>
      <c r="X29" s="796"/>
      <c r="Y29" s="796"/>
    </row>
    <row r="30" spans="1:33">
      <c r="C30" s="102">
        <v>0</v>
      </c>
      <c r="D30" s="112">
        <v>1</v>
      </c>
      <c r="E30" s="796"/>
      <c r="F30" s="796"/>
      <c r="G30" s="796"/>
      <c r="I30" s="102">
        <v>0</v>
      </c>
      <c r="J30" s="112">
        <v>0</v>
      </c>
      <c r="K30" s="796"/>
      <c r="L30" s="796"/>
      <c r="M30" s="796"/>
      <c r="O30" s="102">
        <v>0</v>
      </c>
      <c r="P30" s="112">
        <v>0</v>
      </c>
      <c r="Q30" s="796"/>
      <c r="R30" s="796"/>
      <c r="S30" s="796"/>
      <c r="U30" s="102">
        <v>0</v>
      </c>
      <c r="V30" s="112">
        <v>1</v>
      </c>
      <c r="W30" s="796"/>
      <c r="X30" s="796"/>
      <c r="Y30" s="796"/>
    </row>
  </sheetData>
  <mergeCells count="47">
    <mergeCell ref="AE11:AG18"/>
    <mergeCell ref="E23:G30"/>
    <mergeCell ref="K23:M30"/>
    <mergeCell ref="Q23:S30"/>
    <mergeCell ref="W23:Y30"/>
    <mergeCell ref="D18:E18"/>
    <mergeCell ref="L18:M18"/>
    <mergeCell ref="T18:U18"/>
    <mergeCell ref="AB18:AC18"/>
    <mergeCell ref="O11:Q18"/>
    <mergeCell ref="W11:Y18"/>
    <mergeCell ref="G11:I18"/>
    <mergeCell ref="D16:E16"/>
    <mergeCell ref="L16:M16"/>
    <mergeCell ref="T16:U16"/>
    <mergeCell ref="AB16:AC16"/>
    <mergeCell ref="D17:E17"/>
    <mergeCell ref="L17:M17"/>
    <mergeCell ref="T17:U17"/>
    <mergeCell ref="AB17:AC17"/>
    <mergeCell ref="D14:E14"/>
    <mergeCell ref="L14:M14"/>
    <mergeCell ref="T14:U14"/>
    <mergeCell ref="AB14:AC14"/>
    <mergeCell ref="D15:E15"/>
    <mergeCell ref="L15:M15"/>
    <mergeCell ref="T15:U15"/>
    <mergeCell ref="AB15:AC15"/>
    <mergeCell ref="D12:E12"/>
    <mergeCell ref="L12:M12"/>
    <mergeCell ref="T12:U12"/>
    <mergeCell ref="AB12:AC12"/>
    <mergeCell ref="D13:E13"/>
    <mergeCell ref="L13:M13"/>
    <mergeCell ref="T13:U13"/>
    <mergeCell ref="AB13:AC13"/>
    <mergeCell ref="U9:V9"/>
    <mergeCell ref="AC9:AD9"/>
    <mergeCell ref="D11:E11"/>
    <mergeCell ref="L11:M11"/>
    <mergeCell ref="T11:U11"/>
    <mergeCell ref="AB11:AC11"/>
    <mergeCell ref="A1:C1"/>
    <mergeCell ref="A4:H4"/>
    <mergeCell ref="A6:H6"/>
    <mergeCell ref="E9:F9"/>
    <mergeCell ref="M9:N9"/>
  </mergeCells>
  <phoneticPr fontId="42"/>
  <dataValidations count="2">
    <dataValidation type="list" allowBlank="1" showInputMessage="1" showErrorMessage="1" sqref="E9:F9 M9:N9 U9:V9 AC9:AD9 D11:E21 L11:M21 T11:U21 AB11:AC21" xr:uid="{00000000-0002-0000-1A00-000000000000}">
      <formula1>"IN,OUT"</formula1>
    </dataValidation>
    <dataValidation type="list" allowBlank="1" showInputMessage="1" showErrorMessage="1" sqref="D23:D30 J23:J30 P23:P30 V23:V30" xr:uid="{00000000-0002-0000-1A00-000001000000}">
      <formula1>"0,1"</formula1>
    </dataValidation>
  </dataValidations>
  <hyperlinks>
    <hyperlink ref="A1:C1" location="目次!A1" display="　目次　" xr:uid="{00000000-0004-0000-1A00-000000000000}"/>
  </hyperlinks>
  <pageMargins left="0.69930555555555596" right="0.69930555555555596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13"/>
  <sheetViews>
    <sheetView workbookViewId="0">
      <selection sqref="A1:C1"/>
    </sheetView>
  </sheetViews>
  <sheetFormatPr defaultColWidth="9" defaultRowHeight="13.5"/>
  <cols>
    <col min="1" max="1" width="9" customWidth="1"/>
  </cols>
  <sheetData>
    <row r="1" spans="1:4">
      <c r="A1" s="686" t="s">
        <v>61</v>
      </c>
      <c r="B1" s="686"/>
      <c r="C1" s="686"/>
    </row>
    <row r="2" spans="1:4">
      <c r="A2" t="s">
        <v>54</v>
      </c>
    </row>
    <row r="3" spans="1:4">
      <c r="B3" s="21"/>
      <c r="C3" t="s">
        <v>364</v>
      </c>
    </row>
    <row r="4" spans="1:4">
      <c r="B4" s="36"/>
      <c r="C4" t="s">
        <v>395</v>
      </c>
    </row>
    <row r="5" spans="1:4">
      <c r="B5" s="35"/>
      <c r="C5" t="s">
        <v>404</v>
      </c>
    </row>
    <row r="7" spans="1:4">
      <c r="A7" s="791" t="s">
        <v>272</v>
      </c>
      <c r="B7" s="791"/>
      <c r="C7" s="21">
        <v>13</v>
      </c>
      <c r="D7" t="s">
        <v>65</v>
      </c>
    </row>
    <row r="8" spans="1:4">
      <c r="A8" s="791" t="s">
        <v>142</v>
      </c>
      <c r="B8" s="791"/>
      <c r="C8" s="21">
        <v>2</v>
      </c>
      <c r="D8" t="s">
        <v>65</v>
      </c>
    </row>
    <row r="9" spans="1:4">
      <c r="A9" s="791" t="s">
        <v>417</v>
      </c>
      <c r="B9" s="791"/>
      <c r="C9" s="21">
        <v>3000</v>
      </c>
      <c r="D9" t="s">
        <v>429</v>
      </c>
    </row>
    <row r="10" spans="1:4">
      <c r="A10" s="791" t="s">
        <v>430</v>
      </c>
      <c r="B10" s="791"/>
      <c r="C10" s="21">
        <v>90</v>
      </c>
      <c r="D10" t="s">
        <v>245</v>
      </c>
    </row>
    <row r="11" spans="1:4">
      <c r="A11" s="791" t="s">
        <v>431</v>
      </c>
      <c r="B11" s="791"/>
      <c r="C11" s="35">
        <f>C8/C7</f>
        <v>0.15384615384615385</v>
      </c>
      <c r="D11" t="s">
        <v>131</v>
      </c>
    </row>
    <row r="13" spans="1:4">
      <c r="B13" t="s">
        <v>432</v>
      </c>
      <c r="C13" s="36">
        <f>C9*C11+(100-C10)/100*C9*C11</f>
        <v>507.69230769230768</v>
      </c>
      <c r="D13" t="s">
        <v>93</v>
      </c>
    </row>
  </sheetData>
  <mergeCells count="6">
    <mergeCell ref="A11:B11"/>
    <mergeCell ref="A1:C1"/>
    <mergeCell ref="A7:B7"/>
    <mergeCell ref="A8:B8"/>
    <mergeCell ref="A9:B9"/>
    <mergeCell ref="A10:B10"/>
  </mergeCells>
  <phoneticPr fontId="42"/>
  <hyperlinks>
    <hyperlink ref="A1:C1" location="目次!A1" display="　目次　" xr:uid="{00000000-0004-0000-1B00-000000000000}"/>
  </hyperlinks>
  <pageMargins left="0.69930555555555596" right="0.69930555555555596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35"/>
  <sheetViews>
    <sheetView workbookViewId="0">
      <selection sqref="A1:XFD1"/>
    </sheetView>
  </sheetViews>
  <sheetFormatPr defaultColWidth="9" defaultRowHeight="13.5"/>
  <cols>
    <col min="1" max="2" width="3.5" customWidth="1"/>
  </cols>
  <sheetData>
    <row r="1" spans="1:14">
      <c r="A1" s="686" t="s">
        <v>61</v>
      </c>
      <c r="B1" s="686"/>
      <c r="C1" s="686"/>
    </row>
    <row r="2" spans="1:14">
      <c r="B2" t="s">
        <v>433</v>
      </c>
    </row>
    <row r="4" spans="1:14">
      <c r="B4" s="40"/>
      <c r="C4" s="40" t="s">
        <v>387</v>
      </c>
      <c r="D4" s="40">
        <v>10000</v>
      </c>
      <c r="E4" s="40" t="s">
        <v>388</v>
      </c>
    </row>
    <row r="5" spans="1:14">
      <c r="B5" s="40"/>
      <c r="C5" s="40" t="s">
        <v>434</v>
      </c>
      <c r="D5" s="40">
        <v>80</v>
      </c>
      <c r="E5" s="40" t="s">
        <v>265</v>
      </c>
    </row>
    <row r="6" spans="1:14">
      <c r="B6" s="40"/>
      <c r="C6" s="40" t="s">
        <v>247</v>
      </c>
      <c r="D6" s="40">
        <v>1.5</v>
      </c>
      <c r="E6" s="40" t="s">
        <v>388</v>
      </c>
    </row>
    <row r="7" spans="1:14" ht="14.25">
      <c r="B7" s="97"/>
      <c r="C7" s="97" t="s">
        <v>435</v>
      </c>
      <c r="D7" s="97">
        <f>D4/D6*60*D5/100</f>
        <v>320000</v>
      </c>
      <c r="E7" s="97" t="s">
        <v>294</v>
      </c>
      <c r="F7" t="s">
        <v>436</v>
      </c>
      <c r="G7">
        <f>D7/60</f>
        <v>5333.333333333333</v>
      </c>
      <c r="H7" s="9" t="s">
        <v>437</v>
      </c>
      <c r="I7" s="100">
        <f>G7/24</f>
        <v>222.2222222222222</v>
      </c>
      <c r="J7" t="s">
        <v>438</v>
      </c>
      <c r="K7">
        <f>I7/30</f>
        <v>7.4074074074074066</v>
      </c>
      <c r="L7" t="s">
        <v>439</v>
      </c>
      <c r="M7">
        <f>I7/365</f>
        <v>0.60882800608828003</v>
      </c>
      <c r="N7" t="s">
        <v>299</v>
      </c>
    </row>
    <row r="9" spans="1:14">
      <c r="B9" s="40"/>
      <c r="C9" s="40" t="s">
        <v>247</v>
      </c>
      <c r="D9" s="40">
        <v>4000</v>
      </c>
      <c r="E9" s="40" t="s">
        <v>388</v>
      </c>
    </row>
    <row r="10" spans="1:14">
      <c r="B10" s="40"/>
      <c r="C10" s="40" t="s">
        <v>434</v>
      </c>
      <c r="D10" s="40">
        <v>90</v>
      </c>
      <c r="E10" s="40" t="s">
        <v>265</v>
      </c>
    </row>
    <row r="11" spans="1:14">
      <c r="B11" s="40"/>
      <c r="C11" s="40" t="s">
        <v>440</v>
      </c>
      <c r="D11" s="40">
        <v>129600</v>
      </c>
      <c r="E11" s="40" t="s">
        <v>294</v>
      </c>
    </row>
    <row r="12" spans="1:14">
      <c r="B12" s="97"/>
      <c r="C12" s="97" t="s">
        <v>387</v>
      </c>
      <c r="D12" s="97">
        <f>D9/(D11/60)*D10/100</f>
        <v>1.6666666666666665</v>
      </c>
      <c r="E12" s="97" t="s">
        <v>388</v>
      </c>
    </row>
    <row r="15" spans="1:14">
      <c r="A15" t="s">
        <v>441</v>
      </c>
    </row>
    <row r="16" spans="1:14">
      <c r="B16" s="40"/>
      <c r="C16" t="s">
        <v>442</v>
      </c>
    </row>
    <row r="17" spans="2:14">
      <c r="B17" s="84"/>
      <c r="C17" t="s">
        <v>267</v>
      </c>
    </row>
    <row r="18" spans="2:14">
      <c r="B18" s="49"/>
      <c r="C18" t="s">
        <v>443</v>
      </c>
    </row>
    <row r="20" spans="2:14">
      <c r="B20" s="45" t="s">
        <v>386</v>
      </c>
      <c r="C20" s="45"/>
      <c r="D20" s="45"/>
      <c r="E20" s="45"/>
      <c r="F20" s="45"/>
      <c r="G20" s="45"/>
      <c r="H20" s="45"/>
      <c r="I20" s="45"/>
    </row>
    <row r="21" spans="2:14">
      <c r="B21" s="45"/>
      <c r="C21" s="45"/>
      <c r="D21" s="45"/>
      <c r="E21" s="45"/>
      <c r="F21" s="45"/>
      <c r="G21" s="45"/>
      <c r="H21" s="45"/>
      <c r="I21" s="45"/>
      <c r="M21">
        <v>1</v>
      </c>
      <c r="N21" t="s">
        <v>444</v>
      </c>
    </row>
    <row r="22" spans="2:14">
      <c r="B22" s="45"/>
      <c r="C22" s="45"/>
      <c r="D22" s="45" t="s">
        <v>445</v>
      </c>
      <c r="E22" s="45"/>
      <c r="F22" s="45"/>
      <c r="G22" s="47">
        <v>3.6</v>
      </c>
      <c r="H22" s="45" t="s">
        <v>65</v>
      </c>
      <c r="I22" s="45"/>
      <c r="M22">
        <f>M21*30</f>
        <v>30</v>
      </c>
      <c r="N22" t="s">
        <v>303</v>
      </c>
    </row>
    <row r="23" spans="2:14">
      <c r="B23" s="797" t="s">
        <v>387</v>
      </c>
      <c r="C23" s="797"/>
      <c r="D23" s="86" t="s">
        <v>387</v>
      </c>
      <c r="E23" s="86"/>
      <c r="F23" s="86"/>
      <c r="G23" s="47">
        <v>2550</v>
      </c>
      <c r="H23" s="45" t="s">
        <v>388</v>
      </c>
      <c r="I23" s="45"/>
      <c r="M23">
        <f>M22*24</f>
        <v>720</v>
      </c>
      <c r="N23" t="s">
        <v>216</v>
      </c>
    </row>
    <row r="24" spans="2:14">
      <c r="B24" s="797"/>
      <c r="C24" s="797"/>
      <c r="D24" s="86" t="s">
        <v>390</v>
      </c>
      <c r="E24" s="86"/>
      <c r="F24" s="86"/>
      <c r="G24" s="47">
        <v>90</v>
      </c>
      <c r="H24" s="45" t="s">
        <v>265</v>
      </c>
      <c r="I24" s="45"/>
      <c r="M24">
        <f>M23*60</f>
        <v>43200</v>
      </c>
      <c r="N24" t="s">
        <v>294</v>
      </c>
    </row>
    <row r="25" spans="2:14">
      <c r="B25" s="797"/>
      <c r="C25" s="797"/>
      <c r="D25" s="86" t="s">
        <v>392</v>
      </c>
      <c r="E25" s="86"/>
      <c r="F25" s="86"/>
      <c r="G25" s="87">
        <f>G23*(G24/100)</f>
        <v>2295</v>
      </c>
      <c r="H25" s="45" t="s">
        <v>388</v>
      </c>
      <c r="I25" s="45"/>
      <c r="M25">
        <f>M24*60</f>
        <v>2592000</v>
      </c>
      <c r="N25" t="s">
        <v>293</v>
      </c>
    </row>
    <row r="26" spans="2:14">
      <c r="B26" s="46"/>
      <c r="C26" s="46"/>
      <c r="D26" s="88"/>
      <c r="E26" s="88"/>
      <c r="F26" s="88"/>
      <c r="G26" s="46"/>
      <c r="H26" s="46"/>
      <c r="I26" s="46"/>
    </row>
    <row r="27" spans="2:14">
      <c r="B27" s="797"/>
      <c r="C27" s="797"/>
      <c r="D27" s="45" t="s">
        <v>397</v>
      </c>
      <c r="E27" s="45"/>
      <c r="F27" s="45"/>
      <c r="G27" s="47">
        <v>3</v>
      </c>
      <c r="H27" s="45" t="s">
        <v>65</v>
      </c>
      <c r="I27" s="45"/>
    </row>
    <row r="28" spans="2:14">
      <c r="B28" s="797"/>
      <c r="C28" s="797"/>
      <c r="D28" s="45" t="s">
        <v>398</v>
      </c>
      <c r="E28" s="45"/>
      <c r="F28" s="45"/>
      <c r="G28" s="47">
        <v>90</v>
      </c>
      <c r="H28" s="45" t="s">
        <v>265</v>
      </c>
      <c r="I28" s="45"/>
    </row>
    <row r="29" spans="2:14">
      <c r="B29" s="797"/>
      <c r="C29" s="797"/>
      <c r="D29" s="86" t="s">
        <v>446</v>
      </c>
      <c r="E29" s="86"/>
      <c r="F29" s="86"/>
      <c r="G29" s="87">
        <f>G27/G22</f>
        <v>0.83333333333333326</v>
      </c>
      <c r="H29" s="45" t="s">
        <v>131</v>
      </c>
      <c r="I29" s="45"/>
    </row>
    <row r="30" spans="2:14">
      <c r="B30" s="85"/>
      <c r="C30" s="85"/>
      <c r="D30" s="86" t="s">
        <v>447</v>
      </c>
      <c r="E30" s="86"/>
      <c r="F30" s="86"/>
      <c r="G30" s="87">
        <f>G25/G29*(G28/100)</f>
        <v>2478.6000000000004</v>
      </c>
      <c r="H30" s="45"/>
      <c r="I30" s="45"/>
    </row>
    <row r="31" spans="2:14">
      <c r="B31" s="85"/>
      <c r="C31" s="85"/>
      <c r="D31" s="86"/>
      <c r="E31" s="86"/>
      <c r="F31" s="86"/>
      <c r="G31" s="46"/>
      <c r="H31" s="45"/>
      <c r="I31" s="45"/>
    </row>
    <row r="32" spans="2:14">
      <c r="B32" s="85"/>
      <c r="C32" s="85"/>
      <c r="D32" s="86" t="s">
        <v>247</v>
      </c>
      <c r="E32" s="86"/>
      <c r="F32" s="86"/>
      <c r="G32" s="89">
        <v>300</v>
      </c>
      <c r="H32" s="45" t="s">
        <v>93</v>
      </c>
      <c r="I32" s="45"/>
    </row>
    <row r="33" spans="2:10">
      <c r="B33" s="45"/>
      <c r="C33" s="90"/>
      <c r="D33" s="91" t="s">
        <v>405</v>
      </c>
      <c r="E33" s="91"/>
      <c r="F33" s="91"/>
      <c r="G33" s="98">
        <f>(G25/G29)/G32*(G28/100)</f>
        <v>8.2620000000000022</v>
      </c>
      <c r="H33" s="90" t="s">
        <v>216</v>
      </c>
      <c r="I33" s="90">
        <f>G30/G32</f>
        <v>8.2620000000000005</v>
      </c>
      <c r="J33" s="93"/>
    </row>
    <row r="34" spans="2:10">
      <c r="B34" s="45"/>
      <c r="C34" s="45"/>
      <c r="D34" s="86" t="s">
        <v>406</v>
      </c>
      <c r="E34" s="86"/>
      <c r="F34" s="86"/>
      <c r="G34" s="99">
        <f>G33/24</f>
        <v>0.34425000000000011</v>
      </c>
      <c r="H34" s="45" t="s">
        <v>303</v>
      </c>
      <c r="I34" s="45"/>
      <c r="J34" s="94"/>
    </row>
    <row r="35" spans="2:10">
      <c r="D35" s="86" t="s">
        <v>448</v>
      </c>
      <c r="G35" s="36">
        <f>G34/30</f>
        <v>1.1475000000000004E-2</v>
      </c>
      <c r="H35" s="46" t="s">
        <v>444</v>
      </c>
    </row>
  </sheetData>
  <mergeCells count="3">
    <mergeCell ref="A1:C1"/>
    <mergeCell ref="B23:C25"/>
    <mergeCell ref="B27:C29"/>
  </mergeCells>
  <phoneticPr fontId="42"/>
  <hyperlinks>
    <hyperlink ref="A1:C1" location="目次!A1" display="　目次　" xr:uid="{00000000-0004-0000-1C00-000000000000}"/>
  </hyperlinks>
  <pageMargins left="0.69930555555555596" right="0.69930555555555596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43"/>
  <sheetViews>
    <sheetView workbookViewId="0">
      <selection sqref="A1:C1"/>
    </sheetView>
  </sheetViews>
  <sheetFormatPr defaultColWidth="9" defaultRowHeight="13.5"/>
  <cols>
    <col min="1" max="1" width="9" customWidth="1"/>
    <col min="4" max="4" width="29.25" customWidth="1"/>
    <col min="5" max="5" width="12.75" customWidth="1"/>
    <col min="6" max="6" width="9.125" customWidth="1"/>
    <col min="7" max="7" width="2.5" customWidth="1"/>
  </cols>
  <sheetData>
    <row r="1" spans="1:7">
      <c r="A1" s="686" t="s">
        <v>61</v>
      </c>
      <c r="B1" s="686"/>
      <c r="C1" s="686"/>
    </row>
    <row r="2" spans="1:7">
      <c r="A2" t="s">
        <v>449</v>
      </c>
    </row>
    <row r="3" spans="1:7">
      <c r="A3" t="s">
        <v>450</v>
      </c>
    </row>
    <row r="4" spans="1:7">
      <c r="B4" s="40"/>
      <c r="C4" t="s">
        <v>442</v>
      </c>
    </row>
    <row r="5" spans="1:7">
      <c r="B5" s="84"/>
      <c r="C5" t="s">
        <v>267</v>
      </c>
    </row>
    <row r="6" spans="1:7">
      <c r="B6" s="49"/>
      <c r="C6" t="s">
        <v>443</v>
      </c>
    </row>
    <row r="8" spans="1:7">
      <c r="B8" s="45" t="s">
        <v>386</v>
      </c>
      <c r="C8" s="45"/>
      <c r="D8" s="45"/>
      <c r="E8" s="45"/>
      <c r="F8" s="45"/>
      <c r="G8" s="45"/>
    </row>
    <row r="9" spans="1:7">
      <c r="B9" s="45"/>
      <c r="C9" s="45"/>
      <c r="D9" s="45"/>
      <c r="E9" s="45"/>
      <c r="F9" s="45"/>
      <c r="G9" s="45"/>
    </row>
    <row r="10" spans="1:7">
      <c r="B10" s="797" t="s">
        <v>387</v>
      </c>
      <c r="C10" s="797"/>
      <c r="D10" s="86" t="s">
        <v>387</v>
      </c>
      <c r="E10" s="47">
        <v>4000</v>
      </c>
      <c r="F10" s="45" t="s">
        <v>388</v>
      </c>
      <c r="G10" s="45"/>
    </row>
    <row r="11" spans="1:7">
      <c r="B11" s="797"/>
      <c r="C11" s="797"/>
      <c r="D11" s="86" t="s">
        <v>390</v>
      </c>
      <c r="E11" s="47">
        <v>90</v>
      </c>
      <c r="F11" s="45" t="s">
        <v>265</v>
      </c>
      <c r="G11" s="45"/>
    </row>
    <row r="12" spans="1:7">
      <c r="B12" s="797"/>
      <c r="C12" s="797"/>
      <c r="D12" s="86" t="s">
        <v>392</v>
      </c>
      <c r="E12" s="87">
        <f>E10*(E11/100)</f>
        <v>3600</v>
      </c>
      <c r="F12" s="45" t="s">
        <v>388</v>
      </c>
      <c r="G12" s="45"/>
    </row>
    <row r="13" spans="1:7">
      <c r="B13" s="46"/>
      <c r="C13" s="46"/>
      <c r="D13" s="88"/>
      <c r="E13" s="46"/>
      <c r="F13" s="46"/>
      <c r="G13" s="46"/>
    </row>
    <row r="14" spans="1:7">
      <c r="B14" s="799" t="s">
        <v>396</v>
      </c>
      <c r="C14" s="797"/>
      <c r="D14" s="45" t="s">
        <v>142</v>
      </c>
      <c r="E14" s="47">
        <v>3.7</v>
      </c>
      <c r="F14" s="45" t="s">
        <v>65</v>
      </c>
      <c r="G14" s="45"/>
    </row>
    <row r="15" spans="1:7">
      <c r="B15" s="797"/>
      <c r="C15" s="797"/>
      <c r="D15" s="45" t="s">
        <v>397</v>
      </c>
      <c r="E15" s="47">
        <v>5</v>
      </c>
      <c r="F15" s="45" t="s">
        <v>65</v>
      </c>
      <c r="G15" s="45"/>
    </row>
    <row r="16" spans="1:7">
      <c r="B16" s="797"/>
      <c r="C16" s="797"/>
      <c r="D16" s="45" t="s">
        <v>398</v>
      </c>
      <c r="E16" s="47">
        <v>85</v>
      </c>
      <c r="F16" s="45" t="s">
        <v>265</v>
      </c>
      <c r="G16" s="45"/>
    </row>
    <row r="17" spans="2:8">
      <c r="B17" s="797"/>
      <c r="C17" s="797"/>
      <c r="D17" s="86" t="s">
        <v>446</v>
      </c>
      <c r="E17" s="87">
        <f>E15/E14*((100-E16)/100+1)</f>
        <v>1.5540540540540539</v>
      </c>
      <c r="F17" s="45" t="s">
        <v>131</v>
      </c>
      <c r="G17" s="45"/>
    </row>
    <row r="18" spans="2:8">
      <c r="B18" s="45"/>
      <c r="C18" s="45"/>
      <c r="D18" s="45"/>
      <c r="E18" s="46"/>
      <c r="F18" s="45"/>
      <c r="G18" s="45"/>
    </row>
    <row r="19" spans="2:8">
      <c r="B19" s="798" t="s">
        <v>451</v>
      </c>
      <c r="C19" s="798"/>
      <c r="D19" s="86" t="s">
        <v>452</v>
      </c>
      <c r="E19" s="47">
        <v>5</v>
      </c>
      <c r="F19" s="86" t="s">
        <v>293</v>
      </c>
      <c r="G19" s="45"/>
    </row>
    <row r="20" spans="2:8">
      <c r="B20" s="798"/>
      <c r="C20" s="798"/>
      <c r="D20" s="86" t="s">
        <v>453</v>
      </c>
      <c r="E20" s="47">
        <v>1</v>
      </c>
      <c r="F20" s="86" t="s">
        <v>293</v>
      </c>
      <c r="G20" s="45"/>
    </row>
    <row r="21" spans="2:8">
      <c r="B21" s="798"/>
      <c r="C21" s="798"/>
      <c r="D21" s="86" t="s">
        <v>454</v>
      </c>
      <c r="E21" s="47">
        <v>200</v>
      </c>
      <c r="F21" s="86" t="s">
        <v>93</v>
      </c>
      <c r="G21" s="45"/>
    </row>
    <row r="22" spans="2:8">
      <c r="B22" s="798"/>
      <c r="C22" s="798"/>
      <c r="D22" s="86" t="s">
        <v>455</v>
      </c>
      <c r="E22" s="96">
        <f>E20/60*E21</f>
        <v>3.3333333333333335</v>
      </c>
      <c r="F22" t="s">
        <v>456</v>
      </c>
      <c r="H22" s="93" t="s">
        <v>457</v>
      </c>
    </row>
    <row r="23" spans="2:8">
      <c r="B23" s="798"/>
      <c r="C23" s="798"/>
      <c r="D23" s="86" t="s">
        <v>458</v>
      </c>
      <c r="E23" s="47">
        <v>1</v>
      </c>
      <c r="F23" s="86" t="s">
        <v>293</v>
      </c>
      <c r="H23" s="45"/>
    </row>
    <row r="24" spans="2:8">
      <c r="B24" s="798"/>
      <c r="C24" s="798"/>
      <c r="D24" s="86" t="s">
        <v>459</v>
      </c>
      <c r="E24" s="47">
        <v>300</v>
      </c>
      <c r="F24" s="86" t="s">
        <v>93</v>
      </c>
      <c r="H24" s="45"/>
    </row>
    <row r="25" spans="2:8">
      <c r="B25" s="798"/>
      <c r="C25" s="798"/>
      <c r="D25" s="86" t="s">
        <v>460</v>
      </c>
      <c r="E25" s="96">
        <f>E23/60*E24</f>
        <v>5</v>
      </c>
      <c r="F25" t="s">
        <v>456</v>
      </c>
      <c r="H25" s="93" t="s">
        <v>461</v>
      </c>
    </row>
    <row r="26" spans="2:8">
      <c r="B26" s="798"/>
      <c r="C26" s="798"/>
      <c r="D26" s="86" t="s">
        <v>462</v>
      </c>
      <c r="E26" s="47">
        <v>50</v>
      </c>
      <c r="F26" s="86" t="s">
        <v>293</v>
      </c>
      <c r="H26" s="45"/>
    </row>
    <row r="27" spans="2:8">
      <c r="B27" s="798"/>
      <c r="C27" s="798"/>
      <c r="D27" s="86" t="s">
        <v>463</v>
      </c>
      <c r="E27" s="47">
        <v>100</v>
      </c>
      <c r="F27" s="86" t="s">
        <v>93</v>
      </c>
      <c r="H27" s="45"/>
    </row>
    <row r="28" spans="2:8">
      <c r="B28" s="798"/>
      <c r="C28" s="798"/>
      <c r="D28" s="86" t="s">
        <v>464</v>
      </c>
      <c r="E28" s="96">
        <f>E26/60*E27</f>
        <v>83.333333333333343</v>
      </c>
      <c r="F28" t="s">
        <v>456</v>
      </c>
      <c r="H28" s="93" t="s">
        <v>465</v>
      </c>
    </row>
    <row r="29" spans="2:8">
      <c r="B29" s="798"/>
      <c r="C29" s="798"/>
      <c r="D29" s="86" t="s">
        <v>466</v>
      </c>
      <c r="E29" s="47">
        <v>30</v>
      </c>
      <c r="F29" s="86" t="s">
        <v>93</v>
      </c>
      <c r="H29" s="45"/>
    </row>
    <row r="30" spans="2:8">
      <c r="B30" s="798"/>
      <c r="C30" s="798"/>
      <c r="D30" s="86" t="s">
        <v>467</v>
      </c>
      <c r="E30" s="96">
        <f>(E35*60-E26)/60*E29</f>
        <v>3.5</v>
      </c>
      <c r="F30" t="s">
        <v>456</v>
      </c>
      <c r="H30" s="93" t="s">
        <v>468</v>
      </c>
    </row>
    <row r="31" spans="2:8">
      <c r="B31" s="798"/>
      <c r="C31" s="798"/>
      <c r="D31" s="86" t="s">
        <v>469</v>
      </c>
      <c r="E31" s="47">
        <v>120</v>
      </c>
      <c r="F31" s="86" t="s">
        <v>93</v>
      </c>
      <c r="H31" s="45"/>
    </row>
    <row r="32" spans="2:8">
      <c r="B32" s="95"/>
      <c r="C32" s="95"/>
      <c r="D32" s="86" t="s">
        <v>470</v>
      </c>
      <c r="E32" s="96">
        <f>((E35*60)-E23)/60*E31</f>
        <v>112</v>
      </c>
      <c r="F32" t="s">
        <v>456</v>
      </c>
      <c r="H32" s="93" t="s">
        <v>471</v>
      </c>
    </row>
    <row r="33" spans="2:8">
      <c r="B33" s="46"/>
      <c r="C33" s="46"/>
      <c r="D33" s="46"/>
      <c r="E33" s="46"/>
      <c r="F33" s="46"/>
      <c r="H33" s="46"/>
    </row>
    <row r="34" spans="2:8">
      <c r="B34" s="797" t="s">
        <v>216</v>
      </c>
      <c r="C34" s="797"/>
      <c r="D34" s="45" t="s">
        <v>399</v>
      </c>
      <c r="E34" s="47">
        <v>5</v>
      </c>
      <c r="F34" s="45" t="s">
        <v>294</v>
      </c>
      <c r="H34" s="45"/>
    </row>
    <row r="35" spans="2:8">
      <c r="B35" s="797"/>
      <c r="C35" s="797"/>
      <c r="D35" s="86" t="s">
        <v>400</v>
      </c>
      <c r="E35" s="96">
        <f>(E19+E20+E23+E26)/60</f>
        <v>0.95</v>
      </c>
      <c r="F35" s="86" t="s">
        <v>294</v>
      </c>
      <c r="H35" s="93" t="s">
        <v>472</v>
      </c>
    </row>
    <row r="36" spans="2:8">
      <c r="B36" s="46"/>
      <c r="C36" s="46"/>
      <c r="D36" s="46"/>
      <c r="E36" s="46"/>
      <c r="F36" s="46"/>
      <c r="H36" s="46"/>
    </row>
    <row r="37" spans="2:8">
      <c r="B37" s="46"/>
      <c r="C37" s="46"/>
      <c r="D37" s="86" t="s">
        <v>473</v>
      </c>
      <c r="E37" s="87">
        <f>(E22+E25+E28+E32)*E17</f>
        <v>316.50900900900899</v>
      </c>
      <c r="F37" s="86" t="s">
        <v>456</v>
      </c>
      <c r="H37" s="93" t="s">
        <v>474</v>
      </c>
    </row>
    <row r="38" spans="2:8">
      <c r="B38" s="46"/>
      <c r="C38" s="46"/>
      <c r="D38" s="46"/>
      <c r="E38" s="46"/>
      <c r="F38" s="46"/>
      <c r="H38" s="46"/>
    </row>
    <row r="39" spans="2:8">
      <c r="B39" s="797" t="s">
        <v>401</v>
      </c>
      <c r="C39" s="797"/>
      <c r="D39" s="86" t="s">
        <v>391</v>
      </c>
      <c r="E39" s="87">
        <f>(60/E34+E35)</f>
        <v>12.95</v>
      </c>
      <c r="F39" s="45" t="s">
        <v>402</v>
      </c>
      <c r="H39" s="93" t="s">
        <v>475</v>
      </c>
    </row>
    <row r="40" spans="2:8">
      <c r="B40" s="797"/>
      <c r="C40" s="797"/>
      <c r="D40" s="86" t="s">
        <v>403</v>
      </c>
      <c r="E40" s="87">
        <f>E37*E39/60</f>
        <v>68.313194444444434</v>
      </c>
      <c r="F40" s="45" t="s">
        <v>394</v>
      </c>
      <c r="H40" s="93" t="s">
        <v>476</v>
      </c>
    </row>
    <row r="41" spans="2:8">
      <c r="B41" s="45"/>
      <c r="C41" s="45"/>
      <c r="D41" s="45"/>
      <c r="E41" s="45"/>
      <c r="F41" s="45"/>
      <c r="G41" s="45"/>
    </row>
    <row r="42" spans="2:8">
      <c r="B42" s="45"/>
      <c r="C42" s="90"/>
      <c r="D42" s="91" t="s">
        <v>405</v>
      </c>
      <c r="E42" s="92">
        <f>E12/E40</f>
        <v>52.698457878846419</v>
      </c>
      <c r="F42" s="90" t="s">
        <v>216</v>
      </c>
      <c r="G42" s="90"/>
      <c r="H42" s="93" t="s">
        <v>477</v>
      </c>
    </row>
    <row r="43" spans="2:8">
      <c r="B43" s="45"/>
      <c r="C43" s="45"/>
      <c r="D43" s="86" t="s">
        <v>406</v>
      </c>
      <c r="E43" s="48">
        <f>E42/24</f>
        <v>2.1957690782852675</v>
      </c>
      <c r="F43" s="45" t="s">
        <v>303</v>
      </c>
      <c r="G43" s="45"/>
      <c r="H43" s="94" t="s">
        <v>478</v>
      </c>
    </row>
  </sheetData>
  <mergeCells count="6">
    <mergeCell ref="A1:C1"/>
    <mergeCell ref="B39:C40"/>
    <mergeCell ref="B19:C31"/>
    <mergeCell ref="B10:C12"/>
    <mergeCell ref="B14:C17"/>
    <mergeCell ref="B34:C35"/>
  </mergeCells>
  <phoneticPr fontId="42"/>
  <hyperlinks>
    <hyperlink ref="A1:C1" location="目次!A1" display="　目次　" xr:uid="{00000000-0004-0000-1D00-000000000000}"/>
  </hyperlinks>
  <pageMargins left="0.75" right="0.75" top="1" bottom="1" header="0.51180555555555596" footer="0.51180555555555596"/>
  <pageSetup paperSize="9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22"/>
  <sheetViews>
    <sheetView zoomScale="145" zoomScaleNormal="145" workbookViewId="0">
      <selection sqref="A1:C1"/>
    </sheetView>
  </sheetViews>
  <sheetFormatPr defaultColWidth="9" defaultRowHeight="13.5"/>
  <cols>
    <col min="1" max="1" width="9" customWidth="1"/>
    <col min="4" max="4" width="29.25" customWidth="1"/>
    <col min="5" max="5" width="12.75" customWidth="1"/>
    <col min="6" max="6" width="9.125" customWidth="1"/>
    <col min="7" max="7" width="2.5" customWidth="1"/>
  </cols>
  <sheetData>
    <row r="1" spans="1:7">
      <c r="A1" s="686" t="s">
        <v>61</v>
      </c>
      <c r="B1" s="686"/>
      <c r="C1" s="686"/>
    </row>
    <row r="2" spans="1:7">
      <c r="A2" t="s">
        <v>449</v>
      </c>
    </row>
    <row r="3" spans="1:7">
      <c r="A3" t="s">
        <v>450</v>
      </c>
    </row>
    <row r="4" spans="1:7">
      <c r="B4" s="40"/>
      <c r="C4" t="s">
        <v>442</v>
      </c>
    </row>
    <row r="5" spans="1:7">
      <c r="B5" s="84"/>
      <c r="C5" t="s">
        <v>267</v>
      </c>
    </row>
    <row r="6" spans="1:7">
      <c r="B6" s="49"/>
      <c r="C6" t="s">
        <v>443</v>
      </c>
    </row>
    <row r="8" spans="1:7">
      <c r="B8" s="45" t="s">
        <v>386</v>
      </c>
      <c r="C8" s="45"/>
      <c r="D8" s="45"/>
      <c r="E8" s="45"/>
      <c r="F8" s="45"/>
      <c r="G8" s="45"/>
    </row>
    <row r="9" spans="1:7">
      <c r="B9" s="45"/>
      <c r="C9" s="45"/>
      <c r="D9" s="45"/>
      <c r="E9" s="45"/>
      <c r="F9" s="45"/>
      <c r="G9" s="45"/>
    </row>
    <row r="10" spans="1:7">
      <c r="B10" s="797" t="s">
        <v>387</v>
      </c>
      <c r="C10" s="797"/>
      <c r="D10" s="86" t="s">
        <v>387</v>
      </c>
      <c r="E10" s="47">
        <v>2000</v>
      </c>
      <c r="F10" s="45" t="s">
        <v>388</v>
      </c>
      <c r="G10" s="45"/>
    </row>
    <row r="11" spans="1:7">
      <c r="B11" s="797"/>
      <c r="C11" s="797"/>
      <c r="D11" s="86" t="s">
        <v>390</v>
      </c>
      <c r="E11" s="47">
        <v>80</v>
      </c>
      <c r="F11" s="45" t="s">
        <v>265</v>
      </c>
      <c r="G11" s="45"/>
    </row>
    <row r="12" spans="1:7">
      <c r="B12" s="797"/>
      <c r="C12" s="797"/>
      <c r="D12" s="86" t="s">
        <v>392</v>
      </c>
      <c r="E12" s="87">
        <f>E10*(E11/100)</f>
        <v>1600</v>
      </c>
      <c r="F12" s="45" t="s">
        <v>388</v>
      </c>
      <c r="G12" s="45"/>
    </row>
    <row r="13" spans="1:7">
      <c r="B13" s="46"/>
      <c r="C13" s="46"/>
      <c r="D13" s="88"/>
      <c r="E13" s="46"/>
      <c r="F13" s="46"/>
      <c r="G13" s="46"/>
    </row>
    <row r="14" spans="1:7">
      <c r="B14" s="799" t="s">
        <v>396</v>
      </c>
      <c r="C14" s="797"/>
      <c r="D14" s="45" t="s">
        <v>142</v>
      </c>
      <c r="E14" s="47">
        <v>3</v>
      </c>
      <c r="F14" s="45" t="s">
        <v>65</v>
      </c>
      <c r="G14" s="45"/>
    </row>
    <row r="15" spans="1:7">
      <c r="B15" s="797"/>
      <c r="C15" s="797"/>
      <c r="D15" s="45" t="s">
        <v>397</v>
      </c>
      <c r="E15" s="47">
        <v>4</v>
      </c>
      <c r="F15" s="45" t="s">
        <v>65</v>
      </c>
      <c r="G15" s="45"/>
    </row>
    <row r="16" spans="1:7">
      <c r="B16" s="797"/>
      <c r="C16" s="797"/>
      <c r="D16" s="45" t="s">
        <v>398</v>
      </c>
      <c r="E16" s="47">
        <v>95</v>
      </c>
      <c r="F16" s="45" t="s">
        <v>265</v>
      </c>
      <c r="G16" s="45"/>
    </row>
    <row r="17" spans="2:8">
      <c r="B17" s="797"/>
      <c r="C17" s="797"/>
      <c r="D17" s="86" t="s">
        <v>446</v>
      </c>
      <c r="E17" s="87">
        <f>E15/E14*((100-E16)/100+1)</f>
        <v>1.4</v>
      </c>
      <c r="F17" s="45" t="s">
        <v>131</v>
      </c>
      <c r="G17" s="45"/>
    </row>
    <row r="18" spans="2:8">
      <c r="B18" s="85"/>
      <c r="C18" s="85"/>
      <c r="D18" s="86"/>
      <c r="E18" s="46"/>
      <c r="F18" s="45"/>
      <c r="G18" s="45"/>
    </row>
    <row r="19" spans="2:8">
      <c r="B19" s="85"/>
      <c r="C19" s="85"/>
      <c r="D19" s="86" t="s">
        <v>247</v>
      </c>
      <c r="E19" s="89">
        <v>15</v>
      </c>
      <c r="F19" s="45" t="s">
        <v>93</v>
      </c>
      <c r="G19" s="45"/>
    </row>
    <row r="20" spans="2:8">
      <c r="B20" s="45"/>
      <c r="C20" s="90"/>
      <c r="D20" s="91" t="s">
        <v>405</v>
      </c>
      <c r="E20" s="92">
        <f>E12/E17/(E19)</f>
        <v>76.19047619047619</v>
      </c>
      <c r="F20" s="90" t="s">
        <v>216</v>
      </c>
      <c r="G20" s="90"/>
      <c r="H20" s="93"/>
    </row>
    <row r="21" spans="2:8">
      <c r="B21" s="45"/>
      <c r="C21" s="45"/>
      <c r="D21" s="86" t="s">
        <v>406</v>
      </c>
      <c r="E21" s="48">
        <f>E20/24</f>
        <v>3.1746031746031744</v>
      </c>
      <c r="F21" s="45" t="s">
        <v>303</v>
      </c>
      <c r="G21" s="45"/>
      <c r="H21" s="94"/>
    </row>
    <row r="22" spans="2:8">
      <c r="D22" s="283" t="s">
        <v>1017</v>
      </c>
      <c r="E22" s="48">
        <f>E21/365</f>
        <v>8.6975429441182861E-3</v>
      </c>
      <c r="F22" s="282" t="s">
        <v>1016</v>
      </c>
    </row>
  </sheetData>
  <mergeCells count="3">
    <mergeCell ref="A1:C1"/>
    <mergeCell ref="B10:C12"/>
    <mergeCell ref="B14:C17"/>
  </mergeCells>
  <phoneticPr fontId="42"/>
  <hyperlinks>
    <hyperlink ref="A1:C1" location="目次!A1" display="　目次　" xr:uid="{00000000-0004-0000-1E00-000000000000}"/>
  </hyperlinks>
  <pageMargins left="0.75" right="0.75" top="1" bottom="1" header="0.51180555555555596" footer="0.51180555555555596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32"/>
  <sheetViews>
    <sheetView zoomScale="85" zoomScaleNormal="85" workbookViewId="0">
      <selection sqref="A1:XFD1"/>
    </sheetView>
  </sheetViews>
  <sheetFormatPr defaultColWidth="4.375" defaultRowHeight="13.5"/>
  <cols>
    <col min="1" max="1" width="9" customWidth="1"/>
  </cols>
  <sheetData>
    <row r="1" spans="1:39">
      <c r="A1" s="686" t="s">
        <v>61</v>
      </c>
      <c r="B1" s="686"/>
      <c r="C1" s="686"/>
    </row>
    <row r="2" spans="1:39">
      <c r="A2" t="s">
        <v>479</v>
      </c>
    </row>
    <row r="4" spans="1:39">
      <c r="B4" s="691"/>
      <c r="C4" s="691"/>
      <c r="D4" t="s">
        <v>86</v>
      </c>
    </row>
    <row r="5" spans="1:39">
      <c r="B5" s="71"/>
      <c r="C5" s="71"/>
      <c r="D5" t="s">
        <v>63</v>
      </c>
    </row>
    <row r="6" spans="1:39">
      <c r="B6" s="72"/>
      <c r="C6" s="72"/>
      <c r="D6" t="s">
        <v>151</v>
      </c>
    </row>
    <row r="7" spans="1:39">
      <c r="B7" s="73"/>
      <c r="C7" s="73"/>
    </row>
    <row r="8" spans="1:39">
      <c r="B8" s="73" t="s">
        <v>480</v>
      </c>
      <c r="C8" s="73" t="s">
        <v>481</v>
      </c>
      <c r="D8" s="691">
        <v>0.16</v>
      </c>
      <c r="E8" s="691"/>
      <c r="F8" t="s">
        <v>482</v>
      </c>
    </row>
    <row r="9" spans="1:39">
      <c r="B9" s="73"/>
      <c r="C9" s="73"/>
    </row>
    <row r="11" spans="1:39">
      <c r="B11" s="74" t="s">
        <v>483</v>
      </c>
      <c r="C11" s="75"/>
      <c r="D11" s="75"/>
      <c r="E11" s="75" t="s">
        <v>484</v>
      </c>
      <c r="F11" s="75"/>
      <c r="G11" s="75"/>
      <c r="H11" s="75" t="s">
        <v>102</v>
      </c>
      <c r="I11" s="79">
        <f>1.44*130</f>
        <v>187.2</v>
      </c>
      <c r="J11" s="75" t="s">
        <v>485</v>
      </c>
      <c r="K11" s="75" t="s">
        <v>102</v>
      </c>
      <c r="L11" s="80">
        <f>D8*I11</f>
        <v>29.951999999999998</v>
      </c>
      <c r="M11" s="81" t="s">
        <v>482</v>
      </c>
      <c r="O11" s="74" t="s">
        <v>486</v>
      </c>
      <c r="P11" s="75"/>
      <c r="Q11" s="75"/>
      <c r="R11" s="75" t="s">
        <v>484</v>
      </c>
      <c r="S11" s="75"/>
      <c r="T11" s="75"/>
      <c r="U11" s="75" t="s">
        <v>487</v>
      </c>
      <c r="V11" s="79">
        <v>392</v>
      </c>
      <c r="W11" s="75" t="s">
        <v>485</v>
      </c>
      <c r="X11" s="75" t="s">
        <v>102</v>
      </c>
      <c r="Y11" s="80">
        <f>V11*D8</f>
        <v>62.72</v>
      </c>
      <c r="Z11" s="81" t="s">
        <v>482</v>
      </c>
      <c r="AB11" s="74" t="s">
        <v>488</v>
      </c>
      <c r="AC11" s="75"/>
      <c r="AD11" s="75"/>
      <c r="AE11" s="75" t="s">
        <v>484</v>
      </c>
      <c r="AF11" s="75"/>
      <c r="AG11" s="75"/>
      <c r="AH11" s="75" t="s">
        <v>487</v>
      </c>
      <c r="AI11" s="79">
        <v>445</v>
      </c>
      <c r="AJ11" s="75" t="s">
        <v>485</v>
      </c>
      <c r="AK11" s="75" t="s">
        <v>102</v>
      </c>
      <c r="AL11" s="80">
        <f>AI11*D8</f>
        <v>71.2</v>
      </c>
      <c r="AM11" s="81" t="s">
        <v>482</v>
      </c>
    </row>
    <row r="12" spans="1:39">
      <c r="B12" s="76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82"/>
      <c r="O12" s="76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82"/>
      <c r="AB12" s="76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82"/>
    </row>
    <row r="13" spans="1:39">
      <c r="B13" s="76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82"/>
      <c r="O13" s="76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82"/>
      <c r="AB13" s="76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82"/>
    </row>
    <row r="14" spans="1:39">
      <c r="B14" s="76"/>
      <c r="C14" s="63"/>
      <c r="D14" s="63"/>
      <c r="E14" s="63" t="s">
        <v>489</v>
      </c>
      <c r="F14" s="63"/>
      <c r="G14" s="63"/>
      <c r="H14" s="63"/>
      <c r="I14" s="800">
        <v>65</v>
      </c>
      <c r="J14" s="800"/>
      <c r="K14" s="63" t="s">
        <v>359</v>
      </c>
      <c r="L14" s="63"/>
      <c r="M14" s="82"/>
      <c r="O14" s="76"/>
      <c r="P14" s="63"/>
      <c r="Q14" s="63"/>
      <c r="R14" s="63" t="s">
        <v>489</v>
      </c>
      <c r="S14" s="63"/>
      <c r="T14" s="63"/>
      <c r="U14" s="63"/>
      <c r="V14" s="800">
        <v>110</v>
      </c>
      <c r="W14" s="800"/>
      <c r="X14" s="63" t="s">
        <v>359</v>
      </c>
      <c r="Y14" s="63"/>
      <c r="Z14" s="82"/>
      <c r="AB14" s="76"/>
      <c r="AC14" s="63"/>
      <c r="AD14" s="63"/>
      <c r="AE14" s="63" t="s">
        <v>489</v>
      </c>
      <c r="AF14" s="63"/>
      <c r="AG14" s="63"/>
      <c r="AH14" s="63"/>
      <c r="AI14" s="800">
        <v>50</v>
      </c>
      <c r="AJ14" s="800"/>
      <c r="AK14" s="63" t="s">
        <v>359</v>
      </c>
      <c r="AL14" s="63"/>
      <c r="AM14" s="82"/>
    </row>
    <row r="15" spans="1:39">
      <c r="B15" s="76"/>
      <c r="C15" s="63"/>
      <c r="D15" s="63"/>
      <c r="E15" s="63"/>
      <c r="F15" s="63"/>
      <c r="G15" s="63"/>
      <c r="H15" s="63"/>
      <c r="I15" s="63"/>
      <c r="K15" s="63"/>
      <c r="L15" s="63"/>
      <c r="M15" s="82"/>
      <c r="O15" s="76"/>
      <c r="P15" s="63"/>
      <c r="Q15" s="63"/>
      <c r="R15" s="63"/>
      <c r="S15" s="63"/>
      <c r="T15" s="63"/>
      <c r="U15" s="63"/>
      <c r="V15" s="63"/>
      <c r="X15" s="63"/>
      <c r="Y15" s="63"/>
      <c r="Z15" s="82"/>
      <c r="AB15" s="76"/>
      <c r="AC15" s="63"/>
      <c r="AD15" s="63"/>
      <c r="AE15" s="63"/>
      <c r="AF15" s="63"/>
      <c r="AG15" s="63"/>
      <c r="AH15" s="63"/>
      <c r="AI15" s="63"/>
      <c r="AK15" s="63"/>
      <c r="AL15" s="63"/>
      <c r="AM15" s="82"/>
    </row>
    <row r="16" spans="1:39">
      <c r="B16" s="76"/>
      <c r="C16" s="63"/>
      <c r="D16" s="63"/>
      <c r="E16" s="63" t="s">
        <v>490</v>
      </c>
      <c r="F16" s="63"/>
      <c r="G16" s="63"/>
      <c r="H16" s="63"/>
      <c r="I16" s="800">
        <v>50</v>
      </c>
      <c r="J16" s="800"/>
      <c r="K16" s="63" t="s">
        <v>359</v>
      </c>
      <c r="L16" s="63"/>
      <c r="M16" s="82"/>
      <c r="O16" s="76"/>
      <c r="P16" s="63"/>
      <c r="Q16" s="63"/>
      <c r="R16" s="63" t="s">
        <v>490</v>
      </c>
      <c r="S16" s="63"/>
      <c r="T16" s="63"/>
      <c r="U16" s="63"/>
      <c r="V16" s="800">
        <v>54</v>
      </c>
      <c r="W16" s="800"/>
      <c r="X16" s="63" t="s">
        <v>359</v>
      </c>
      <c r="Y16" s="63"/>
      <c r="Z16" s="82"/>
      <c r="AB16" s="76"/>
      <c r="AC16" s="63"/>
      <c r="AD16" s="63"/>
      <c r="AE16" s="63" t="s">
        <v>490</v>
      </c>
      <c r="AF16" s="63"/>
      <c r="AG16" s="63"/>
      <c r="AH16" s="63"/>
      <c r="AI16" s="800">
        <v>65</v>
      </c>
      <c r="AJ16" s="800"/>
      <c r="AK16" s="63" t="s">
        <v>359</v>
      </c>
      <c r="AL16" s="63"/>
      <c r="AM16" s="82"/>
    </row>
    <row r="17" spans="2:39">
      <c r="B17" s="76"/>
      <c r="C17" s="63"/>
      <c r="D17" s="63"/>
      <c r="E17" s="63"/>
      <c r="F17" s="63"/>
      <c r="G17" s="63"/>
      <c r="H17" s="63"/>
      <c r="I17" s="63"/>
      <c r="K17" s="63"/>
      <c r="L17" s="63"/>
      <c r="M17" s="82"/>
      <c r="O17" s="76"/>
      <c r="P17" s="63"/>
      <c r="Q17" s="63"/>
      <c r="R17" s="63"/>
      <c r="S17" s="63"/>
      <c r="T17" s="63"/>
      <c r="U17" s="63"/>
      <c r="V17" s="63"/>
      <c r="X17" s="63"/>
      <c r="Y17" s="63"/>
      <c r="Z17" s="82"/>
      <c r="AB17" s="76"/>
      <c r="AC17" s="63"/>
      <c r="AD17" s="63"/>
      <c r="AE17" s="63"/>
      <c r="AF17" s="63"/>
      <c r="AG17" s="63"/>
      <c r="AH17" s="63"/>
      <c r="AI17" s="63"/>
      <c r="AK17" s="63"/>
      <c r="AL17" s="63"/>
      <c r="AM17" s="82"/>
    </row>
    <row r="18" spans="2:39">
      <c r="B18" s="76"/>
      <c r="C18" s="63"/>
      <c r="D18" s="63"/>
      <c r="E18" s="63" t="s">
        <v>491</v>
      </c>
      <c r="F18" s="63"/>
      <c r="G18" s="63"/>
      <c r="H18" s="63"/>
      <c r="I18" s="800">
        <v>2</v>
      </c>
      <c r="J18" s="800"/>
      <c r="K18" s="63" t="s">
        <v>492</v>
      </c>
      <c r="L18" s="63"/>
      <c r="M18" s="82"/>
      <c r="O18" s="76"/>
      <c r="P18" s="63"/>
      <c r="Q18" s="63"/>
      <c r="R18" s="63" t="s">
        <v>491</v>
      </c>
      <c r="S18" s="63"/>
      <c r="T18" s="63"/>
      <c r="U18" s="63"/>
      <c r="V18" s="800">
        <v>2</v>
      </c>
      <c r="W18" s="800"/>
      <c r="X18" s="63" t="s">
        <v>492</v>
      </c>
      <c r="Y18" s="63"/>
      <c r="Z18" s="82"/>
      <c r="AB18" s="76"/>
      <c r="AC18" s="63"/>
      <c r="AD18" s="63"/>
      <c r="AE18" s="63" t="s">
        <v>491</v>
      </c>
      <c r="AF18" s="63"/>
      <c r="AG18" s="63"/>
      <c r="AH18" s="63"/>
      <c r="AI18" s="800">
        <v>4</v>
      </c>
      <c r="AJ18" s="800"/>
      <c r="AK18" s="63" t="s">
        <v>492</v>
      </c>
      <c r="AL18" s="63"/>
      <c r="AM18" s="82"/>
    </row>
    <row r="19" spans="2:39">
      <c r="B19" s="76"/>
      <c r="C19" s="63"/>
      <c r="D19" s="63"/>
      <c r="E19" s="63"/>
      <c r="F19" s="63"/>
      <c r="G19" s="63"/>
      <c r="H19" s="63"/>
      <c r="I19" s="63"/>
      <c r="K19" s="63"/>
      <c r="L19" s="63"/>
      <c r="M19" s="82"/>
      <c r="O19" s="76"/>
      <c r="P19" s="63"/>
      <c r="Q19" s="63"/>
      <c r="R19" s="63"/>
      <c r="S19" s="63"/>
      <c r="T19" s="63"/>
      <c r="U19" s="63"/>
      <c r="V19" s="63"/>
      <c r="X19" s="63"/>
      <c r="Y19" s="63"/>
      <c r="Z19" s="82"/>
      <c r="AB19" s="76"/>
      <c r="AC19" s="63"/>
      <c r="AD19" s="63"/>
      <c r="AE19" s="63"/>
      <c r="AF19" s="63"/>
      <c r="AG19" s="63"/>
      <c r="AH19" s="63"/>
      <c r="AI19" s="63"/>
      <c r="AK19" s="63"/>
      <c r="AL19" s="63"/>
      <c r="AM19" s="82"/>
    </row>
    <row r="20" spans="2:39">
      <c r="B20" s="76"/>
      <c r="C20" s="63"/>
      <c r="D20" s="63"/>
      <c r="E20" s="63" t="s">
        <v>493</v>
      </c>
      <c r="F20" s="63"/>
      <c r="G20" s="63"/>
      <c r="H20" s="63"/>
      <c r="I20" s="800">
        <v>4</v>
      </c>
      <c r="J20" s="800"/>
      <c r="K20" s="63" t="s">
        <v>492</v>
      </c>
      <c r="L20" s="63"/>
      <c r="M20" s="82"/>
      <c r="O20" s="76"/>
      <c r="P20" s="63"/>
      <c r="Q20" s="63"/>
      <c r="R20" s="63" t="s">
        <v>493</v>
      </c>
      <c r="S20" s="63"/>
      <c r="T20" s="63"/>
      <c r="U20" s="63"/>
      <c r="V20" s="800">
        <v>2</v>
      </c>
      <c r="W20" s="800"/>
      <c r="X20" s="63" t="s">
        <v>492</v>
      </c>
      <c r="Y20" s="63"/>
      <c r="Z20" s="82"/>
      <c r="AB20" s="76"/>
      <c r="AC20" s="63"/>
      <c r="AD20" s="63"/>
      <c r="AE20" s="63" t="s">
        <v>493</v>
      </c>
      <c r="AF20" s="63"/>
      <c r="AG20" s="63"/>
      <c r="AH20" s="63"/>
      <c r="AI20" s="800">
        <v>2</v>
      </c>
      <c r="AJ20" s="800"/>
      <c r="AK20" s="63" t="s">
        <v>492</v>
      </c>
      <c r="AL20" s="63"/>
      <c r="AM20" s="82"/>
    </row>
    <row r="21" spans="2:39">
      <c r="B21" s="76"/>
      <c r="C21" s="63"/>
      <c r="D21" s="63"/>
      <c r="E21" s="63"/>
      <c r="F21" s="63"/>
      <c r="G21" s="63"/>
      <c r="H21" s="63"/>
      <c r="I21" s="63"/>
      <c r="K21" s="63"/>
      <c r="L21" s="63"/>
      <c r="M21" s="82"/>
      <c r="O21" s="76"/>
      <c r="P21" s="63"/>
      <c r="Q21" s="63"/>
      <c r="R21" s="63"/>
      <c r="S21" s="63"/>
      <c r="T21" s="63"/>
      <c r="U21" s="63"/>
      <c r="V21" s="63"/>
      <c r="X21" s="63"/>
      <c r="Y21" s="63"/>
      <c r="Z21" s="82"/>
      <c r="AB21" s="76"/>
      <c r="AC21" s="63"/>
      <c r="AD21" s="63"/>
      <c r="AE21" s="63"/>
      <c r="AF21" s="63"/>
      <c r="AG21" s="63"/>
      <c r="AH21" s="63"/>
      <c r="AI21" s="63"/>
      <c r="AK21" s="63"/>
      <c r="AL21" s="63"/>
      <c r="AM21" s="82"/>
    </row>
    <row r="22" spans="2:39">
      <c r="B22" s="76"/>
      <c r="C22" s="63"/>
      <c r="D22" s="63"/>
      <c r="E22" s="63" t="s">
        <v>494</v>
      </c>
      <c r="F22" s="63"/>
      <c r="G22" s="63"/>
      <c r="H22" s="63"/>
      <c r="I22" s="718">
        <f>I14*I18+2*(2+I18-1)+20</f>
        <v>156</v>
      </c>
      <c r="J22" s="718"/>
      <c r="K22" s="63" t="s">
        <v>359</v>
      </c>
      <c r="L22" s="63"/>
      <c r="M22" s="82"/>
      <c r="O22" s="76"/>
      <c r="P22" s="63"/>
      <c r="Q22" s="63"/>
      <c r="R22" s="63" t="s">
        <v>494</v>
      </c>
      <c r="S22" s="63"/>
      <c r="T22" s="63"/>
      <c r="U22" s="63"/>
      <c r="V22" s="718">
        <f>V14*V18+2*(2+V18-1)+20</f>
        <v>246</v>
      </c>
      <c r="W22" s="718"/>
      <c r="X22" s="63" t="s">
        <v>359</v>
      </c>
      <c r="Y22" s="63"/>
      <c r="Z22" s="82"/>
      <c r="AB22" s="76"/>
      <c r="AC22" s="63"/>
      <c r="AD22" s="63"/>
      <c r="AE22" s="63" t="s">
        <v>494</v>
      </c>
      <c r="AF22" s="63"/>
      <c r="AG22" s="63"/>
      <c r="AH22" s="63"/>
      <c r="AI22" s="718">
        <f>AI14*AI18+2*(2+AI18-1)+20</f>
        <v>230</v>
      </c>
      <c r="AJ22" s="718"/>
      <c r="AK22" s="63" t="s">
        <v>359</v>
      </c>
      <c r="AL22" s="63"/>
      <c r="AM22" s="82"/>
    </row>
    <row r="23" spans="2:39">
      <c r="B23" s="76"/>
      <c r="C23" s="63"/>
      <c r="D23" s="63"/>
      <c r="E23" s="63"/>
      <c r="F23" s="63"/>
      <c r="G23" s="63"/>
      <c r="H23" s="63"/>
      <c r="I23" s="63"/>
      <c r="K23" s="63"/>
      <c r="L23" s="63"/>
      <c r="M23" s="82"/>
      <c r="O23" s="76"/>
      <c r="P23" s="63"/>
      <c r="Q23" s="63"/>
      <c r="R23" s="63"/>
      <c r="S23" s="63"/>
      <c r="T23" s="63"/>
      <c r="U23" s="63"/>
      <c r="V23" s="63"/>
      <c r="X23" s="63"/>
      <c r="Y23" s="63"/>
      <c r="Z23" s="82"/>
      <c r="AB23" s="76"/>
      <c r="AC23" s="63"/>
      <c r="AD23" s="63"/>
      <c r="AE23" s="63"/>
      <c r="AF23" s="63"/>
      <c r="AG23" s="63"/>
      <c r="AH23" s="63"/>
      <c r="AI23" s="63"/>
      <c r="AK23" s="63"/>
      <c r="AL23" s="63"/>
      <c r="AM23" s="82"/>
    </row>
    <row r="24" spans="2:39">
      <c r="B24" s="76"/>
      <c r="C24" s="63"/>
      <c r="D24" s="63"/>
      <c r="E24" s="63" t="s">
        <v>495</v>
      </c>
      <c r="F24" s="63"/>
      <c r="G24" s="63"/>
      <c r="H24" s="63"/>
      <c r="I24" s="718">
        <f>(I16*I20)+2*(2+I20-1)+20</f>
        <v>230</v>
      </c>
      <c r="J24" s="718"/>
      <c r="K24" s="63" t="s">
        <v>359</v>
      </c>
      <c r="L24" s="63"/>
      <c r="M24" s="82"/>
      <c r="O24" s="76"/>
      <c r="P24" s="63"/>
      <c r="Q24" s="63"/>
      <c r="R24" s="63" t="s">
        <v>495</v>
      </c>
      <c r="S24" s="63"/>
      <c r="T24" s="63"/>
      <c r="U24" s="63"/>
      <c r="V24" s="718">
        <f>(V16*V20)+2*(2+V20-1)+20</f>
        <v>134</v>
      </c>
      <c r="W24" s="718"/>
      <c r="X24" s="63" t="s">
        <v>359</v>
      </c>
      <c r="Y24" s="63"/>
      <c r="Z24" s="82"/>
      <c r="AB24" s="76"/>
      <c r="AC24" s="63"/>
      <c r="AD24" s="63"/>
      <c r="AE24" s="63" t="s">
        <v>495</v>
      </c>
      <c r="AF24" s="63"/>
      <c r="AG24" s="63"/>
      <c r="AH24" s="63"/>
      <c r="AI24" s="718">
        <f>(AI16*AI20)+2*(2+AI20-1)+20</f>
        <v>156</v>
      </c>
      <c r="AJ24" s="718"/>
      <c r="AK24" s="63" t="s">
        <v>359</v>
      </c>
      <c r="AL24" s="63"/>
      <c r="AM24" s="82"/>
    </row>
    <row r="25" spans="2:39">
      <c r="B25" s="76"/>
      <c r="C25" s="63"/>
      <c r="D25" s="63"/>
      <c r="E25" s="63"/>
      <c r="F25" s="63"/>
      <c r="G25" s="63"/>
      <c r="H25" s="63"/>
      <c r="I25" s="63"/>
      <c r="K25" s="63"/>
      <c r="L25" s="63"/>
      <c r="M25" s="82"/>
      <c r="O25" s="76"/>
      <c r="P25" s="63"/>
      <c r="Q25" s="63"/>
      <c r="R25" s="63"/>
      <c r="S25" s="63"/>
      <c r="T25" s="63"/>
      <c r="U25" s="63"/>
      <c r="V25" s="63"/>
      <c r="X25" s="63"/>
      <c r="Y25" s="63"/>
      <c r="Z25" s="82"/>
      <c r="AB25" s="76"/>
      <c r="AC25" s="63"/>
      <c r="AD25" s="63"/>
      <c r="AE25" s="63"/>
      <c r="AF25" s="63"/>
      <c r="AG25" s="63"/>
      <c r="AH25" s="63"/>
      <c r="AI25" s="63"/>
      <c r="AK25" s="63"/>
      <c r="AL25" s="63"/>
      <c r="AM25" s="82"/>
    </row>
    <row r="26" spans="2:39">
      <c r="B26" s="76"/>
      <c r="C26" s="63"/>
      <c r="D26" s="63"/>
      <c r="E26" s="63" t="s">
        <v>496</v>
      </c>
      <c r="F26" s="63"/>
      <c r="G26" s="63"/>
      <c r="H26" s="63"/>
      <c r="I26" s="718">
        <f>I18*I20</f>
        <v>8</v>
      </c>
      <c r="J26" s="718"/>
      <c r="K26" s="63" t="s">
        <v>492</v>
      </c>
      <c r="L26" s="63"/>
      <c r="M26" s="82"/>
      <c r="O26" s="76"/>
      <c r="P26" s="63"/>
      <c r="Q26" s="63"/>
      <c r="R26" s="63" t="s">
        <v>496</v>
      </c>
      <c r="S26" s="63"/>
      <c r="T26" s="63"/>
      <c r="U26" s="63"/>
      <c r="V26" s="718">
        <f>V18*V20</f>
        <v>4</v>
      </c>
      <c r="W26" s="718"/>
      <c r="X26" s="63" t="s">
        <v>492</v>
      </c>
      <c r="Y26" s="63"/>
      <c r="Z26" s="82"/>
      <c r="AB26" s="76"/>
      <c r="AC26" s="63"/>
      <c r="AD26" s="63"/>
      <c r="AE26" s="63" t="s">
        <v>496</v>
      </c>
      <c r="AF26" s="63"/>
      <c r="AG26" s="63"/>
      <c r="AH26" s="63"/>
      <c r="AI26" s="718">
        <f>AI18*AI20</f>
        <v>8</v>
      </c>
      <c r="AJ26" s="718"/>
      <c r="AK26" s="63" t="s">
        <v>492</v>
      </c>
      <c r="AL26" s="63"/>
      <c r="AM26" s="82"/>
    </row>
    <row r="27" spans="2:39">
      <c r="B27" s="76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82"/>
      <c r="O27" s="76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82"/>
      <c r="AB27" s="76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82"/>
    </row>
    <row r="28" spans="2:39">
      <c r="B28" s="76"/>
      <c r="C28" s="63"/>
      <c r="D28" s="63"/>
      <c r="E28" s="63" t="s">
        <v>497</v>
      </c>
      <c r="F28" s="63"/>
      <c r="G28" s="63"/>
      <c r="H28" s="63"/>
      <c r="I28" s="63"/>
      <c r="J28" s="63"/>
      <c r="K28" s="63"/>
      <c r="L28" s="63"/>
      <c r="M28" s="82"/>
      <c r="O28" s="76"/>
      <c r="P28" s="63"/>
      <c r="Q28" s="63"/>
      <c r="R28" s="63" t="s">
        <v>497</v>
      </c>
      <c r="S28" s="63"/>
      <c r="T28" s="63"/>
      <c r="U28" s="63"/>
      <c r="V28" s="63"/>
      <c r="W28" s="63"/>
      <c r="X28" s="63"/>
      <c r="Y28" s="63"/>
      <c r="Z28" s="82"/>
      <c r="AB28" s="76"/>
      <c r="AC28" s="63"/>
      <c r="AD28" s="63"/>
      <c r="AE28" s="63" t="s">
        <v>497</v>
      </c>
      <c r="AF28" s="63"/>
      <c r="AG28" s="63"/>
      <c r="AH28" s="63"/>
      <c r="AI28" s="63"/>
      <c r="AJ28" s="63"/>
      <c r="AK28" s="63"/>
      <c r="AL28" s="63"/>
      <c r="AM28" s="82"/>
    </row>
    <row r="29" spans="2:39">
      <c r="B29" s="76"/>
      <c r="C29" s="63"/>
      <c r="D29" s="63"/>
      <c r="E29" s="63"/>
      <c r="F29" s="63"/>
      <c r="G29" s="63"/>
      <c r="H29" s="63"/>
      <c r="I29" s="718">
        <f>(ROUNDDOWN(1200/I22,0)*ROUNDDOWN(1200/I24,0))*I26</f>
        <v>280</v>
      </c>
      <c r="J29" s="718"/>
      <c r="K29" s="63" t="s">
        <v>492</v>
      </c>
      <c r="L29" s="63"/>
      <c r="M29" s="82"/>
      <c r="O29" s="76"/>
      <c r="P29" s="63"/>
      <c r="Q29" s="63"/>
      <c r="R29" s="63"/>
      <c r="S29" s="63"/>
      <c r="T29" s="63"/>
      <c r="U29" s="63"/>
      <c r="V29" s="718">
        <f>(ROUNDDOWN(1200/V22,0)*ROUNDDOWN(1200/V24,0))*V26</f>
        <v>128</v>
      </c>
      <c r="W29" s="718"/>
      <c r="X29" s="63" t="s">
        <v>492</v>
      </c>
      <c r="Y29" s="63"/>
      <c r="Z29" s="82"/>
      <c r="AB29" s="76"/>
      <c r="AC29" s="63"/>
      <c r="AD29" s="63"/>
      <c r="AE29" s="63"/>
      <c r="AF29" s="63"/>
      <c r="AG29" s="63"/>
      <c r="AH29" s="63"/>
      <c r="AI29" s="718">
        <f>(ROUNDDOWN(1200/AI22,0)*ROUNDDOWN(1200/AI24,0))*AI26</f>
        <v>280</v>
      </c>
      <c r="AJ29" s="718"/>
      <c r="AK29" s="63" t="s">
        <v>492</v>
      </c>
      <c r="AL29" s="63"/>
      <c r="AM29" s="82"/>
    </row>
    <row r="30" spans="2:39">
      <c r="B30" s="76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82"/>
      <c r="O30" s="76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82"/>
      <c r="AB30" s="76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82"/>
    </row>
    <row r="31" spans="2:39">
      <c r="B31" s="76"/>
      <c r="C31" s="63"/>
      <c r="D31" s="63"/>
      <c r="E31" s="63" t="s">
        <v>498</v>
      </c>
      <c r="F31" s="63"/>
      <c r="G31" s="63"/>
      <c r="H31" s="63"/>
      <c r="I31" s="718">
        <f>L11/I29</f>
        <v>0.10697142857142856</v>
      </c>
      <c r="J31" s="718"/>
      <c r="K31" s="63" t="s">
        <v>482</v>
      </c>
      <c r="L31" s="63"/>
      <c r="M31" s="82"/>
      <c r="O31" s="76"/>
      <c r="P31" s="63"/>
      <c r="Q31" s="63"/>
      <c r="R31" s="63" t="s">
        <v>498</v>
      </c>
      <c r="S31" s="63"/>
      <c r="T31" s="63"/>
      <c r="U31" s="63"/>
      <c r="V31" s="718">
        <f>Y11/V29</f>
        <v>0.49</v>
      </c>
      <c r="W31" s="718"/>
      <c r="X31" s="63" t="s">
        <v>482</v>
      </c>
      <c r="Y31" s="63"/>
      <c r="Z31" s="82"/>
      <c r="AB31" s="76"/>
      <c r="AC31" s="63"/>
      <c r="AD31" s="63"/>
      <c r="AE31" s="63" t="s">
        <v>498</v>
      </c>
      <c r="AF31" s="63"/>
      <c r="AG31" s="63"/>
      <c r="AH31" s="63"/>
      <c r="AI31" s="718">
        <f>AL11/AI29</f>
        <v>0.25428571428571428</v>
      </c>
      <c r="AJ31" s="718"/>
      <c r="AK31" s="63" t="s">
        <v>482</v>
      </c>
      <c r="AL31" s="63"/>
      <c r="AM31" s="82"/>
    </row>
    <row r="32" spans="2:39">
      <c r="B32" s="77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83"/>
      <c r="O32" s="77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83"/>
      <c r="AB32" s="77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83"/>
    </row>
  </sheetData>
  <mergeCells count="30">
    <mergeCell ref="I29:J29"/>
    <mergeCell ref="V29:W29"/>
    <mergeCell ref="AI29:AJ29"/>
    <mergeCell ref="I31:J31"/>
    <mergeCell ref="V31:W31"/>
    <mergeCell ref="AI31:AJ31"/>
    <mergeCell ref="I24:J24"/>
    <mergeCell ref="V24:W24"/>
    <mergeCell ref="AI24:AJ24"/>
    <mergeCell ref="I26:J26"/>
    <mergeCell ref="V26:W26"/>
    <mergeCell ref="AI26:AJ26"/>
    <mergeCell ref="I20:J20"/>
    <mergeCell ref="V20:W20"/>
    <mergeCell ref="AI20:AJ20"/>
    <mergeCell ref="I22:J22"/>
    <mergeCell ref="V22:W22"/>
    <mergeCell ref="AI22:AJ22"/>
    <mergeCell ref="AI14:AJ14"/>
    <mergeCell ref="I16:J16"/>
    <mergeCell ref="V16:W16"/>
    <mergeCell ref="AI16:AJ16"/>
    <mergeCell ref="I18:J18"/>
    <mergeCell ref="V18:W18"/>
    <mergeCell ref="AI18:AJ18"/>
    <mergeCell ref="A1:C1"/>
    <mergeCell ref="B4:C4"/>
    <mergeCell ref="D8:E8"/>
    <mergeCell ref="I14:J14"/>
    <mergeCell ref="V14:W14"/>
  </mergeCells>
  <phoneticPr fontId="42"/>
  <hyperlinks>
    <hyperlink ref="A1:C1" location="目次!A1" display="　目次　" xr:uid="{00000000-0004-0000-1F00-000000000000}"/>
  </hyperlinks>
  <pageMargins left="0.75" right="0.75" top="1" bottom="1" header="0.51180555555555596" footer="0.51180555555555596"/>
  <pageSetup paperSize="9"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Y117"/>
  <sheetViews>
    <sheetView zoomScale="85" zoomScaleNormal="85" workbookViewId="0">
      <selection sqref="A1:C1"/>
    </sheetView>
  </sheetViews>
  <sheetFormatPr defaultColWidth="9" defaultRowHeight="13.5"/>
  <cols>
    <col min="1" max="1" width="12.375" customWidth="1"/>
    <col min="14" max="14" width="14.75" customWidth="1"/>
  </cols>
  <sheetData>
    <row r="1" spans="1:25">
      <c r="A1" s="686" t="s">
        <v>61</v>
      </c>
      <c r="B1" s="686"/>
      <c r="C1" s="686"/>
    </row>
    <row r="2" spans="1:25">
      <c r="A2" s="24" t="s">
        <v>499</v>
      </c>
    </row>
    <row r="5" spans="1:25">
      <c r="B5">
        <v>25</v>
      </c>
      <c r="C5" t="s">
        <v>378</v>
      </c>
    </row>
    <row r="6" spans="1:25">
      <c r="B6">
        <f>60*60*24*30</f>
        <v>2592000</v>
      </c>
      <c r="C6" t="s">
        <v>500</v>
      </c>
    </row>
    <row r="7" spans="1:25">
      <c r="B7">
        <f>B6*(B5*10^-6)</f>
        <v>64.8</v>
      </c>
    </row>
    <row r="8" spans="1:25">
      <c r="M8" t="s">
        <v>501</v>
      </c>
    </row>
    <row r="9" spans="1:25">
      <c r="M9">
        <v>250</v>
      </c>
      <c r="N9" t="s">
        <v>502</v>
      </c>
      <c r="O9">
        <v>250</v>
      </c>
      <c r="P9" t="s">
        <v>502</v>
      </c>
      <c r="Q9">
        <v>250</v>
      </c>
      <c r="R9" t="s">
        <v>502</v>
      </c>
      <c r="S9">
        <v>250</v>
      </c>
      <c r="T9" t="s">
        <v>502</v>
      </c>
      <c r="V9" t="s">
        <v>502</v>
      </c>
      <c r="W9">
        <f t="shared" ref="W9:W15" si="0">M9</f>
        <v>250</v>
      </c>
      <c r="X9">
        <v>6.8</v>
      </c>
      <c r="Y9" t="s">
        <v>503</v>
      </c>
    </row>
    <row r="10" spans="1:25">
      <c r="M10">
        <v>35</v>
      </c>
      <c r="N10" t="s">
        <v>502</v>
      </c>
      <c r="O10">
        <v>29</v>
      </c>
      <c r="P10" t="s">
        <v>502</v>
      </c>
      <c r="Q10">
        <v>28</v>
      </c>
      <c r="R10" t="s">
        <v>502</v>
      </c>
      <c r="S10">
        <v>25</v>
      </c>
      <c r="T10" t="s">
        <v>502</v>
      </c>
      <c r="V10" t="s">
        <v>502</v>
      </c>
      <c r="W10">
        <f t="shared" si="0"/>
        <v>35</v>
      </c>
      <c r="X10">
        <v>250</v>
      </c>
      <c r="Y10" t="s">
        <v>119</v>
      </c>
    </row>
    <row r="11" spans="1:25">
      <c r="B11" t="s">
        <v>504</v>
      </c>
      <c r="M11">
        <f>M9/M10</f>
        <v>7.1428571428571432</v>
      </c>
      <c r="N11" t="s">
        <v>131</v>
      </c>
      <c r="O11">
        <f>O9/O10</f>
        <v>8.6206896551724146</v>
      </c>
      <c r="P11" t="s">
        <v>131</v>
      </c>
      <c r="Q11">
        <f>Q9/Q10</f>
        <v>8.9285714285714288</v>
      </c>
      <c r="R11" t="s">
        <v>131</v>
      </c>
      <c r="S11">
        <f>S9/S10</f>
        <v>10</v>
      </c>
      <c r="T11" t="s">
        <v>131</v>
      </c>
      <c r="U11" t="e">
        <f>U9/U10</f>
        <v>#DIV/0!</v>
      </c>
      <c r="V11" t="s">
        <v>131</v>
      </c>
    </row>
    <row r="12" spans="1:25">
      <c r="B12">
        <v>5</v>
      </c>
      <c r="C12" t="s">
        <v>505</v>
      </c>
    </row>
    <row r="13" spans="1:25">
      <c r="B13">
        <v>60</v>
      </c>
      <c r="C13" t="s">
        <v>293</v>
      </c>
      <c r="M13" t="s">
        <v>501</v>
      </c>
    </row>
    <row r="14" spans="1:25">
      <c r="B14">
        <v>60</v>
      </c>
      <c r="C14" t="s">
        <v>294</v>
      </c>
      <c r="M14">
        <v>200</v>
      </c>
      <c r="N14" t="s">
        <v>502</v>
      </c>
      <c r="O14">
        <v>200</v>
      </c>
      <c r="P14" t="s">
        <v>502</v>
      </c>
      <c r="Q14">
        <v>200</v>
      </c>
      <c r="R14" t="s">
        <v>502</v>
      </c>
      <c r="S14">
        <v>200</v>
      </c>
      <c r="T14" t="s">
        <v>502</v>
      </c>
      <c r="V14" t="s">
        <v>502</v>
      </c>
      <c r="W14">
        <f t="shared" si="0"/>
        <v>200</v>
      </c>
      <c r="X14">
        <f>(W14/W9)^2*X9</f>
        <v>4.3520000000000003</v>
      </c>
      <c r="Y14" t="s">
        <v>503</v>
      </c>
    </row>
    <row r="15" spans="1:25">
      <c r="B15">
        <v>3</v>
      </c>
      <c r="C15" t="s">
        <v>216</v>
      </c>
      <c r="M15">
        <v>28</v>
      </c>
      <c r="N15" t="s">
        <v>502</v>
      </c>
      <c r="O15">
        <v>23</v>
      </c>
      <c r="P15" t="s">
        <v>502</v>
      </c>
      <c r="Q15">
        <v>22</v>
      </c>
      <c r="R15" t="s">
        <v>502</v>
      </c>
      <c r="S15">
        <v>20</v>
      </c>
      <c r="T15" t="s">
        <v>502</v>
      </c>
      <c r="V15" t="s">
        <v>502</v>
      </c>
      <c r="W15">
        <f t="shared" si="0"/>
        <v>28</v>
      </c>
      <c r="X15">
        <f>(W15/W10)^2*X10</f>
        <v>160.00000000000003</v>
      </c>
      <c r="Y15" t="s">
        <v>119</v>
      </c>
    </row>
    <row r="16" spans="1:25">
      <c r="B16">
        <f>B15/24</f>
        <v>0.125</v>
      </c>
      <c r="C16" t="s">
        <v>303</v>
      </c>
      <c r="M16">
        <f>M14/M15</f>
        <v>7.1428571428571432</v>
      </c>
      <c r="N16" t="s">
        <v>131</v>
      </c>
      <c r="O16">
        <f>O14/O15</f>
        <v>8.695652173913043</v>
      </c>
      <c r="P16" t="s">
        <v>131</v>
      </c>
      <c r="Q16">
        <f>Q14/Q15</f>
        <v>9.0909090909090917</v>
      </c>
      <c r="R16" t="s">
        <v>131</v>
      </c>
      <c r="S16">
        <f>S14/S15</f>
        <v>10</v>
      </c>
      <c r="T16" t="s">
        <v>131</v>
      </c>
      <c r="U16" t="e">
        <f>U14/U15</f>
        <v>#DIV/0!</v>
      </c>
      <c r="V16" t="s">
        <v>131</v>
      </c>
    </row>
    <row r="18" spans="1:25">
      <c r="A18" t="s">
        <v>506</v>
      </c>
      <c r="B18">
        <f>B13/(B12*2)</f>
        <v>6</v>
      </c>
      <c r="C18" t="s">
        <v>507</v>
      </c>
      <c r="M18" t="s">
        <v>501</v>
      </c>
    </row>
    <row r="19" spans="1:25">
      <c r="A19" t="s">
        <v>508</v>
      </c>
      <c r="B19">
        <f>B14*B18</f>
        <v>360</v>
      </c>
      <c r="C19" t="s">
        <v>509</v>
      </c>
      <c r="M19">
        <v>150</v>
      </c>
      <c r="N19" t="s">
        <v>502</v>
      </c>
      <c r="O19">
        <v>150</v>
      </c>
      <c r="P19" t="s">
        <v>502</v>
      </c>
      <c r="Q19">
        <v>150</v>
      </c>
      <c r="R19" t="s">
        <v>502</v>
      </c>
      <c r="S19">
        <v>150</v>
      </c>
      <c r="T19" t="s">
        <v>502</v>
      </c>
      <c r="V19" t="s">
        <v>502</v>
      </c>
      <c r="W19">
        <f>M19</f>
        <v>150</v>
      </c>
      <c r="X19">
        <f>(W19/W9)^2*X9</f>
        <v>2.448</v>
      </c>
      <c r="Y19" t="s">
        <v>503</v>
      </c>
    </row>
    <row r="20" spans="1:25">
      <c r="A20" t="s">
        <v>510</v>
      </c>
      <c r="B20">
        <f>B19*24</f>
        <v>8640</v>
      </c>
      <c r="C20" t="s">
        <v>511</v>
      </c>
      <c r="M20">
        <v>21</v>
      </c>
      <c r="N20" t="s">
        <v>502</v>
      </c>
      <c r="O20">
        <v>17</v>
      </c>
      <c r="P20" t="s">
        <v>502</v>
      </c>
      <c r="Q20">
        <v>16</v>
      </c>
      <c r="R20" t="s">
        <v>502</v>
      </c>
      <c r="S20">
        <v>15</v>
      </c>
      <c r="T20" t="s">
        <v>502</v>
      </c>
      <c r="V20" t="s">
        <v>502</v>
      </c>
      <c r="X20">
        <f>(W19/W9)^2*X10</f>
        <v>90</v>
      </c>
      <c r="Y20" t="s">
        <v>119</v>
      </c>
    </row>
    <row r="21" spans="1:25">
      <c r="A21" t="s">
        <v>510</v>
      </c>
      <c r="B21">
        <f>B20*B16</f>
        <v>1080</v>
      </c>
      <c r="C21" t="s">
        <v>512</v>
      </c>
      <c r="M21">
        <f>M19/M20</f>
        <v>7.1428571428571432</v>
      </c>
      <c r="N21" t="s">
        <v>131</v>
      </c>
      <c r="O21">
        <f>O19/O20</f>
        <v>8.8235294117647065</v>
      </c>
      <c r="P21" t="s">
        <v>131</v>
      </c>
      <c r="Q21">
        <f>Q19/Q20</f>
        <v>9.375</v>
      </c>
      <c r="R21" t="s">
        <v>131</v>
      </c>
      <c r="S21">
        <f>S19/S20</f>
        <v>10</v>
      </c>
      <c r="T21" t="s">
        <v>131</v>
      </c>
      <c r="U21" t="e">
        <f>U19/U20</f>
        <v>#DIV/0!</v>
      </c>
      <c r="V21" t="s">
        <v>131</v>
      </c>
    </row>
    <row r="23" spans="1:25">
      <c r="A23" t="s">
        <v>513</v>
      </c>
      <c r="M23" t="s">
        <v>501</v>
      </c>
    </row>
    <row r="24" spans="1:25">
      <c r="M24">
        <v>100</v>
      </c>
      <c r="N24" t="s">
        <v>502</v>
      </c>
      <c r="O24">
        <v>100</v>
      </c>
      <c r="P24" t="s">
        <v>502</v>
      </c>
      <c r="Q24">
        <v>100</v>
      </c>
      <c r="R24" t="s">
        <v>502</v>
      </c>
      <c r="S24">
        <v>100</v>
      </c>
      <c r="T24" t="s">
        <v>502</v>
      </c>
      <c r="V24" t="s">
        <v>502</v>
      </c>
      <c r="W24">
        <f>M24</f>
        <v>100</v>
      </c>
      <c r="X24">
        <f>(W24/W9)^2*X9</f>
        <v>1.0880000000000001</v>
      </c>
      <c r="Y24" t="s">
        <v>503</v>
      </c>
    </row>
    <row r="25" spans="1:25">
      <c r="M25">
        <v>14</v>
      </c>
      <c r="N25" t="s">
        <v>502</v>
      </c>
      <c r="O25">
        <v>12</v>
      </c>
      <c r="P25" t="s">
        <v>502</v>
      </c>
      <c r="Q25">
        <v>11</v>
      </c>
      <c r="R25" t="s">
        <v>502</v>
      </c>
      <c r="S25">
        <v>10</v>
      </c>
      <c r="T25" t="s">
        <v>502</v>
      </c>
      <c r="V25" t="s">
        <v>502</v>
      </c>
      <c r="X25">
        <f>(W24/W9)^2*X10</f>
        <v>40.000000000000007</v>
      </c>
      <c r="Y25" t="s">
        <v>119</v>
      </c>
    </row>
    <row r="26" spans="1:25">
      <c r="M26">
        <f>M24/M25</f>
        <v>7.1428571428571432</v>
      </c>
      <c r="N26" t="s">
        <v>131</v>
      </c>
      <c r="O26">
        <f>O24/O25</f>
        <v>8.3333333333333339</v>
      </c>
      <c r="P26" t="s">
        <v>131</v>
      </c>
      <c r="Q26">
        <f>Q24/Q25</f>
        <v>9.0909090909090917</v>
      </c>
      <c r="R26" t="s">
        <v>131</v>
      </c>
      <c r="S26">
        <f>S24/S25</f>
        <v>10</v>
      </c>
      <c r="T26" t="s">
        <v>131</v>
      </c>
      <c r="U26" t="e">
        <f>U24/U25</f>
        <v>#DIV/0!</v>
      </c>
      <c r="V26" t="s">
        <v>131</v>
      </c>
    </row>
    <row r="27" spans="1:25">
      <c r="B27" t="s">
        <v>504</v>
      </c>
    </row>
    <row r="28" spans="1:25">
      <c r="B28">
        <v>5</v>
      </c>
      <c r="C28" t="s">
        <v>505</v>
      </c>
      <c r="M28" t="s">
        <v>501</v>
      </c>
    </row>
    <row r="29" spans="1:25">
      <c r="B29">
        <v>60</v>
      </c>
      <c r="C29" t="s">
        <v>293</v>
      </c>
      <c r="N29" t="s">
        <v>502</v>
      </c>
      <c r="P29" t="s">
        <v>502</v>
      </c>
      <c r="R29" t="s">
        <v>502</v>
      </c>
      <c r="T29" t="s">
        <v>502</v>
      </c>
      <c r="V29" t="s">
        <v>502</v>
      </c>
    </row>
    <row r="30" spans="1:25">
      <c r="B30">
        <v>60</v>
      </c>
      <c r="C30" t="s">
        <v>294</v>
      </c>
      <c r="N30" t="s">
        <v>502</v>
      </c>
      <c r="P30" t="s">
        <v>502</v>
      </c>
      <c r="R30" t="s">
        <v>502</v>
      </c>
      <c r="T30" t="s">
        <v>502</v>
      </c>
      <c r="V30" t="s">
        <v>502</v>
      </c>
    </row>
    <row r="31" spans="1:25">
      <c r="B31">
        <v>3</v>
      </c>
      <c r="C31" t="s">
        <v>216</v>
      </c>
      <c r="M31" t="e">
        <f>M29/M30</f>
        <v>#DIV/0!</v>
      </c>
      <c r="N31" t="s">
        <v>131</v>
      </c>
      <c r="O31" t="e">
        <f>O29/O30</f>
        <v>#DIV/0!</v>
      </c>
      <c r="P31" t="s">
        <v>131</v>
      </c>
      <c r="Q31" t="e">
        <f>Q29/Q30</f>
        <v>#DIV/0!</v>
      </c>
      <c r="R31" t="s">
        <v>131</v>
      </c>
      <c r="S31" t="e">
        <f>S29/S30</f>
        <v>#DIV/0!</v>
      </c>
      <c r="T31" t="s">
        <v>131</v>
      </c>
      <c r="U31" t="e">
        <f>U29/U30</f>
        <v>#DIV/0!</v>
      </c>
      <c r="V31" t="s">
        <v>131</v>
      </c>
    </row>
    <row r="32" spans="1:25">
      <c r="B32">
        <f>B31/24</f>
        <v>0.125</v>
      </c>
      <c r="C32" t="s">
        <v>303</v>
      </c>
    </row>
    <row r="34" spans="1:20">
      <c r="A34" t="s">
        <v>506</v>
      </c>
      <c r="B34">
        <f>B29/(B28*2)</f>
        <v>6</v>
      </c>
      <c r="C34" t="s">
        <v>507</v>
      </c>
    </row>
    <row r="35" spans="1:20">
      <c r="A35" t="s">
        <v>508</v>
      </c>
      <c r="B35">
        <f>B30*B34</f>
        <v>360</v>
      </c>
      <c r="C35" t="s">
        <v>509</v>
      </c>
      <c r="M35" t="s">
        <v>514</v>
      </c>
      <c r="Q35" t="s">
        <v>515</v>
      </c>
    </row>
    <row r="36" spans="1:20">
      <c r="A36" t="s">
        <v>510</v>
      </c>
      <c r="B36">
        <f>B35*24</f>
        <v>8640</v>
      </c>
      <c r="C36" t="s">
        <v>511</v>
      </c>
      <c r="M36" t="s">
        <v>516</v>
      </c>
      <c r="N36">
        <v>35</v>
      </c>
      <c r="O36" t="s">
        <v>502</v>
      </c>
      <c r="Q36" t="s">
        <v>517</v>
      </c>
      <c r="R36">
        <v>250</v>
      </c>
      <c r="S36" t="s">
        <v>502</v>
      </c>
    </row>
    <row r="37" spans="1:20">
      <c r="A37" t="s">
        <v>510</v>
      </c>
      <c r="B37">
        <f>B36*B32</f>
        <v>1080</v>
      </c>
      <c r="C37" t="s">
        <v>512</v>
      </c>
      <c r="M37" t="s">
        <v>517</v>
      </c>
      <c r="N37">
        <v>20</v>
      </c>
      <c r="O37" t="s">
        <v>502</v>
      </c>
      <c r="Q37" t="s">
        <v>518</v>
      </c>
      <c r="R37">
        <v>150</v>
      </c>
      <c r="S37" t="s">
        <v>502</v>
      </c>
    </row>
    <row r="38" spans="1:20">
      <c r="M38" t="s">
        <v>518</v>
      </c>
    </row>
    <row r="39" spans="1:20">
      <c r="N39">
        <f>N36/N37</f>
        <v>1.75</v>
      </c>
      <c r="O39" t="s">
        <v>519</v>
      </c>
      <c r="Q39" t="s">
        <v>520</v>
      </c>
      <c r="R39">
        <f>R36/R37</f>
        <v>1.6666666666666667</v>
      </c>
      <c r="S39" t="s">
        <v>519</v>
      </c>
    </row>
    <row r="40" spans="1:20">
      <c r="A40" s="225" t="s">
        <v>521</v>
      </c>
      <c r="B40" s="70"/>
      <c r="N40" t="s">
        <v>520</v>
      </c>
      <c r="O40">
        <f>N39^2</f>
        <v>3.0625</v>
      </c>
      <c r="P40" t="s">
        <v>522</v>
      </c>
      <c r="R40" t="s">
        <v>523</v>
      </c>
      <c r="S40">
        <f>R39^2</f>
        <v>2.7777777777777781</v>
      </c>
      <c r="T40" t="s">
        <v>522</v>
      </c>
    </row>
    <row r="41" spans="1:20">
      <c r="B41" s="70"/>
      <c r="N41" t="s">
        <v>523</v>
      </c>
    </row>
    <row r="42" spans="1:20">
      <c r="B42" s="70"/>
      <c r="O42">
        <v>250</v>
      </c>
      <c r="P42" t="s">
        <v>119</v>
      </c>
      <c r="S42">
        <v>6700</v>
      </c>
      <c r="T42" t="s">
        <v>119</v>
      </c>
    </row>
    <row r="43" spans="1:20">
      <c r="B43" s="70"/>
      <c r="O43">
        <f>O42/O40</f>
        <v>81.632653061224488</v>
      </c>
      <c r="P43" t="s">
        <v>119</v>
      </c>
      <c r="S43">
        <f>S42/S40</f>
        <v>2411.9999999999995</v>
      </c>
      <c r="T43" t="s">
        <v>119</v>
      </c>
    </row>
    <row r="44" spans="1:20">
      <c r="B44" s="70"/>
    </row>
    <row r="45" spans="1:20">
      <c r="B45" s="70"/>
    </row>
    <row r="46" spans="1:20">
      <c r="B46" s="70"/>
    </row>
    <row r="47" spans="1:20">
      <c r="B47" s="70"/>
      <c r="N47" t="s">
        <v>524</v>
      </c>
      <c r="O47" t="s">
        <v>502</v>
      </c>
      <c r="P47" s="801" t="s">
        <v>525</v>
      </c>
      <c r="Q47" s="738">
        <v>0.9</v>
      </c>
      <c r="R47">
        <f>N48*Q47</f>
        <v>225</v>
      </c>
    </row>
    <row r="48" spans="1:20">
      <c r="B48" s="70"/>
      <c r="N48">
        <v>250</v>
      </c>
      <c r="O48" t="s">
        <v>502</v>
      </c>
      <c r="P48" s="801"/>
      <c r="Q48" s="738"/>
      <c r="R48">
        <f>N49*Q47</f>
        <v>31.5</v>
      </c>
    </row>
    <row r="49" spans="2:18">
      <c r="B49" s="70"/>
      <c r="N49">
        <v>35</v>
      </c>
      <c r="P49" s="801"/>
    </row>
    <row r="50" spans="2:18">
      <c r="B50" s="70"/>
      <c r="P50" s="801"/>
      <c r="Q50" s="738">
        <v>0.8</v>
      </c>
      <c r="R50">
        <f>N48*Q50</f>
        <v>200</v>
      </c>
    </row>
    <row r="51" spans="2:18">
      <c r="B51" s="70"/>
      <c r="P51" s="801"/>
      <c r="Q51" s="738"/>
      <c r="R51">
        <f>N49*Q50</f>
        <v>28</v>
      </c>
    </row>
    <row r="52" spans="2:18">
      <c r="B52" s="70"/>
      <c r="P52" s="801"/>
    </row>
    <row r="53" spans="2:18">
      <c r="B53" s="70"/>
      <c r="P53" s="801"/>
      <c r="Q53" s="738">
        <v>0.7</v>
      </c>
      <c r="R53">
        <f>N48*Q53</f>
        <v>175</v>
      </c>
    </row>
    <row r="54" spans="2:18">
      <c r="B54" s="70"/>
      <c r="P54" s="801"/>
      <c r="Q54" s="738"/>
      <c r="R54">
        <f>N49*Q53</f>
        <v>24.5</v>
      </c>
    </row>
    <row r="55" spans="2:18">
      <c r="B55" s="70"/>
      <c r="P55" s="801"/>
    </row>
    <row r="56" spans="2:18">
      <c r="B56" s="70"/>
      <c r="P56" s="801"/>
      <c r="Q56" s="738">
        <v>0.6</v>
      </c>
      <c r="R56">
        <f>N48*Q56</f>
        <v>150</v>
      </c>
    </row>
    <row r="57" spans="2:18">
      <c r="B57" s="70"/>
      <c r="P57" s="801"/>
      <c r="Q57" s="738"/>
      <c r="R57">
        <f>N49*Q56</f>
        <v>21</v>
      </c>
    </row>
    <row r="58" spans="2:18">
      <c r="B58" s="70"/>
      <c r="P58" s="801"/>
    </row>
    <row r="59" spans="2:18">
      <c r="B59" s="70"/>
      <c r="P59" s="801"/>
      <c r="Q59" s="738">
        <v>0.5</v>
      </c>
      <c r="R59">
        <f>N48*Q59</f>
        <v>125</v>
      </c>
    </row>
    <row r="60" spans="2:18">
      <c r="B60" s="70"/>
      <c r="P60" s="801"/>
      <c r="Q60" s="738"/>
      <c r="R60">
        <f>N49*Q59</f>
        <v>17.5</v>
      </c>
    </row>
    <row r="61" spans="2:18">
      <c r="B61" s="70"/>
      <c r="P61" s="801"/>
    </row>
    <row r="62" spans="2:18">
      <c r="B62" s="70"/>
      <c r="P62" s="801"/>
      <c r="Q62" s="738">
        <v>0.4</v>
      </c>
      <c r="R62">
        <f>N48*Q62</f>
        <v>100</v>
      </c>
    </row>
    <row r="63" spans="2:18">
      <c r="B63" s="70"/>
      <c r="P63" s="801"/>
      <c r="Q63" s="738"/>
      <c r="R63">
        <f>N49*Q62</f>
        <v>14</v>
      </c>
    </row>
    <row r="64" spans="2:18">
      <c r="B64" s="70"/>
      <c r="P64" s="801"/>
    </row>
    <row r="65" spans="2:18">
      <c r="B65" s="70"/>
      <c r="P65" s="801"/>
      <c r="Q65" s="738">
        <v>0.3</v>
      </c>
      <c r="R65">
        <f>N48*Q65</f>
        <v>75</v>
      </c>
    </row>
    <row r="66" spans="2:18">
      <c r="B66" s="70"/>
      <c r="P66" s="801"/>
      <c r="Q66" s="738"/>
      <c r="R66">
        <f>N49*Q65</f>
        <v>10.5</v>
      </c>
    </row>
    <row r="67" spans="2:18">
      <c r="B67" s="70"/>
      <c r="P67" s="801"/>
    </row>
    <row r="68" spans="2:18">
      <c r="B68" s="70"/>
      <c r="P68" s="801"/>
      <c r="Q68" s="738">
        <v>0.2</v>
      </c>
      <c r="R68">
        <f>N48*Q68</f>
        <v>50</v>
      </c>
    </row>
    <row r="69" spans="2:18">
      <c r="B69" s="70"/>
      <c r="P69" s="801"/>
      <c r="Q69" s="738"/>
      <c r="R69">
        <f>N49*Q68</f>
        <v>7</v>
      </c>
    </row>
    <row r="70" spans="2:18">
      <c r="B70" s="70"/>
      <c r="P70" s="801"/>
    </row>
    <row r="71" spans="2:18">
      <c r="B71" s="70"/>
      <c r="P71" s="801"/>
      <c r="Q71" s="738">
        <v>0.1</v>
      </c>
      <c r="R71">
        <f>N48*Q71</f>
        <v>25</v>
      </c>
    </row>
    <row r="72" spans="2:18">
      <c r="B72" s="70"/>
      <c r="P72" s="801"/>
      <c r="Q72" s="738"/>
      <c r="R72">
        <f>N49*Q71</f>
        <v>3.5</v>
      </c>
    </row>
    <row r="73" spans="2:18">
      <c r="B73" s="70"/>
    </row>
    <row r="74" spans="2:18">
      <c r="B74" s="70"/>
    </row>
    <row r="75" spans="2:18">
      <c r="B75" s="70"/>
    </row>
    <row r="76" spans="2:18">
      <c r="B76" s="70"/>
    </row>
    <row r="77" spans="2:18">
      <c r="B77" s="70"/>
    </row>
    <row r="78" spans="2:18">
      <c r="B78" s="70"/>
    </row>
    <row r="79" spans="2:18">
      <c r="B79" s="70"/>
    </row>
    <row r="80" spans="2:18">
      <c r="B80" s="70"/>
    </row>
    <row r="81" spans="2:2">
      <c r="B81" s="70"/>
    </row>
    <row r="82" spans="2:2">
      <c r="B82" s="70"/>
    </row>
    <row r="83" spans="2:2">
      <c r="B83" s="70"/>
    </row>
    <row r="84" spans="2:2">
      <c r="B84" s="70"/>
    </row>
    <row r="85" spans="2:2">
      <c r="B85" s="70"/>
    </row>
    <row r="86" spans="2:2">
      <c r="B86" s="70"/>
    </row>
    <row r="87" spans="2:2">
      <c r="B87" s="70"/>
    </row>
    <row r="88" spans="2:2">
      <c r="B88" s="70"/>
    </row>
    <row r="89" spans="2:2">
      <c r="B89" s="70"/>
    </row>
    <row r="90" spans="2:2">
      <c r="B90" s="70"/>
    </row>
    <row r="91" spans="2:2">
      <c r="B91" s="70"/>
    </row>
    <row r="92" spans="2:2">
      <c r="B92" s="70"/>
    </row>
    <row r="93" spans="2:2">
      <c r="B93" s="70"/>
    </row>
    <row r="94" spans="2:2">
      <c r="B94" s="70"/>
    </row>
    <row r="95" spans="2:2">
      <c r="B95" s="70"/>
    </row>
    <row r="96" spans="2:2">
      <c r="B96" s="70"/>
    </row>
    <row r="97" spans="2:2">
      <c r="B97" s="70"/>
    </row>
    <row r="98" spans="2:2">
      <c r="B98" s="70"/>
    </row>
    <row r="99" spans="2:2">
      <c r="B99" s="70"/>
    </row>
    <row r="100" spans="2:2">
      <c r="B100" s="70"/>
    </row>
    <row r="101" spans="2:2">
      <c r="B101" s="70"/>
    </row>
    <row r="102" spans="2:2">
      <c r="B102" s="70"/>
    </row>
    <row r="103" spans="2:2">
      <c r="B103" s="70"/>
    </row>
    <row r="104" spans="2:2">
      <c r="B104" s="70"/>
    </row>
    <row r="105" spans="2:2">
      <c r="B105" s="70"/>
    </row>
    <row r="106" spans="2:2">
      <c r="B106" s="70"/>
    </row>
    <row r="107" spans="2:2">
      <c r="B107" s="70"/>
    </row>
    <row r="108" spans="2:2">
      <c r="B108" s="70"/>
    </row>
    <row r="109" spans="2:2">
      <c r="B109" s="70"/>
    </row>
    <row r="110" spans="2:2">
      <c r="B110" s="70"/>
    </row>
    <row r="111" spans="2:2">
      <c r="B111" s="70"/>
    </row>
    <row r="112" spans="2:2">
      <c r="B112" s="70"/>
    </row>
    <row r="113" spans="2:2">
      <c r="B113" s="70"/>
    </row>
    <row r="114" spans="2:2">
      <c r="B114" s="70"/>
    </row>
    <row r="115" spans="2:2">
      <c r="B115" s="70"/>
    </row>
    <row r="116" spans="2:2">
      <c r="B116" s="70"/>
    </row>
    <row r="117" spans="2:2">
      <c r="B117" s="70"/>
    </row>
  </sheetData>
  <mergeCells count="11">
    <mergeCell ref="A1:C1"/>
    <mergeCell ref="P47:P72"/>
    <mergeCell ref="Q47:Q48"/>
    <mergeCell ref="Q50:Q51"/>
    <mergeCell ref="Q53:Q54"/>
    <mergeCell ref="Q56:Q57"/>
    <mergeCell ref="Q59:Q60"/>
    <mergeCell ref="Q62:Q63"/>
    <mergeCell ref="Q65:Q66"/>
    <mergeCell ref="Q68:Q69"/>
    <mergeCell ref="Q71:Q72"/>
  </mergeCells>
  <phoneticPr fontId="42"/>
  <hyperlinks>
    <hyperlink ref="A2" r:id="rId1" xr:uid="{00000000-0004-0000-2000-000000000000}"/>
    <hyperlink ref="A1:C1" location="目次!A1" display="　目次　" xr:uid="{00000000-0004-0000-2000-000001000000}"/>
  </hyperlinks>
  <pageMargins left="0.69930555555555596" right="0.69930555555555596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34"/>
  <sheetViews>
    <sheetView workbookViewId="0">
      <selection sqref="A1:C1"/>
    </sheetView>
  </sheetViews>
  <sheetFormatPr defaultColWidth="9" defaultRowHeight="13.5"/>
  <cols>
    <col min="1" max="1" width="9" customWidth="1"/>
  </cols>
  <sheetData>
    <row r="1" spans="1:20">
      <c r="A1" s="686" t="s">
        <v>61</v>
      </c>
      <c r="B1" s="686"/>
      <c r="C1" s="686"/>
    </row>
    <row r="2" spans="1:20">
      <c r="A2" t="s">
        <v>526</v>
      </c>
    </row>
    <row r="4" spans="1:20">
      <c r="B4" t="s">
        <v>527</v>
      </c>
    </row>
    <row r="5" spans="1:20">
      <c r="C5">
        <v>1.43</v>
      </c>
      <c r="E5">
        <v>1.43</v>
      </c>
      <c r="G5">
        <v>1.43</v>
      </c>
      <c r="I5">
        <v>1.43</v>
      </c>
      <c r="K5">
        <v>1.43</v>
      </c>
      <c r="M5">
        <v>1.43</v>
      </c>
      <c r="O5">
        <v>1.43</v>
      </c>
      <c r="Q5">
        <v>1.43</v>
      </c>
      <c r="S5">
        <v>1.43</v>
      </c>
    </row>
    <row r="6" spans="1:20">
      <c r="B6" t="s">
        <v>528</v>
      </c>
      <c r="C6" s="40">
        <v>1500</v>
      </c>
      <c r="D6" t="s">
        <v>91</v>
      </c>
      <c r="E6" s="40">
        <v>1550</v>
      </c>
      <c r="F6" t="s">
        <v>91</v>
      </c>
      <c r="G6" s="40">
        <v>1600</v>
      </c>
      <c r="H6" t="s">
        <v>91</v>
      </c>
      <c r="I6" s="40">
        <v>1650</v>
      </c>
      <c r="J6" t="s">
        <v>91</v>
      </c>
      <c r="K6" s="40">
        <v>1700</v>
      </c>
      <c r="L6" t="s">
        <v>91</v>
      </c>
      <c r="M6" s="40">
        <v>1750</v>
      </c>
      <c r="N6" t="s">
        <v>91</v>
      </c>
      <c r="O6" s="40">
        <v>1800</v>
      </c>
      <c r="P6" t="s">
        <v>91</v>
      </c>
      <c r="Q6" s="40"/>
      <c r="R6" t="s">
        <v>91</v>
      </c>
      <c r="S6" s="40"/>
      <c r="T6" t="s">
        <v>91</v>
      </c>
    </row>
    <row r="7" spans="1:20">
      <c r="B7" t="s">
        <v>529</v>
      </c>
      <c r="C7" s="40">
        <v>10000</v>
      </c>
      <c r="D7" t="s">
        <v>214</v>
      </c>
      <c r="E7" s="40">
        <v>10000</v>
      </c>
      <c r="F7" t="s">
        <v>214</v>
      </c>
      <c r="G7" s="40">
        <v>10000</v>
      </c>
      <c r="H7" t="s">
        <v>214</v>
      </c>
      <c r="I7" s="40">
        <v>10000</v>
      </c>
      <c r="J7" t="s">
        <v>214</v>
      </c>
      <c r="K7" s="40">
        <v>10000</v>
      </c>
      <c r="L7" t="s">
        <v>214</v>
      </c>
      <c r="M7" s="40">
        <v>10000</v>
      </c>
      <c r="N7" t="s">
        <v>214</v>
      </c>
      <c r="O7" s="40">
        <v>10000</v>
      </c>
      <c r="P7" t="s">
        <v>214</v>
      </c>
      <c r="Q7" s="40">
        <v>10000</v>
      </c>
      <c r="R7" t="s">
        <v>214</v>
      </c>
      <c r="S7" s="40">
        <v>10000</v>
      </c>
      <c r="T7" t="s">
        <v>214</v>
      </c>
    </row>
    <row r="8" spans="1:20">
      <c r="B8" t="s">
        <v>209</v>
      </c>
      <c r="C8" s="49">
        <f>1/(C5*C6*C7*10^-12)/1000</f>
        <v>46.620046620046615</v>
      </c>
      <c r="D8" t="s">
        <v>211</v>
      </c>
      <c r="E8" s="49">
        <f>1/(E5*E6*E7*10^-12)/1000</f>
        <v>45.116174148432222</v>
      </c>
      <c r="F8" t="s">
        <v>211</v>
      </c>
      <c r="G8" s="49">
        <f>1/(G5*G6*G7*10^-12)/1000</f>
        <v>43.706293706293707</v>
      </c>
      <c r="H8" t="s">
        <v>211</v>
      </c>
      <c r="I8" s="49">
        <f>1/(I5*I6*I7*10^-12)/1000</f>
        <v>42.38186056367875</v>
      </c>
      <c r="J8" t="s">
        <v>211</v>
      </c>
      <c r="K8" s="49">
        <f>1/(K5*K6*K7*10^-12)/1000</f>
        <v>41.135335252982308</v>
      </c>
      <c r="L8" t="s">
        <v>211</v>
      </c>
      <c r="M8" s="49">
        <f>1/(M5*M6*M7*10^-12)/1000</f>
        <v>39.960039960039964</v>
      </c>
      <c r="N8" t="s">
        <v>211</v>
      </c>
      <c r="O8" s="49">
        <f>1/(O5*O6*O7*10^-12)/1000</f>
        <v>38.85003885003885</v>
      </c>
      <c r="P8" t="s">
        <v>211</v>
      </c>
      <c r="Q8" s="49" t="e">
        <f>1/(Q5*Q6*Q7*10^-12)/1000</f>
        <v>#DIV/0!</v>
      </c>
      <c r="R8" t="s">
        <v>211</v>
      </c>
      <c r="S8" s="49" t="e">
        <f>1/(S5*S6*S7*10^-12)/1000</f>
        <v>#DIV/0!</v>
      </c>
      <c r="T8" t="s">
        <v>211</v>
      </c>
    </row>
    <row r="10" spans="1:20">
      <c r="B10" t="s">
        <v>527</v>
      </c>
    </row>
    <row r="11" spans="1:20">
      <c r="C11">
        <v>1.43</v>
      </c>
      <c r="E11">
        <v>1.43</v>
      </c>
      <c r="G11">
        <v>1.43</v>
      </c>
      <c r="I11">
        <v>1.43</v>
      </c>
      <c r="K11">
        <v>1.43</v>
      </c>
      <c r="M11">
        <v>1.43</v>
      </c>
      <c r="O11">
        <v>1.43</v>
      </c>
      <c r="Q11">
        <v>1.43</v>
      </c>
      <c r="S11">
        <v>1.43</v>
      </c>
    </row>
    <row r="12" spans="1:20">
      <c r="B12" t="s">
        <v>528</v>
      </c>
      <c r="C12" s="40">
        <v>1500</v>
      </c>
      <c r="D12" t="s">
        <v>91</v>
      </c>
      <c r="E12" s="40">
        <v>1450</v>
      </c>
      <c r="F12" t="s">
        <v>91</v>
      </c>
      <c r="G12" s="40">
        <v>1400</v>
      </c>
      <c r="H12" t="s">
        <v>91</v>
      </c>
      <c r="I12" s="40">
        <v>1350</v>
      </c>
      <c r="J12" t="s">
        <v>91</v>
      </c>
      <c r="K12" s="40">
        <v>1300</v>
      </c>
      <c r="L12" t="s">
        <v>91</v>
      </c>
      <c r="M12" s="40">
        <v>1250</v>
      </c>
      <c r="N12" t="s">
        <v>91</v>
      </c>
      <c r="O12" s="40">
        <v>1200</v>
      </c>
      <c r="P12" t="s">
        <v>91</v>
      </c>
      <c r="Q12" s="40"/>
      <c r="R12" t="s">
        <v>91</v>
      </c>
      <c r="S12" s="40"/>
      <c r="T12" t="s">
        <v>91</v>
      </c>
    </row>
    <row r="13" spans="1:20">
      <c r="B13" t="s">
        <v>529</v>
      </c>
      <c r="C13" s="40">
        <v>10000</v>
      </c>
      <c r="D13" t="s">
        <v>214</v>
      </c>
      <c r="E13" s="40">
        <v>10000</v>
      </c>
      <c r="F13" t="s">
        <v>214</v>
      </c>
      <c r="G13" s="40">
        <v>10000</v>
      </c>
      <c r="H13" t="s">
        <v>214</v>
      </c>
      <c r="I13" s="40">
        <v>10000</v>
      </c>
      <c r="J13" t="s">
        <v>214</v>
      </c>
      <c r="K13" s="40">
        <v>10000</v>
      </c>
      <c r="L13" t="s">
        <v>214</v>
      </c>
      <c r="M13" s="40">
        <v>10000</v>
      </c>
      <c r="N13" t="s">
        <v>214</v>
      </c>
      <c r="O13" s="40">
        <v>10000</v>
      </c>
      <c r="P13" t="s">
        <v>214</v>
      </c>
      <c r="Q13" s="40">
        <v>10000</v>
      </c>
      <c r="R13" t="s">
        <v>214</v>
      </c>
      <c r="S13" s="40">
        <v>10000</v>
      </c>
      <c r="T13" t="s">
        <v>214</v>
      </c>
    </row>
    <row r="14" spans="1:20">
      <c r="B14" t="s">
        <v>209</v>
      </c>
      <c r="C14" s="49">
        <f>1/(C11*C12*C13*10^-12)/1000</f>
        <v>46.620046620046615</v>
      </c>
      <c r="D14" t="s">
        <v>211</v>
      </c>
      <c r="E14" s="49">
        <f>1/(E11*E12*E13*10^-12)/1000</f>
        <v>48.227634434530984</v>
      </c>
      <c r="F14" t="s">
        <v>211</v>
      </c>
      <c r="G14" s="49">
        <f>1/(G11*G12*G13*10^-12)/1000</f>
        <v>49.950049950049959</v>
      </c>
      <c r="H14" t="s">
        <v>211</v>
      </c>
      <c r="I14" s="49">
        <f>1/(I11*I12*I13*10^-12)/1000</f>
        <v>51.800051800051804</v>
      </c>
      <c r="J14" t="s">
        <v>211</v>
      </c>
      <c r="K14" s="49">
        <f>1/(K11*K12*K13*10^-12)/1000</f>
        <v>53.792361484669179</v>
      </c>
      <c r="L14" t="s">
        <v>211</v>
      </c>
      <c r="M14" s="49">
        <f>1/(M11*M12*M13*10^-12)/1000</f>
        <v>55.944055944055947</v>
      </c>
      <c r="N14" t="s">
        <v>211</v>
      </c>
      <c r="O14" s="49">
        <f>1/(O11*O12*O13*10^-12)/1000</f>
        <v>58.275058275058285</v>
      </c>
      <c r="P14" t="s">
        <v>211</v>
      </c>
      <c r="Q14" s="49" t="e">
        <f>1/(Q11*Q12*Q13*10^-12)/1000</f>
        <v>#DIV/0!</v>
      </c>
      <c r="R14" t="s">
        <v>211</v>
      </c>
      <c r="S14" s="49" t="e">
        <f>1/(S11*S12*S13*10^-12)/1000</f>
        <v>#DIV/0!</v>
      </c>
      <c r="T14" t="s">
        <v>211</v>
      </c>
    </row>
    <row r="20" spans="2:20">
      <c r="B20" t="s">
        <v>530</v>
      </c>
    </row>
    <row r="21" spans="2:20">
      <c r="C21">
        <v>1.43</v>
      </c>
      <c r="E21">
        <v>1.43</v>
      </c>
      <c r="G21">
        <v>1.43</v>
      </c>
      <c r="I21">
        <v>1.43</v>
      </c>
      <c r="K21">
        <v>1.43</v>
      </c>
      <c r="M21">
        <v>1.43</v>
      </c>
      <c r="O21">
        <v>1.43</v>
      </c>
      <c r="Q21">
        <v>1.43</v>
      </c>
      <c r="S21">
        <v>1.43</v>
      </c>
    </row>
    <row r="22" spans="2:20">
      <c r="B22" t="s">
        <v>529</v>
      </c>
      <c r="C22" s="40">
        <v>10000</v>
      </c>
      <c r="D22" t="s">
        <v>214</v>
      </c>
      <c r="E22" s="40">
        <v>10000</v>
      </c>
      <c r="F22" t="s">
        <v>214</v>
      </c>
      <c r="G22" s="40">
        <v>10000</v>
      </c>
      <c r="H22" t="s">
        <v>214</v>
      </c>
      <c r="I22" s="40">
        <v>10000</v>
      </c>
      <c r="J22" t="s">
        <v>214</v>
      </c>
      <c r="K22" s="40">
        <v>10000</v>
      </c>
      <c r="L22" t="s">
        <v>214</v>
      </c>
      <c r="M22" s="40">
        <v>10000</v>
      </c>
      <c r="N22" t="s">
        <v>214</v>
      </c>
      <c r="O22" s="40">
        <v>10000</v>
      </c>
      <c r="P22" t="s">
        <v>214</v>
      </c>
      <c r="Q22" s="40">
        <v>10000</v>
      </c>
      <c r="R22" t="s">
        <v>214</v>
      </c>
      <c r="S22" s="40">
        <v>10000</v>
      </c>
      <c r="T22" t="s">
        <v>214</v>
      </c>
    </row>
    <row r="23" spans="2:20">
      <c r="B23" t="s">
        <v>209</v>
      </c>
      <c r="C23" s="40">
        <v>40000</v>
      </c>
      <c r="D23" t="s">
        <v>210</v>
      </c>
      <c r="E23" s="40">
        <v>41000</v>
      </c>
      <c r="F23" t="s">
        <v>210</v>
      </c>
      <c r="G23" s="40">
        <v>42000</v>
      </c>
      <c r="H23" t="s">
        <v>210</v>
      </c>
      <c r="I23" s="40">
        <v>43000</v>
      </c>
      <c r="J23" t="s">
        <v>210</v>
      </c>
      <c r="K23" s="40">
        <v>44000</v>
      </c>
      <c r="L23" t="s">
        <v>210</v>
      </c>
      <c r="M23" s="40">
        <v>45000</v>
      </c>
      <c r="N23" t="s">
        <v>210</v>
      </c>
      <c r="O23" s="40">
        <v>46000</v>
      </c>
      <c r="P23" t="s">
        <v>210</v>
      </c>
      <c r="Q23" s="40">
        <v>47000</v>
      </c>
      <c r="R23" t="s">
        <v>210</v>
      </c>
      <c r="S23" s="40">
        <v>48000</v>
      </c>
      <c r="T23" t="s">
        <v>210</v>
      </c>
    </row>
    <row r="24" spans="2:20">
      <c r="B24" t="s">
        <v>528</v>
      </c>
      <c r="C24" s="49">
        <f>1/(C21*C22*C23*10^-12)</f>
        <v>1748.2517482517483</v>
      </c>
      <c r="D24" t="s">
        <v>91</v>
      </c>
      <c r="E24" s="49">
        <f>1/(E21*E22*E23*10^-12)</f>
        <v>1705.6114617090227</v>
      </c>
      <c r="F24" t="s">
        <v>91</v>
      </c>
      <c r="G24" s="49">
        <f>1/(G21*G22*G23*10^-12)</f>
        <v>1665.0016650016651</v>
      </c>
      <c r="H24" t="s">
        <v>91</v>
      </c>
      <c r="I24" s="49">
        <f>1/(I21*I22*I23*10^-12)</f>
        <v>1626.2806960481378</v>
      </c>
      <c r="J24" t="s">
        <v>91</v>
      </c>
      <c r="K24" s="49">
        <f>1/(K21*K22*K23*10^-12)</f>
        <v>1589.319771137953</v>
      </c>
      <c r="L24" t="s">
        <v>91</v>
      </c>
      <c r="M24" s="49">
        <f>1/(M21*M22*M23*10^-12)</f>
        <v>1554.001554001554</v>
      </c>
      <c r="N24" t="s">
        <v>91</v>
      </c>
      <c r="O24" s="49">
        <f>1/(O21*O22*O23*10^-12)</f>
        <v>1520.2189115232595</v>
      </c>
      <c r="P24" t="s">
        <v>91</v>
      </c>
      <c r="Q24" s="49">
        <f>1/(Q21*Q22*Q23*10^-12)</f>
        <v>1487.8738282993602</v>
      </c>
      <c r="R24" t="s">
        <v>91</v>
      </c>
      <c r="S24" s="49">
        <f>1/(S21*S22*S23*10^-12)</f>
        <v>1456.8764568764568</v>
      </c>
      <c r="T24" t="s">
        <v>91</v>
      </c>
    </row>
    <row r="27" spans="2:20">
      <c r="B27" t="s">
        <v>531</v>
      </c>
    </row>
    <row r="28" spans="2:20">
      <c r="B28" t="s">
        <v>532</v>
      </c>
      <c r="F28" t="s">
        <v>533</v>
      </c>
      <c r="J28" t="s">
        <v>534</v>
      </c>
    </row>
    <row r="29" spans="2:20">
      <c r="B29" t="s">
        <v>535</v>
      </c>
      <c r="C29">
        <v>5600</v>
      </c>
      <c r="D29" t="s">
        <v>214</v>
      </c>
      <c r="F29" t="s">
        <v>535</v>
      </c>
      <c r="G29">
        <f>C29*1.1</f>
        <v>6160.0000000000009</v>
      </c>
      <c r="H29" t="s">
        <v>214</v>
      </c>
      <c r="J29" t="s">
        <v>535</v>
      </c>
      <c r="K29">
        <f>C29*0.9</f>
        <v>5040</v>
      </c>
      <c r="L29" t="s">
        <v>214</v>
      </c>
    </row>
    <row r="30" spans="2:20">
      <c r="B30" t="s">
        <v>536</v>
      </c>
      <c r="C30">
        <v>2000</v>
      </c>
      <c r="D30" t="s">
        <v>119</v>
      </c>
      <c r="F30" t="s">
        <v>536</v>
      </c>
      <c r="G30">
        <f>C30*1.1</f>
        <v>2200</v>
      </c>
      <c r="H30" t="s">
        <v>119</v>
      </c>
      <c r="J30" t="s">
        <v>536</v>
      </c>
      <c r="K30">
        <f>C30*0.9</f>
        <v>1800</v>
      </c>
      <c r="L30" t="s">
        <v>119</v>
      </c>
    </row>
    <row r="31" spans="2:20">
      <c r="B31" t="s">
        <v>209</v>
      </c>
      <c r="C31">
        <f>1/(2*PI()*SQRT(C29*10^-12*C30*10^-6))/1000</f>
        <v>47.556635325105162</v>
      </c>
      <c r="D31" t="s">
        <v>211</v>
      </c>
      <c r="F31" t="s">
        <v>209</v>
      </c>
      <c r="G31">
        <f>1/(2*PI()*SQRT(G29*10^-12*G30*10^-6))/1000</f>
        <v>43.233304841004689</v>
      </c>
      <c r="H31" t="s">
        <v>211</v>
      </c>
      <c r="J31" t="s">
        <v>209</v>
      </c>
      <c r="K31">
        <f>1/(2*PI()*SQRT(K29*10^-12*K30*10^-6))/1000</f>
        <v>52.840705916783506</v>
      </c>
      <c r="L31" t="s">
        <v>211</v>
      </c>
    </row>
    <row r="33" spans="6:12">
      <c r="F33" s="29"/>
      <c r="G33">
        <f>G31-C31</f>
        <v>-4.3233304841004738</v>
      </c>
      <c r="H33" t="s">
        <v>211</v>
      </c>
      <c r="J33" s="29"/>
      <c r="K33">
        <f>K31-C31</f>
        <v>5.2840705916783435</v>
      </c>
      <c r="L33" t="s">
        <v>211</v>
      </c>
    </row>
    <row r="34" spans="6:12">
      <c r="F34" s="29"/>
    </row>
  </sheetData>
  <mergeCells count="1">
    <mergeCell ref="A1:C1"/>
  </mergeCells>
  <phoneticPr fontId="42"/>
  <hyperlinks>
    <hyperlink ref="A1:C1" location="目次!A1" display="　目次　" xr:uid="{00000000-0004-0000-2100-000000000000}"/>
  </hyperlinks>
  <pageMargins left="0.75" right="0.75" top="1" bottom="1" header="0.51180555555555596" footer="0.51180555555555596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27"/>
  <sheetViews>
    <sheetView workbookViewId="0">
      <selection sqref="A1:C1"/>
    </sheetView>
  </sheetViews>
  <sheetFormatPr defaultColWidth="9" defaultRowHeight="13.5"/>
  <cols>
    <col min="1" max="1" width="9" customWidth="1"/>
  </cols>
  <sheetData>
    <row r="1" spans="1:3">
      <c r="A1" s="686" t="s">
        <v>537</v>
      </c>
      <c r="B1" s="686"/>
      <c r="C1" s="686"/>
    </row>
    <row r="3" spans="1:3">
      <c r="B3" t="s">
        <v>538</v>
      </c>
    </row>
    <row r="20" spans="3:8">
      <c r="C20" t="s">
        <v>539</v>
      </c>
      <c r="D20" s="6">
        <v>1.25</v>
      </c>
      <c r="E20" t="s">
        <v>65</v>
      </c>
    </row>
    <row r="21" spans="3:8">
      <c r="C21" s="29" t="s">
        <v>540</v>
      </c>
      <c r="D21" s="21">
        <v>1.5</v>
      </c>
      <c r="E21" t="s">
        <v>65</v>
      </c>
      <c r="F21" s="29" t="s">
        <v>185</v>
      </c>
      <c r="G21" s="21">
        <v>22000</v>
      </c>
      <c r="H21" t="s">
        <v>91</v>
      </c>
    </row>
    <row r="22" spans="3:8">
      <c r="C22" s="29" t="s">
        <v>169</v>
      </c>
      <c r="D22" s="21">
        <v>100000</v>
      </c>
      <c r="E22" t="s">
        <v>91</v>
      </c>
      <c r="F22" s="29" t="s">
        <v>169</v>
      </c>
      <c r="G22" s="21">
        <v>100000</v>
      </c>
      <c r="H22" t="s">
        <v>91</v>
      </c>
    </row>
    <row r="23" spans="3:8">
      <c r="C23" s="29"/>
      <c r="F23" s="29"/>
    </row>
    <row r="24" spans="3:8">
      <c r="C24" s="29" t="s">
        <v>541</v>
      </c>
      <c r="D24" s="6">
        <f>D22*(D21/D20-1)</f>
        <v>19999.999999999996</v>
      </c>
      <c r="E24" t="s">
        <v>91</v>
      </c>
      <c r="F24" s="29"/>
    </row>
    <row r="25" spans="3:8">
      <c r="C25" s="29"/>
      <c r="F25" s="29"/>
    </row>
    <row r="26" spans="3:8">
      <c r="C26" s="29" t="s">
        <v>142</v>
      </c>
      <c r="D26" s="36">
        <f>D20*(1+D24/D22)</f>
        <v>1.5</v>
      </c>
      <c r="E26" t="s">
        <v>65</v>
      </c>
      <c r="F26" s="29" t="s">
        <v>142</v>
      </c>
      <c r="G26" s="36">
        <f>1.25*(1+G21/G22)</f>
        <v>1.5249999999999999</v>
      </c>
      <c r="H26" t="s">
        <v>65</v>
      </c>
    </row>
    <row r="27" spans="3:8">
      <c r="C27" s="29"/>
    </row>
  </sheetData>
  <mergeCells count="1">
    <mergeCell ref="A1:C1"/>
  </mergeCells>
  <phoneticPr fontId="42"/>
  <hyperlinks>
    <hyperlink ref="A1:C1" location="目次!A1" display="　　　　目次　　　　" xr:uid="{00000000-0004-0000-22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4"/>
  <sheetViews>
    <sheetView workbookViewId="0">
      <selection sqref="A1:C1"/>
    </sheetView>
  </sheetViews>
  <sheetFormatPr defaultColWidth="9" defaultRowHeight="13.5"/>
  <cols>
    <col min="1" max="1" width="13.125" customWidth="1"/>
    <col min="4" max="4" width="18.375" customWidth="1"/>
    <col min="5" max="5" width="9.5" customWidth="1"/>
  </cols>
  <sheetData>
    <row r="1" spans="1:6">
      <c r="A1" s="686" t="s">
        <v>61</v>
      </c>
      <c r="B1" s="686"/>
      <c r="C1" s="686"/>
    </row>
    <row r="3" spans="1:6">
      <c r="A3" t="s">
        <v>542</v>
      </c>
      <c r="B3" s="21">
        <v>2</v>
      </c>
      <c r="C3" t="s">
        <v>286</v>
      </c>
    </row>
    <row r="4" spans="1:6">
      <c r="A4" t="s">
        <v>543</v>
      </c>
      <c r="B4" s="21">
        <v>1</v>
      </c>
      <c r="C4" t="s">
        <v>544</v>
      </c>
      <c r="D4" t="s">
        <v>545</v>
      </c>
      <c r="E4" s="23">
        <f>B3*B4</f>
        <v>2</v>
      </c>
      <c r="F4" t="s">
        <v>79</v>
      </c>
    </row>
    <row r="5" spans="1:6">
      <c r="A5" t="s">
        <v>546</v>
      </c>
      <c r="B5" s="21">
        <v>1E-3</v>
      </c>
      <c r="C5" t="s">
        <v>293</v>
      </c>
    </row>
    <row r="6" spans="1:6">
      <c r="A6" t="s">
        <v>547</v>
      </c>
      <c r="B6" s="21">
        <v>1</v>
      </c>
      <c r="C6" t="s">
        <v>548</v>
      </c>
      <c r="D6" t="s">
        <v>549</v>
      </c>
      <c r="E6" s="23">
        <f>B6/B5</f>
        <v>1000</v>
      </c>
    </row>
    <row r="7" spans="1:6">
      <c r="A7" t="s">
        <v>550</v>
      </c>
      <c r="B7" s="21">
        <v>3000</v>
      </c>
      <c r="C7" t="s">
        <v>548</v>
      </c>
      <c r="D7" t="s">
        <v>549</v>
      </c>
      <c r="E7" s="23">
        <f>B7/B5</f>
        <v>3000000</v>
      </c>
      <c r="F7" t="s">
        <v>551</v>
      </c>
    </row>
    <row r="9" spans="1:6">
      <c r="D9" t="s">
        <v>552</v>
      </c>
      <c r="E9" s="23">
        <f>E4*E6</f>
        <v>2000</v>
      </c>
      <c r="F9" t="s">
        <v>79</v>
      </c>
    </row>
    <row r="10" spans="1:6">
      <c r="E10" s="23">
        <f>E9/1024</f>
        <v>1.953125</v>
      </c>
      <c r="F10" t="s">
        <v>553</v>
      </c>
    </row>
    <row r="11" spans="1:6">
      <c r="E11" s="23">
        <f>E10/1024</f>
        <v>1.9073486328125E-3</v>
      </c>
      <c r="F11" t="s">
        <v>554</v>
      </c>
    </row>
    <row r="12" spans="1:6">
      <c r="D12" t="s">
        <v>555</v>
      </c>
      <c r="E12" s="23">
        <f>E4*E7</f>
        <v>6000000</v>
      </c>
      <c r="F12" t="s">
        <v>79</v>
      </c>
    </row>
    <row r="13" spans="1:6">
      <c r="E13" s="23">
        <f>E12/1024</f>
        <v>5859.375</v>
      </c>
      <c r="F13" t="s">
        <v>553</v>
      </c>
    </row>
    <row r="14" spans="1:6">
      <c r="E14" s="23">
        <f>E13/1024</f>
        <v>5.7220458984375</v>
      </c>
      <c r="F14" t="s">
        <v>554</v>
      </c>
    </row>
  </sheetData>
  <mergeCells count="1">
    <mergeCell ref="A1:C1"/>
  </mergeCells>
  <phoneticPr fontId="42"/>
  <hyperlinks>
    <hyperlink ref="A1:C1" location="目次!A1" display="　目次　" xr:uid="{00000000-0004-0000-2300-000000000000}"/>
  </hyperlinks>
  <pageMargins left="0.69930555555555596" right="0.69930555555555596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27"/>
  <sheetViews>
    <sheetView workbookViewId="0">
      <selection activeCell="C25" sqref="C25"/>
    </sheetView>
  </sheetViews>
  <sheetFormatPr defaultColWidth="9" defaultRowHeight="13.5"/>
  <cols>
    <col min="1" max="1" width="8.125" customWidth="1"/>
    <col min="5" max="5" width="10.5" customWidth="1"/>
  </cols>
  <sheetData>
    <row r="1" spans="1:3">
      <c r="A1" s="24" t="s">
        <v>61</v>
      </c>
    </row>
    <row r="3" spans="1:3">
      <c r="A3" t="s">
        <v>30</v>
      </c>
    </row>
    <row r="4" spans="1:3">
      <c r="B4" t="s">
        <v>364</v>
      </c>
      <c r="C4" s="21"/>
    </row>
    <row r="5" spans="1:3">
      <c r="B5" t="s">
        <v>63</v>
      </c>
      <c r="C5" s="36"/>
    </row>
    <row r="21" spans="2:5">
      <c r="E21" t="s">
        <v>556</v>
      </c>
    </row>
    <row r="24" spans="2:5">
      <c r="B24" t="s">
        <v>185</v>
      </c>
      <c r="C24" s="21">
        <v>100000</v>
      </c>
      <c r="D24" t="s">
        <v>91</v>
      </c>
    </row>
    <row r="25" spans="2:5">
      <c r="B25" t="s">
        <v>169</v>
      </c>
      <c r="C25" s="21">
        <v>56000</v>
      </c>
      <c r="D25" t="s">
        <v>91</v>
      </c>
    </row>
    <row r="27" spans="2:5">
      <c r="B27" t="s">
        <v>142</v>
      </c>
      <c r="C27" s="36">
        <f>0.5*(1+C24/C25)</f>
        <v>1.3928571428571428</v>
      </c>
      <c r="D27" t="s">
        <v>65</v>
      </c>
    </row>
  </sheetData>
  <phoneticPr fontId="42"/>
  <hyperlinks>
    <hyperlink ref="A1" location="目次!A1" display="　目次　" xr:uid="{00000000-0004-0000-24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20"/>
  <sheetViews>
    <sheetView zoomScale="130" zoomScaleNormal="130" workbookViewId="0">
      <selection activeCell="AB24" sqref="AB24"/>
    </sheetView>
  </sheetViews>
  <sheetFormatPr defaultColWidth="3.375" defaultRowHeight="13.5"/>
  <cols>
    <col min="1" max="1" width="9" customWidth="1"/>
  </cols>
  <sheetData>
    <row r="1" spans="1:25">
      <c r="A1" s="686" t="s">
        <v>61</v>
      </c>
      <c r="B1" s="686"/>
      <c r="C1" s="686"/>
    </row>
    <row r="2" spans="1:25">
      <c r="B2" t="s">
        <v>557</v>
      </c>
    </row>
    <row r="3" spans="1:25">
      <c r="C3" s="770" t="s">
        <v>558</v>
      </c>
      <c r="D3" s="770"/>
      <c r="E3" s="770"/>
      <c r="F3" s="770"/>
      <c r="G3" s="770"/>
      <c r="H3" s="770"/>
      <c r="I3" s="770"/>
      <c r="J3" s="802">
        <v>60</v>
      </c>
      <c r="K3" s="802"/>
      <c r="L3" s="802"/>
      <c r="M3" s="802"/>
      <c r="N3" s="770" t="s">
        <v>559</v>
      </c>
      <c r="O3" s="770"/>
      <c r="P3" s="770"/>
      <c r="Q3" s="770"/>
      <c r="R3" s="770"/>
    </row>
    <row r="4" spans="1:25">
      <c r="C4" s="32" t="s">
        <v>560</v>
      </c>
      <c r="D4" s="32"/>
      <c r="E4" s="32"/>
      <c r="F4" s="32"/>
      <c r="G4" s="32"/>
      <c r="H4" s="32"/>
      <c r="I4" s="32"/>
      <c r="J4" s="802">
        <v>637</v>
      </c>
      <c r="K4" s="802"/>
      <c r="L4" s="802"/>
      <c r="M4" s="802"/>
      <c r="N4" s="770" t="s">
        <v>561</v>
      </c>
      <c r="O4" s="770"/>
      <c r="P4" s="770"/>
      <c r="Q4" s="770"/>
      <c r="R4" s="770"/>
      <c r="T4" s="738">
        <f>1000/J4</f>
        <v>1.5698587127158556</v>
      </c>
      <c r="U4" s="738"/>
      <c r="V4" s="738"/>
    </row>
    <row r="6" spans="1:25">
      <c r="C6" s="770" t="s">
        <v>562</v>
      </c>
      <c r="D6" s="770"/>
      <c r="E6" s="770"/>
      <c r="F6" s="770"/>
      <c r="G6" s="770"/>
      <c r="H6" s="770"/>
      <c r="I6" s="770"/>
      <c r="J6" s="803">
        <v>4</v>
      </c>
      <c r="K6" s="803"/>
      <c r="L6" s="803"/>
      <c r="M6" s="803"/>
      <c r="N6" s="770" t="s">
        <v>563</v>
      </c>
      <c r="O6" s="770"/>
      <c r="P6" s="770"/>
      <c r="Q6" s="770"/>
      <c r="R6" s="770"/>
      <c r="T6" s="10"/>
      <c r="U6" s="10"/>
      <c r="V6" s="10"/>
    </row>
    <row r="7" spans="1:25">
      <c r="C7" s="770" t="s">
        <v>564</v>
      </c>
      <c r="D7" s="770"/>
      <c r="E7" s="770"/>
      <c r="F7" s="770"/>
      <c r="G7" s="770"/>
      <c r="H7" s="770"/>
      <c r="I7" s="770"/>
      <c r="J7" s="803">
        <v>28</v>
      </c>
      <c r="K7" s="803"/>
      <c r="L7" s="803"/>
      <c r="M7" s="803"/>
      <c r="N7" s="770" t="s">
        <v>559</v>
      </c>
      <c r="O7" s="770"/>
      <c r="P7" s="770"/>
      <c r="Q7" s="770"/>
      <c r="R7" s="770"/>
    </row>
    <row r="8" spans="1:25">
      <c r="C8" s="770" t="s">
        <v>565</v>
      </c>
      <c r="D8" s="770"/>
      <c r="E8" s="770"/>
      <c r="F8" s="770"/>
      <c r="G8" s="770"/>
      <c r="H8" s="770"/>
      <c r="I8" s="770"/>
      <c r="J8" s="804">
        <f>J4*J6</f>
        <v>2548</v>
      </c>
      <c r="K8" s="804"/>
      <c r="L8" s="804"/>
      <c r="M8" s="804"/>
      <c r="N8" s="770" t="s">
        <v>566</v>
      </c>
      <c r="O8" s="770"/>
      <c r="P8" s="770"/>
      <c r="Q8" s="770"/>
      <c r="R8" s="770"/>
    </row>
    <row r="9" spans="1:25">
      <c r="C9" s="770" t="s">
        <v>565</v>
      </c>
      <c r="D9" s="770"/>
      <c r="E9" s="770"/>
      <c r="F9" s="770"/>
      <c r="G9" s="770"/>
      <c r="H9" s="770"/>
      <c r="I9" s="770"/>
      <c r="J9" s="804">
        <f>J7/J3*J4</f>
        <v>297.26666666666665</v>
      </c>
      <c r="K9" s="804"/>
      <c r="L9" s="804"/>
      <c r="M9" s="804"/>
      <c r="N9" s="770" t="s">
        <v>567</v>
      </c>
      <c r="O9" s="770"/>
      <c r="P9" s="770"/>
      <c r="Q9" s="770"/>
      <c r="R9" s="770"/>
    </row>
    <row r="10" spans="1:25">
      <c r="C10" s="770" t="s">
        <v>568</v>
      </c>
      <c r="D10" s="770"/>
      <c r="E10" s="770"/>
      <c r="F10" s="770"/>
      <c r="G10" s="770"/>
      <c r="H10" s="770"/>
      <c r="I10" s="770"/>
      <c r="J10" s="804">
        <f>J9*J6</f>
        <v>1189.0666666666666</v>
      </c>
      <c r="K10" s="804"/>
      <c r="L10" s="804"/>
      <c r="M10" s="804"/>
      <c r="N10" s="770" t="s">
        <v>569</v>
      </c>
      <c r="O10" s="770"/>
      <c r="P10" s="770"/>
      <c r="Q10" s="770"/>
      <c r="R10" s="770"/>
    </row>
    <row r="11" spans="1:25">
      <c r="C11" s="770"/>
      <c r="D11" s="770"/>
      <c r="E11" s="770"/>
      <c r="F11" s="770"/>
      <c r="G11" s="770"/>
      <c r="H11" s="770"/>
      <c r="I11" s="770"/>
      <c r="J11" s="804">
        <f>J10/60</f>
        <v>19.817777777777778</v>
      </c>
      <c r="K11" s="804"/>
      <c r="L11" s="804"/>
      <c r="M11" s="804"/>
      <c r="N11" s="770" t="s">
        <v>570</v>
      </c>
      <c r="O11" s="770"/>
      <c r="P11" s="770"/>
      <c r="Q11" s="770"/>
      <c r="R11" s="770"/>
    </row>
    <row r="12" spans="1:25">
      <c r="C12" s="770" t="s">
        <v>571</v>
      </c>
      <c r="D12" s="770"/>
      <c r="E12" s="770"/>
      <c r="F12" s="770"/>
      <c r="G12" s="770"/>
      <c r="H12" s="770"/>
      <c r="I12" s="770"/>
      <c r="J12" s="804">
        <f>1/J11</f>
        <v>5.0459744337295359E-2</v>
      </c>
      <c r="K12" s="804"/>
      <c r="L12" s="804"/>
      <c r="M12" s="804"/>
      <c r="N12" s="770" t="s">
        <v>293</v>
      </c>
      <c r="O12" s="770"/>
      <c r="P12" s="770"/>
      <c r="Q12" s="770"/>
      <c r="R12" s="770"/>
    </row>
    <row r="13" spans="1:25">
      <c r="C13" s="770" t="s">
        <v>572</v>
      </c>
      <c r="D13" s="770"/>
      <c r="E13" s="770"/>
      <c r="F13" s="770"/>
      <c r="G13" s="770"/>
      <c r="H13" s="770"/>
      <c r="I13" s="770"/>
      <c r="J13" s="805">
        <f>1/J12</f>
        <v>19.817777777777778</v>
      </c>
      <c r="K13" s="805"/>
      <c r="L13" s="805"/>
      <c r="M13" s="805"/>
      <c r="N13" s="770" t="s">
        <v>210</v>
      </c>
      <c r="O13" s="770"/>
      <c r="P13" s="770"/>
      <c r="Q13" s="770"/>
      <c r="R13" s="770"/>
      <c r="T13" s="738">
        <f>J7*(J6*J4)/(60*J3)</f>
        <v>19.817777777777778</v>
      </c>
      <c r="U13" s="738"/>
      <c r="V13" s="738"/>
      <c r="W13" s="738"/>
      <c r="X13" s="738"/>
      <c r="Y13" s="738"/>
    </row>
    <row r="14" spans="1:25"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</row>
    <row r="16" spans="1:25">
      <c r="B16" t="s">
        <v>573</v>
      </c>
    </row>
    <row r="17" spans="3:36">
      <c r="C17" t="s">
        <v>574</v>
      </c>
      <c r="U17" t="s">
        <v>575</v>
      </c>
    </row>
    <row r="18" spans="3:36">
      <c r="C18" s="770" t="s">
        <v>576</v>
      </c>
      <c r="D18" s="770"/>
      <c r="E18" s="770"/>
      <c r="F18" s="770"/>
      <c r="G18" s="770"/>
      <c r="H18" s="770"/>
      <c r="I18" s="770"/>
      <c r="J18" s="803">
        <v>9000</v>
      </c>
      <c r="K18" s="803"/>
      <c r="L18" s="803"/>
      <c r="M18" s="803"/>
      <c r="N18" s="770" t="s">
        <v>577</v>
      </c>
      <c r="O18" s="770"/>
      <c r="P18" s="770"/>
      <c r="Q18" s="770"/>
      <c r="R18" s="770"/>
      <c r="U18" s="770" t="s">
        <v>578</v>
      </c>
      <c r="V18" s="770"/>
      <c r="W18" s="770"/>
      <c r="X18" s="770"/>
      <c r="Y18" s="770"/>
      <c r="Z18" s="770"/>
      <c r="AA18" s="770"/>
      <c r="AB18" s="803">
        <v>3600</v>
      </c>
      <c r="AC18" s="803"/>
      <c r="AD18" s="803"/>
      <c r="AE18" s="803"/>
      <c r="AF18" s="770" t="s">
        <v>210</v>
      </c>
      <c r="AG18" s="770"/>
      <c r="AH18" s="770"/>
      <c r="AI18" s="770"/>
      <c r="AJ18" s="770"/>
    </row>
    <row r="19" spans="3:36">
      <c r="C19" s="770" t="s">
        <v>562</v>
      </c>
      <c r="D19" s="770"/>
      <c r="E19" s="770"/>
      <c r="F19" s="770"/>
      <c r="G19" s="770"/>
      <c r="H19" s="770"/>
      <c r="I19" s="770"/>
      <c r="J19" s="803">
        <v>110</v>
      </c>
      <c r="K19" s="803"/>
      <c r="L19" s="803"/>
      <c r="M19" s="803"/>
      <c r="N19" s="770" t="s">
        <v>579</v>
      </c>
      <c r="O19" s="770"/>
      <c r="P19" s="770"/>
      <c r="Q19" s="770"/>
      <c r="R19" s="770"/>
      <c r="U19" s="770" t="s">
        <v>562</v>
      </c>
      <c r="V19" s="770"/>
      <c r="W19" s="770"/>
      <c r="X19" s="770"/>
      <c r="Y19" s="770"/>
      <c r="Z19" s="770"/>
      <c r="AA19" s="770"/>
      <c r="AB19" s="803">
        <v>24</v>
      </c>
      <c r="AC19" s="803"/>
      <c r="AD19" s="803"/>
      <c r="AE19" s="803"/>
      <c r="AF19" s="770" t="s">
        <v>579</v>
      </c>
      <c r="AG19" s="770"/>
      <c r="AH19" s="770"/>
      <c r="AI19" s="770"/>
      <c r="AJ19" s="770"/>
    </row>
    <row r="20" spans="3:36">
      <c r="C20" s="770" t="s">
        <v>578</v>
      </c>
      <c r="D20" s="770"/>
      <c r="E20" s="770"/>
      <c r="F20" s="770"/>
      <c r="G20" s="770"/>
      <c r="H20" s="770"/>
      <c r="I20" s="770"/>
      <c r="J20" s="804">
        <f>(J18*J19)/60</f>
        <v>16500</v>
      </c>
      <c r="K20" s="804"/>
      <c r="L20" s="804"/>
      <c r="M20" s="804"/>
      <c r="N20" s="770" t="s">
        <v>210</v>
      </c>
      <c r="O20" s="770"/>
      <c r="P20" s="770"/>
      <c r="Q20" s="770"/>
      <c r="R20" s="770"/>
      <c r="U20" s="770" t="s">
        <v>576</v>
      </c>
      <c r="V20" s="770"/>
      <c r="W20" s="770"/>
      <c r="X20" s="770"/>
      <c r="Y20" s="770"/>
      <c r="Z20" s="770"/>
      <c r="AA20" s="770"/>
      <c r="AB20" s="804">
        <f>60*AB18/AB19</f>
        <v>9000</v>
      </c>
      <c r="AC20" s="804"/>
      <c r="AD20" s="804"/>
      <c r="AE20" s="804"/>
      <c r="AF20" s="770" t="s">
        <v>577</v>
      </c>
      <c r="AG20" s="770"/>
      <c r="AH20" s="770"/>
      <c r="AI20" s="770"/>
      <c r="AJ20" s="770"/>
    </row>
  </sheetData>
  <mergeCells count="49">
    <mergeCell ref="AF20:AJ20"/>
    <mergeCell ref="C10:I11"/>
    <mergeCell ref="C20:I20"/>
    <mergeCell ref="J20:M20"/>
    <mergeCell ref="N20:R20"/>
    <mergeCell ref="U20:AA20"/>
    <mergeCell ref="AB20:AE20"/>
    <mergeCell ref="AB18:AE18"/>
    <mergeCell ref="AF18:AJ18"/>
    <mergeCell ref="C19:I19"/>
    <mergeCell ref="J19:M19"/>
    <mergeCell ref="N19:R19"/>
    <mergeCell ref="U19:AA19"/>
    <mergeCell ref="AB19:AE19"/>
    <mergeCell ref="AF19:AJ19"/>
    <mergeCell ref="C13:I13"/>
    <mergeCell ref="J13:M13"/>
    <mergeCell ref="N13:R13"/>
    <mergeCell ref="T13:Y13"/>
    <mergeCell ref="C18:I18"/>
    <mergeCell ref="J18:M18"/>
    <mergeCell ref="N18:R18"/>
    <mergeCell ref="U18:AA18"/>
    <mergeCell ref="J10:M10"/>
    <mergeCell ref="N10:R10"/>
    <mergeCell ref="J11:M11"/>
    <mergeCell ref="N11:R11"/>
    <mergeCell ref="C12:I12"/>
    <mergeCell ref="J12:M12"/>
    <mergeCell ref="N12:R12"/>
    <mergeCell ref="C8:I8"/>
    <mergeCell ref="J8:M8"/>
    <mergeCell ref="N8:R8"/>
    <mergeCell ref="C9:I9"/>
    <mergeCell ref="J9:M9"/>
    <mergeCell ref="N9:R9"/>
    <mergeCell ref="T4:V4"/>
    <mergeCell ref="C6:I6"/>
    <mergeCell ref="J6:M6"/>
    <mergeCell ref="N6:R6"/>
    <mergeCell ref="C7:I7"/>
    <mergeCell ref="J7:M7"/>
    <mergeCell ref="N7:R7"/>
    <mergeCell ref="A1:C1"/>
    <mergeCell ref="C3:I3"/>
    <mergeCell ref="J3:M3"/>
    <mergeCell ref="N3:R3"/>
    <mergeCell ref="J4:M4"/>
    <mergeCell ref="N4:R4"/>
  </mergeCells>
  <phoneticPr fontId="42"/>
  <hyperlinks>
    <hyperlink ref="A1:C1" location="目次!A1" display="　目次　" xr:uid="{00000000-0004-0000-2500-000000000000}"/>
  </hyperlinks>
  <pageMargins left="0.69930555555555596" right="0.69930555555555596" top="0.75" bottom="0.75" header="0.3" footer="0.3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73"/>
  <sheetViews>
    <sheetView zoomScaleNormal="100" workbookViewId="0">
      <selection sqref="A1:C1"/>
    </sheetView>
  </sheetViews>
  <sheetFormatPr defaultColWidth="9" defaultRowHeight="13.5"/>
  <cols>
    <col min="1" max="1" width="9" customWidth="1"/>
    <col min="2" max="2" width="10.375" customWidth="1"/>
    <col min="3" max="3" width="8.5" customWidth="1"/>
    <col min="7" max="7" width="10.875" customWidth="1"/>
    <col min="12" max="12" width="12.75" customWidth="1"/>
    <col min="18" max="18" width="11.75" customWidth="1"/>
    <col min="22" max="22" width="9.5" customWidth="1"/>
    <col min="24" max="24" width="7.25" customWidth="1"/>
  </cols>
  <sheetData>
    <row r="1" spans="1:33">
      <c r="A1" s="686" t="s">
        <v>61</v>
      </c>
      <c r="B1" s="686"/>
      <c r="C1" s="686"/>
    </row>
    <row r="8" spans="1:33">
      <c r="AF8" s="50"/>
      <c r="AG8" s="50"/>
    </row>
    <row r="10" spans="1:33">
      <c r="AF10" s="50"/>
      <c r="AG10" s="50">
        <v>5</v>
      </c>
    </row>
    <row r="11" spans="1:33">
      <c r="AF11" s="50"/>
      <c r="AG11" s="50"/>
    </row>
    <row r="12" spans="1:33">
      <c r="AF12" s="50"/>
      <c r="AG12" s="50">
        <v>0.75</v>
      </c>
    </row>
    <row r="13" spans="1:33">
      <c r="AF13" s="50"/>
      <c r="AG13" s="50">
        <f>AG10*AG12</f>
        <v>3.75</v>
      </c>
    </row>
    <row r="16" spans="1:33">
      <c r="B16" s="738" t="s">
        <v>580</v>
      </c>
      <c r="C16" s="738"/>
      <c r="D16" s="738"/>
      <c r="G16" s="738" t="s">
        <v>581</v>
      </c>
      <c r="H16" s="738"/>
      <c r="I16" s="738"/>
      <c r="K16" s="738" t="s">
        <v>582</v>
      </c>
      <c r="L16" s="738"/>
      <c r="M16" s="738"/>
      <c r="O16" s="738" t="s">
        <v>583</v>
      </c>
      <c r="P16" s="738"/>
      <c r="Q16" s="738"/>
      <c r="V16" s="45"/>
      <c r="W16" s="45"/>
      <c r="X16" s="45"/>
      <c r="Y16" s="45"/>
      <c r="Z16" s="45"/>
    </row>
    <row r="17" spans="2:32">
      <c r="B17" s="738" t="s">
        <v>584</v>
      </c>
      <c r="C17" s="738"/>
      <c r="D17" s="738"/>
      <c r="G17" s="738" t="s">
        <v>585</v>
      </c>
      <c r="H17" s="738"/>
      <c r="I17" s="738"/>
      <c r="K17" s="738" t="s">
        <v>586</v>
      </c>
      <c r="L17" s="738"/>
      <c r="M17" s="738"/>
      <c r="O17" s="738" t="s">
        <v>587</v>
      </c>
      <c r="P17" s="738"/>
      <c r="Q17" s="738"/>
      <c r="V17" s="45"/>
      <c r="W17" s="45"/>
      <c r="X17" s="45"/>
      <c r="Y17" s="45"/>
      <c r="Z17" s="45"/>
    </row>
    <row r="18" spans="2:32">
      <c r="B18" s="738" t="s">
        <v>588</v>
      </c>
      <c r="C18" s="738"/>
      <c r="D18" s="738"/>
      <c r="G18" s="738" t="s">
        <v>589</v>
      </c>
      <c r="H18" s="738"/>
      <c r="I18" s="738"/>
      <c r="V18" s="46" t="s">
        <v>169</v>
      </c>
      <c r="W18" s="47">
        <v>111000</v>
      </c>
      <c r="X18" s="46"/>
      <c r="Y18" s="46" t="s">
        <v>185</v>
      </c>
      <c r="Z18" s="47">
        <v>1000000</v>
      </c>
      <c r="AB18" s="46" t="s">
        <v>169</v>
      </c>
      <c r="AC18" s="47">
        <v>111000</v>
      </c>
      <c r="AE18" s="46" t="s">
        <v>185</v>
      </c>
      <c r="AF18" s="47">
        <v>1000000</v>
      </c>
    </row>
    <row r="19" spans="2:32">
      <c r="B19" t="s">
        <v>185</v>
      </c>
      <c r="C19" s="40">
        <v>200000</v>
      </c>
      <c r="D19" t="s">
        <v>91</v>
      </c>
      <c r="G19" s="41" t="s">
        <v>185</v>
      </c>
      <c r="H19" s="40">
        <v>1000</v>
      </c>
      <c r="I19" t="s">
        <v>322</v>
      </c>
      <c r="K19" t="s">
        <v>185</v>
      </c>
      <c r="L19" s="40">
        <v>100000</v>
      </c>
      <c r="M19" t="s">
        <v>91</v>
      </c>
      <c r="O19" t="s">
        <v>185</v>
      </c>
      <c r="P19" s="40">
        <v>100000</v>
      </c>
      <c r="Q19" t="s">
        <v>91</v>
      </c>
      <c r="V19" s="45" t="s">
        <v>590</v>
      </c>
      <c r="W19" s="47">
        <v>5</v>
      </c>
      <c r="X19" s="45"/>
      <c r="Y19" s="45" t="s">
        <v>169</v>
      </c>
      <c r="Z19" s="47">
        <v>110000</v>
      </c>
      <c r="AB19" s="45" t="s">
        <v>590</v>
      </c>
      <c r="AC19" s="47">
        <v>5</v>
      </c>
      <c r="AE19" s="45" t="s">
        <v>590</v>
      </c>
      <c r="AF19" s="47">
        <v>5</v>
      </c>
    </row>
    <row r="20" spans="2:32">
      <c r="B20" t="s">
        <v>169</v>
      </c>
      <c r="C20" s="40">
        <v>60000</v>
      </c>
      <c r="D20" t="s">
        <v>91</v>
      </c>
      <c r="G20" s="41" t="s">
        <v>591</v>
      </c>
      <c r="H20" s="42">
        <f>1000/H19</f>
        <v>1</v>
      </c>
      <c r="I20" t="s">
        <v>93</v>
      </c>
      <c r="K20" t="s">
        <v>169</v>
      </c>
      <c r="L20" s="40">
        <v>30000</v>
      </c>
      <c r="M20" t="s">
        <v>91</v>
      </c>
      <c r="O20" t="s">
        <v>169</v>
      </c>
      <c r="P20" s="40">
        <v>33000</v>
      </c>
      <c r="Q20" t="s">
        <v>91</v>
      </c>
      <c r="V20" s="45" t="s">
        <v>592</v>
      </c>
      <c r="W20" s="45">
        <v>0.5</v>
      </c>
      <c r="X20" s="45"/>
      <c r="Y20" s="45" t="s">
        <v>592</v>
      </c>
      <c r="Z20" s="45">
        <v>0.5</v>
      </c>
      <c r="AB20" s="45" t="s">
        <v>592</v>
      </c>
      <c r="AC20" s="45">
        <v>0.5</v>
      </c>
      <c r="AE20" s="45" t="s">
        <v>592</v>
      </c>
      <c r="AF20" s="45">
        <v>0.5</v>
      </c>
    </row>
    <row r="21" spans="2:32">
      <c r="B21" t="s">
        <v>142</v>
      </c>
      <c r="C21" s="42">
        <f>1.23*(1+(C19/C20))</f>
        <v>5.330000000000001</v>
      </c>
      <c r="D21" t="s">
        <v>65</v>
      </c>
      <c r="K21" t="s">
        <v>142</v>
      </c>
      <c r="L21" s="42">
        <f>1.225*(1+L19/L20)</f>
        <v>5.3083333333333345</v>
      </c>
      <c r="M21" t="s">
        <v>65</v>
      </c>
      <c r="O21" t="s">
        <v>142</v>
      </c>
      <c r="P21" s="42">
        <f>P19/P20*1.26+1.26</f>
        <v>5.0781818181818181</v>
      </c>
      <c r="Q21" t="s">
        <v>65</v>
      </c>
      <c r="V21" s="46"/>
      <c r="W21" s="46"/>
      <c r="X21" s="46"/>
      <c r="Y21" s="46"/>
      <c r="Z21" s="46"/>
      <c r="AB21" s="46"/>
      <c r="AC21" s="46"/>
      <c r="AE21" s="46"/>
      <c r="AF21" s="46"/>
    </row>
    <row r="22" spans="2:32">
      <c r="G22" s="738" t="s">
        <v>593</v>
      </c>
      <c r="H22" s="738"/>
      <c r="I22" s="738"/>
      <c r="K22" t="s">
        <v>594</v>
      </c>
      <c r="L22" s="42">
        <f>((3*10^-7)*(L19+L20))/(L19*L20)*10^12</f>
        <v>13</v>
      </c>
      <c r="M22" t="s">
        <v>214</v>
      </c>
      <c r="V22" s="46" t="s">
        <v>595</v>
      </c>
      <c r="Y22" s="46" t="s">
        <v>596</v>
      </c>
      <c r="AB22" s="46" t="s">
        <v>597</v>
      </c>
      <c r="AE22" s="46" t="s">
        <v>598</v>
      </c>
    </row>
    <row r="23" spans="2:32">
      <c r="G23" s="29" t="s">
        <v>591</v>
      </c>
      <c r="H23" s="40">
        <v>60</v>
      </c>
      <c r="I23" t="s">
        <v>429</v>
      </c>
      <c r="O23" t="s">
        <v>593</v>
      </c>
      <c r="V23" s="45" t="s">
        <v>185</v>
      </c>
      <c r="W23" s="48">
        <f>W18*(W19/W20-1)</f>
        <v>999000</v>
      </c>
      <c r="X23" s="45"/>
      <c r="Y23" s="45" t="s">
        <v>590</v>
      </c>
      <c r="Z23" s="48">
        <f>Z18*Z20/Z19+Z20</f>
        <v>5.0454545454545459</v>
      </c>
      <c r="AB23" s="45" t="s">
        <v>590</v>
      </c>
      <c r="AC23" s="48">
        <f>AC19*AC18/AC20-AC18</f>
        <v>999000</v>
      </c>
      <c r="AE23" s="45" t="s">
        <v>590</v>
      </c>
      <c r="AF23" s="48">
        <f>AF18*(AF20/(AF19-AF20))</f>
        <v>111111.11111111111</v>
      </c>
    </row>
    <row r="24" spans="2:32">
      <c r="G24" s="29" t="s">
        <v>185</v>
      </c>
      <c r="H24" s="42">
        <f>1000/H23</f>
        <v>16.666666666666668</v>
      </c>
      <c r="I24" t="s">
        <v>599</v>
      </c>
      <c r="K24" t="s">
        <v>593</v>
      </c>
      <c r="O24" t="s">
        <v>169</v>
      </c>
      <c r="P24" s="40">
        <v>30000</v>
      </c>
      <c r="Q24" t="s">
        <v>91</v>
      </c>
    </row>
    <row r="25" spans="2:32">
      <c r="K25" t="s">
        <v>169</v>
      </c>
      <c r="L25" s="40">
        <v>39000</v>
      </c>
      <c r="M25" t="s">
        <v>91</v>
      </c>
      <c r="O25" t="s">
        <v>142</v>
      </c>
      <c r="P25" s="40">
        <v>4.7</v>
      </c>
      <c r="Q25" t="s">
        <v>65</v>
      </c>
      <c r="V25" t="s">
        <v>600</v>
      </c>
    </row>
    <row r="26" spans="2:32">
      <c r="K26" t="s">
        <v>590</v>
      </c>
      <c r="L26" s="40">
        <v>2.8</v>
      </c>
      <c r="M26" t="s">
        <v>65</v>
      </c>
      <c r="O26" t="s">
        <v>185</v>
      </c>
      <c r="P26" s="42">
        <f>P24*((P25-1.26)/1.26)</f>
        <v>81904.761904761908</v>
      </c>
      <c r="Q26" t="s">
        <v>91</v>
      </c>
    </row>
    <row r="27" spans="2:32">
      <c r="K27" t="s">
        <v>185</v>
      </c>
      <c r="L27" s="42">
        <f>(L26/1.225-1)*L25</f>
        <v>50142.857142857138</v>
      </c>
      <c r="M27" t="s">
        <v>91</v>
      </c>
    </row>
    <row r="28" spans="2:32">
      <c r="K28" t="s">
        <v>594</v>
      </c>
      <c r="L28" s="42">
        <f>((3*10^-7)*(L27+L25))/(L27*L25)*10^12</f>
        <v>13.675213675213675</v>
      </c>
      <c r="M28" t="s">
        <v>214</v>
      </c>
    </row>
    <row r="29" spans="2:32">
      <c r="O29" t="s">
        <v>601</v>
      </c>
      <c r="P29">
        <v>100000</v>
      </c>
      <c r="Q29" t="s">
        <v>91</v>
      </c>
    </row>
    <row r="30" spans="2:32" s="39" customFormat="1">
      <c r="O30" s="39" t="s">
        <v>602</v>
      </c>
      <c r="P30" s="39">
        <v>2700</v>
      </c>
      <c r="Q30" s="39" t="s">
        <v>603</v>
      </c>
      <c r="R30" s="39">
        <f>P30*10^-12</f>
        <v>2.6999999999999998E-9</v>
      </c>
    </row>
    <row r="33" spans="4:28">
      <c r="U33" t="s">
        <v>604</v>
      </c>
    </row>
    <row r="34" spans="4:28">
      <c r="U34" s="29" t="s">
        <v>605</v>
      </c>
      <c r="V34">
        <v>890</v>
      </c>
      <c r="W34" t="s">
        <v>606</v>
      </c>
      <c r="Z34" s="29" t="s">
        <v>605</v>
      </c>
      <c r="AA34">
        <v>890</v>
      </c>
      <c r="AB34" t="s">
        <v>606</v>
      </c>
    </row>
    <row r="35" spans="4:28">
      <c r="U35" t="s">
        <v>607</v>
      </c>
      <c r="V35" s="40">
        <v>0.32400000000000001</v>
      </c>
      <c r="W35" t="s">
        <v>92</v>
      </c>
      <c r="Z35" t="s">
        <v>90</v>
      </c>
      <c r="AA35" s="40">
        <v>2700</v>
      </c>
      <c r="AB35" t="s">
        <v>91</v>
      </c>
    </row>
    <row r="36" spans="4:28">
      <c r="U36" t="s">
        <v>90</v>
      </c>
      <c r="V36" s="49">
        <f>V34/V35</f>
        <v>2746.9135802469136</v>
      </c>
      <c r="W36" t="s">
        <v>91</v>
      </c>
      <c r="Z36" t="s">
        <v>607</v>
      </c>
      <c r="AA36" s="49">
        <f>AA34/AA35</f>
        <v>0.32962962962962961</v>
      </c>
      <c r="AB36" t="s">
        <v>93</v>
      </c>
    </row>
    <row r="38" spans="4:28">
      <c r="U38" t="s">
        <v>608</v>
      </c>
    </row>
    <row r="39" spans="4:28">
      <c r="U39" s="29" t="s">
        <v>609</v>
      </c>
      <c r="V39">
        <v>1550</v>
      </c>
      <c r="W39" t="s">
        <v>610</v>
      </c>
      <c r="Y39" s="29" t="s">
        <v>609</v>
      </c>
      <c r="Z39">
        <v>1550</v>
      </c>
      <c r="AA39" t="s">
        <v>610</v>
      </c>
    </row>
    <row r="40" spans="4:28">
      <c r="U40" t="s">
        <v>611</v>
      </c>
      <c r="V40" s="40">
        <v>3900</v>
      </c>
      <c r="W40" t="s">
        <v>92</v>
      </c>
      <c r="Y40" t="s">
        <v>612</v>
      </c>
      <c r="Z40" s="40">
        <v>3900</v>
      </c>
      <c r="AA40" t="s">
        <v>91</v>
      </c>
    </row>
    <row r="41" spans="4:28">
      <c r="U41" t="s">
        <v>612</v>
      </c>
      <c r="V41" s="49">
        <f>V39/V40</f>
        <v>0.39743589743589741</v>
      </c>
      <c r="W41" t="s">
        <v>91</v>
      </c>
      <c r="Y41" t="s">
        <v>611</v>
      </c>
      <c r="Z41" s="49">
        <f>Z39/Z40</f>
        <v>0.39743589743589741</v>
      </c>
      <c r="AA41" t="s">
        <v>92</v>
      </c>
    </row>
    <row r="42" spans="4:28">
      <c r="N42" t="s">
        <v>581</v>
      </c>
    </row>
    <row r="43" spans="4:28">
      <c r="N43" t="s">
        <v>613</v>
      </c>
    </row>
    <row r="44" spans="4:28">
      <c r="N44" t="s">
        <v>614</v>
      </c>
    </row>
    <row r="45" spans="4:28">
      <c r="M45" s="29" t="s">
        <v>186</v>
      </c>
      <c r="N45">
        <v>1330</v>
      </c>
      <c r="O45" t="s">
        <v>91</v>
      </c>
    </row>
    <row r="46" spans="4:28">
      <c r="M46" s="29" t="s">
        <v>615</v>
      </c>
      <c r="N46">
        <v>15.5</v>
      </c>
      <c r="O46" t="s">
        <v>93</v>
      </c>
    </row>
    <row r="48" spans="4:28">
      <c r="D48" s="738" t="s">
        <v>616</v>
      </c>
      <c r="E48" s="738"/>
      <c r="F48" s="738"/>
    </row>
    <row r="49" spans="2:18">
      <c r="D49" s="738" t="s">
        <v>617</v>
      </c>
      <c r="E49" s="738"/>
      <c r="F49" s="738"/>
    </row>
    <row r="50" spans="2:18">
      <c r="D50" s="738" t="s">
        <v>618</v>
      </c>
      <c r="E50" s="738"/>
      <c r="F50" s="738"/>
      <c r="M50">
        <v>13.3</v>
      </c>
      <c r="O50">
        <v>15.5</v>
      </c>
      <c r="Q50">
        <f>O50*M50</f>
        <v>206.15</v>
      </c>
    </row>
    <row r="51" spans="2:18">
      <c r="D51" t="s">
        <v>619</v>
      </c>
      <c r="E51" s="43">
        <v>400</v>
      </c>
      <c r="F51" t="s">
        <v>91</v>
      </c>
      <c r="M51">
        <v>1.33</v>
      </c>
      <c r="O51">
        <v>155</v>
      </c>
      <c r="Q51">
        <f>O51*M51</f>
        <v>206.15</v>
      </c>
    </row>
    <row r="52" spans="2:18">
      <c r="D52" t="s">
        <v>417</v>
      </c>
      <c r="E52" s="44">
        <f>500/E51</f>
        <v>1.25</v>
      </c>
      <c r="F52" t="s">
        <v>92</v>
      </c>
    </row>
    <row r="54" spans="2:18">
      <c r="D54" s="738" t="s">
        <v>593</v>
      </c>
      <c r="E54" s="738"/>
      <c r="F54" s="738"/>
      <c r="M54">
        <v>2.4</v>
      </c>
      <c r="N54" t="s">
        <v>91</v>
      </c>
      <c r="O54">
        <f>Q54/M54</f>
        <v>85.895833333333343</v>
      </c>
      <c r="Q54">
        <v>206.15</v>
      </c>
    </row>
    <row r="55" spans="2:18">
      <c r="D55" t="s">
        <v>417</v>
      </c>
      <c r="E55" s="43">
        <v>1.25</v>
      </c>
      <c r="F55" t="s">
        <v>92</v>
      </c>
    </row>
    <row r="56" spans="2:18">
      <c r="D56" t="s">
        <v>619</v>
      </c>
      <c r="E56" s="44">
        <f>500/E55</f>
        <v>400</v>
      </c>
      <c r="F56" t="s">
        <v>91</v>
      </c>
    </row>
    <row r="59" spans="2:18" s="39" customFormat="1">
      <c r="O59" s="39" t="s">
        <v>602</v>
      </c>
      <c r="P59" s="39">
        <v>2700</v>
      </c>
      <c r="Q59" s="39" t="s">
        <v>603</v>
      </c>
      <c r="R59" s="39">
        <f>P59*10^-12</f>
        <v>2.6999999999999998E-9</v>
      </c>
    </row>
    <row r="63" spans="2:18">
      <c r="B63" t="s">
        <v>620</v>
      </c>
      <c r="K63" t="s">
        <v>621</v>
      </c>
    </row>
    <row r="64" spans="2:18">
      <c r="B64" t="s">
        <v>622</v>
      </c>
    </row>
    <row r="89" spans="2:20">
      <c r="L89" s="51" t="s">
        <v>185</v>
      </c>
      <c r="M89" s="52">
        <v>9100</v>
      </c>
      <c r="N89" s="53" t="s">
        <v>91</v>
      </c>
      <c r="O89" s="51" t="s">
        <v>185</v>
      </c>
      <c r="P89" s="52">
        <v>47000</v>
      </c>
      <c r="Q89" s="53" t="s">
        <v>91</v>
      </c>
      <c r="R89" s="51" t="s">
        <v>169</v>
      </c>
      <c r="S89" s="52">
        <v>9100</v>
      </c>
      <c r="T89" s="53" t="s">
        <v>91</v>
      </c>
    </row>
    <row r="90" spans="2:20">
      <c r="L90" s="54" t="s">
        <v>169</v>
      </c>
      <c r="M90" s="26">
        <v>2700</v>
      </c>
      <c r="N90" s="55" t="s">
        <v>91</v>
      </c>
      <c r="O90" s="54" t="s">
        <v>590</v>
      </c>
      <c r="P90" s="26">
        <v>4.9318679999999997</v>
      </c>
      <c r="Q90" s="55" t="s">
        <v>65</v>
      </c>
      <c r="R90" s="54" t="s">
        <v>590</v>
      </c>
      <c r="S90" s="26">
        <v>3.3</v>
      </c>
      <c r="T90" s="55" t="s">
        <v>65</v>
      </c>
    </row>
    <row r="91" spans="2:20">
      <c r="L91" s="56"/>
      <c r="M91" s="9"/>
      <c r="N91" s="57"/>
      <c r="O91" s="56"/>
      <c r="P91" s="9"/>
      <c r="Q91" s="57"/>
      <c r="R91" s="56"/>
      <c r="S91" s="9"/>
      <c r="T91" s="57"/>
    </row>
    <row r="92" spans="2:20">
      <c r="L92" s="58" t="s">
        <v>590</v>
      </c>
      <c r="M92" s="59">
        <f>(M89/M90+1)*0.8</f>
        <v>3.4962962962962965</v>
      </c>
      <c r="N92" s="60" t="s">
        <v>65</v>
      </c>
      <c r="O92" s="58" t="s">
        <v>169</v>
      </c>
      <c r="P92" s="59">
        <f>P89/(P90/0.8-1)</f>
        <v>9100.0002904255434</v>
      </c>
      <c r="Q92" s="60" t="s">
        <v>91</v>
      </c>
      <c r="R92" s="58" t="s">
        <v>185</v>
      </c>
      <c r="S92" s="59">
        <f>S89*(S90/0.8-1)</f>
        <v>28437.499999999993</v>
      </c>
      <c r="T92" s="60" t="s">
        <v>91</v>
      </c>
    </row>
    <row r="94" spans="2:20">
      <c r="B94" t="s">
        <v>623</v>
      </c>
      <c r="C94" s="40">
        <v>700</v>
      </c>
      <c r="D94" t="s">
        <v>65</v>
      </c>
      <c r="F94" t="s">
        <v>172</v>
      </c>
      <c r="G94" s="40">
        <v>333</v>
      </c>
      <c r="H94" t="s">
        <v>322</v>
      </c>
    </row>
    <row r="96" spans="2:20">
      <c r="B96" t="s">
        <v>172</v>
      </c>
      <c r="C96" s="49">
        <f>C94/(3*10^-4)/1000</f>
        <v>2333.333333333333</v>
      </c>
      <c r="D96" t="s">
        <v>322</v>
      </c>
      <c r="F96" t="s">
        <v>623</v>
      </c>
      <c r="G96" s="49">
        <f>G94*10^3*3*10^-4</f>
        <v>99.9</v>
      </c>
      <c r="H96" t="s">
        <v>65</v>
      </c>
    </row>
    <row r="99" spans="2:18" s="39" customFormat="1">
      <c r="O99" s="39" t="s">
        <v>602</v>
      </c>
      <c r="P99" s="39">
        <v>2700</v>
      </c>
      <c r="Q99" s="39" t="s">
        <v>603</v>
      </c>
      <c r="R99" s="39">
        <f>P99*10^-12</f>
        <v>2.6999999999999998E-9</v>
      </c>
    </row>
    <row r="101" spans="2:18">
      <c r="B101" t="s">
        <v>624</v>
      </c>
    </row>
    <row r="123" spans="2:4">
      <c r="B123" t="s">
        <v>625</v>
      </c>
    </row>
    <row r="124" spans="2:4">
      <c r="B124" t="s">
        <v>626</v>
      </c>
      <c r="C124">
        <v>34000</v>
      </c>
      <c r="D124" t="s">
        <v>91</v>
      </c>
    </row>
    <row r="125" spans="2:4">
      <c r="B125" t="s">
        <v>627</v>
      </c>
      <c r="C125" s="21">
        <v>4700</v>
      </c>
      <c r="D125" t="s">
        <v>91</v>
      </c>
    </row>
    <row r="127" spans="2:4">
      <c r="B127" t="s">
        <v>590</v>
      </c>
      <c r="C127" s="23">
        <f>0.8*(1+C124/C125)</f>
        <v>6.5872340425531917</v>
      </c>
      <c r="D127" t="s">
        <v>65</v>
      </c>
    </row>
    <row r="129" spans="2:19" s="39" customFormat="1">
      <c r="O129" s="39" t="s">
        <v>602</v>
      </c>
      <c r="P129" s="39">
        <v>2700</v>
      </c>
      <c r="Q129" s="39" t="s">
        <v>603</v>
      </c>
      <c r="R129" s="39">
        <f>P129*10^-12</f>
        <v>2.6999999999999998E-9</v>
      </c>
    </row>
    <row r="131" spans="2:19">
      <c r="B131" t="s">
        <v>628</v>
      </c>
    </row>
    <row r="133" spans="2:19">
      <c r="J133" t="s">
        <v>629</v>
      </c>
    </row>
    <row r="134" spans="2:19">
      <c r="J134" s="61" t="s">
        <v>185</v>
      </c>
      <c r="K134" s="52">
        <v>43000</v>
      </c>
      <c r="L134" s="53" t="s">
        <v>91</v>
      </c>
    </row>
    <row r="135" spans="2:19">
      <c r="J135" s="62" t="s">
        <v>169</v>
      </c>
      <c r="K135" s="26">
        <v>12000</v>
      </c>
      <c r="L135" s="55" t="s">
        <v>91</v>
      </c>
    </row>
    <row r="136" spans="2:19">
      <c r="J136" s="54"/>
      <c r="K136" s="63"/>
      <c r="L136" s="55"/>
    </row>
    <row r="137" spans="2:19">
      <c r="J137" s="806" t="s">
        <v>630</v>
      </c>
      <c r="K137" s="807"/>
      <c r="L137" s="808"/>
    </row>
    <row r="138" spans="2:19">
      <c r="J138" s="54"/>
      <c r="K138" s="63"/>
      <c r="L138" s="55"/>
    </row>
    <row r="139" spans="2:19">
      <c r="J139" s="58" t="s">
        <v>142</v>
      </c>
      <c r="K139" s="59">
        <f>K134*0.8/K135+0.8</f>
        <v>3.666666666666667</v>
      </c>
      <c r="L139" s="60" t="s">
        <v>65</v>
      </c>
    </row>
    <row r="141" spans="2:19">
      <c r="J141" t="s">
        <v>631</v>
      </c>
    </row>
    <row r="142" spans="2:19">
      <c r="J142" s="738" t="s">
        <v>632</v>
      </c>
      <c r="K142" s="738"/>
      <c r="L142" s="738">
        <v>1</v>
      </c>
      <c r="M142" s="738"/>
      <c r="N142" s="738" t="s">
        <v>633</v>
      </c>
      <c r="O142" s="738" t="s">
        <v>634</v>
      </c>
      <c r="P142" s="738"/>
      <c r="Q142" s="738"/>
      <c r="R142" s="738"/>
      <c r="S142" s="738"/>
    </row>
    <row r="143" spans="2:19">
      <c r="J143" s="738"/>
      <c r="K143" s="738"/>
      <c r="L143" s="712" t="s">
        <v>635</v>
      </c>
      <c r="M143" s="712"/>
      <c r="N143" s="738"/>
      <c r="O143" s="712" t="s">
        <v>636</v>
      </c>
      <c r="P143" s="712"/>
      <c r="Q143" s="712"/>
      <c r="R143" s="712"/>
      <c r="S143" s="712"/>
    </row>
    <row r="145" spans="10:20">
      <c r="J145" s="738" t="s">
        <v>637</v>
      </c>
      <c r="K145" s="738"/>
      <c r="L145" s="696" t="s">
        <v>638</v>
      </c>
      <c r="M145" s="696"/>
      <c r="N145" s="738" t="s">
        <v>633</v>
      </c>
      <c r="O145" s="696" t="s">
        <v>639</v>
      </c>
      <c r="P145" s="696"/>
      <c r="Q145" s="696"/>
      <c r="R145" s="696"/>
      <c r="S145" s="696"/>
      <c r="T145" s="696"/>
    </row>
    <row r="146" spans="10:20">
      <c r="J146" s="738"/>
      <c r="K146" s="738"/>
      <c r="L146" s="712" t="s">
        <v>635</v>
      </c>
      <c r="M146" s="712"/>
      <c r="N146" s="738"/>
      <c r="O146" s="712" t="s">
        <v>636</v>
      </c>
      <c r="P146" s="712"/>
      <c r="Q146" s="712"/>
      <c r="R146" s="712"/>
      <c r="S146" s="712"/>
      <c r="T146" s="712"/>
    </row>
    <row r="148" spans="10:20">
      <c r="J148" s="738" t="s">
        <v>272</v>
      </c>
      <c r="K148" s="738"/>
      <c r="L148" s="21">
        <v>12</v>
      </c>
      <c r="M148" t="s">
        <v>65</v>
      </c>
    </row>
    <row r="149" spans="10:20">
      <c r="J149" s="738" t="s">
        <v>640</v>
      </c>
      <c r="K149" s="738"/>
      <c r="L149" s="21">
        <v>2.5999999999999999E-2</v>
      </c>
      <c r="M149" t="s">
        <v>91</v>
      </c>
    </row>
    <row r="150" spans="10:20">
      <c r="J150" s="738" t="s">
        <v>641</v>
      </c>
      <c r="K150" s="738"/>
      <c r="L150" s="21">
        <v>2.5</v>
      </c>
      <c r="M150" t="s">
        <v>92</v>
      </c>
    </row>
    <row r="151" spans="10:20">
      <c r="J151" s="738" t="s">
        <v>642</v>
      </c>
      <c r="K151" s="738"/>
      <c r="L151" s="21">
        <v>13.2</v>
      </c>
      <c r="M151" t="s">
        <v>65</v>
      </c>
    </row>
    <row r="152" spans="10:20">
      <c r="J152" s="738" t="s">
        <v>142</v>
      </c>
      <c r="K152" s="738"/>
      <c r="L152" s="21">
        <v>3.3</v>
      </c>
      <c r="M152" t="s">
        <v>65</v>
      </c>
    </row>
    <row r="153" spans="10:20">
      <c r="J153" s="738" t="s">
        <v>643</v>
      </c>
      <c r="K153" s="738"/>
      <c r="L153" s="21">
        <v>0.2</v>
      </c>
      <c r="M153" t="s">
        <v>65</v>
      </c>
    </row>
    <row r="154" spans="10:20">
      <c r="J154" s="738" t="s">
        <v>644</v>
      </c>
      <c r="K154" s="738"/>
      <c r="L154" s="21">
        <v>0.7</v>
      </c>
      <c r="M154" t="s">
        <v>65</v>
      </c>
    </row>
    <row r="155" spans="10:20">
      <c r="J155" s="738" t="s">
        <v>645</v>
      </c>
      <c r="K155" s="738"/>
      <c r="L155" s="21">
        <v>0.2</v>
      </c>
      <c r="M155" t="s">
        <v>91</v>
      </c>
    </row>
    <row r="156" spans="10:20">
      <c r="J156" s="738" t="s">
        <v>635</v>
      </c>
      <c r="K156" s="738"/>
      <c r="L156" s="21">
        <v>135</v>
      </c>
      <c r="M156" t="s">
        <v>646</v>
      </c>
    </row>
    <row r="157" spans="10:20">
      <c r="J157" s="738" t="s">
        <v>647</v>
      </c>
      <c r="K157" s="738"/>
      <c r="L157" s="21">
        <v>2</v>
      </c>
    </row>
    <row r="159" spans="10:20">
      <c r="J159" t="s">
        <v>648</v>
      </c>
      <c r="L159">
        <f>(1/L156*10^-9)*((L150*L149+L152+L154)/(L148-L150*L155+L154))</f>
        <v>2.4681238615664847E-12</v>
      </c>
    </row>
    <row r="160" spans="10:20">
      <c r="L160">
        <f>1/L159</f>
        <v>405166051660.5166</v>
      </c>
    </row>
    <row r="163" spans="2:18" s="39" customFormat="1">
      <c r="O163" s="39" t="s">
        <v>602</v>
      </c>
      <c r="P163" s="39">
        <v>2700</v>
      </c>
      <c r="Q163" s="39" t="s">
        <v>603</v>
      </c>
      <c r="R163" s="39">
        <f>P163*10^-12</f>
        <v>2.6999999999999998E-9</v>
      </c>
    </row>
    <row r="165" spans="2:18">
      <c r="B165" s="418" t="s">
        <v>1238</v>
      </c>
    </row>
    <row r="167" spans="2:18">
      <c r="I167" s="418" t="s">
        <v>1239</v>
      </c>
      <c r="J167">
        <v>470</v>
      </c>
      <c r="K167" s="418" t="s">
        <v>1241</v>
      </c>
    </row>
    <row r="168" spans="2:18">
      <c r="I168" s="418" t="s">
        <v>1240</v>
      </c>
      <c r="J168">
        <v>461</v>
      </c>
      <c r="K168" s="418" t="s">
        <v>1241</v>
      </c>
    </row>
    <row r="170" spans="2:18">
      <c r="I170" s="418" t="s">
        <v>1242</v>
      </c>
      <c r="J170">
        <v>1.25</v>
      </c>
      <c r="K170" s="418" t="s">
        <v>1243</v>
      </c>
      <c r="L170" s="418" t="s">
        <v>1244</v>
      </c>
    </row>
    <row r="171" spans="2:18">
      <c r="I171" s="418" t="s">
        <v>1245</v>
      </c>
      <c r="J171">
        <v>50</v>
      </c>
      <c r="K171" s="418" t="s">
        <v>1246</v>
      </c>
      <c r="L171" s="418" t="s">
        <v>1247</v>
      </c>
    </row>
    <row r="173" spans="2:18">
      <c r="I173" s="418" t="s">
        <v>1248</v>
      </c>
      <c r="J173">
        <f>J170*(1+(J168/J167))+(J171*10^-6*J168)</f>
        <v>2.499113829787234</v>
      </c>
      <c r="K173" s="418" t="s">
        <v>1243</v>
      </c>
    </row>
  </sheetData>
  <mergeCells count="39">
    <mergeCell ref="J154:K154"/>
    <mergeCell ref="J155:K155"/>
    <mergeCell ref="J156:K156"/>
    <mergeCell ref="J157:K157"/>
    <mergeCell ref="N142:N143"/>
    <mergeCell ref="N145:N146"/>
    <mergeCell ref="J142:K143"/>
    <mergeCell ref="J145:K146"/>
    <mergeCell ref="J149:K149"/>
    <mergeCell ref="J150:K150"/>
    <mergeCell ref="J151:K151"/>
    <mergeCell ref="J152:K152"/>
    <mergeCell ref="J153:K153"/>
    <mergeCell ref="L145:M145"/>
    <mergeCell ref="O145:T145"/>
    <mergeCell ref="L146:M146"/>
    <mergeCell ref="O146:T146"/>
    <mergeCell ref="J148:K148"/>
    <mergeCell ref="J137:L137"/>
    <mergeCell ref="L142:M142"/>
    <mergeCell ref="O142:S142"/>
    <mergeCell ref="L143:M143"/>
    <mergeCell ref="O143:S143"/>
    <mergeCell ref="G22:I22"/>
    <mergeCell ref="D48:F48"/>
    <mergeCell ref="D49:F49"/>
    <mergeCell ref="D50:F50"/>
    <mergeCell ref="D54:F54"/>
    <mergeCell ref="B17:D17"/>
    <mergeCell ref="G17:I17"/>
    <mergeCell ref="K17:M17"/>
    <mergeCell ref="O17:Q17"/>
    <mergeCell ref="B18:D18"/>
    <mergeCell ref="G18:I18"/>
    <mergeCell ref="A1:C1"/>
    <mergeCell ref="B16:D16"/>
    <mergeCell ref="G16:I16"/>
    <mergeCell ref="K16:M16"/>
    <mergeCell ref="O16:Q16"/>
  </mergeCells>
  <phoneticPr fontId="42"/>
  <hyperlinks>
    <hyperlink ref="A1:C1" location="目次!A1" display="　目次　" xr:uid="{00000000-0004-0000-2600-000000000000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B85"/>
  <sheetViews>
    <sheetView zoomScale="85" zoomScaleNormal="85" workbookViewId="0">
      <selection sqref="A1:C1"/>
    </sheetView>
  </sheetViews>
  <sheetFormatPr defaultColWidth="3.5" defaultRowHeight="13.5"/>
  <cols>
    <col min="1" max="1" width="9" customWidth="1"/>
    <col min="7" max="7" width="4.125" customWidth="1"/>
    <col min="21" max="21" width="4.25" customWidth="1"/>
  </cols>
  <sheetData>
    <row r="1" spans="1:16">
      <c r="A1" s="686" t="s">
        <v>61</v>
      </c>
      <c r="B1" s="686"/>
      <c r="C1" s="686"/>
    </row>
    <row r="2" spans="1:16">
      <c r="A2" t="s">
        <v>649</v>
      </c>
    </row>
    <row r="3" spans="1:16">
      <c r="P3" t="s">
        <v>650</v>
      </c>
    </row>
    <row r="4" spans="1:16">
      <c r="P4" t="s">
        <v>651</v>
      </c>
    </row>
    <row r="5" spans="1:16">
      <c r="P5" t="s">
        <v>652</v>
      </c>
    </row>
    <row r="15" spans="1:16">
      <c r="B15" t="s">
        <v>653</v>
      </c>
      <c r="E15">
        <v>5</v>
      </c>
      <c r="F15" t="s">
        <v>65</v>
      </c>
    </row>
    <row r="16" spans="1:16">
      <c r="B16" t="s">
        <v>654</v>
      </c>
      <c r="E16">
        <v>30</v>
      </c>
      <c r="F16" t="s">
        <v>655</v>
      </c>
    </row>
    <row r="17" spans="2:54">
      <c r="P17" t="s">
        <v>653</v>
      </c>
      <c r="S17">
        <v>5</v>
      </c>
      <c r="T17" t="s">
        <v>65</v>
      </c>
      <c r="AD17" t="s">
        <v>653</v>
      </c>
      <c r="AG17">
        <v>5</v>
      </c>
      <c r="AH17" t="s">
        <v>65</v>
      </c>
    </row>
    <row r="18" spans="2:54">
      <c r="B18" s="809">
        <v>10</v>
      </c>
      <c r="C18" s="810"/>
      <c r="D18" s="37" t="s">
        <v>656</v>
      </c>
      <c r="E18" s="37"/>
      <c r="F18" s="38"/>
      <c r="G18" s="37"/>
      <c r="H18" s="811">
        <f t="shared" ref="H18:H23" si="0">1/B18</f>
        <v>0.1</v>
      </c>
      <c r="I18" s="812"/>
      <c r="J18" s="812"/>
      <c r="K18" s="812"/>
      <c r="L18" s="812" t="s">
        <v>221</v>
      </c>
      <c r="M18" s="813"/>
      <c r="P18" t="s">
        <v>654</v>
      </c>
      <c r="S18">
        <v>30</v>
      </c>
      <c r="T18" t="s">
        <v>655</v>
      </c>
      <c r="AD18" t="s">
        <v>654</v>
      </c>
      <c r="AG18">
        <v>30</v>
      </c>
      <c r="AH18" t="s">
        <v>655</v>
      </c>
    </row>
    <row r="19" spans="2:54">
      <c r="B19" s="809">
        <v>20</v>
      </c>
      <c r="C19" s="810"/>
      <c r="D19" s="37" t="s">
        <v>656</v>
      </c>
      <c r="E19" s="37"/>
      <c r="F19" s="38"/>
      <c r="G19" s="37"/>
      <c r="H19" s="811">
        <f t="shared" si="0"/>
        <v>0.05</v>
      </c>
      <c r="I19" s="812"/>
      <c r="J19" s="812"/>
      <c r="K19" s="812"/>
      <c r="L19" s="812" t="s">
        <v>221</v>
      </c>
      <c r="M19" s="813"/>
    </row>
    <row r="20" spans="2:54">
      <c r="B20" s="809">
        <v>22</v>
      </c>
      <c r="C20" s="810"/>
      <c r="D20" s="37" t="s">
        <v>656</v>
      </c>
      <c r="E20" s="37"/>
      <c r="F20" s="38"/>
      <c r="G20" s="37"/>
      <c r="H20" s="811">
        <f t="shared" si="0"/>
        <v>4.5454545454545456E-2</v>
      </c>
      <c r="I20" s="812"/>
      <c r="J20" s="812"/>
      <c r="K20" s="812"/>
      <c r="L20" s="812" t="s">
        <v>221</v>
      </c>
      <c r="M20" s="813"/>
      <c r="P20" s="809">
        <v>10</v>
      </c>
      <c r="Q20" s="810"/>
      <c r="R20" s="37" t="s">
        <v>656</v>
      </c>
      <c r="S20" s="37"/>
      <c r="T20" s="38"/>
      <c r="U20" s="37"/>
      <c r="V20" s="811">
        <f t="shared" ref="V20:V25" si="1">1/P20</f>
        <v>0.1</v>
      </c>
      <c r="W20" s="812"/>
      <c r="X20" s="812"/>
      <c r="Y20" s="812"/>
      <c r="Z20" s="812" t="s">
        <v>221</v>
      </c>
      <c r="AA20" s="813"/>
      <c r="AD20" s="809">
        <v>10</v>
      </c>
      <c r="AE20" s="810"/>
      <c r="AF20" s="37" t="s">
        <v>656</v>
      </c>
      <c r="AG20" s="37"/>
      <c r="AH20" s="38"/>
      <c r="AI20" s="37"/>
      <c r="AJ20" s="811">
        <f t="shared" ref="AJ20:AJ25" si="2">1/AD20</f>
        <v>0.1</v>
      </c>
      <c r="AK20" s="812"/>
      <c r="AL20" s="812"/>
      <c r="AM20" s="812"/>
      <c r="AN20" s="812" t="s">
        <v>221</v>
      </c>
      <c r="AO20" s="813"/>
    </row>
    <row r="21" spans="2:54">
      <c r="B21" s="809">
        <v>9.5</v>
      </c>
      <c r="C21" s="810"/>
      <c r="D21" s="37" t="s">
        <v>656</v>
      </c>
      <c r="E21" s="37"/>
      <c r="F21" s="38"/>
      <c r="G21" s="37"/>
      <c r="H21" s="811">
        <f t="shared" si="0"/>
        <v>0.10526315789473684</v>
      </c>
      <c r="I21" s="812"/>
      <c r="J21" s="812"/>
      <c r="K21" s="812"/>
      <c r="L21" s="812" t="s">
        <v>221</v>
      </c>
      <c r="M21" s="813"/>
      <c r="P21" s="809">
        <v>20</v>
      </c>
      <c r="Q21" s="810"/>
      <c r="R21" s="37" t="s">
        <v>656</v>
      </c>
      <c r="S21" s="37"/>
      <c r="T21" s="38"/>
      <c r="U21" s="37"/>
      <c r="V21" s="811">
        <f t="shared" si="1"/>
        <v>0.05</v>
      </c>
      <c r="W21" s="812"/>
      <c r="X21" s="812"/>
      <c r="Y21" s="812"/>
      <c r="Z21" s="812" t="s">
        <v>221</v>
      </c>
      <c r="AA21" s="813"/>
      <c r="AD21" s="809">
        <v>20</v>
      </c>
      <c r="AE21" s="810"/>
      <c r="AF21" s="37" t="s">
        <v>656</v>
      </c>
      <c r="AG21" s="37"/>
      <c r="AH21" s="38"/>
      <c r="AI21" s="37"/>
      <c r="AJ21" s="811">
        <f t="shared" si="2"/>
        <v>0.05</v>
      </c>
      <c r="AK21" s="812"/>
      <c r="AL21" s="812"/>
      <c r="AM21" s="812"/>
      <c r="AN21" s="812" t="s">
        <v>221</v>
      </c>
      <c r="AO21" s="813"/>
    </row>
    <row r="22" spans="2:54">
      <c r="B22" s="809">
        <v>50</v>
      </c>
      <c r="C22" s="810"/>
      <c r="D22" s="37" t="s">
        <v>656</v>
      </c>
      <c r="E22" s="37"/>
      <c r="F22" s="38"/>
      <c r="G22" s="37"/>
      <c r="H22" s="811">
        <f t="shared" si="0"/>
        <v>0.02</v>
      </c>
      <c r="I22" s="812"/>
      <c r="J22" s="812"/>
      <c r="K22" s="812"/>
      <c r="L22" s="812" t="s">
        <v>221</v>
      </c>
      <c r="M22" s="813"/>
      <c r="P22" s="809">
        <v>22</v>
      </c>
      <c r="Q22" s="810"/>
      <c r="R22" s="37" t="s">
        <v>656</v>
      </c>
      <c r="S22" s="37"/>
      <c r="T22" s="38"/>
      <c r="U22" s="37"/>
      <c r="V22" s="811">
        <f t="shared" si="1"/>
        <v>4.5454545454545456E-2</v>
      </c>
      <c r="W22" s="812"/>
      <c r="X22" s="812"/>
      <c r="Y22" s="812"/>
      <c r="Z22" s="812" t="s">
        <v>221</v>
      </c>
      <c r="AA22" s="813"/>
      <c r="AD22" s="809">
        <v>22</v>
      </c>
      <c r="AE22" s="810"/>
      <c r="AF22" s="37" t="s">
        <v>656</v>
      </c>
      <c r="AG22" s="37"/>
      <c r="AH22" s="38"/>
      <c r="AI22" s="37"/>
      <c r="AJ22" s="811">
        <f t="shared" si="2"/>
        <v>4.5454545454545456E-2</v>
      </c>
      <c r="AK22" s="812"/>
      <c r="AL22" s="812"/>
      <c r="AM22" s="812"/>
      <c r="AN22" s="812" t="s">
        <v>221</v>
      </c>
      <c r="AO22" s="813"/>
    </row>
    <row r="23" spans="2:54">
      <c r="B23" s="809">
        <v>60</v>
      </c>
      <c r="C23" s="810"/>
      <c r="D23" s="37" t="s">
        <v>656</v>
      </c>
      <c r="E23" s="37"/>
      <c r="F23" s="38"/>
      <c r="G23" s="37"/>
      <c r="H23" s="811">
        <f t="shared" si="0"/>
        <v>1.6666666666666666E-2</v>
      </c>
      <c r="I23" s="812"/>
      <c r="J23" s="812"/>
      <c r="K23" s="812"/>
      <c r="L23" s="812" t="s">
        <v>221</v>
      </c>
      <c r="M23" s="813"/>
      <c r="P23" s="809">
        <v>9.5</v>
      </c>
      <c r="Q23" s="810"/>
      <c r="R23" s="37" t="s">
        <v>656</v>
      </c>
      <c r="S23" s="37"/>
      <c r="T23" s="38"/>
      <c r="U23" s="37"/>
      <c r="V23" s="811">
        <f t="shared" si="1"/>
        <v>0.10526315789473684</v>
      </c>
      <c r="W23" s="812"/>
      <c r="X23" s="812"/>
      <c r="Y23" s="812"/>
      <c r="Z23" s="812" t="s">
        <v>221</v>
      </c>
      <c r="AA23" s="813"/>
      <c r="AD23" s="809">
        <v>9.5</v>
      </c>
      <c r="AE23" s="810"/>
      <c r="AF23" s="37" t="s">
        <v>656</v>
      </c>
      <c r="AG23" s="37"/>
      <c r="AH23" s="38"/>
      <c r="AI23" s="37"/>
      <c r="AJ23" s="811">
        <f t="shared" si="2"/>
        <v>0.10526315789473684</v>
      </c>
      <c r="AK23" s="812"/>
      <c r="AL23" s="812"/>
      <c r="AM23" s="812"/>
      <c r="AN23" s="812" t="s">
        <v>221</v>
      </c>
      <c r="AO23" s="813"/>
    </row>
    <row r="24" spans="2:54">
      <c r="P24" s="809">
        <v>50</v>
      </c>
      <c r="Q24" s="810"/>
      <c r="R24" s="37" t="s">
        <v>656</v>
      </c>
      <c r="S24" s="37"/>
      <c r="T24" s="38"/>
      <c r="U24" s="37"/>
      <c r="V24" s="811">
        <f t="shared" si="1"/>
        <v>0.02</v>
      </c>
      <c r="W24" s="812"/>
      <c r="X24" s="812"/>
      <c r="Y24" s="812"/>
      <c r="Z24" s="812" t="s">
        <v>221</v>
      </c>
      <c r="AA24" s="813"/>
      <c r="AD24" s="809">
        <v>50</v>
      </c>
      <c r="AE24" s="810"/>
      <c r="AF24" s="37" t="s">
        <v>656</v>
      </c>
      <c r="AG24" s="37"/>
      <c r="AH24" s="38"/>
      <c r="AI24" s="37"/>
      <c r="AJ24" s="811">
        <f t="shared" si="2"/>
        <v>0.02</v>
      </c>
      <c r="AK24" s="812"/>
      <c r="AL24" s="812"/>
      <c r="AM24" s="812"/>
      <c r="AN24" s="812" t="s">
        <v>221</v>
      </c>
      <c r="AO24" s="813"/>
      <c r="AR24" s="744" t="s">
        <v>657</v>
      </c>
      <c r="AS24" s="744"/>
      <c r="AT24" s="744"/>
      <c r="AU24" s="744"/>
      <c r="AV24" s="744"/>
      <c r="AW24" s="744">
        <f>AJ33/(AJ29+AJ30)*1000000</f>
        <v>107.14285714285714</v>
      </c>
      <c r="AX24" s="744"/>
      <c r="AY24" s="744"/>
      <c r="AZ24" s="744"/>
      <c r="BA24" s="744"/>
      <c r="BB24" s="744"/>
    </row>
    <row r="25" spans="2:54">
      <c r="B25" t="s">
        <v>658</v>
      </c>
      <c r="P25" s="809">
        <v>60</v>
      </c>
      <c r="Q25" s="810"/>
      <c r="R25" s="37" t="s">
        <v>656</v>
      </c>
      <c r="S25" s="37"/>
      <c r="T25" s="38"/>
      <c r="U25" s="37"/>
      <c r="V25" s="811">
        <f t="shared" si="1"/>
        <v>1.6666666666666666E-2</v>
      </c>
      <c r="W25" s="812"/>
      <c r="X25" s="812"/>
      <c r="Y25" s="812"/>
      <c r="Z25" s="812" t="s">
        <v>221</v>
      </c>
      <c r="AA25" s="813"/>
      <c r="AD25" s="809">
        <v>60</v>
      </c>
      <c r="AE25" s="810"/>
      <c r="AF25" s="37" t="s">
        <v>656</v>
      </c>
      <c r="AG25" s="37"/>
      <c r="AH25" s="38"/>
      <c r="AI25" s="37"/>
      <c r="AJ25" s="811">
        <f t="shared" si="2"/>
        <v>1.6666666666666666E-2</v>
      </c>
      <c r="AK25" s="812"/>
      <c r="AL25" s="812"/>
      <c r="AM25" s="812"/>
      <c r="AN25" s="812" t="s">
        <v>221</v>
      </c>
      <c r="AO25" s="813"/>
      <c r="AR25" s="744" t="s">
        <v>659</v>
      </c>
      <c r="AS25" s="744"/>
      <c r="AT25" s="744"/>
      <c r="AU25" s="744"/>
      <c r="AV25" s="744"/>
      <c r="AW25" s="744">
        <f>AM33/AM31*1000000</f>
        <v>7.6923076923076916</v>
      </c>
      <c r="AX25" s="744"/>
      <c r="AY25" s="744"/>
      <c r="AZ25" s="744"/>
      <c r="BA25" s="744"/>
      <c r="BB25" s="744"/>
    </row>
    <row r="26" spans="2:54">
      <c r="B26" s="768"/>
      <c r="C26" s="768"/>
      <c r="D26" s="768"/>
      <c r="E26" s="768"/>
      <c r="F26" s="768"/>
      <c r="G26" s="11"/>
      <c r="H26" s="768" t="s">
        <v>660</v>
      </c>
      <c r="I26" s="768"/>
      <c r="J26" s="768"/>
      <c r="K26" s="768" t="s">
        <v>661</v>
      </c>
      <c r="L26" s="768"/>
      <c r="M26" s="768"/>
      <c r="AR26" s="744"/>
      <c r="AS26" s="744"/>
      <c r="AT26" s="744"/>
      <c r="AU26" s="744"/>
      <c r="AV26" s="744"/>
      <c r="AW26" s="744">
        <f>3/(AW24*10^-6+AW25*10^-6)</f>
        <v>26124.401913875601</v>
      </c>
      <c r="AX26" s="744"/>
      <c r="AY26" s="744"/>
      <c r="AZ26" s="744"/>
      <c r="BA26" s="744"/>
      <c r="BB26" s="744"/>
    </row>
    <row r="27" spans="2:54">
      <c r="B27" s="768" t="s">
        <v>185</v>
      </c>
      <c r="C27" s="768"/>
      <c r="D27" s="768"/>
      <c r="E27" s="768"/>
      <c r="F27" s="768"/>
      <c r="G27" s="11" t="s">
        <v>91</v>
      </c>
      <c r="H27" s="769">
        <v>39000</v>
      </c>
      <c r="I27" s="769"/>
      <c r="J27" s="769"/>
      <c r="K27" s="769">
        <v>15000</v>
      </c>
      <c r="L27" s="769"/>
      <c r="M27" s="769"/>
      <c r="P27" t="s">
        <v>658</v>
      </c>
      <c r="AD27" t="s">
        <v>658</v>
      </c>
      <c r="AR27" s="744"/>
      <c r="AS27" s="744"/>
      <c r="AT27" s="744"/>
      <c r="AU27" s="744"/>
      <c r="AV27" s="744"/>
      <c r="AW27" s="744"/>
      <c r="AX27" s="744"/>
      <c r="AY27" s="744"/>
      <c r="AZ27" s="744"/>
      <c r="BA27" s="744"/>
      <c r="BB27" s="744"/>
    </row>
    <row r="28" spans="2:54">
      <c r="B28" s="768" t="s">
        <v>169</v>
      </c>
      <c r="C28" s="768"/>
      <c r="D28" s="768"/>
      <c r="E28" s="768"/>
      <c r="F28" s="768"/>
      <c r="G28" s="11" t="s">
        <v>91</v>
      </c>
      <c r="H28" s="769">
        <v>4700</v>
      </c>
      <c r="I28" s="769"/>
      <c r="J28" s="769"/>
      <c r="K28" s="769">
        <v>15000</v>
      </c>
      <c r="L28" s="769"/>
      <c r="M28" s="769"/>
      <c r="P28" s="811"/>
      <c r="Q28" s="812"/>
      <c r="R28" s="812"/>
      <c r="S28" s="812"/>
      <c r="T28" s="812"/>
      <c r="U28" s="813"/>
      <c r="V28" s="768">
        <v>1</v>
      </c>
      <c r="W28" s="768"/>
      <c r="X28" s="768"/>
      <c r="Y28" s="768">
        <v>2</v>
      </c>
      <c r="Z28" s="768"/>
      <c r="AA28" s="768"/>
      <c r="AD28" s="811"/>
      <c r="AE28" s="812"/>
      <c r="AF28" s="812"/>
      <c r="AG28" s="812"/>
      <c r="AH28" s="812"/>
      <c r="AI28" s="813"/>
      <c r="AJ28" s="768">
        <v>1</v>
      </c>
      <c r="AK28" s="768"/>
      <c r="AL28" s="768"/>
      <c r="AM28" s="768">
        <v>2</v>
      </c>
      <c r="AN28" s="768"/>
      <c r="AO28" s="768"/>
      <c r="AR28" s="744"/>
      <c r="AS28" s="744"/>
      <c r="AT28" s="744"/>
      <c r="AU28" s="744"/>
      <c r="AV28" s="744"/>
      <c r="AW28" s="744"/>
      <c r="AX28" s="744"/>
      <c r="AY28" s="744"/>
      <c r="AZ28" s="744"/>
      <c r="BA28" s="744"/>
      <c r="BB28" s="744"/>
    </row>
    <row r="29" spans="2:54">
      <c r="B29" s="768" t="s">
        <v>199</v>
      </c>
      <c r="C29" s="768"/>
      <c r="D29" s="768"/>
      <c r="E29" s="768"/>
      <c r="F29" s="768"/>
      <c r="G29" s="11" t="s">
        <v>214</v>
      </c>
      <c r="H29" s="769">
        <v>1000</v>
      </c>
      <c r="I29" s="769"/>
      <c r="J29" s="769"/>
      <c r="K29" s="769">
        <v>470</v>
      </c>
      <c r="L29" s="769"/>
      <c r="M29" s="769"/>
      <c r="P29" s="768" t="s">
        <v>185</v>
      </c>
      <c r="Q29" s="768"/>
      <c r="R29" s="768"/>
      <c r="S29" s="768"/>
      <c r="T29" s="768"/>
      <c r="U29" s="11" t="s">
        <v>91</v>
      </c>
      <c r="V29" s="769">
        <v>15000</v>
      </c>
      <c r="W29" s="769"/>
      <c r="X29" s="769"/>
      <c r="Y29" s="769">
        <v>15000</v>
      </c>
      <c r="Z29" s="769"/>
      <c r="AA29" s="769"/>
      <c r="AD29" s="768" t="s">
        <v>185</v>
      </c>
      <c r="AE29" s="768"/>
      <c r="AF29" s="768"/>
      <c r="AG29" s="768"/>
      <c r="AH29" s="768"/>
      <c r="AI29" s="11" t="s">
        <v>91</v>
      </c>
      <c r="AJ29" s="769">
        <v>18000</v>
      </c>
      <c r="AK29" s="769"/>
      <c r="AL29" s="769"/>
      <c r="AM29" s="769">
        <v>15000</v>
      </c>
      <c r="AN29" s="769"/>
      <c r="AO29" s="769"/>
      <c r="AQ29" s="738"/>
      <c r="AR29" s="738"/>
      <c r="AS29" s="738"/>
      <c r="AT29" s="738"/>
    </row>
    <row r="30" spans="2:54">
      <c r="P30" s="768" t="s">
        <v>169</v>
      </c>
      <c r="Q30" s="768"/>
      <c r="R30" s="768"/>
      <c r="S30" s="768"/>
      <c r="T30" s="768"/>
      <c r="U30" s="11" t="s">
        <v>91</v>
      </c>
      <c r="V30" s="769">
        <v>15000</v>
      </c>
      <c r="W30" s="769"/>
      <c r="X30" s="769"/>
      <c r="Y30" s="769">
        <v>3300</v>
      </c>
      <c r="Z30" s="769"/>
      <c r="AA30" s="769"/>
      <c r="AD30" s="768" t="s">
        <v>169</v>
      </c>
      <c r="AE30" s="768"/>
      <c r="AF30" s="768"/>
      <c r="AG30" s="768"/>
      <c r="AH30" s="768"/>
      <c r="AI30" s="11" t="s">
        <v>91</v>
      </c>
      <c r="AJ30" s="769">
        <v>10000</v>
      </c>
      <c r="AK30" s="769"/>
      <c r="AL30" s="769"/>
      <c r="AM30" s="769">
        <v>15000</v>
      </c>
      <c r="AN30" s="769"/>
      <c r="AO30" s="769"/>
    </row>
    <row r="31" spans="2:54">
      <c r="B31" s="811" t="s">
        <v>662</v>
      </c>
      <c r="C31" s="812"/>
      <c r="D31" s="812"/>
      <c r="E31" s="812"/>
      <c r="F31" s="813"/>
      <c r="G31" s="11" t="s">
        <v>211</v>
      </c>
      <c r="H31" s="814">
        <f>1/(2*PI()*(H27+H28)*H29/1000000000000)/1000</f>
        <v>3.6419895444369637</v>
      </c>
      <c r="I31" s="815"/>
      <c r="J31" s="816"/>
      <c r="K31" s="814">
        <f>1/(2*PI()*(K27+K28)*K29/1000000000000)/1000</f>
        <v>11.287584616446477</v>
      </c>
      <c r="L31" s="815"/>
      <c r="M31" s="816"/>
      <c r="P31" s="768" t="s">
        <v>199</v>
      </c>
      <c r="Q31" s="768"/>
      <c r="R31" s="768"/>
      <c r="S31" s="768"/>
      <c r="T31" s="768"/>
      <c r="U31" s="11" t="s">
        <v>214</v>
      </c>
      <c r="V31" s="769">
        <v>1000</v>
      </c>
      <c r="W31" s="769"/>
      <c r="X31" s="769"/>
      <c r="Y31" s="769">
        <v>470</v>
      </c>
      <c r="Z31" s="769"/>
      <c r="AA31" s="769"/>
      <c r="AD31" s="768" t="s">
        <v>186</v>
      </c>
      <c r="AE31" s="768"/>
      <c r="AF31" s="768"/>
      <c r="AG31" s="768"/>
      <c r="AH31" s="768"/>
      <c r="AI31" s="11" t="s">
        <v>91</v>
      </c>
      <c r="AJ31" s="769">
        <v>27000</v>
      </c>
      <c r="AK31" s="769"/>
      <c r="AL31" s="769"/>
      <c r="AM31" s="769">
        <v>390000</v>
      </c>
      <c r="AN31" s="769"/>
      <c r="AO31" s="769"/>
    </row>
    <row r="32" spans="2:54">
      <c r="B32" s="811" t="s">
        <v>663</v>
      </c>
      <c r="C32" s="812"/>
      <c r="D32" s="812"/>
      <c r="E32" s="812"/>
      <c r="F32" s="813"/>
      <c r="G32" s="11" t="s">
        <v>211</v>
      </c>
      <c r="H32" s="814">
        <f>1/(2*PI()*H27*H29/1000000000000)/1000</f>
        <v>4.0808959767152659</v>
      </c>
      <c r="I32" s="815"/>
      <c r="J32" s="816"/>
      <c r="K32" s="814">
        <f>1/(2*PI()*K27*K29/1000000000000)/1000</f>
        <v>22.575169232892954</v>
      </c>
      <c r="L32" s="815"/>
      <c r="M32" s="816"/>
      <c r="P32" s="768" t="s">
        <v>663</v>
      </c>
      <c r="Q32" s="768"/>
      <c r="R32" s="768"/>
      <c r="S32" s="768"/>
      <c r="T32" s="768"/>
      <c r="U32" s="11" t="s">
        <v>211</v>
      </c>
      <c r="V32" s="772">
        <f>1/(2*PI()*V29*V31/1000000000000)/1000</f>
        <v>10.610329539459689</v>
      </c>
      <c r="W32" s="772"/>
      <c r="X32" s="772"/>
      <c r="Y32" s="772">
        <f>1/(2*PI()*Y29*Y31/1000000000000)/1000</f>
        <v>22.575169232892954</v>
      </c>
      <c r="Z32" s="772"/>
      <c r="AA32" s="772"/>
      <c r="AD32" s="768" t="s">
        <v>199</v>
      </c>
      <c r="AE32" s="768"/>
      <c r="AF32" s="768"/>
      <c r="AG32" s="768"/>
      <c r="AH32" s="768"/>
      <c r="AI32" s="11" t="s">
        <v>214</v>
      </c>
      <c r="AJ32" s="769">
        <v>1000</v>
      </c>
      <c r="AK32" s="769"/>
      <c r="AL32" s="769"/>
      <c r="AM32" s="769">
        <v>470</v>
      </c>
      <c r="AN32" s="769"/>
      <c r="AO32" s="769"/>
    </row>
    <row r="33" spans="2:41">
      <c r="B33" s="768" t="s">
        <v>664</v>
      </c>
      <c r="C33" s="768"/>
      <c r="D33" s="768"/>
      <c r="E33" s="768"/>
      <c r="F33" s="768"/>
      <c r="G33" s="11" t="s">
        <v>222</v>
      </c>
      <c r="H33" s="770">
        <f>H27*H29*10^-12*1000000</f>
        <v>39</v>
      </c>
      <c r="I33" s="770"/>
      <c r="J33" s="770"/>
      <c r="K33" s="770">
        <f>K27*K29*10^-12*1000000</f>
        <v>7.05</v>
      </c>
      <c r="L33" s="770"/>
      <c r="M33" s="770"/>
      <c r="P33" s="768" t="s">
        <v>662</v>
      </c>
      <c r="Q33" s="768"/>
      <c r="R33" s="768"/>
      <c r="S33" s="768"/>
      <c r="T33" s="768"/>
      <c r="U33" s="11" t="s">
        <v>211</v>
      </c>
      <c r="V33" s="772">
        <f>1/(2*PI()*V30*V31/1000000000000)/1000</f>
        <v>10.610329539459689</v>
      </c>
      <c r="W33" s="772"/>
      <c r="X33" s="772"/>
      <c r="Y33" s="772">
        <f>1/(2*PI()*(Y30+Y29)*Y31/1000000000000)/1000</f>
        <v>18.504237076141766</v>
      </c>
      <c r="Z33" s="772"/>
      <c r="AA33" s="772"/>
      <c r="AD33" s="768" t="s">
        <v>665</v>
      </c>
      <c r="AE33" s="812"/>
      <c r="AF33" s="812"/>
      <c r="AG33" s="812"/>
      <c r="AH33" s="813"/>
      <c r="AI33" s="11" t="s">
        <v>65</v>
      </c>
      <c r="AJ33" s="814">
        <f>AJ31/(AJ29+AJ31)*AG17</f>
        <v>3</v>
      </c>
      <c r="AK33" s="815"/>
      <c r="AL33" s="816"/>
      <c r="AM33" s="814">
        <f>AJ31/(AJ29+AJ31)*AG17</f>
        <v>3</v>
      </c>
      <c r="AN33" s="815"/>
      <c r="AO33" s="816"/>
    </row>
    <row r="34" spans="2:41">
      <c r="B34" s="17">
        <v>90</v>
      </c>
      <c r="C34" s="817" t="s">
        <v>325</v>
      </c>
      <c r="D34" s="817"/>
      <c r="E34" s="817"/>
      <c r="F34" s="818"/>
      <c r="G34" s="11" t="s">
        <v>222</v>
      </c>
      <c r="H34" s="814">
        <f>-H27*H29*10^-12*LN(1-B34/100)*1000000</f>
        <v>89.800818626767793</v>
      </c>
      <c r="I34" s="815"/>
      <c r="J34" s="816"/>
      <c r="K34" s="814">
        <f>-K27*K29*10^-12*LN(1-B34/100)*1000000</f>
        <v>16.233224905608026</v>
      </c>
      <c r="L34" s="815"/>
      <c r="M34" s="816"/>
      <c r="P34" s="768" t="s">
        <v>664</v>
      </c>
      <c r="Q34" s="768"/>
      <c r="R34" s="768"/>
      <c r="S34" s="768"/>
      <c r="T34" s="768"/>
      <c r="U34" s="11" t="s">
        <v>222</v>
      </c>
      <c r="V34" s="770">
        <f>V29*V31*10^-12*1000000</f>
        <v>15</v>
      </c>
      <c r="W34" s="770"/>
      <c r="X34" s="770"/>
      <c r="Y34" s="770">
        <f>Y29*Y31*10^-12*1000000</f>
        <v>7.05</v>
      </c>
      <c r="Z34" s="770"/>
      <c r="AA34" s="770"/>
      <c r="AD34" s="768" t="s">
        <v>666</v>
      </c>
      <c r="AE34" s="812"/>
      <c r="AF34" s="812"/>
      <c r="AG34" s="812"/>
      <c r="AH34" s="813"/>
      <c r="AI34" s="11" t="s">
        <v>91</v>
      </c>
      <c r="AJ34" s="819">
        <f>(AJ29*(AJ30+AJ31))/(AJ29+AJ30+AJ31)</f>
        <v>12109.09090909091</v>
      </c>
      <c r="AK34" s="820"/>
      <c r="AL34" s="821"/>
      <c r="AM34" s="819">
        <f>(AM29*(AM30+AM31))/(AM29+AM30+AM31)</f>
        <v>14464.285714285714</v>
      </c>
      <c r="AN34" s="820"/>
      <c r="AO34" s="821"/>
    </row>
    <row r="35" spans="2:41">
      <c r="B35" s="768" t="s">
        <v>667</v>
      </c>
      <c r="C35" s="768"/>
      <c r="D35" s="768"/>
      <c r="E35" s="768"/>
      <c r="F35" s="768"/>
      <c r="G35" s="11" t="s">
        <v>222</v>
      </c>
      <c r="H35" s="770">
        <f>(H27+H28)*H29*10^-12*1000000</f>
        <v>43.699999999999996</v>
      </c>
      <c r="I35" s="770"/>
      <c r="J35" s="770"/>
      <c r="K35" s="770">
        <f>(K27+K28)*K29*10^-12*1000000</f>
        <v>14.1</v>
      </c>
      <c r="L35" s="770"/>
      <c r="M35" s="770"/>
      <c r="P35" s="17">
        <v>90</v>
      </c>
      <c r="Q35" s="817" t="s">
        <v>325</v>
      </c>
      <c r="R35" s="817"/>
      <c r="S35" s="817"/>
      <c r="T35" s="818"/>
      <c r="U35" s="11" t="s">
        <v>222</v>
      </c>
      <c r="V35" s="772">
        <f>-V29*V31*10^-12*LN(1-P35/100)*1000000</f>
        <v>34.538776394910691</v>
      </c>
      <c r="W35" s="772"/>
      <c r="X35" s="772"/>
      <c r="Y35" s="772">
        <f>-Y29*Y31*10^-12*LN(1-P35/100)*1000000</f>
        <v>16.233224905608026</v>
      </c>
      <c r="Z35" s="772"/>
      <c r="AA35" s="772"/>
    </row>
    <row r="36" spans="2:41">
      <c r="B36" s="17">
        <v>10</v>
      </c>
      <c r="C36" s="817" t="s">
        <v>668</v>
      </c>
      <c r="D36" s="817"/>
      <c r="E36" s="817"/>
      <c r="F36" s="818"/>
      <c r="G36" s="11" t="s">
        <v>222</v>
      </c>
      <c r="H36" s="772">
        <f>-((H27+H28)*H29*10^-12*LN(B36/100)*1000000)</f>
        <v>100.62296856383978</v>
      </c>
      <c r="I36" s="772"/>
      <c r="J36" s="772"/>
      <c r="K36" s="772">
        <f>-((K27+K28)*K29*10^-12*LN(B36/100)*1000000)</f>
        <v>32.466449811216044</v>
      </c>
      <c r="L36" s="772"/>
      <c r="M36" s="772"/>
      <c r="P36" s="768" t="s">
        <v>667</v>
      </c>
      <c r="Q36" s="768"/>
      <c r="R36" s="768"/>
      <c r="S36" s="768"/>
      <c r="T36" s="768"/>
      <c r="U36" s="11" t="s">
        <v>222</v>
      </c>
      <c r="V36" s="770">
        <f>(V29+V30)*V31*10^-12*1000000</f>
        <v>30</v>
      </c>
      <c r="W36" s="770"/>
      <c r="X36" s="770"/>
      <c r="Y36" s="770">
        <f>(Y29+Y30)*Y31*10^-12*1000000</f>
        <v>8.6009999999999991</v>
      </c>
      <c r="Z36" s="770"/>
      <c r="AA36" s="770"/>
      <c r="AD36" s="768" t="s">
        <v>669</v>
      </c>
      <c r="AE36" s="768"/>
      <c r="AF36" s="768"/>
      <c r="AG36" s="768"/>
      <c r="AH36" s="768"/>
      <c r="AI36" s="11" t="s">
        <v>91</v>
      </c>
      <c r="AJ36" s="770">
        <f>AJ29</f>
        <v>18000</v>
      </c>
      <c r="AK36" s="770"/>
      <c r="AL36" s="770"/>
      <c r="AM36" s="770">
        <f>AM29</f>
        <v>15000</v>
      </c>
      <c r="AN36" s="770"/>
      <c r="AO36" s="770"/>
    </row>
    <row r="37" spans="2:41">
      <c r="B37" s="768" t="s">
        <v>670</v>
      </c>
      <c r="C37" s="768"/>
      <c r="D37" s="768"/>
      <c r="E37" s="768"/>
      <c r="F37" s="768"/>
      <c r="G37" s="11" t="s">
        <v>93</v>
      </c>
      <c r="H37" s="770">
        <f>E15/H27*1000</f>
        <v>0.12820512820512819</v>
      </c>
      <c r="I37" s="770"/>
      <c r="J37" s="770"/>
      <c r="K37" s="770">
        <f>E15/K27*1000</f>
        <v>0.33333333333333331</v>
      </c>
      <c r="L37" s="770"/>
      <c r="M37" s="770"/>
      <c r="P37" s="17">
        <v>10</v>
      </c>
      <c r="Q37" s="817" t="s">
        <v>668</v>
      </c>
      <c r="R37" s="817"/>
      <c r="S37" s="817"/>
      <c r="T37" s="818"/>
      <c r="U37" s="11" t="s">
        <v>222</v>
      </c>
      <c r="V37" s="772">
        <f>-V30*V31*10^-12*LN(1-P35/100)*1000000</f>
        <v>34.538776394910691</v>
      </c>
      <c r="W37" s="772"/>
      <c r="X37" s="772"/>
      <c r="Y37" s="772">
        <f>-Y30*Y31*10^-12*LN(1-P35/100)*1000000</f>
        <v>3.5713094792337654</v>
      </c>
      <c r="Z37" s="772"/>
      <c r="AA37" s="772"/>
      <c r="AD37" s="811">
        <v>2</v>
      </c>
      <c r="AE37" s="812"/>
      <c r="AF37" s="812" t="s">
        <v>671</v>
      </c>
      <c r="AG37" s="812"/>
      <c r="AH37" s="813"/>
      <c r="AI37" s="11" t="s">
        <v>222</v>
      </c>
      <c r="AJ37" s="772">
        <f>-AJ29*AJ32*10^-12*LN(1-AD37/AJ33)*1000000</f>
        <v>19.775021196025971</v>
      </c>
      <c r="AK37" s="772"/>
      <c r="AL37" s="772"/>
      <c r="AM37" s="772">
        <f>-AM29*AM32*10^-12*LN(1-AD37/100)*1000000</f>
        <v>0.14242908658851225</v>
      </c>
      <c r="AN37" s="772"/>
      <c r="AO37" s="772"/>
    </row>
    <row r="38" spans="2:41">
      <c r="B38" s="768" t="s">
        <v>672</v>
      </c>
      <c r="C38" s="768"/>
      <c r="D38" s="768"/>
      <c r="E38" s="768"/>
      <c r="F38" s="768"/>
      <c r="G38" s="11" t="s">
        <v>93</v>
      </c>
      <c r="H38" s="770">
        <f>5/(H28)*1000</f>
        <v>1.0638297872340425</v>
      </c>
      <c r="I38" s="770"/>
      <c r="J38" s="770"/>
      <c r="K38" s="770">
        <f>5/(K28)*1000</f>
        <v>0.33333333333333331</v>
      </c>
      <c r="L38" s="770"/>
      <c r="M38" s="770"/>
      <c r="P38" s="768" t="s">
        <v>670</v>
      </c>
      <c r="Q38" s="768"/>
      <c r="R38" s="768"/>
      <c r="S38" s="768"/>
      <c r="T38" s="768"/>
      <c r="U38" s="11" t="s">
        <v>93</v>
      </c>
      <c r="V38" s="770">
        <f>S17/V29*1000</f>
        <v>0.33333333333333331</v>
      </c>
      <c r="W38" s="770"/>
      <c r="X38" s="770"/>
      <c r="Y38" s="770">
        <f>S17/Y29*1000</f>
        <v>0.33333333333333331</v>
      </c>
      <c r="Z38" s="770"/>
      <c r="AA38" s="770"/>
      <c r="AD38" s="768" t="s">
        <v>673</v>
      </c>
      <c r="AE38" s="768"/>
      <c r="AF38" s="768"/>
      <c r="AG38" s="768"/>
      <c r="AH38" s="768"/>
      <c r="AI38" s="11" t="s">
        <v>210</v>
      </c>
      <c r="AJ38" s="770">
        <f>1/(AJ37*2/1000000)</f>
        <v>25284.422961856599</v>
      </c>
      <c r="AK38" s="770"/>
      <c r="AL38" s="770"/>
      <c r="AM38" s="770">
        <f>1/(AM37*2/1000000)</f>
        <v>3510518.8973410712</v>
      </c>
      <c r="AN38" s="770"/>
      <c r="AO38" s="770"/>
    </row>
    <row r="39" spans="2:41">
      <c r="P39" s="768" t="s">
        <v>672</v>
      </c>
      <c r="Q39" s="768"/>
      <c r="R39" s="768"/>
      <c r="S39" s="768"/>
      <c r="T39" s="768"/>
      <c r="U39" s="11" t="s">
        <v>93</v>
      </c>
      <c r="V39" s="770">
        <f>5/(V30)*1000</f>
        <v>0.33333333333333331</v>
      </c>
      <c r="W39" s="770"/>
      <c r="X39" s="770"/>
      <c r="Y39" s="770">
        <f>5/(Y30)*1000</f>
        <v>1.5151515151515151</v>
      </c>
      <c r="Z39" s="770"/>
      <c r="AA39" s="770"/>
    </row>
    <row r="40" spans="2:41">
      <c r="B40" s="768" t="s">
        <v>674</v>
      </c>
      <c r="C40" s="768"/>
      <c r="D40" s="768"/>
      <c r="E40" s="768"/>
      <c r="F40" s="768"/>
      <c r="G40" s="11" t="s">
        <v>91</v>
      </c>
      <c r="H40" s="770">
        <f>H27</f>
        <v>39000</v>
      </c>
      <c r="I40" s="770"/>
      <c r="J40" s="770"/>
      <c r="K40" s="770">
        <f>K27</f>
        <v>15000</v>
      </c>
      <c r="L40" s="770"/>
      <c r="M40" s="770"/>
      <c r="P40" s="768" t="s">
        <v>675</v>
      </c>
      <c r="Q40" s="768"/>
      <c r="R40" s="768"/>
      <c r="S40" s="768"/>
      <c r="T40" s="768"/>
      <c r="U40" s="11" t="s">
        <v>93</v>
      </c>
      <c r="V40" s="772">
        <f>V38+V39</f>
        <v>0.66666666666666663</v>
      </c>
      <c r="W40" s="772"/>
      <c r="X40" s="772"/>
      <c r="Y40" s="772">
        <f>Y38+Y39</f>
        <v>1.8484848484848484</v>
      </c>
      <c r="Z40" s="772"/>
      <c r="AA40" s="772"/>
      <c r="AD40" s="768" t="s">
        <v>676</v>
      </c>
      <c r="AE40" s="768"/>
      <c r="AF40" s="768"/>
      <c r="AG40" s="768"/>
      <c r="AH40" s="768"/>
      <c r="AI40" s="11" t="s">
        <v>91</v>
      </c>
      <c r="AJ40" s="822">
        <f>AJ34</f>
        <v>12109.09090909091</v>
      </c>
      <c r="AK40" s="822"/>
      <c r="AL40" s="822"/>
      <c r="AM40" s="822">
        <f>AM34</f>
        <v>14464.285714285714</v>
      </c>
      <c r="AN40" s="822"/>
      <c r="AO40" s="822"/>
    </row>
    <row r="41" spans="2:41">
      <c r="B41" s="768" t="s">
        <v>677</v>
      </c>
      <c r="C41" s="768"/>
      <c r="D41" s="768"/>
      <c r="E41" s="768"/>
      <c r="F41" s="768"/>
      <c r="G41" s="11" t="s">
        <v>93</v>
      </c>
      <c r="H41" s="770">
        <f>E15/H40*1000</f>
        <v>0.12820512820512819</v>
      </c>
      <c r="I41" s="770"/>
      <c r="J41" s="770"/>
      <c r="K41" s="770">
        <f>E15/K40*1000</f>
        <v>0.33333333333333331</v>
      </c>
      <c r="L41" s="770"/>
      <c r="M41" s="770"/>
      <c r="P41" s="768" t="s">
        <v>678</v>
      </c>
      <c r="Q41" s="768"/>
      <c r="R41" s="768"/>
      <c r="S41" s="768"/>
      <c r="T41" s="768"/>
      <c r="U41" s="11" t="s">
        <v>91</v>
      </c>
      <c r="V41" s="770">
        <f>V29+V30</f>
        <v>30000</v>
      </c>
      <c r="W41" s="770"/>
      <c r="X41" s="770"/>
      <c r="Y41" s="770">
        <f>Y29+Y30</f>
        <v>18300</v>
      </c>
      <c r="Z41" s="770"/>
      <c r="AA41" s="770"/>
      <c r="AD41" s="811">
        <v>1.1200000000000001</v>
      </c>
      <c r="AE41" s="812"/>
      <c r="AF41" s="812" t="s">
        <v>679</v>
      </c>
      <c r="AG41" s="812"/>
      <c r="AH41" s="813"/>
      <c r="AI41" s="11" t="s">
        <v>222</v>
      </c>
      <c r="AJ41" s="819">
        <f>-AJ32*10^-12*AJ34*LN(1-AD41/AJ33)*1000000</f>
        <v>5.6590687432051592</v>
      </c>
      <c r="AK41" s="820"/>
      <c r="AL41" s="821"/>
      <c r="AM41" s="819">
        <f>-AM32*10^-12*AM34*LN(1-AD41/AM33)*1000000</f>
        <v>3.177080943790251</v>
      </c>
      <c r="AN41" s="820"/>
      <c r="AO41" s="821"/>
    </row>
    <row r="42" spans="2:41">
      <c r="B42" s="825">
        <v>2</v>
      </c>
      <c r="C42" s="826"/>
      <c r="D42" s="827" t="s">
        <v>671</v>
      </c>
      <c r="E42" s="827"/>
      <c r="F42" s="828"/>
      <c r="G42" s="11" t="s">
        <v>222</v>
      </c>
      <c r="H42" s="770">
        <f>-H40*H29*10^-12*LN(1-B42/5)*1000000</f>
        <v>19.922199326873638</v>
      </c>
      <c r="I42" s="770"/>
      <c r="J42" s="770"/>
      <c r="K42" s="770">
        <f>-K40*K29*10^-12*LN(1-B42/5)*1000000</f>
        <v>3.6013206475502351</v>
      </c>
      <c r="L42" s="770"/>
      <c r="M42" s="770"/>
      <c r="P42" s="768" t="s">
        <v>680</v>
      </c>
      <c r="Q42" s="768"/>
      <c r="R42" s="768"/>
      <c r="S42" s="768"/>
      <c r="T42" s="768"/>
      <c r="U42" s="11" t="s">
        <v>93</v>
      </c>
      <c r="V42" s="770">
        <f>S17/V41*1000</f>
        <v>0.16666666666666666</v>
      </c>
      <c r="W42" s="770"/>
      <c r="X42" s="770"/>
      <c r="Y42" s="770">
        <f>S17/Y41*1000</f>
        <v>0.27322404371584702</v>
      </c>
      <c r="Z42" s="770"/>
      <c r="AA42" s="770"/>
      <c r="AD42" s="768" t="s">
        <v>681</v>
      </c>
      <c r="AE42" s="768"/>
      <c r="AF42" s="768"/>
      <c r="AG42" s="768"/>
      <c r="AH42" s="768"/>
      <c r="AI42" s="11" t="s">
        <v>210</v>
      </c>
      <c r="AJ42" s="772">
        <f>1/(AJ41*2/1000000)</f>
        <v>88353.759724221367</v>
      </c>
      <c r="AK42" s="772"/>
      <c r="AL42" s="772"/>
      <c r="AM42" s="823">
        <f>1/(AM41*2/1000000)</f>
        <v>157377.16754660365</v>
      </c>
      <c r="AN42" s="823"/>
      <c r="AO42" s="823"/>
    </row>
    <row r="43" spans="2:41">
      <c r="B43" s="768" t="s">
        <v>682</v>
      </c>
      <c r="C43" s="768"/>
      <c r="D43" s="768"/>
      <c r="E43" s="768"/>
      <c r="F43" s="768"/>
      <c r="G43" s="11" t="s">
        <v>211</v>
      </c>
      <c r="H43" s="770">
        <f>1/(H42*2*10^-6)/1000</f>
        <v>25.097630627836121</v>
      </c>
      <c r="I43" s="770"/>
      <c r="J43" s="770"/>
      <c r="K43" s="770">
        <f>1/(K42*2*10^-6)/1000</f>
        <v>138.83795666462535</v>
      </c>
      <c r="L43" s="770"/>
      <c r="M43" s="770"/>
      <c r="P43" s="768" t="s">
        <v>665</v>
      </c>
      <c r="Q43" s="768"/>
      <c r="R43" s="768"/>
      <c r="S43" s="768"/>
      <c r="T43" s="768"/>
      <c r="U43" s="11" t="s">
        <v>65</v>
      </c>
      <c r="V43" s="824">
        <f>V30/(V29+V30)*(S17-0.1)</f>
        <v>2.4500000000000002</v>
      </c>
      <c r="W43" s="824"/>
      <c r="X43" s="824"/>
      <c r="Y43" s="824">
        <f>Y30/(Y29+Y30)*(S17-0.1)</f>
        <v>0.8836065573770493</v>
      </c>
      <c r="Z43" s="824"/>
      <c r="AA43" s="824"/>
    </row>
    <row r="44" spans="2:41">
      <c r="AD44" s="811" t="s">
        <v>683</v>
      </c>
      <c r="AE44" s="812"/>
      <c r="AF44" s="812"/>
      <c r="AG44" s="812"/>
      <c r="AH44" s="813"/>
      <c r="AI44" s="11"/>
      <c r="AJ44" s="814"/>
      <c r="AK44" s="815"/>
      <c r="AL44" s="816"/>
      <c r="AM44" s="814"/>
      <c r="AN44" s="815"/>
      <c r="AO44" s="816"/>
    </row>
    <row r="45" spans="2:41">
      <c r="B45" s="768" t="s">
        <v>675</v>
      </c>
      <c r="C45" s="768"/>
      <c r="D45" s="768"/>
      <c r="E45" s="768"/>
      <c r="F45" s="768"/>
      <c r="G45" s="11" t="s">
        <v>93</v>
      </c>
      <c r="H45" s="772">
        <f>H37+H38</f>
        <v>1.1920349154391707</v>
      </c>
      <c r="I45" s="772"/>
      <c r="J45" s="772"/>
      <c r="K45" s="772">
        <f>K37+K38</f>
        <v>0.66666666666666663</v>
      </c>
      <c r="L45" s="772"/>
      <c r="M45" s="772"/>
      <c r="AD45" s="768"/>
      <c r="AE45" s="768"/>
      <c r="AF45" s="768"/>
      <c r="AG45" s="768"/>
      <c r="AH45" s="768"/>
      <c r="AI45" s="11"/>
      <c r="AJ45" s="772"/>
      <c r="AK45" s="772"/>
      <c r="AL45" s="772"/>
      <c r="AM45" s="772"/>
      <c r="AN45" s="772"/>
      <c r="AO45" s="772"/>
    </row>
    <row r="46" spans="2:41">
      <c r="B46" s="768" t="s">
        <v>678</v>
      </c>
      <c r="C46" s="768"/>
      <c r="D46" s="768"/>
      <c r="E46" s="768"/>
      <c r="F46" s="768"/>
      <c r="G46" s="11" t="s">
        <v>91</v>
      </c>
      <c r="H46" s="770">
        <f>H28+H27</f>
        <v>43700</v>
      </c>
      <c r="I46" s="770"/>
      <c r="J46" s="770"/>
      <c r="K46" s="770">
        <f>K28+K27</f>
        <v>30000</v>
      </c>
      <c r="L46" s="770"/>
      <c r="M46" s="770"/>
    </row>
    <row r="47" spans="2:41">
      <c r="B47" s="768" t="s">
        <v>680</v>
      </c>
      <c r="C47" s="768"/>
      <c r="D47" s="768"/>
      <c r="E47" s="768"/>
      <c r="F47" s="768"/>
      <c r="G47" s="11" t="s">
        <v>93</v>
      </c>
      <c r="H47" s="770">
        <f>E15/H46*1000</f>
        <v>0.11441647597254005</v>
      </c>
      <c r="I47" s="770"/>
      <c r="J47" s="770"/>
      <c r="K47" s="770">
        <f>E15/K46*1000</f>
        <v>0.16666666666666666</v>
      </c>
      <c r="L47" s="770"/>
      <c r="M47" s="770"/>
    </row>
    <row r="48" spans="2:41">
      <c r="B48" s="825">
        <v>1.1200000000000001</v>
      </c>
      <c r="C48" s="826"/>
      <c r="D48" s="827" t="s">
        <v>679</v>
      </c>
      <c r="E48" s="827"/>
      <c r="F48" s="828"/>
      <c r="G48" s="11" t="s">
        <v>222</v>
      </c>
      <c r="H48" s="772">
        <f>-H29*10^-12*H46*LN(B48/E15)*1000000</f>
        <v>65.379973225454151</v>
      </c>
      <c r="I48" s="772"/>
      <c r="J48" s="772"/>
      <c r="K48" s="772">
        <f>-K29*10^-12*K46*LN(B48/E15)*1000000</f>
        <v>21.095140102492067</v>
      </c>
      <c r="L48" s="772"/>
      <c r="M48" s="772"/>
    </row>
    <row r="49" spans="2:13">
      <c r="B49" s="768" t="s">
        <v>684</v>
      </c>
      <c r="C49" s="768"/>
      <c r="D49" s="768"/>
      <c r="E49" s="768"/>
      <c r="F49" s="768"/>
      <c r="G49" s="11" t="s">
        <v>211</v>
      </c>
      <c r="H49" s="772">
        <f>1/(H48*2)*1000</f>
        <v>7.6476017858835217</v>
      </c>
      <c r="I49" s="772"/>
      <c r="J49" s="772"/>
      <c r="K49" s="772">
        <f>1/(K48*2)*1000</f>
        <v>23.702141705185106</v>
      </c>
      <c r="L49" s="772"/>
      <c r="M49" s="772"/>
    </row>
    <row r="51" spans="2:13">
      <c r="H51" s="10"/>
      <c r="I51" s="10"/>
      <c r="J51" s="10"/>
    </row>
    <row r="52" spans="2:13">
      <c r="H52" s="738"/>
      <c r="I52" s="738"/>
      <c r="J52" s="738"/>
    </row>
    <row r="54" spans="2:13">
      <c r="D54" t="s">
        <v>685</v>
      </c>
    </row>
    <row r="61" spans="2:13">
      <c r="E61" s="738" t="s">
        <v>338</v>
      </c>
      <c r="F61" s="738"/>
      <c r="G61" s="738"/>
      <c r="H61" s="738"/>
      <c r="I61" s="738"/>
      <c r="J61" s="744">
        <v>1000</v>
      </c>
      <c r="K61" s="744"/>
      <c r="L61" s="744"/>
      <c r="M61" t="s">
        <v>214</v>
      </c>
    </row>
    <row r="62" spans="2:13">
      <c r="E62" s="738" t="s">
        <v>172</v>
      </c>
      <c r="F62" s="738"/>
      <c r="G62" s="738"/>
      <c r="H62" s="738"/>
      <c r="I62" s="738"/>
      <c r="J62" s="744">
        <v>12340</v>
      </c>
      <c r="K62" s="744"/>
      <c r="L62" s="744"/>
      <c r="M62" t="s">
        <v>91</v>
      </c>
    </row>
    <row r="63" spans="2:13">
      <c r="E63" s="738" t="s">
        <v>343</v>
      </c>
      <c r="F63" s="738"/>
      <c r="G63" s="738"/>
      <c r="H63" s="738"/>
      <c r="I63" s="738"/>
      <c r="J63" s="744">
        <v>3.4</v>
      </c>
      <c r="K63" s="744"/>
      <c r="L63" s="744"/>
      <c r="M63" t="s">
        <v>65</v>
      </c>
    </row>
    <row r="64" spans="2:13">
      <c r="E64" s="738" t="s">
        <v>345</v>
      </c>
      <c r="F64" s="738"/>
      <c r="G64" s="738"/>
      <c r="H64" s="738"/>
      <c r="I64" s="738"/>
      <c r="J64" s="744">
        <v>0.1</v>
      </c>
      <c r="K64" s="744"/>
      <c r="L64" s="744"/>
      <c r="M64" t="s">
        <v>65</v>
      </c>
    </row>
    <row r="66" spans="4:14">
      <c r="E66" t="s">
        <v>349</v>
      </c>
      <c r="J66" s="738">
        <f>-J61*10^-12*J62*LN(J64/J63)*1000000</f>
        <v>43.515288873763431</v>
      </c>
      <c r="K66" s="738"/>
      <c r="L66" s="738"/>
      <c r="M66" t="s">
        <v>222</v>
      </c>
    </row>
    <row r="71" spans="4:14">
      <c r="D71" s="744" t="s">
        <v>686</v>
      </c>
      <c r="E71" s="744"/>
      <c r="F71" s="744"/>
      <c r="G71" s="744"/>
      <c r="H71" s="744"/>
      <c r="I71" s="744">
        <v>5</v>
      </c>
      <c r="J71" s="744"/>
      <c r="K71" s="744"/>
      <c r="L71" s="744"/>
      <c r="M71" s="744" t="s">
        <v>65</v>
      </c>
      <c r="N71" s="744"/>
    </row>
    <row r="72" spans="4:14">
      <c r="D72" s="744" t="s">
        <v>687</v>
      </c>
      <c r="E72" s="744"/>
      <c r="F72" s="744"/>
      <c r="G72" s="744"/>
      <c r="H72" s="744"/>
      <c r="I72" s="744">
        <v>47000</v>
      </c>
      <c r="J72" s="744"/>
      <c r="K72" s="744"/>
      <c r="L72" s="744"/>
      <c r="M72" s="744" t="s">
        <v>91</v>
      </c>
      <c r="N72" s="744"/>
    </row>
    <row r="73" spans="4:14">
      <c r="D73" s="744" t="s">
        <v>688</v>
      </c>
      <c r="E73" s="744"/>
      <c r="F73" s="744"/>
      <c r="G73" s="744"/>
      <c r="H73" s="744"/>
      <c r="I73" s="744">
        <v>47000</v>
      </c>
      <c r="J73" s="744"/>
      <c r="K73" s="744"/>
      <c r="L73" s="744"/>
      <c r="M73" s="744" t="s">
        <v>91</v>
      </c>
      <c r="N73" s="744"/>
    </row>
    <row r="74" spans="4:14">
      <c r="D74" s="744"/>
      <c r="E74" s="744"/>
      <c r="F74" s="744"/>
      <c r="G74" s="744"/>
      <c r="H74" s="744"/>
      <c r="I74" s="744"/>
      <c r="J74" s="744"/>
      <c r="K74" s="744"/>
      <c r="L74" s="744"/>
      <c r="M74" s="744"/>
      <c r="N74" s="744"/>
    </row>
    <row r="75" spans="4:14">
      <c r="D75" s="744" t="s">
        <v>689</v>
      </c>
      <c r="E75" s="744"/>
      <c r="F75" s="744"/>
      <c r="G75" s="744"/>
      <c r="H75" s="744"/>
      <c r="I75" s="744">
        <v>3</v>
      </c>
      <c r="J75" s="744"/>
      <c r="K75" s="744"/>
      <c r="L75" s="744"/>
      <c r="M75" s="744" t="s">
        <v>65</v>
      </c>
      <c r="N75" s="744"/>
    </row>
    <row r="76" spans="4:14">
      <c r="D76" s="744"/>
      <c r="E76" s="744"/>
      <c r="F76" s="744"/>
      <c r="G76" s="744"/>
      <c r="H76" s="744"/>
      <c r="I76" s="744"/>
      <c r="J76" s="744"/>
      <c r="K76" s="744"/>
      <c r="L76" s="744"/>
      <c r="M76" s="744"/>
      <c r="N76" s="744"/>
    </row>
    <row r="77" spans="4:14">
      <c r="D77" s="744" t="s">
        <v>690</v>
      </c>
      <c r="E77" s="744"/>
      <c r="F77" s="744"/>
      <c r="G77" s="744"/>
      <c r="H77" s="744"/>
      <c r="I77" s="744">
        <f>I73/(I73+I72)</f>
        <v>0.5</v>
      </c>
      <c r="J77" s="744"/>
      <c r="K77" s="744"/>
      <c r="L77" s="744"/>
      <c r="M77" s="744" t="s">
        <v>131</v>
      </c>
      <c r="N77" s="744"/>
    </row>
    <row r="78" spans="4:14">
      <c r="D78" s="744" t="s">
        <v>142</v>
      </c>
      <c r="E78" s="744"/>
      <c r="F78" s="744"/>
      <c r="G78" s="744"/>
      <c r="H78" s="744"/>
      <c r="I78" s="744">
        <f>I71*I77</f>
        <v>2.5</v>
      </c>
      <c r="J78" s="744"/>
      <c r="K78" s="744"/>
      <c r="L78" s="744"/>
      <c r="M78" s="744" t="s">
        <v>65</v>
      </c>
      <c r="N78" s="744"/>
    </row>
    <row r="79" spans="4:14"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</row>
    <row r="80" spans="4:14">
      <c r="D80" s="744"/>
      <c r="E80" s="744"/>
      <c r="F80" s="744"/>
      <c r="G80" s="744"/>
      <c r="H80" s="744"/>
      <c r="I80" s="744"/>
      <c r="J80" s="744"/>
      <c r="K80" s="744"/>
      <c r="L80" s="744"/>
      <c r="M80" s="744"/>
      <c r="N80" s="744"/>
    </row>
    <row r="81" spans="4:14">
      <c r="D81" s="744"/>
      <c r="E81" s="744"/>
      <c r="F81" s="744"/>
      <c r="G81" s="744"/>
      <c r="H81" s="744"/>
      <c r="I81" s="744"/>
      <c r="J81" s="744"/>
      <c r="K81" s="744"/>
      <c r="L81" s="744"/>
      <c r="M81" s="744"/>
      <c r="N81" s="744"/>
    </row>
    <row r="82" spans="4:14">
      <c r="D82" s="744"/>
      <c r="E82" s="744"/>
      <c r="F82" s="744"/>
      <c r="G82" s="744"/>
      <c r="H82" s="744"/>
      <c r="I82" s="744"/>
      <c r="J82" s="744"/>
      <c r="K82" s="744"/>
      <c r="L82" s="744"/>
      <c r="M82" s="744"/>
      <c r="N82" s="744"/>
    </row>
    <row r="83" spans="4:14">
      <c r="D83" s="744"/>
      <c r="E83" s="744"/>
      <c r="F83" s="744"/>
      <c r="G83" s="744"/>
      <c r="H83" s="744"/>
      <c r="I83" s="744"/>
      <c r="J83" s="744"/>
      <c r="K83" s="744"/>
      <c r="L83" s="744"/>
      <c r="M83" s="744"/>
      <c r="N83" s="744"/>
    </row>
    <row r="84" spans="4:14">
      <c r="D84" s="744"/>
      <c r="E84" s="744"/>
      <c r="F84" s="744"/>
      <c r="G84" s="744"/>
      <c r="H84" s="744"/>
      <c r="I84" s="744"/>
      <c r="J84" s="744"/>
      <c r="K84" s="744"/>
      <c r="L84" s="744"/>
      <c r="M84" s="744"/>
      <c r="N84" s="744"/>
    </row>
    <row r="85" spans="4:14">
      <c r="D85" s="744"/>
      <c r="E85" s="744"/>
      <c r="F85" s="744"/>
      <c r="G85" s="744"/>
      <c r="H85" s="744"/>
      <c r="I85" s="744"/>
      <c r="J85" s="744"/>
      <c r="K85" s="744"/>
      <c r="L85" s="744"/>
      <c r="M85" s="744"/>
      <c r="N85" s="744"/>
    </row>
  </sheetData>
  <mergeCells count="281">
    <mergeCell ref="D83:H83"/>
    <mergeCell ref="I83:L83"/>
    <mergeCell ref="M83:N83"/>
    <mergeCell ref="D84:H84"/>
    <mergeCell ref="I84:L84"/>
    <mergeCell ref="M84:N84"/>
    <mergeCell ref="D85:H85"/>
    <mergeCell ref="I85:L85"/>
    <mergeCell ref="M85:N85"/>
    <mergeCell ref="D80:H80"/>
    <mergeCell ref="I80:L80"/>
    <mergeCell ref="M80:N80"/>
    <mergeCell ref="D81:H81"/>
    <mergeCell ref="I81:L81"/>
    <mergeCell ref="M81:N81"/>
    <mergeCell ref="D82:H82"/>
    <mergeCell ref="I82:L82"/>
    <mergeCell ref="M82:N82"/>
    <mergeCell ref="D77:H77"/>
    <mergeCell ref="I77:L77"/>
    <mergeCell ref="M77:N77"/>
    <mergeCell ref="D78:H78"/>
    <mergeCell ref="I78:L78"/>
    <mergeCell ref="M78:N78"/>
    <mergeCell ref="D79:H79"/>
    <mergeCell ref="I79:L79"/>
    <mergeCell ref="M79:N79"/>
    <mergeCell ref="D74:H74"/>
    <mergeCell ref="I74:L74"/>
    <mergeCell ref="M74:N74"/>
    <mergeCell ref="D75:H75"/>
    <mergeCell ref="I75:L75"/>
    <mergeCell ref="M75:N75"/>
    <mergeCell ref="D76:H76"/>
    <mergeCell ref="I76:L76"/>
    <mergeCell ref="M76:N76"/>
    <mergeCell ref="J66:L66"/>
    <mergeCell ref="D71:H71"/>
    <mergeCell ref="I71:L71"/>
    <mergeCell ref="M71:N71"/>
    <mergeCell ref="D72:H72"/>
    <mergeCell ref="I72:L72"/>
    <mergeCell ref="M72:N72"/>
    <mergeCell ref="D73:H73"/>
    <mergeCell ref="I73:L73"/>
    <mergeCell ref="M73:N73"/>
    <mergeCell ref="H52:J52"/>
    <mergeCell ref="E61:I61"/>
    <mergeCell ref="J61:L61"/>
    <mergeCell ref="E62:I62"/>
    <mergeCell ref="J62:L62"/>
    <mergeCell ref="E63:I63"/>
    <mergeCell ref="J63:L63"/>
    <mergeCell ref="E64:I64"/>
    <mergeCell ref="J64:L64"/>
    <mergeCell ref="B47:F47"/>
    <mergeCell ref="H47:J47"/>
    <mergeCell ref="K47:M47"/>
    <mergeCell ref="B48:C48"/>
    <mergeCell ref="D48:F48"/>
    <mergeCell ref="H48:J48"/>
    <mergeCell ref="K48:M48"/>
    <mergeCell ref="B49:F49"/>
    <mergeCell ref="H49:J49"/>
    <mergeCell ref="K49:M49"/>
    <mergeCell ref="B45:F45"/>
    <mergeCell ref="H45:J45"/>
    <mergeCell ref="K45:M45"/>
    <mergeCell ref="AD45:AH45"/>
    <mergeCell ref="AJ45:AL45"/>
    <mergeCell ref="AM45:AO45"/>
    <mergeCell ref="B46:F46"/>
    <mergeCell ref="H46:J46"/>
    <mergeCell ref="K46:M46"/>
    <mergeCell ref="AM42:AO42"/>
    <mergeCell ref="B43:F43"/>
    <mergeCell ref="H43:J43"/>
    <mergeCell ref="K43:M43"/>
    <mergeCell ref="P43:T43"/>
    <mergeCell ref="V43:X43"/>
    <mergeCell ref="Y43:AA43"/>
    <mergeCell ref="AD44:AH44"/>
    <mergeCell ref="AJ44:AL44"/>
    <mergeCell ref="AM44:AO44"/>
    <mergeCell ref="B42:C42"/>
    <mergeCell ref="D42:F42"/>
    <mergeCell ref="H42:J42"/>
    <mergeCell ref="K42:M42"/>
    <mergeCell ref="P42:T42"/>
    <mergeCell ref="V42:X42"/>
    <mergeCell ref="Y42:AA42"/>
    <mergeCell ref="AD42:AH42"/>
    <mergeCell ref="AJ42:AL42"/>
    <mergeCell ref="AD40:AH40"/>
    <mergeCell ref="AJ40:AL40"/>
    <mergeCell ref="AM40:AO40"/>
    <mergeCell ref="B41:F41"/>
    <mergeCell ref="H41:J41"/>
    <mergeCell ref="K41:M41"/>
    <mergeCell ref="P41:T41"/>
    <mergeCell ref="V41:X41"/>
    <mergeCell ref="Y41:AA41"/>
    <mergeCell ref="AD41:AE41"/>
    <mergeCell ref="AF41:AH41"/>
    <mergeCell ref="AJ41:AL41"/>
    <mergeCell ref="AM41:AO41"/>
    <mergeCell ref="P39:T39"/>
    <mergeCell ref="V39:X39"/>
    <mergeCell ref="Y39:AA39"/>
    <mergeCell ref="B40:F40"/>
    <mergeCell ref="H40:J40"/>
    <mergeCell ref="K40:M40"/>
    <mergeCell ref="P40:T40"/>
    <mergeCell ref="V40:X40"/>
    <mergeCell ref="Y40:AA40"/>
    <mergeCell ref="B38:F38"/>
    <mergeCell ref="H38:J38"/>
    <mergeCell ref="K38:M38"/>
    <mergeCell ref="P38:T38"/>
    <mergeCell ref="V38:X38"/>
    <mergeCell ref="Y38:AA38"/>
    <mergeCell ref="AD38:AH38"/>
    <mergeCell ref="AJ38:AL38"/>
    <mergeCell ref="AM38:AO38"/>
    <mergeCell ref="AD36:AH36"/>
    <mergeCell ref="AJ36:AL36"/>
    <mergeCell ref="AM36:AO36"/>
    <mergeCell ref="B37:F37"/>
    <mergeCell ref="H37:J37"/>
    <mergeCell ref="K37:M37"/>
    <mergeCell ref="Q37:T37"/>
    <mergeCell ref="V37:X37"/>
    <mergeCell ref="Y37:AA37"/>
    <mergeCell ref="AD37:AE37"/>
    <mergeCell ref="AF37:AH37"/>
    <mergeCell ref="AJ37:AL37"/>
    <mergeCell ref="AM37:AO37"/>
    <mergeCell ref="B35:F35"/>
    <mergeCell ref="H35:J35"/>
    <mergeCell ref="K35:M35"/>
    <mergeCell ref="Q35:T35"/>
    <mergeCell ref="V35:X35"/>
    <mergeCell ref="Y35:AA35"/>
    <mergeCell ref="C36:F36"/>
    <mergeCell ref="H36:J36"/>
    <mergeCell ref="K36:M36"/>
    <mergeCell ref="P36:T36"/>
    <mergeCell ref="V36:X36"/>
    <mergeCell ref="Y36:AA36"/>
    <mergeCell ref="C34:F34"/>
    <mergeCell ref="H34:J34"/>
    <mergeCell ref="K34:M34"/>
    <mergeCell ref="P34:T34"/>
    <mergeCell ref="V34:X34"/>
    <mergeCell ref="Y34:AA34"/>
    <mergeCell ref="AD34:AH34"/>
    <mergeCell ref="AJ34:AL34"/>
    <mergeCell ref="AM34:AO34"/>
    <mergeCell ref="B33:F33"/>
    <mergeCell ref="H33:J33"/>
    <mergeCell ref="K33:M33"/>
    <mergeCell ref="P33:T33"/>
    <mergeCell ref="V33:X33"/>
    <mergeCell ref="Y33:AA33"/>
    <mergeCell ref="AD33:AH33"/>
    <mergeCell ref="AJ33:AL33"/>
    <mergeCell ref="AM33:AO33"/>
    <mergeCell ref="B32:F32"/>
    <mergeCell ref="H32:J32"/>
    <mergeCell ref="K32:M32"/>
    <mergeCell ref="P32:T32"/>
    <mergeCell ref="V32:X32"/>
    <mergeCell ref="Y32:AA32"/>
    <mergeCell ref="AD32:AH32"/>
    <mergeCell ref="AJ32:AL32"/>
    <mergeCell ref="AM32:AO32"/>
    <mergeCell ref="P30:T30"/>
    <mergeCell ref="V30:X30"/>
    <mergeCell ref="Y30:AA30"/>
    <mergeCell ref="AD30:AH30"/>
    <mergeCell ref="AJ30:AL30"/>
    <mergeCell ref="AM30:AO30"/>
    <mergeCell ref="B31:F31"/>
    <mergeCell ref="H31:J31"/>
    <mergeCell ref="K31:M31"/>
    <mergeCell ref="P31:T31"/>
    <mergeCell ref="V31:X31"/>
    <mergeCell ref="Y31:AA31"/>
    <mergeCell ref="AD31:AH31"/>
    <mergeCell ref="AJ31:AL31"/>
    <mergeCell ref="AM31:AO31"/>
    <mergeCell ref="AR28:AV28"/>
    <mergeCell ref="AW28:BB28"/>
    <mergeCell ref="B29:F29"/>
    <mergeCell ref="H29:J29"/>
    <mergeCell ref="K29:M29"/>
    <mergeCell ref="P29:T29"/>
    <mergeCell ref="V29:X29"/>
    <mergeCell ref="Y29:AA29"/>
    <mergeCell ref="AD29:AH29"/>
    <mergeCell ref="AJ29:AL29"/>
    <mergeCell ref="AM29:AO29"/>
    <mergeCell ref="AQ29:AT29"/>
    <mergeCell ref="B28:F28"/>
    <mergeCell ref="H28:J28"/>
    <mergeCell ref="K28:M28"/>
    <mergeCell ref="P28:U28"/>
    <mergeCell ref="V28:X28"/>
    <mergeCell ref="Y28:AA28"/>
    <mergeCell ref="AD28:AI28"/>
    <mergeCell ref="AJ28:AL28"/>
    <mergeCell ref="AM28:AO28"/>
    <mergeCell ref="B26:F26"/>
    <mergeCell ref="H26:J26"/>
    <mergeCell ref="K26:M26"/>
    <mergeCell ref="AR26:AV26"/>
    <mergeCell ref="AW26:BB26"/>
    <mergeCell ref="B27:F27"/>
    <mergeCell ref="H27:J27"/>
    <mergeCell ref="K27:M27"/>
    <mergeCell ref="AR27:AV27"/>
    <mergeCell ref="AW27:BB27"/>
    <mergeCell ref="P24:Q24"/>
    <mergeCell ref="V24:Y24"/>
    <mergeCell ref="Z24:AA24"/>
    <mergeCell ref="AD24:AE24"/>
    <mergeCell ref="AJ24:AM24"/>
    <mergeCell ref="AN24:AO24"/>
    <mergeCell ref="AR24:AV24"/>
    <mergeCell ref="AW24:BB24"/>
    <mergeCell ref="P25:Q25"/>
    <mergeCell ref="V25:Y25"/>
    <mergeCell ref="Z25:AA25"/>
    <mergeCell ref="AD25:AE25"/>
    <mergeCell ref="AJ25:AM25"/>
    <mergeCell ref="AN25:AO25"/>
    <mergeCell ref="AR25:AV25"/>
    <mergeCell ref="AW25:BB25"/>
    <mergeCell ref="B23:C23"/>
    <mergeCell ref="H23:K23"/>
    <mergeCell ref="L23:M23"/>
    <mergeCell ref="P23:Q23"/>
    <mergeCell ref="V23:Y23"/>
    <mergeCell ref="Z23:AA23"/>
    <mergeCell ref="AD23:AE23"/>
    <mergeCell ref="AJ23:AM23"/>
    <mergeCell ref="AN23:AO23"/>
    <mergeCell ref="B22:C22"/>
    <mergeCell ref="H22:K22"/>
    <mergeCell ref="L22:M22"/>
    <mergeCell ref="P22:Q22"/>
    <mergeCell ref="V22:Y22"/>
    <mergeCell ref="Z22:AA22"/>
    <mergeCell ref="AD22:AE22"/>
    <mergeCell ref="AJ22:AM22"/>
    <mergeCell ref="AN22:AO22"/>
    <mergeCell ref="P20:Q20"/>
    <mergeCell ref="V20:Y20"/>
    <mergeCell ref="Z20:AA20"/>
    <mergeCell ref="AD20:AE20"/>
    <mergeCell ref="AJ20:AM20"/>
    <mergeCell ref="AN20:AO20"/>
    <mergeCell ref="B21:C21"/>
    <mergeCell ref="H21:K21"/>
    <mergeCell ref="L21:M21"/>
    <mergeCell ref="P21:Q21"/>
    <mergeCell ref="V21:Y21"/>
    <mergeCell ref="Z21:AA21"/>
    <mergeCell ref="AD21:AE21"/>
    <mergeCell ref="AJ21:AM21"/>
    <mergeCell ref="AN21:AO21"/>
    <mergeCell ref="A1:C1"/>
    <mergeCell ref="B18:C18"/>
    <mergeCell ref="H18:K18"/>
    <mergeCell ref="L18:M18"/>
    <mergeCell ref="B19:C19"/>
    <mergeCell ref="H19:K19"/>
    <mergeCell ref="L19:M19"/>
    <mergeCell ref="B20:C20"/>
    <mergeCell ref="H20:K20"/>
    <mergeCell ref="L20:M20"/>
  </mergeCells>
  <phoneticPr fontId="42"/>
  <hyperlinks>
    <hyperlink ref="A1:C1" location="目次!A1" display="　目次　" xr:uid="{00000000-0004-0000-27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0"/>
  <sheetViews>
    <sheetView zoomScale="85" zoomScaleNormal="85" workbookViewId="0">
      <selection sqref="A1:C1"/>
    </sheetView>
  </sheetViews>
  <sheetFormatPr defaultColWidth="7.375" defaultRowHeight="13.5"/>
  <cols>
    <col min="1" max="1" width="9" customWidth="1"/>
    <col min="3" max="3" width="8.5" customWidth="1"/>
  </cols>
  <sheetData>
    <row r="1" spans="1:6">
      <c r="A1" s="686" t="s">
        <v>691</v>
      </c>
      <c r="B1" s="686"/>
      <c r="C1" s="686"/>
    </row>
    <row r="3" spans="1:6">
      <c r="B3" t="s">
        <v>692</v>
      </c>
    </row>
    <row r="16" spans="1:6">
      <c r="B16" t="s">
        <v>535</v>
      </c>
      <c r="C16" s="21">
        <v>100</v>
      </c>
      <c r="D16" t="s">
        <v>214</v>
      </c>
      <c r="E16" s="35">
        <f>C16/1000000</f>
        <v>1E-4</v>
      </c>
      <c r="F16" t="s">
        <v>215</v>
      </c>
    </row>
    <row r="17" spans="2:4">
      <c r="B17" t="s">
        <v>693</v>
      </c>
      <c r="C17" s="21">
        <v>4700</v>
      </c>
      <c r="D17" t="s">
        <v>91</v>
      </c>
    </row>
    <row r="18" spans="2:4">
      <c r="B18" t="s">
        <v>273</v>
      </c>
      <c r="C18" s="21">
        <v>47000</v>
      </c>
      <c r="D18" t="s">
        <v>91</v>
      </c>
    </row>
    <row r="20" spans="2:4">
      <c r="B20" t="s">
        <v>209</v>
      </c>
      <c r="C20" s="36">
        <f>1/(2.2*C16*10^-12*C17)/1000</f>
        <v>967.1179883945839</v>
      </c>
      <c r="D20" t="s">
        <v>211</v>
      </c>
    </row>
  </sheetData>
  <mergeCells count="1">
    <mergeCell ref="A1:C1"/>
  </mergeCells>
  <phoneticPr fontId="42"/>
  <hyperlinks>
    <hyperlink ref="A1:C1" location="目次!A1" display="　　  　目次　  　　" xr:uid="{00000000-0004-0000-28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8"/>
  <sheetViews>
    <sheetView workbookViewId="0">
      <selection sqref="A1:C1"/>
    </sheetView>
  </sheetViews>
  <sheetFormatPr defaultColWidth="2.875" defaultRowHeight="13.5"/>
  <cols>
    <col min="1" max="1" width="9" customWidth="1"/>
    <col min="8" max="8" width="2.875" customWidth="1"/>
  </cols>
  <sheetData>
    <row r="1" spans="1:14">
      <c r="A1" s="686" t="s">
        <v>61</v>
      </c>
      <c r="B1" s="686"/>
      <c r="C1" s="686"/>
    </row>
    <row r="4" spans="1:14">
      <c r="C4" s="744" t="s">
        <v>694</v>
      </c>
      <c r="D4" s="744"/>
      <c r="E4" s="744"/>
      <c r="F4" s="744"/>
      <c r="G4" s="744"/>
      <c r="H4" s="776">
        <v>6000000</v>
      </c>
      <c r="I4" s="776"/>
      <c r="J4" s="776"/>
      <c r="K4" s="776"/>
      <c r="L4" s="744" t="s">
        <v>79</v>
      </c>
      <c r="M4" s="744"/>
      <c r="N4" s="744"/>
    </row>
    <row r="5" spans="1:14">
      <c r="C5" s="744" t="s">
        <v>695</v>
      </c>
      <c r="D5" s="744"/>
      <c r="E5" s="744"/>
      <c r="F5" s="744"/>
      <c r="G5" s="744"/>
      <c r="H5" s="776">
        <v>128000</v>
      </c>
      <c r="I5" s="776"/>
      <c r="J5" s="776"/>
      <c r="K5" s="776"/>
      <c r="L5" s="744" t="s">
        <v>290</v>
      </c>
      <c r="M5" s="744"/>
      <c r="N5" s="744"/>
    </row>
    <row r="6" spans="1:14">
      <c r="C6" s="744" t="s">
        <v>696</v>
      </c>
      <c r="D6" s="744"/>
      <c r="E6" s="744"/>
      <c r="F6" s="744"/>
      <c r="G6" s="744"/>
      <c r="H6" s="744">
        <f>H5/8</f>
        <v>16000</v>
      </c>
      <c r="I6" s="744"/>
      <c r="J6" s="744"/>
      <c r="K6" s="744"/>
      <c r="L6" s="744" t="s">
        <v>291</v>
      </c>
      <c r="M6" s="744"/>
      <c r="N6" s="744"/>
    </row>
    <row r="7" spans="1:14">
      <c r="C7" s="829" t="s">
        <v>697</v>
      </c>
      <c r="D7" s="829"/>
      <c r="E7" s="829"/>
      <c r="F7" s="829"/>
      <c r="G7" s="829"/>
      <c r="H7" s="778">
        <f>H4/H6</f>
        <v>375</v>
      </c>
      <c r="I7" s="778"/>
      <c r="J7" s="778"/>
      <c r="K7" s="778"/>
      <c r="L7" s="829" t="s">
        <v>293</v>
      </c>
      <c r="M7" s="829"/>
      <c r="N7" s="829"/>
    </row>
    <row r="8" spans="1:14">
      <c r="C8" s="829" t="s">
        <v>698</v>
      </c>
      <c r="D8" s="829"/>
      <c r="E8" s="829"/>
      <c r="F8" s="829"/>
      <c r="G8" s="829"/>
      <c r="H8" s="778">
        <f>H7/60</f>
        <v>6.25</v>
      </c>
      <c r="I8" s="778"/>
      <c r="J8" s="778"/>
      <c r="K8" s="778"/>
      <c r="L8" s="829" t="s">
        <v>294</v>
      </c>
      <c r="M8" s="829"/>
      <c r="N8" s="829"/>
    </row>
  </sheetData>
  <mergeCells count="16">
    <mergeCell ref="C8:G8"/>
    <mergeCell ref="H8:K8"/>
    <mergeCell ref="L8:N8"/>
    <mergeCell ref="C6:G6"/>
    <mergeCell ref="H6:K6"/>
    <mergeCell ref="L6:N6"/>
    <mergeCell ref="C7:G7"/>
    <mergeCell ref="H7:K7"/>
    <mergeCell ref="L7:N7"/>
    <mergeCell ref="A1:C1"/>
    <mergeCell ref="C4:G4"/>
    <mergeCell ref="H4:K4"/>
    <mergeCell ref="L4:N4"/>
    <mergeCell ref="C5:G5"/>
    <mergeCell ref="H5:K5"/>
    <mergeCell ref="L5:N5"/>
  </mergeCells>
  <phoneticPr fontId="42"/>
  <hyperlinks>
    <hyperlink ref="A1:C1" location="目次!A1" display="　目次　" xr:uid="{00000000-0004-0000-2900-000000000000}"/>
  </hyperlinks>
  <pageMargins left="0.69930555555555596" right="0.69930555555555596" top="0.75" bottom="0.75" header="0.3" footer="0.3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2"/>
  <sheetViews>
    <sheetView workbookViewId="0"/>
  </sheetViews>
  <sheetFormatPr defaultColWidth="9" defaultRowHeight="13.5"/>
  <cols>
    <col min="1" max="1" width="9" customWidth="1"/>
  </cols>
  <sheetData>
    <row r="1" spans="1:5">
      <c r="A1" s="24" t="s">
        <v>61</v>
      </c>
    </row>
    <row r="2" spans="1:5">
      <c r="B2" t="s">
        <v>699</v>
      </c>
    </row>
    <row r="4" spans="1:5">
      <c r="B4" t="s">
        <v>700</v>
      </c>
    </row>
    <row r="7" spans="1:5">
      <c r="B7" s="744" t="s">
        <v>701</v>
      </c>
      <c r="C7" s="744"/>
      <c r="D7" s="21">
        <v>5</v>
      </c>
      <c r="E7" t="s">
        <v>702</v>
      </c>
    </row>
    <row r="8" spans="1:5">
      <c r="B8" s="744" t="s">
        <v>703</v>
      </c>
      <c r="C8" s="744"/>
      <c r="D8" s="21">
        <v>5</v>
      </c>
      <c r="E8" t="s">
        <v>702</v>
      </c>
    </row>
    <row r="9" spans="1:5">
      <c r="B9" s="744" t="s">
        <v>704</v>
      </c>
      <c r="C9" s="744"/>
      <c r="D9" s="21">
        <v>3.5000000000000003E-2</v>
      </c>
      <c r="E9" t="s">
        <v>702</v>
      </c>
    </row>
    <row r="12" spans="1:5">
      <c r="B12" s="744" t="s">
        <v>705</v>
      </c>
      <c r="C12" s="744"/>
      <c r="D12" s="23">
        <f>(0.0168*D7)/(D8*D9)</f>
        <v>0.47999999999999993</v>
      </c>
      <c r="E12" t="s">
        <v>706</v>
      </c>
    </row>
  </sheetData>
  <mergeCells count="4">
    <mergeCell ref="B7:C7"/>
    <mergeCell ref="B8:C8"/>
    <mergeCell ref="B9:C9"/>
    <mergeCell ref="B12:C12"/>
  </mergeCells>
  <phoneticPr fontId="42"/>
  <hyperlinks>
    <hyperlink ref="A1" location="目次!A1" display="　目次　" xr:uid="{00000000-0004-0000-2A00-000000000000}"/>
  </hyperlinks>
  <pageMargins left="0.69930555555555596" right="0.69930555555555596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11"/>
  <sheetViews>
    <sheetView workbookViewId="0">
      <selection sqref="A1:XFD1"/>
    </sheetView>
  </sheetViews>
  <sheetFormatPr defaultColWidth="9" defaultRowHeight="13.5"/>
  <cols>
    <col min="1" max="1" width="9" customWidth="1"/>
    <col min="2" max="2" width="6.625" customWidth="1"/>
    <col min="3" max="3" width="6.5" customWidth="1"/>
    <col min="4" max="4" width="7.625" customWidth="1"/>
    <col min="5" max="5" width="3.5" customWidth="1"/>
    <col min="6" max="6" width="6.25" customWidth="1"/>
    <col min="8" max="8" width="4.75" customWidth="1"/>
    <col min="9" max="9" width="3.5" customWidth="1"/>
    <col min="10" max="10" width="6.25" customWidth="1"/>
    <col min="12" max="12" width="5.375" customWidth="1"/>
    <col min="13" max="13" width="3.5" customWidth="1"/>
    <col min="14" max="14" width="6.25" customWidth="1"/>
    <col min="16" max="16" width="4.75" customWidth="1"/>
    <col min="17" max="17" width="3.5" customWidth="1"/>
    <col min="18" max="18" width="7.25" customWidth="1"/>
    <col min="20" max="20" width="4.75" customWidth="1"/>
    <col min="21" max="21" width="3.375" customWidth="1"/>
  </cols>
  <sheetData>
    <row r="1" spans="1:20">
      <c r="A1" s="686" t="s">
        <v>707</v>
      </c>
      <c r="B1" s="686"/>
      <c r="C1" s="686"/>
    </row>
    <row r="3" spans="1:20">
      <c r="B3" t="s">
        <v>708</v>
      </c>
    </row>
    <row r="5" spans="1:20">
      <c r="B5" t="s">
        <v>709</v>
      </c>
      <c r="C5" s="21">
        <v>105.5</v>
      </c>
      <c r="D5" t="s">
        <v>710</v>
      </c>
    </row>
    <row r="7" spans="1:20">
      <c r="B7" s="32" t="s">
        <v>711</v>
      </c>
      <c r="C7" s="33"/>
      <c r="D7" s="32" t="s">
        <v>712</v>
      </c>
      <c r="F7" s="32" t="s">
        <v>713</v>
      </c>
      <c r="G7" s="33"/>
      <c r="H7" s="32" t="s">
        <v>712</v>
      </c>
      <c r="J7" s="32" t="s">
        <v>714</v>
      </c>
      <c r="K7" s="33"/>
      <c r="L7" s="32" t="s">
        <v>712</v>
      </c>
      <c r="N7" s="32" t="s">
        <v>715</v>
      </c>
      <c r="O7" s="33"/>
      <c r="P7" s="32" t="s">
        <v>712</v>
      </c>
      <c r="R7" s="32" t="s">
        <v>716</v>
      </c>
      <c r="S7" s="33"/>
      <c r="T7" s="32" t="s">
        <v>712</v>
      </c>
    </row>
    <row r="8" spans="1:20">
      <c r="B8" s="32"/>
      <c r="C8" s="34">
        <f>C5*C7</f>
        <v>0</v>
      </c>
      <c r="D8" s="32" t="s">
        <v>84</v>
      </c>
      <c r="F8" s="32"/>
      <c r="G8" s="34">
        <f>C5*G7</f>
        <v>0</v>
      </c>
      <c r="H8" s="32" t="s">
        <v>84</v>
      </c>
      <c r="J8" s="32"/>
      <c r="K8" s="34">
        <f>K7*C5</f>
        <v>0</v>
      </c>
      <c r="L8" s="32" t="s">
        <v>84</v>
      </c>
      <c r="N8" s="32"/>
      <c r="O8" s="34">
        <f>O7*C5</f>
        <v>0</v>
      </c>
      <c r="P8" s="32" t="s">
        <v>84</v>
      </c>
      <c r="R8" s="32"/>
      <c r="S8" s="34">
        <f>S7*C5</f>
        <v>0</v>
      </c>
      <c r="T8" s="32" t="s">
        <v>84</v>
      </c>
    </row>
    <row r="10" spans="1:20">
      <c r="B10" s="32" t="s">
        <v>717</v>
      </c>
      <c r="C10" s="33"/>
      <c r="D10" s="32" t="s">
        <v>712</v>
      </c>
      <c r="F10" s="32" t="s">
        <v>718</v>
      </c>
      <c r="G10" s="33"/>
      <c r="H10" s="32" t="s">
        <v>712</v>
      </c>
      <c r="J10" s="32" t="s">
        <v>719</v>
      </c>
      <c r="K10" s="33"/>
      <c r="L10" s="32" t="s">
        <v>712</v>
      </c>
      <c r="N10" s="32" t="s">
        <v>720</v>
      </c>
      <c r="O10" s="33"/>
      <c r="P10" s="32" t="s">
        <v>712</v>
      </c>
      <c r="R10" s="32" t="s">
        <v>721</v>
      </c>
      <c r="S10" s="33"/>
      <c r="T10" s="32" t="s">
        <v>712</v>
      </c>
    </row>
    <row r="11" spans="1:20">
      <c r="B11" s="32"/>
      <c r="C11" s="34">
        <f>C10*C5</f>
        <v>0</v>
      </c>
      <c r="D11" s="32" t="s">
        <v>84</v>
      </c>
      <c r="F11" s="32"/>
      <c r="G11" s="34">
        <f>G10*C5</f>
        <v>0</v>
      </c>
      <c r="H11" s="32" t="s">
        <v>84</v>
      </c>
      <c r="J11" s="32"/>
      <c r="K11" s="34">
        <f>K10*C5</f>
        <v>0</v>
      </c>
      <c r="L11" s="32" t="s">
        <v>84</v>
      </c>
      <c r="N11" s="32"/>
      <c r="O11" s="34">
        <f>O10*C5</f>
        <v>0</v>
      </c>
      <c r="P11" s="32" t="s">
        <v>84</v>
      </c>
      <c r="R11" s="32"/>
      <c r="S11" s="34">
        <f>S10*C5</f>
        <v>0</v>
      </c>
      <c r="T11" s="32" t="s">
        <v>84</v>
      </c>
    </row>
  </sheetData>
  <mergeCells count="1">
    <mergeCell ref="A1:C1"/>
  </mergeCells>
  <phoneticPr fontId="42"/>
  <hyperlinks>
    <hyperlink ref="A1:C1" location="目次!A1" display="    　目次　   " xr:uid="{00000000-0004-0000-2B00-000000000000}"/>
  </hyperlinks>
  <pageMargins left="0.69930555555555596" right="0.69930555555555596" top="0.75" bottom="0.75" header="0.3" footer="0.3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19"/>
  <sheetViews>
    <sheetView topLeftCell="A13" workbookViewId="0">
      <selection activeCell="F10" sqref="F10"/>
    </sheetView>
  </sheetViews>
  <sheetFormatPr defaultColWidth="9" defaultRowHeight="13.5"/>
  <cols>
    <col min="1" max="1" width="9" customWidth="1"/>
    <col min="3" max="3" width="19.75" customWidth="1"/>
    <col min="6" max="6" width="14.5" customWidth="1"/>
  </cols>
  <sheetData>
    <row r="1" spans="1:7">
      <c r="A1" s="686" t="s">
        <v>707</v>
      </c>
      <c r="B1" s="686"/>
      <c r="C1" s="686"/>
    </row>
    <row r="2" spans="1:7" ht="25.5">
      <c r="A2" s="31" t="s">
        <v>722</v>
      </c>
    </row>
    <row r="4" spans="1:7">
      <c r="B4" t="s">
        <v>209</v>
      </c>
      <c r="C4" s="21">
        <v>10000000</v>
      </c>
      <c r="D4" t="s">
        <v>210</v>
      </c>
    </row>
    <row r="6" spans="1:7">
      <c r="B6" t="s">
        <v>723</v>
      </c>
      <c r="C6" s="23">
        <f>1/C4</f>
        <v>9.9999999999999995E-8</v>
      </c>
      <c r="D6" t="s">
        <v>217</v>
      </c>
      <c r="E6" t="s">
        <v>724</v>
      </c>
      <c r="F6" s="23">
        <f>C6/2</f>
        <v>4.9999999999999998E-8</v>
      </c>
      <c r="G6" t="s">
        <v>217</v>
      </c>
    </row>
    <row r="7" spans="1:7">
      <c r="C7" s="23">
        <f>C6*1000</f>
        <v>9.9999999999999991E-5</v>
      </c>
      <c r="D7" t="s">
        <v>218</v>
      </c>
      <c r="F7" s="23">
        <f>C7/2</f>
        <v>4.9999999999999996E-5</v>
      </c>
      <c r="G7" t="s">
        <v>218</v>
      </c>
    </row>
    <row r="8" spans="1:7">
      <c r="C8" s="23">
        <f>C7*1000</f>
        <v>9.9999999999999992E-2</v>
      </c>
      <c r="D8" t="s">
        <v>220</v>
      </c>
      <c r="F8" s="23">
        <f>C8/2</f>
        <v>4.9999999999999996E-2</v>
      </c>
      <c r="G8" t="s">
        <v>220</v>
      </c>
    </row>
    <row r="9" spans="1:7">
      <c r="C9" s="23">
        <f>C8*1000</f>
        <v>99.999999999999986</v>
      </c>
      <c r="D9" t="s">
        <v>725</v>
      </c>
      <c r="F9" s="23">
        <f>C9/2</f>
        <v>49.999999999999993</v>
      </c>
      <c r="G9" t="s">
        <v>725</v>
      </c>
    </row>
    <row r="12" spans="1:7" ht="25.5">
      <c r="A12" s="31" t="s">
        <v>726</v>
      </c>
    </row>
    <row r="14" spans="1:7">
      <c r="B14" t="s">
        <v>209</v>
      </c>
      <c r="C14" s="21">
        <v>0.1</v>
      </c>
      <c r="D14" t="s">
        <v>217</v>
      </c>
    </row>
    <row r="16" spans="1:7">
      <c r="B16" t="s">
        <v>723</v>
      </c>
      <c r="C16" s="23">
        <f>1/C14</f>
        <v>10</v>
      </c>
      <c r="D16" t="s">
        <v>210</v>
      </c>
      <c r="E16" t="s">
        <v>724</v>
      </c>
      <c r="F16" s="23">
        <f>C14/2</f>
        <v>0.05</v>
      </c>
      <c r="G16" t="s">
        <v>217</v>
      </c>
    </row>
    <row r="17" spans="3:7">
      <c r="C17" s="23">
        <f>C16/1000</f>
        <v>0.01</v>
      </c>
      <c r="D17" t="s">
        <v>727</v>
      </c>
      <c r="F17" s="23">
        <f>F16*1000</f>
        <v>50</v>
      </c>
      <c r="G17" t="s">
        <v>218</v>
      </c>
    </row>
    <row r="18" spans="3:7">
      <c r="C18" s="23">
        <f>C17/1000</f>
        <v>1.0000000000000001E-5</v>
      </c>
      <c r="D18" t="s">
        <v>220</v>
      </c>
      <c r="F18" s="23">
        <f>F17/2</f>
        <v>25</v>
      </c>
      <c r="G18" t="s">
        <v>220</v>
      </c>
    </row>
    <row r="19" spans="3:7">
      <c r="C19" s="23">
        <f>C18/1000</f>
        <v>1E-8</v>
      </c>
      <c r="D19" t="s">
        <v>725</v>
      </c>
      <c r="F19" s="23">
        <f>C19/2</f>
        <v>5.0000000000000001E-9</v>
      </c>
      <c r="G19" t="s">
        <v>725</v>
      </c>
    </row>
  </sheetData>
  <mergeCells count="1">
    <mergeCell ref="A1:C1"/>
  </mergeCells>
  <phoneticPr fontId="42"/>
  <hyperlinks>
    <hyperlink ref="A1:C1" location="目次!A1" display="    　目次　   " xr:uid="{00000000-0004-0000-2C00-000000000000}"/>
  </hyperlinks>
  <pageMargins left="0.69930555555555596" right="0.69930555555555596" top="0.75" bottom="0.75" header="0.3" footer="0.3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2"/>
  <sheetViews>
    <sheetView workbookViewId="0">
      <selection activeCell="H21" sqref="H21"/>
    </sheetView>
  </sheetViews>
  <sheetFormatPr defaultColWidth="9" defaultRowHeight="13.5"/>
  <cols>
    <col min="1" max="1" width="9" customWidth="1"/>
    <col min="2" max="2" width="15.5" customWidth="1"/>
    <col min="3" max="3" width="18.75" customWidth="1"/>
    <col min="6" max="6" width="12.75" customWidth="1"/>
    <col min="7" max="7" width="16.625" customWidth="1"/>
  </cols>
  <sheetData>
    <row r="1" spans="1:8">
      <c r="A1" s="686" t="s">
        <v>707</v>
      </c>
      <c r="B1" s="686"/>
    </row>
    <row r="2" spans="1:8" ht="24">
      <c r="A2" s="2" t="s">
        <v>45</v>
      </c>
    </row>
    <row r="4" spans="1:8">
      <c r="B4" t="s">
        <v>209</v>
      </c>
      <c r="C4" s="21">
        <v>74250000</v>
      </c>
      <c r="D4" t="s">
        <v>210</v>
      </c>
      <c r="F4" t="s">
        <v>45</v>
      </c>
      <c r="G4" s="21">
        <f>3.55*10^-6</f>
        <v>3.5499999999999995E-6</v>
      </c>
      <c r="H4" t="s">
        <v>219</v>
      </c>
    </row>
    <row r="5" spans="1:8">
      <c r="B5" s="741" t="s">
        <v>66</v>
      </c>
      <c r="C5" s="21">
        <v>16</v>
      </c>
      <c r="D5" t="s">
        <v>67</v>
      </c>
      <c r="F5" s="741" t="s">
        <v>66</v>
      </c>
      <c r="G5" s="21">
        <v>6</v>
      </c>
      <c r="H5" t="s">
        <v>67</v>
      </c>
    </row>
    <row r="6" spans="1:8">
      <c r="B6" s="741"/>
      <c r="C6" s="6">
        <f>16^(C5/4)</f>
        <v>65536</v>
      </c>
      <c r="F6" s="741"/>
      <c r="G6" s="6">
        <f>16^(G5/4)</f>
        <v>63.999999999999979</v>
      </c>
    </row>
    <row r="7" spans="1:8">
      <c r="B7" t="s">
        <v>723</v>
      </c>
      <c r="C7" s="6">
        <f>1/C4</f>
        <v>1.3468013468013468E-8</v>
      </c>
      <c r="D7" t="s">
        <v>217</v>
      </c>
      <c r="F7" t="s">
        <v>723</v>
      </c>
      <c r="G7" s="6">
        <f>G4/G6</f>
        <v>5.5468750000000012E-8</v>
      </c>
      <c r="H7" t="s">
        <v>217</v>
      </c>
    </row>
    <row r="9" spans="1:8">
      <c r="B9" t="s">
        <v>45</v>
      </c>
      <c r="C9" s="23">
        <f>C7*C6</f>
        <v>8.8263973063973063E-4</v>
      </c>
      <c r="D9" t="s">
        <v>217</v>
      </c>
      <c r="F9" t="s">
        <v>209</v>
      </c>
      <c r="G9" s="23">
        <f>1/G7</f>
        <v>18028169.014084503</v>
      </c>
      <c r="H9" t="s">
        <v>210</v>
      </c>
    </row>
    <row r="10" spans="1:8">
      <c r="C10" s="23">
        <f>C9*1000</f>
        <v>0.88263973063973067</v>
      </c>
      <c r="D10" t="s">
        <v>218</v>
      </c>
      <c r="G10" s="23">
        <f>G9/1000</f>
        <v>18028.169014084502</v>
      </c>
      <c r="H10" t="s">
        <v>211</v>
      </c>
    </row>
    <row r="11" spans="1:8">
      <c r="C11" s="23">
        <f>C10*1000</f>
        <v>882.63973063973071</v>
      </c>
      <c r="D11" t="s">
        <v>220</v>
      </c>
      <c r="G11" s="23">
        <f>G10/1000</f>
        <v>18.028169014084501</v>
      </c>
      <c r="H11" t="s">
        <v>212</v>
      </c>
    </row>
    <row r="12" spans="1:8">
      <c r="C12" s="23">
        <f>C11*1000</f>
        <v>882639.7306397307</v>
      </c>
      <c r="D12" t="s">
        <v>646</v>
      </c>
    </row>
  </sheetData>
  <mergeCells count="3">
    <mergeCell ref="A1:B1"/>
    <mergeCell ref="B5:B6"/>
    <mergeCell ref="F5:F6"/>
  </mergeCells>
  <phoneticPr fontId="42"/>
  <hyperlinks>
    <hyperlink ref="A1" location="目次!A1" display="    　目次　   " xr:uid="{00000000-0004-0000-2D00-000000000000}"/>
  </hyperlinks>
  <pageMargins left="0.69930555555555596" right="0.69930555555555596" top="0.75" bottom="0.75" header="0.3" footer="0.3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5"/>
  <sheetViews>
    <sheetView workbookViewId="0">
      <selection sqref="A1:C1"/>
    </sheetView>
  </sheetViews>
  <sheetFormatPr defaultColWidth="9" defaultRowHeight="13.5"/>
  <cols>
    <col min="1" max="1" width="3.5" customWidth="1"/>
    <col min="4" max="4" width="11.625" customWidth="1"/>
  </cols>
  <sheetData>
    <row r="1" spans="1:5">
      <c r="A1" s="686" t="s">
        <v>728</v>
      </c>
      <c r="B1" s="686"/>
      <c r="C1" s="686"/>
    </row>
    <row r="2" spans="1:5" ht="21">
      <c r="B2" s="22" t="s">
        <v>729</v>
      </c>
    </row>
    <row r="6" spans="1:5">
      <c r="B6" s="710" t="s">
        <v>730</v>
      </c>
      <c r="C6" s="710"/>
      <c r="D6" s="21">
        <v>74250000</v>
      </c>
      <c r="E6" t="s">
        <v>210</v>
      </c>
    </row>
    <row r="7" spans="1:5">
      <c r="B7" s="710" t="s">
        <v>731</v>
      </c>
      <c r="C7" s="710"/>
      <c r="D7" s="21">
        <v>1</v>
      </c>
      <c r="E7" t="s">
        <v>732</v>
      </c>
    </row>
    <row r="8" spans="1:5">
      <c r="B8" s="710" t="s">
        <v>733</v>
      </c>
      <c r="C8" s="710"/>
      <c r="D8" s="21">
        <v>2073600</v>
      </c>
      <c r="E8" t="s">
        <v>734</v>
      </c>
    </row>
    <row r="9" spans="1:5">
      <c r="B9" s="710"/>
      <c r="C9" s="710"/>
    </row>
    <row r="10" spans="1:5">
      <c r="B10" s="830" t="s">
        <v>735</v>
      </c>
      <c r="C10" s="830"/>
      <c r="D10" s="6">
        <f>1/D6</f>
        <v>1.3468013468013468E-8</v>
      </c>
      <c r="E10" t="s">
        <v>736</v>
      </c>
    </row>
    <row r="11" spans="1:5">
      <c r="B11" s="710"/>
      <c r="C11" s="710"/>
    </row>
    <row r="12" spans="1:5">
      <c r="B12" s="830" t="s">
        <v>737</v>
      </c>
      <c r="C12" s="830"/>
      <c r="D12" s="23">
        <f>D10*D8*D7</f>
        <v>2.7927272727272728E-2</v>
      </c>
      <c r="E12" t="s">
        <v>217</v>
      </c>
    </row>
    <row r="15" spans="1:5">
      <c r="B15" s="831" t="s">
        <v>738</v>
      </c>
      <c r="C15" s="831"/>
      <c r="D15" s="831"/>
    </row>
    <row r="18" spans="2:10">
      <c r="B18" s="832" t="s">
        <v>739</v>
      </c>
      <c r="C18" s="833"/>
      <c r="D18" s="833"/>
      <c r="E18" s="833"/>
      <c r="F18" s="833"/>
      <c r="G18" s="833"/>
      <c r="H18" s="833"/>
      <c r="I18" s="833"/>
      <c r="J18" s="833"/>
    </row>
    <row r="19" spans="2:10">
      <c r="B19" s="833"/>
      <c r="C19" s="833"/>
      <c r="D19" s="833"/>
      <c r="E19" s="833"/>
      <c r="F19" s="833"/>
      <c r="G19" s="833"/>
      <c r="H19" s="833"/>
      <c r="I19" s="833"/>
      <c r="J19" s="833"/>
    </row>
    <row r="20" spans="2:10">
      <c r="B20" s="833"/>
      <c r="C20" s="833"/>
      <c r="D20" s="833"/>
      <c r="E20" s="833"/>
      <c r="F20" s="833"/>
      <c r="G20" s="833"/>
      <c r="H20" s="833"/>
      <c r="I20" s="833"/>
      <c r="J20" s="833"/>
    </row>
    <row r="21" spans="2:10">
      <c r="B21" s="833"/>
      <c r="C21" s="833"/>
      <c r="D21" s="833"/>
      <c r="E21" s="833"/>
      <c r="F21" s="833"/>
      <c r="G21" s="833"/>
      <c r="H21" s="833"/>
      <c r="I21" s="833"/>
      <c r="J21" s="833"/>
    </row>
    <row r="22" spans="2:10">
      <c r="B22" s="833"/>
      <c r="C22" s="833"/>
      <c r="D22" s="833"/>
      <c r="E22" s="833"/>
      <c r="F22" s="833"/>
      <c r="G22" s="833"/>
      <c r="H22" s="833"/>
      <c r="I22" s="833"/>
      <c r="J22" s="833"/>
    </row>
    <row r="23" spans="2:10">
      <c r="B23" s="833"/>
      <c r="C23" s="833"/>
      <c r="D23" s="833"/>
      <c r="E23" s="833"/>
      <c r="F23" s="833"/>
      <c r="G23" s="833"/>
      <c r="H23" s="833"/>
      <c r="I23" s="833"/>
      <c r="J23" s="833"/>
    </row>
    <row r="24" spans="2:10">
      <c r="B24" s="833"/>
      <c r="C24" s="833"/>
      <c r="D24" s="833"/>
      <c r="E24" s="833"/>
      <c r="F24" s="833"/>
      <c r="G24" s="833"/>
      <c r="H24" s="833"/>
      <c r="I24" s="833"/>
      <c r="J24" s="833"/>
    </row>
    <row r="25" spans="2:10">
      <c r="B25" s="833"/>
      <c r="C25" s="833"/>
      <c r="D25" s="833"/>
      <c r="E25" s="833"/>
      <c r="F25" s="833"/>
      <c r="G25" s="833"/>
      <c r="H25" s="833"/>
      <c r="I25" s="833"/>
      <c r="J25" s="833"/>
    </row>
  </sheetData>
  <mergeCells count="10">
    <mergeCell ref="B10:C10"/>
    <mergeCell ref="B11:C11"/>
    <mergeCell ref="B12:C12"/>
    <mergeCell ref="B15:D15"/>
    <mergeCell ref="B18:J25"/>
    <mergeCell ref="A1:C1"/>
    <mergeCell ref="B6:C6"/>
    <mergeCell ref="B7:C7"/>
    <mergeCell ref="B8:C8"/>
    <mergeCell ref="B9:C9"/>
  </mergeCells>
  <phoneticPr fontId="42"/>
  <hyperlinks>
    <hyperlink ref="A1:C1" location="目次!A1" display="  　目次　  " xr:uid="{00000000-0004-0000-2E00-000000000000}"/>
    <hyperlink ref="B15" location="fps_Time!A1" display="→フレームレート/時間" xr:uid="{00000000-0004-0000-2E00-000001000000}"/>
  </hyperlinks>
  <pageMargins left="0.69930555555555596" right="0.69930555555555596" top="0.75" bottom="0.75" header="0.3" footer="0.3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17"/>
  <sheetViews>
    <sheetView workbookViewId="0">
      <selection sqref="A1:C1"/>
    </sheetView>
  </sheetViews>
  <sheetFormatPr defaultColWidth="9" defaultRowHeight="13.5"/>
  <cols>
    <col min="1" max="1" width="5.125" customWidth="1"/>
  </cols>
  <sheetData>
    <row r="1" spans="1:9">
      <c r="A1" s="686" t="s">
        <v>61</v>
      </c>
      <c r="B1" s="686"/>
      <c r="C1" s="686"/>
    </row>
    <row r="2" spans="1:9" ht="21">
      <c r="A2" s="22" t="s">
        <v>14</v>
      </c>
    </row>
    <row r="4" spans="1:9">
      <c r="B4" s="710" t="s">
        <v>740</v>
      </c>
      <c r="C4" s="710"/>
      <c r="D4" s="21">
        <v>120</v>
      </c>
      <c r="E4" t="s">
        <v>741</v>
      </c>
    </row>
    <row r="5" spans="1:9">
      <c r="B5" s="710" t="s">
        <v>742</v>
      </c>
      <c r="C5" s="710"/>
      <c r="D5" s="23">
        <f>1/D4</f>
        <v>8.3333333333333332E-3</v>
      </c>
      <c r="E5" t="s">
        <v>217</v>
      </c>
    </row>
    <row r="6" spans="1:9">
      <c r="B6" s="710"/>
      <c r="C6" s="710"/>
    </row>
    <row r="7" spans="1:9">
      <c r="B7" s="831" t="s">
        <v>743</v>
      </c>
      <c r="C7" s="831"/>
    </row>
    <row r="8" spans="1:9">
      <c r="B8" s="710"/>
      <c r="C8" s="710"/>
    </row>
    <row r="10" spans="1:9">
      <c r="A10" s="832" t="s">
        <v>739</v>
      </c>
      <c r="B10" s="833"/>
      <c r="C10" s="833"/>
      <c r="D10" s="833"/>
      <c r="E10" s="833"/>
      <c r="F10" s="833"/>
      <c r="G10" s="833"/>
      <c r="H10" s="833"/>
      <c r="I10" s="833"/>
    </row>
    <row r="11" spans="1:9">
      <c r="A11" s="833"/>
      <c r="B11" s="833"/>
      <c r="C11" s="833"/>
      <c r="D11" s="833"/>
      <c r="E11" s="833"/>
      <c r="F11" s="833"/>
      <c r="G11" s="833"/>
      <c r="H11" s="833"/>
      <c r="I11" s="833"/>
    </row>
    <row r="12" spans="1:9">
      <c r="A12" s="833"/>
      <c r="B12" s="833"/>
      <c r="C12" s="833"/>
      <c r="D12" s="833"/>
      <c r="E12" s="833"/>
      <c r="F12" s="833"/>
      <c r="G12" s="833"/>
      <c r="H12" s="833"/>
      <c r="I12" s="833"/>
    </row>
    <row r="13" spans="1:9">
      <c r="A13" s="833"/>
      <c r="B13" s="833"/>
      <c r="C13" s="833"/>
      <c r="D13" s="833"/>
      <c r="E13" s="833"/>
      <c r="F13" s="833"/>
      <c r="G13" s="833"/>
      <c r="H13" s="833"/>
      <c r="I13" s="833"/>
    </row>
    <row r="14" spans="1:9">
      <c r="A14" s="833"/>
      <c r="B14" s="833"/>
      <c r="C14" s="833"/>
      <c r="D14" s="833"/>
      <c r="E14" s="833"/>
      <c r="F14" s="833"/>
      <c r="G14" s="833"/>
      <c r="H14" s="833"/>
      <c r="I14" s="833"/>
    </row>
    <row r="15" spans="1:9">
      <c r="A15" s="833"/>
      <c r="B15" s="833"/>
      <c r="C15" s="833"/>
      <c r="D15" s="833"/>
      <c r="E15" s="833"/>
      <c r="F15" s="833"/>
      <c r="G15" s="833"/>
      <c r="H15" s="833"/>
      <c r="I15" s="833"/>
    </row>
    <row r="16" spans="1:9">
      <c r="A16" s="833"/>
      <c r="B16" s="833"/>
      <c r="C16" s="833"/>
      <c r="D16" s="833"/>
      <c r="E16" s="833"/>
      <c r="F16" s="833"/>
      <c r="G16" s="833"/>
      <c r="H16" s="833"/>
      <c r="I16" s="833"/>
    </row>
    <row r="17" spans="1:9">
      <c r="A17" s="833"/>
      <c r="B17" s="833"/>
      <c r="C17" s="833"/>
      <c r="D17" s="833"/>
      <c r="E17" s="833"/>
      <c r="F17" s="833"/>
      <c r="G17" s="833"/>
      <c r="H17" s="833"/>
      <c r="I17" s="833"/>
    </row>
  </sheetData>
  <mergeCells count="7">
    <mergeCell ref="B8:C8"/>
    <mergeCell ref="A10:I17"/>
    <mergeCell ref="A1:C1"/>
    <mergeCell ref="B4:C4"/>
    <mergeCell ref="B5:C5"/>
    <mergeCell ref="B6:C6"/>
    <mergeCell ref="B7:C7"/>
  </mergeCells>
  <phoneticPr fontId="42"/>
  <hyperlinks>
    <hyperlink ref="A1:C1" location="目次!A1" display="　目次　" xr:uid="{00000000-0004-0000-2F00-000000000000}"/>
    <hyperlink ref="B7:C7" location="速度計算!A1" display="→通信速度計算" xr:uid="{00000000-0004-0000-2F00-000001000000}"/>
  </hyperlinks>
  <pageMargins left="0.69930555555555596" right="0.69930555555555596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S17"/>
  <sheetViews>
    <sheetView workbookViewId="0">
      <selection sqref="A1:D1"/>
    </sheetView>
  </sheetViews>
  <sheetFormatPr defaultColWidth="9" defaultRowHeight="13.5"/>
  <cols>
    <col min="1" max="1" width="2.375" customWidth="1"/>
    <col min="5" max="5" width="21.75" customWidth="1"/>
    <col min="12" max="12" width="6.75" customWidth="1"/>
    <col min="13" max="13" width="2.5" bestFit="1" customWidth="1"/>
    <col min="14" max="14" width="7.125" customWidth="1"/>
    <col min="15" max="15" width="3.625" style="328" bestFit="1" customWidth="1"/>
    <col min="16" max="16" width="8.25" customWidth="1"/>
    <col min="17" max="17" width="5.125" bestFit="1" customWidth="1"/>
    <col min="18" max="18" width="7.625" customWidth="1"/>
    <col min="19" max="19" width="7" bestFit="1" customWidth="1"/>
  </cols>
  <sheetData>
    <row r="1" spans="1:19">
      <c r="A1" s="686" t="s">
        <v>61</v>
      </c>
      <c r="B1" s="686"/>
      <c r="C1" s="686"/>
      <c r="D1" s="686"/>
    </row>
    <row r="2" spans="1:19" ht="21">
      <c r="B2" s="22" t="s">
        <v>744</v>
      </c>
    </row>
    <row r="3" spans="1:19">
      <c r="L3" s="739" t="s">
        <v>1154</v>
      </c>
      <c r="M3" s="738"/>
      <c r="N3" s="739" t="s">
        <v>1155</v>
      </c>
      <c r="O3" s="738"/>
      <c r="P3" s="739" t="s">
        <v>1156</v>
      </c>
      <c r="Q3" s="738"/>
      <c r="R3" s="739" t="s">
        <v>1157</v>
      </c>
      <c r="S3" s="739"/>
    </row>
    <row r="4" spans="1:19">
      <c r="L4">
        <v>2</v>
      </c>
      <c r="M4" s="329" t="s">
        <v>1148</v>
      </c>
      <c r="N4">
        <v>10</v>
      </c>
      <c r="O4" s="329" t="s">
        <v>1151</v>
      </c>
      <c r="P4">
        <f>16^(L4/4)</f>
        <v>4</v>
      </c>
      <c r="Q4" s="329" t="s">
        <v>1153</v>
      </c>
      <c r="R4">
        <v>256</v>
      </c>
      <c r="S4" s="329" t="s">
        <v>1158</v>
      </c>
    </row>
    <row r="5" spans="1:19">
      <c r="C5" s="710" t="s">
        <v>66</v>
      </c>
      <c r="D5" s="710"/>
      <c r="E5" s="28">
        <v>10</v>
      </c>
      <c r="F5" t="s">
        <v>67</v>
      </c>
      <c r="L5">
        <v>4</v>
      </c>
      <c r="M5" s="329" t="s">
        <v>1149</v>
      </c>
      <c r="N5">
        <v>11</v>
      </c>
      <c r="O5" s="329" t="s">
        <v>1151</v>
      </c>
      <c r="P5" s="328">
        <f>16^(L5/4)</f>
        <v>16</v>
      </c>
      <c r="Q5" s="329" t="s">
        <v>1153</v>
      </c>
      <c r="R5" s="328">
        <v>256</v>
      </c>
      <c r="S5" s="329" t="s">
        <v>1158</v>
      </c>
    </row>
    <row r="6" spans="1:19">
      <c r="C6" s="710" t="s">
        <v>745</v>
      </c>
      <c r="D6" s="710"/>
      <c r="E6" s="28">
        <v>5</v>
      </c>
      <c r="F6" t="s">
        <v>65</v>
      </c>
      <c r="H6">
        <v>16</v>
      </c>
      <c r="I6" s="329" t="s">
        <v>1145</v>
      </c>
      <c r="L6">
        <v>8</v>
      </c>
      <c r="M6" s="329" t="s">
        <v>1149</v>
      </c>
      <c r="N6">
        <v>12</v>
      </c>
      <c r="O6" s="329" t="s">
        <v>1151</v>
      </c>
      <c r="P6" s="328">
        <f>16^(L6/4)</f>
        <v>256</v>
      </c>
      <c r="Q6" s="329" t="s">
        <v>1153</v>
      </c>
      <c r="R6" s="328">
        <v>256</v>
      </c>
      <c r="S6" s="329" t="s">
        <v>1158</v>
      </c>
    </row>
    <row r="7" spans="1:19">
      <c r="C7" s="710"/>
      <c r="D7" s="710"/>
      <c r="E7" s="29"/>
      <c r="H7">
        <f>H6/E8</f>
        <v>1.5625E-2</v>
      </c>
      <c r="I7" s="329" t="s">
        <v>1160</v>
      </c>
      <c r="L7">
        <v>16</v>
      </c>
      <c r="M7" s="329" t="s">
        <v>1150</v>
      </c>
      <c r="N7">
        <v>13</v>
      </c>
      <c r="O7" s="329" t="s">
        <v>1151</v>
      </c>
      <c r="P7" s="328">
        <f>16^(L7/4)</f>
        <v>65536</v>
      </c>
      <c r="Q7" s="329" t="s">
        <v>1153</v>
      </c>
      <c r="R7" s="328">
        <v>256</v>
      </c>
      <c r="S7" s="329" t="s">
        <v>1158</v>
      </c>
    </row>
    <row r="8" spans="1:19">
      <c r="C8" s="710"/>
      <c r="D8" s="710"/>
      <c r="E8" s="5">
        <f>16^(E5/4)</f>
        <v>1024</v>
      </c>
      <c r="F8" s="329" t="s">
        <v>1152</v>
      </c>
      <c r="G8" s="329" t="s">
        <v>1146</v>
      </c>
      <c r="H8">
        <f>H7*256</f>
        <v>4</v>
      </c>
    </row>
    <row r="9" spans="1:19">
      <c r="E9" s="29"/>
      <c r="G9" s="329" t="s">
        <v>1147</v>
      </c>
      <c r="H9">
        <f>H7*128</f>
        <v>2</v>
      </c>
    </row>
    <row r="10" spans="1:19">
      <c r="C10" s="710" t="s">
        <v>746</v>
      </c>
      <c r="D10" s="710"/>
      <c r="E10" s="30">
        <f>E6/E8</f>
        <v>4.8828125E-3</v>
      </c>
      <c r="F10" t="s">
        <v>747</v>
      </c>
      <c r="G10" s="329"/>
      <c r="L10" s="739" t="s">
        <v>1154</v>
      </c>
      <c r="M10" s="738"/>
      <c r="N10" s="739" t="s">
        <v>1155</v>
      </c>
      <c r="O10" s="738"/>
      <c r="P10" s="739" t="s">
        <v>1156</v>
      </c>
      <c r="Q10" s="738"/>
      <c r="R10" s="738"/>
      <c r="S10" s="738"/>
    </row>
    <row r="11" spans="1:19">
      <c r="E11" s="30">
        <f>E10*1000</f>
        <v>4.8828125</v>
      </c>
      <c r="F11" t="s">
        <v>748</v>
      </c>
      <c r="L11" s="328">
        <v>2</v>
      </c>
      <c r="M11" s="329" t="s">
        <v>1148</v>
      </c>
      <c r="N11" s="328">
        <v>10</v>
      </c>
      <c r="O11" s="329" t="s">
        <v>1151</v>
      </c>
      <c r="P11" s="328">
        <f>16^(N11/4)</f>
        <v>1024</v>
      </c>
      <c r="Q11" s="329" t="s">
        <v>1153</v>
      </c>
      <c r="R11" s="328">
        <v>256</v>
      </c>
      <c r="S11" s="329" t="s">
        <v>1158</v>
      </c>
    </row>
    <row r="12" spans="1:19">
      <c r="E12" s="30">
        <f>E11*1000</f>
        <v>4882.8125</v>
      </c>
      <c r="F12" t="s">
        <v>749</v>
      </c>
      <c r="L12" s="328">
        <v>4</v>
      </c>
      <c r="M12" s="329" t="s">
        <v>1149</v>
      </c>
      <c r="N12" s="328">
        <v>10</v>
      </c>
      <c r="O12" s="329" t="s">
        <v>1151</v>
      </c>
      <c r="P12" s="328">
        <f>16^(N12/4)</f>
        <v>1024</v>
      </c>
      <c r="Q12" s="329" t="s">
        <v>1153</v>
      </c>
      <c r="R12" s="328">
        <v>128</v>
      </c>
      <c r="S12" s="329" t="s">
        <v>1158</v>
      </c>
    </row>
    <row r="13" spans="1:19">
      <c r="C13" s="710" t="s">
        <v>750</v>
      </c>
      <c r="D13" s="710"/>
      <c r="E13" s="30" t="str">
        <f>"±"&amp;E10</f>
        <v>±0.0048828125</v>
      </c>
      <c r="F13" t="s">
        <v>65</v>
      </c>
      <c r="L13" s="328">
        <v>8</v>
      </c>
      <c r="M13" s="329" t="s">
        <v>1149</v>
      </c>
      <c r="N13" s="328">
        <v>10</v>
      </c>
      <c r="O13" s="329" t="s">
        <v>1151</v>
      </c>
      <c r="P13" s="328">
        <f>16^(N13/4)</f>
        <v>1024</v>
      </c>
      <c r="Q13" s="329" t="s">
        <v>1153</v>
      </c>
      <c r="R13" s="328">
        <v>64</v>
      </c>
      <c r="S13" s="329" t="s">
        <v>1158</v>
      </c>
    </row>
    <row r="14" spans="1:19">
      <c r="E14" s="30" t="str">
        <f>"±"&amp;E11</f>
        <v>±4.8828125</v>
      </c>
      <c r="F14" t="s">
        <v>655</v>
      </c>
      <c r="L14" s="328">
        <v>16</v>
      </c>
      <c r="M14" s="329" t="s">
        <v>1150</v>
      </c>
      <c r="N14" s="328">
        <v>10</v>
      </c>
      <c r="O14" s="329" t="s">
        <v>1151</v>
      </c>
      <c r="P14" s="328">
        <f>16^(N14/4)</f>
        <v>1024</v>
      </c>
      <c r="Q14" s="329" t="s">
        <v>1153</v>
      </c>
      <c r="R14" s="328">
        <v>32</v>
      </c>
      <c r="S14" s="329" t="s">
        <v>1158</v>
      </c>
    </row>
    <row r="15" spans="1:19">
      <c r="E15" s="30" t="str">
        <f>"±"&amp;E12</f>
        <v>±4882.8125</v>
      </c>
      <c r="F15" t="s">
        <v>749</v>
      </c>
    </row>
    <row r="17" spans="10:19">
      <c r="J17" s="329" t="s">
        <v>1159</v>
      </c>
      <c r="L17" s="328">
        <v>16</v>
      </c>
      <c r="M17" s="329" t="s">
        <v>1150</v>
      </c>
      <c r="N17" s="328">
        <v>10</v>
      </c>
      <c r="O17" s="329" t="s">
        <v>1151</v>
      </c>
      <c r="P17" s="328"/>
      <c r="Q17" s="329" t="s">
        <v>1153</v>
      </c>
      <c r="R17" s="328">
        <v>256</v>
      </c>
      <c r="S17" s="329" t="s">
        <v>1158</v>
      </c>
    </row>
  </sheetData>
  <mergeCells count="15">
    <mergeCell ref="R3:S3"/>
    <mergeCell ref="R10:S10"/>
    <mergeCell ref="L3:M3"/>
    <mergeCell ref="P3:Q3"/>
    <mergeCell ref="N3:O3"/>
    <mergeCell ref="L10:M10"/>
    <mergeCell ref="N10:O10"/>
    <mergeCell ref="P10:Q10"/>
    <mergeCell ref="C10:D10"/>
    <mergeCell ref="C13:D13"/>
    <mergeCell ref="A1:D1"/>
    <mergeCell ref="C5:D5"/>
    <mergeCell ref="C6:D6"/>
    <mergeCell ref="C7:D7"/>
    <mergeCell ref="C8:D8"/>
  </mergeCells>
  <phoneticPr fontId="42"/>
  <hyperlinks>
    <hyperlink ref="A1:D1" location="目次!A1" display="　目次　" xr:uid="{00000000-0004-0000-3000-000000000000}"/>
    <hyperlink ref="C1" location="目次!A1" display="目次!A1" xr:uid="{00000000-0004-0000-3000-000001000000}"/>
  </hyperlinks>
  <pageMargins left="0.69930555555555596" right="0.69930555555555596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19"/>
  <sheetViews>
    <sheetView workbookViewId="0">
      <selection activeCell="B19" sqref="B19"/>
    </sheetView>
  </sheetViews>
  <sheetFormatPr defaultColWidth="7" defaultRowHeight="13.5"/>
  <cols>
    <col min="1" max="1" width="9" customWidth="1"/>
  </cols>
  <sheetData>
    <row r="1" spans="1:5">
      <c r="A1" s="686" t="s">
        <v>61</v>
      </c>
      <c r="B1" s="686"/>
      <c r="C1" s="686"/>
    </row>
    <row r="3" spans="1:5">
      <c r="B3" t="s">
        <v>29</v>
      </c>
    </row>
    <row r="5" spans="1:5">
      <c r="B5" t="s">
        <v>751</v>
      </c>
    </row>
    <row r="8" spans="1:5">
      <c r="B8" s="710" t="s">
        <v>752</v>
      </c>
      <c r="C8" s="710"/>
      <c r="D8" s="21">
        <v>45</v>
      </c>
      <c r="E8" t="s">
        <v>753</v>
      </c>
    </row>
    <row r="9" spans="1:5">
      <c r="B9" s="710" t="s">
        <v>754</v>
      </c>
      <c r="C9" s="710"/>
      <c r="D9" s="21">
        <v>1</v>
      </c>
    </row>
    <row r="10" spans="1:5">
      <c r="B10" s="710" t="s">
        <v>755</v>
      </c>
      <c r="C10" s="710"/>
      <c r="D10" s="21">
        <v>1.33</v>
      </c>
    </row>
    <row r="11" spans="1:5">
      <c r="B11" s="710"/>
      <c r="C11" s="710"/>
    </row>
    <row r="12" spans="1:5">
      <c r="B12" s="830" t="s">
        <v>756</v>
      </c>
      <c r="C12" s="830"/>
      <c r="D12">
        <f>(D8*D10)/D9</f>
        <v>59.85</v>
      </c>
    </row>
    <row r="13" spans="1:5">
      <c r="B13" s="710"/>
      <c r="C13" s="710"/>
    </row>
    <row r="18" spans="2:2">
      <c r="B18" t="s">
        <v>757</v>
      </c>
    </row>
    <row r="19" spans="2:2">
      <c r="B19" s="24" t="s">
        <v>758</v>
      </c>
    </row>
  </sheetData>
  <mergeCells count="7">
    <mergeCell ref="B12:C12"/>
    <mergeCell ref="B13:C13"/>
    <mergeCell ref="A1:C1"/>
    <mergeCell ref="B8:C8"/>
    <mergeCell ref="B9:C9"/>
    <mergeCell ref="B10:C10"/>
    <mergeCell ref="B11:C11"/>
  </mergeCells>
  <phoneticPr fontId="42"/>
  <hyperlinks>
    <hyperlink ref="A1:C1" location="目次!A1" display="　目次　" xr:uid="{00000000-0004-0000-3100-000000000000}"/>
    <hyperlink ref="B19" r:id="rId1" xr:uid="{00000000-0004-0000-3100-000001000000}"/>
  </hyperlinks>
  <pageMargins left="0.69930555555555596" right="0.69930555555555596" top="0.75" bottom="0.75" header="0.3" footer="0.3"/>
  <pageSetup paperSize="9" orientation="portrait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14"/>
  <sheetViews>
    <sheetView workbookViewId="0">
      <selection sqref="A1:C1"/>
    </sheetView>
  </sheetViews>
  <sheetFormatPr defaultColWidth="3.375" defaultRowHeight="13.5"/>
  <cols>
    <col min="1" max="1" width="9" customWidth="1"/>
    <col min="3" max="3" width="4" customWidth="1"/>
  </cols>
  <sheetData>
    <row r="1" spans="1:12">
      <c r="A1" s="686" t="s">
        <v>61</v>
      </c>
      <c r="B1" s="686"/>
      <c r="C1" s="686"/>
    </row>
    <row r="3" spans="1:12" ht="24">
      <c r="B3" s="2" t="s">
        <v>759</v>
      </c>
    </row>
    <row r="5" spans="1:12">
      <c r="C5" t="s">
        <v>760</v>
      </c>
      <c r="K5" s="27" t="s">
        <v>761</v>
      </c>
    </row>
    <row r="6" spans="1:12">
      <c r="K6" t="s">
        <v>762</v>
      </c>
    </row>
    <row r="7" spans="1:12">
      <c r="K7" t="s">
        <v>763</v>
      </c>
    </row>
    <row r="9" spans="1:12">
      <c r="C9" t="s">
        <v>764</v>
      </c>
      <c r="D9" s="709">
        <v>2.5</v>
      </c>
      <c r="E9" s="709"/>
      <c r="F9" s="709"/>
    </row>
    <row r="10" spans="1:12">
      <c r="C10" t="s">
        <v>185</v>
      </c>
      <c r="D10" s="709">
        <v>150</v>
      </c>
      <c r="E10" s="709"/>
      <c r="F10" s="709"/>
      <c r="G10" t="s">
        <v>359</v>
      </c>
    </row>
    <row r="11" spans="1:12">
      <c r="C11" t="s">
        <v>169</v>
      </c>
      <c r="D11" s="709">
        <v>0</v>
      </c>
      <c r="E11" s="709"/>
      <c r="F11" s="709"/>
      <c r="G11" t="s">
        <v>359</v>
      </c>
      <c r="I11" t="s">
        <v>765</v>
      </c>
    </row>
    <row r="13" spans="1:12">
      <c r="C13" s="744" t="s">
        <v>759</v>
      </c>
      <c r="D13" s="744"/>
      <c r="E13" s="744"/>
      <c r="F13" s="744"/>
      <c r="G13" s="744"/>
      <c r="H13" s="744"/>
      <c r="I13" s="708" t="e">
        <f>1/((D9-1)*(1/D10+1/D11))</f>
        <v>#DIV/0!</v>
      </c>
      <c r="J13" s="708"/>
      <c r="K13" s="708"/>
      <c r="L13" t="s">
        <v>359</v>
      </c>
    </row>
    <row r="14" spans="1:12">
      <c r="C14" s="744" t="s">
        <v>766</v>
      </c>
      <c r="D14" s="744"/>
      <c r="E14" s="744"/>
      <c r="F14" s="744"/>
      <c r="G14" s="744"/>
      <c r="H14" s="744"/>
      <c r="I14" s="708">
        <f>1/((D9-1)*(1/D10+0))</f>
        <v>100</v>
      </c>
      <c r="J14" s="708"/>
      <c r="K14" s="708"/>
      <c r="L14" t="s">
        <v>359</v>
      </c>
    </row>
  </sheetData>
  <mergeCells count="8">
    <mergeCell ref="I13:K13"/>
    <mergeCell ref="C14:H14"/>
    <mergeCell ref="I14:K14"/>
    <mergeCell ref="A1:C1"/>
    <mergeCell ref="D9:F9"/>
    <mergeCell ref="D10:F10"/>
    <mergeCell ref="D11:F11"/>
    <mergeCell ref="C13:H13"/>
  </mergeCells>
  <phoneticPr fontId="42"/>
  <hyperlinks>
    <hyperlink ref="A1:C1" location="目次!A1" display="　目次　" xr:uid="{00000000-0004-0000-3200-000000000000}"/>
  </hyperlinks>
  <pageMargins left="0.69930555555555596" right="0.69930555555555596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C1:P17"/>
  <sheetViews>
    <sheetView workbookViewId="0">
      <selection activeCell="D1" sqref="D1:F1"/>
    </sheetView>
  </sheetViews>
  <sheetFormatPr defaultColWidth="2.625" defaultRowHeight="13.5"/>
  <cols>
    <col min="1" max="1" width="9" customWidth="1"/>
  </cols>
  <sheetData>
    <row r="1" spans="3:16">
      <c r="D1" s="686" t="s">
        <v>61</v>
      </c>
      <c r="E1" s="686"/>
      <c r="F1" s="686"/>
    </row>
    <row r="3" spans="3:16" ht="21">
      <c r="C3" s="22" t="s">
        <v>767</v>
      </c>
    </row>
    <row r="5" spans="3:16">
      <c r="C5" t="s">
        <v>768</v>
      </c>
    </row>
    <row r="8" spans="3:16">
      <c r="C8" s="710" t="s">
        <v>769</v>
      </c>
      <c r="D8" s="710"/>
      <c r="E8" s="710"/>
      <c r="F8" s="710"/>
      <c r="G8" s="710"/>
      <c r="H8" s="710"/>
      <c r="I8" s="710"/>
      <c r="J8" s="710"/>
      <c r="K8" s="834">
        <v>0.78852599999999995</v>
      </c>
      <c r="L8" s="834"/>
      <c r="M8" s="834"/>
      <c r="N8" s="834"/>
      <c r="O8" s="834"/>
      <c r="P8" t="s">
        <v>770</v>
      </c>
    </row>
    <row r="9" spans="3:16">
      <c r="C9" s="710" t="s">
        <v>771</v>
      </c>
      <c r="D9" s="710"/>
      <c r="E9" s="710"/>
      <c r="F9" s="710"/>
      <c r="G9" s="710"/>
      <c r="H9" s="710"/>
      <c r="I9" s="710"/>
      <c r="J9" s="710"/>
      <c r="K9" s="835" t="s">
        <v>772</v>
      </c>
      <c r="L9" s="835"/>
      <c r="M9" s="835"/>
      <c r="N9" s="835"/>
      <c r="O9" s="835"/>
    </row>
    <row r="10" spans="3:16">
      <c r="C10" s="710"/>
      <c r="D10" s="710"/>
      <c r="E10" s="710"/>
      <c r="F10" s="710"/>
      <c r="G10" s="710"/>
      <c r="H10" s="710"/>
      <c r="I10" s="710"/>
      <c r="J10" s="710"/>
      <c r="K10" s="834">
        <f>4*PI()*10^-7</f>
        <v>1.2566370614359173E-6</v>
      </c>
      <c r="L10" s="834"/>
      <c r="M10" s="834"/>
      <c r="N10" s="834"/>
      <c r="O10" s="834"/>
    </row>
    <row r="11" spans="3:16">
      <c r="C11" s="710" t="s">
        <v>773</v>
      </c>
      <c r="D11" s="710"/>
      <c r="E11" s="710"/>
      <c r="F11" s="710"/>
      <c r="G11" s="710"/>
      <c r="H11" s="710"/>
      <c r="I11" s="710"/>
      <c r="J11" s="710"/>
      <c r="K11" s="709">
        <v>5.8500000000000003E-2</v>
      </c>
      <c r="L11" s="709"/>
      <c r="M11" s="709"/>
      <c r="N11" s="709"/>
      <c r="O11" s="709"/>
      <c r="P11" t="s">
        <v>357</v>
      </c>
    </row>
    <row r="12" spans="3:16">
      <c r="C12" s="710" t="s">
        <v>774</v>
      </c>
      <c r="D12" s="710"/>
      <c r="E12" s="710"/>
      <c r="F12" s="710"/>
      <c r="G12" s="710"/>
      <c r="H12" s="710"/>
      <c r="I12" s="710"/>
      <c r="J12" s="710"/>
      <c r="K12" s="709">
        <v>0.1</v>
      </c>
      <c r="L12" s="709"/>
      <c r="M12" s="709"/>
      <c r="N12" s="709"/>
      <c r="O12" s="709"/>
      <c r="P12" t="s">
        <v>357</v>
      </c>
    </row>
    <row r="13" spans="3:16">
      <c r="C13" s="710" t="s">
        <v>775</v>
      </c>
      <c r="D13" s="710"/>
      <c r="E13" s="710"/>
      <c r="F13" s="710"/>
      <c r="G13" s="710"/>
      <c r="H13" s="710"/>
      <c r="I13" s="710"/>
      <c r="J13" s="710"/>
      <c r="K13" s="836">
        <v>75</v>
      </c>
      <c r="L13" s="836"/>
      <c r="M13" s="836"/>
      <c r="N13" s="836"/>
      <c r="O13" s="836"/>
      <c r="P13" t="s">
        <v>512</v>
      </c>
    </row>
    <row r="14" spans="3:16">
      <c r="C14" s="710"/>
      <c r="D14" s="710"/>
      <c r="E14" s="710"/>
      <c r="F14" s="710"/>
      <c r="G14" s="710"/>
      <c r="H14" s="710"/>
      <c r="I14" s="710"/>
      <c r="J14" s="710"/>
      <c r="K14" s="710"/>
      <c r="L14" s="710"/>
      <c r="M14" s="710"/>
      <c r="N14" s="710"/>
      <c r="O14" s="710"/>
    </row>
    <row r="15" spans="3:16">
      <c r="C15" s="702" t="s">
        <v>250</v>
      </c>
      <c r="D15" s="702"/>
      <c r="E15" s="702"/>
      <c r="F15" s="702"/>
      <c r="G15" s="702"/>
      <c r="H15" s="702"/>
      <c r="I15" s="702"/>
      <c r="J15" s="702"/>
      <c r="K15" s="708">
        <f>K8*K10*PI()*K11^2*K13^2/K12</f>
        <v>5.9925271938275073E-4</v>
      </c>
      <c r="L15" s="708"/>
      <c r="M15" s="708"/>
      <c r="N15" s="708"/>
      <c r="O15" s="708"/>
      <c r="P15" t="s">
        <v>776</v>
      </c>
    </row>
    <row r="16" spans="3:16">
      <c r="C16" s="702"/>
      <c r="D16" s="702"/>
      <c r="E16" s="702"/>
      <c r="F16" s="702"/>
      <c r="G16" s="702"/>
      <c r="H16" s="702"/>
      <c r="I16" s="702"/>
      <c r="J16" s="702"/>
      <c r="K16" s="708">
        <f>K15*1000</f>
        <v>0.59925271938275071</v>
      </c>
      <c r="L16" s="708"/>
      <c r="M16" s="708"/>
      <c r="N16" s="708"/>
      <c r="O16" s="708"/>
      <c r="P16" t="s">
        <v>503</v>
      </c>
    </row>
    <row r="17" spans="3:16">
      <c r="C17" s="702"/>
      <c r="D17" s="702"/>
      <c r="E17" s="702"/>
      <c r="F17" s="702"/>
      <c r="G17" s="702"/>
      <c r="H17" s="702"/>
      <c r="I17" s="702"/>
      <c r="J17" s="702"/>
      <c r="K17" s="708">
        <f>K16*1000</f>
        <v>599.25271938275068</v>
      </c>
      <c r="L17" s="708"/>
      <c r="M17" s="708"/>
      <c r="N17" s="708"/>
      <c r="O17" s="708"/>
      <c r="P17" t="s">
        <v>119</v>
      </c>
    </row>
  </sheetData>
  <mergeCells count="19">
    <mergeCell ref="K16:O16"/>
    <mergeCell ref="K17:O17"/>
    <mergeCell ref="C15:J17"/>
    <mergeCell ref="C13:J13"/>
    <mergeCell ref="K13:O13"/>
    <mergeCell ref="C14:J14"/>
    <mergeCell ref="K14:O14"/>
    <mergeCell ref="K15:O15"/>
    <mergeCell ref="C10:J10"/>
    <mergeCell ref="K10:O10"/>
    <mergeCell ref="C11:J11"/>
    <mergeCell ref="K11:O11"/>
    <mergeCell ref="C12:J12"/>
    <mergeCell ref="K12:O12"/>
    <mergeCell ref="D1:F1"/>
    <mergeCell ref="C8:J8"/>
    <mergeCell ref="K8:O8"/>
    <mergeCell ref="C9:J9"/>
    <mergeCell ref="K9:O9"/>
  </mergeCells>
  <phoneticPr fontId="42"/>
  <hyperlinks>
    <hyperlink ref="D1:F1" location="目次!A1" display="　目次　" xr:uid="{00000000-0004-0000-3300-000000000000}"/>
  </hyperlinks>
  <pageMargins left="0.69930555555555596" right="0.69930555555555596" top="0.75" bottom="0.75" header="0.3" footer="0.3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34"/>
  <sheetViews>
    <sheetView zoomScale="85" zoomScaleNormal="85" workbookViewId="0">
      <selection sqref="A1:C1"/>
    </sheetView>
  </sheetViews>
  <sheetFormatPr defaultColWidth="3.375" defaultRowHeight="13.5"/>
  <cols>
    <col min="1" max="1" width="9" customWidth="1"/>
  </cols>
  <sheetData>
    <row r="1" spans="1:41">
      <c r="A1" s="686" t="s">
        <v>61</v>
      </c>
      <c r="B1" s="686"/>
      <c r="C1" s="686"/>
    </row>
    <row r="3" spans="1:41" ht="24">
      <c r="B3" s="2" t="s">
        <v>777</v>
      </c>
    </row>
    <row r="4" spans="1:41">
      <c r="Q4" s="3" t="s">
        <v>778</v>
      </c>
      <c r="AF4" t="s">
        <v>779</v>
      </c>
    </row>
    <row r="5" spans="1:41">
      <c r="C5" t="s">
        <v>780</v>
      </c>
    </row>
    <row r="6" spans="1:41">
      <c r="R6" t="s">
        <v>781</v>
      </c>
    </row>
    <row r="8" spans="1:41">
      <c r="C8" s="710" t="s">
        <v>782</v>
      </c>
      <c r="D8" s="710"/>
      <c r="E8" s="710"/>
      <c r="F8" s="710"/>
      <c r="G8" s="710"/>
      <c r="H8" s="710"/>
      <c r="I8" s="709">
        <v>1</v>
      </c>
      <c r="J8" s="709"/>
      <c r="K8" s="709"/>
      <c r="L8" s="709"/>
      <c r="M8" s="709"/>
      <c r="N8" t="s">
        <v>95</v>
      </c>
    </row>
    <row r="9" spans="1:41">
      <c r="C9" s="710" t="s">
        <v>783</v>
      </c>
      <c r="D9" s="710"/>
      <c r="E9" s="710"/>
      <c r="F9" s="710"/>
      <c r="G9" s="710"/>
      <c r="H9" s="710"/>
      <c r="I9" s="709">
        <v>2</v>
      </c>
      <c r="J9" s="709"/>
      <c r="K9" s="709"/>
      <c r="L9" s="709"/>
      <c r="M9" s="709"/>
      <c r="N9" t="s">
        <v>95</v>
      </c>
    </row>
    <row r="10" spans="1:41">
      <c r="C10" s="710" t="s">
        <v>784</v>
      </c>
      <c r="D10" s="710"/>
      <c r="E10" s="710"/>
      <c r="F10" s="710"/>
      <c r="G10" s="710"/>
      <c r="H10" s="710"/>
      <c r="I10" s="709">
        <v>1</v>
      </c>
      <c r="J10" s="709"/>
      <c r="K10" s="709"/>
      <c r="L10" s="709"/>
      <c r="M10" s="709"/>
      <c r="N10" t="s">
        <v>65</v>
      </c>
      <c r="Q10" s="710" t="s">
        <v>785</v>
      </c>
      <c r="R10" s="710"/>
      <c r="S10" s="710"/>
      <c r="T10" s="710"/>
      <c r="U10" s="710"/>
      <c r="V10" s="710"/>
      <c r="W10" s="710">
        <v>5000</v>
      </c>
      <c r="X10" s="710"/>
      <c r="Y10" s="710"/>
      <c r="Z10" s="710"/>
      <c r="AA10" s="710"/>
      <c r="AF10" s="741" t="s">
        <v>786</v>
      </c>
      <c r="AG10" s="741"/>
      <c r="AH10" s="741"/>
      <c r="AI10" s="741"/>
      <c r="AJ10" s="741"/>
      <c r="AK10" s="741"/>
      <c r="AL10" s="710">
        <v>10</v>
      </c>
      <c r="AM10" s="710"/>
      <c r="AN10" s="710"/>
      <c r="AO10" t="s">
        <v>65</v>
      </c>
    </row>
    <row r="11" spans="1:41">
      <c r="C11" s="710" t="s">
        <v>784</v>
      </c>
      <c r="D11" s="710"/>
      <c r="E11" s="710"/>
      <c r="F11" s="710"/>
      <c r="G11" s="710"/>
      <c r="H11" s="710"/>
      <c r="I11" s="709">
        <v>2</v>
      </c>
      <c r="J11" s="709"/>
      <c r="K11" s="709"/>
      <c r="L11" s="709"/>
      <c r="M11" s="709"/>
      <c r="N11" t="s">
        <v>65</v>
      </c>
      <c r="Q11" s="710" t="s">
        <v>787</v>
      </c>
      <c r="R11" s="710"/>
      <c r="S11" s="710"/>
      <c r="T11" s="710"/>
      <c r="U11" s="710"/>
      <c r="V11" s="710"/>
      <c r="W11" s="710">
        <v>1</v>
      </c>
      <c r="X11" s="710"/>
      <c r="Y11" s="710"/>
      <c r="Z11" s="710"/>
      <c r="AA11" s="710"/>
      <c r="AF11" s="741" t="s">
        <v>788</v>
      </c>
      <c r="AG11" s="741"/>
      <c r="AH11" s="741"/>
      <c r="AI11" s="741"/>
      <c r="AJ11" s="741"/>
      <c r="AK11" s="741"/>
      <c r="AL11" s="710">
        <v>0.5</v>
      </c>
      <c r="AM11" s="710"/>
      <c r="AN11" s="710"/>
      <c r="AO11" t="s">
        <v>219</v>
      </c>
    </row>
    <row r="12" spans="1:41">
      <c r="C12" s="710" t="s">
        <v>789</v>
      </c>
      <c r="D12" s="710"/>
      <c r="E12" s="710"/>
      <c r="F12" s="710"/>
      <c r="G12" s="710"/>
      <c r="H12" s="710"/>
      <c r="I12" s="836">
        <v>10</v>
      </c>
      <c r="J12" s="836"/>
      <c r="K12" s="836"/>
      <c r="L12" s="836"/>
      <c r="M12" s="836"/>
      <c r="N12" t="s">
        <v>512</v>
      </c>
      <c r="Q12" s="710" t="s">
        <v>790</v>
      </c>
      <c r="R12" s="710"/>
      <c r="S12" s="710"/>
      <c r="T12" s="710"/>
      <c r="U12" s="710"/>
      <c r="V12" s="710"/>
      <c r="W12" s="835" t="s">
        <v>772</v>
      </c>
      <c r="X12" s="835"/>
      <c r="Y12" s="835"/>
      <c r="Z12" s="835"/>
      <c r="AA12" s="835"/>
      <c r="AF12" s="838" t="s">
        <v>791</v>
      </c>
      <c r="AG12" s="838"/>
      <c r="AH12" s="838"/>
      <c r="AI12" s="838"/>
      <c r="AJ12" s="838"/>
      <c r="AK12" s="838"/>
      <c r="AL12" s="710">
        <v>100</v>
      </c>
      <c r="AM12" s="710"/>
      <c r="AN12" s="710"/>
      <c r="AO12" t="s">
        <v>122</v>
      </c>
    </row>
    <row r="13" spans="1:41">
      <c r="C13" s="710" t="s">
        <v>792</v>
      </c>
      <c r="D13" s="710"/>
      <c r="E13" s="710"/>
      <c r="F13" s="710"/>
      <c r="G13" s="710"/>
      <c r="H13" s="710"/>
      <c r="I13" s="836">
        <v>20</v>
      </c>
      <c r="J13" s="836"/>
      <c r="K13" s="836"/>
      <c r="L13" s="836"/>
      <c r="M13" s="836"/>
      <c r="N13" t="s">
        <v>512</v>
      </c>
      <c r="Q13" s="837" t="s">
        <v>793</v>
      </c>
      <c r="R13" s="837"/>
      <c r="S13" s="837"/>
      <c r="T13" s="837"/>
      <c r="U13" s="837"/>
      <c r="V13" s="837"/>
      <c r="W13" s="834">
        <f>4*PI()*10^-7</f>
        <v>1.2566370614359173E-6</v>
      </c>
      <c r="X13" s="834"/>
      <c r="Y13" s="834"/>
      <c r="Z13" s="834"/>
      <c r="AA13" s="834"/>
      <c r="AF13" s="829" t="s">
        <v>794</v>
      </c>
      <c r="AG13" s="829"/>
      <c r="AH13" s="829"/>
      <c r="AI13" s="829"/>
      <c r="AJ13" s="829"/>
      <c r="AK13" s="829"/>
      <c r="AL13" s="830">
        <v>3</v>
      </c>
      <c r="AM13" s="830"/>
      <c r="AN13" s="830"/>
      <c r="AO13" t="s">
        <v>358</v>
      </c>
    </row>
    <row r="14" spans="1:41">
      <c r="C14" s="830" t="s">
        <v>795</v>
      </c>
      <c r="D14" s="830"/>
      <c r="E14" s="830"/>
      <c r="F14" s="830"/>
      <c r="G14" s="830"/>
      <c r="H14" s="830"/>
      <c r="I14" s="836">
        <v>1</v>
      </c>
      <c r="J14" s="836"/>
      <c r="K14" s="836"/>
      <c r="L14" s="836"/>
      <c r="M14" s="836"/>
      <c r="N14" t="s">
        <v>119</v>
      </c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F14" s="829" t="s">
        <v>796</v>
      </c>
      <c r="AG14" s="829"/>
      <c r="AH14" s="829"/>
      <c r="AI14" s="829"/>
      <c r="AJ14" s="829"/>
      <c r="AK14" s="829"/>
      <c r="AL14" s="710">
        <f>AL13*AL13*PI()</f>
        <v>28.274333882308138</v>
      </c>
      <c r="AM14" s="710"/>
      <c r="AN14" s="710"/>
      <c r="AO14" t="s">
        <v>797</v>
      </c>
    </row>
    <row r="15" spans="1:41">
      <c r="C15" s="830" t="s">
        <v>798</v>
      </c>
      <c r="D15" s="830"/>
      <c r="E15" s="830"/>
      <c r="F15" s="830"/>
      <c r="G15" s="830"/>
      <c r="H15" s="830"/>
      <c r="I15" s="836">
        <v>1.4139999999999999</v>
      </c>
      <c r="J15" s="836"/>
      <c r="K15" s="836"/>
      <c r="L15" s="836"/>
      <c r="M15" s="836"/>
      <c r="N15" t="s">
        <v>119</v>
      </c>
      <c r="Q15" s="710"/>
      <c r="R15" s="710"/>
      <c r="S15" s="710"/>
      <c r="T15" s="710"/>
      <c r="U15" s="710"/>
      <c r="V15" s="710"/>
      <c r="W15" s="710"/>
      <c r="X15" s="710"/>
      <c r="Y15" s="710"/>
      <c r="Z15" s="710"/>
      <c r="AA15" s="710"/>
      <c r="AF15" s="744"/>
      <c r="AG15" s="744"/>
      <c r="AH15" s="744"/>
      <c r="AI15" s="744"/>
      <c r="AJ15" s="744"/>
      <c r="AK15" s="744"/>
      <c r="AL15" s="710"/>
      <c r="AM15" s="710"/>
      <c r="AN15" s="710"/>
    </row>
    <row r="16" spans="1:41">
      <c r="C16" s="710"/>
      <c r="D16" s="710"/>
      <c r="E16" s="710"/>
      <c r="F16" s="710"/>
      <c r="G16" s="710"/>
      <c r="H16" s="710"/>
      <c r="I16" s="710"/>
      <c r="J16" s="710"/>
      <c r="K16" s="710"/>
      <c r="L16" s="710"/>
      <c r="M16" s="710"/>
    </row>
    <row r="17" spans="3:18">
      <c r="C17" s="830" t="s">
        <v>799</v>
      </c>
      <c r="D17" s="830"/>
      <c r="E17" s="830"/>
      <c r="F17" s="830"/>
      <c r="G17" s="830"/>
      <c r="H17" s="830"/>
      <c r="I17" s="836">
        <v>5</v>
      </c>
      <c r="J17" s="836"/>
      <c r="K17" s="836"/>
      <c r="L17" s="836"/>
      <c r="M17" s="836"/>
      <c r="N17" t="s">
        <v>65</v>
      </c>
    </row>
    <row r="18" spans="3:18">
      <c r="C18" s="830" t="s">
        <v>800</v>
      </c>
      <c r="D18" s="830"/>
      <c r="E18" s="830"/>
      <c r="F18" s="830"/>
      <c r="G18" s="830"/>
      <c r="H18" s="830"/>
      <c r="I18" s="836">
        <v>10</v>
      </c>
      <c r="J18" s="836"/>
      <c r="K18" s="836"/>
      <c r="L18" s="836"/>
      <c r="M18" s="836"/>
      <c r="N18" t="s">
        <v>65</v>
      </c>
    </row>
    <row r="19" spans="3:18">
      <c r="C19" s="830" t="s">
        <v>418</v>
      </c>
      <c r="D19" s="830"/>
      <c r="E19" s="830"/>
      <c r="F19" s="830"/>
      <c r="G19" s="830"/>
      <c r="H19" s="830"/>
      <c r="I19" s="839">
        <f>I17/I18</f>
        <v>0.5</v>
      </c>
      <c r="J19" s="839"/>
      <c r="K19" s="839"/>
      <c r="L19" s="839"/>
      <c r="M19" s="839"/>
      <c r="O19" t="s">
        <v>487</v>
      </c>
      <c r="P19" s="840">
        <f t="shared" ref="P19:P25" si="0">1/I19</f>
        <v>2</v>
      </c>
      <c r="Q19" s="840"/>
      <c r="R19" t="s">
        <v>131</v>
      </c>
    </row>
    <row r="20" spans="3:18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spans="3:18" ht="22.5" customHeight="1">
      <c r="C21" s="841" t="s">
        <v>801</v>
      </c>
      <c r="D21" s="841"/>
      <c r="E21" s="841"/>
      <c r="F21" s="841"/>
      <c r="G21" s="841"/>
      <c r="H21" s="841"/>
      <c r="I21" s="710"/>
      <c r="J21" s="710"/>
      <c r="K21" s="710"/>
      <c r="L21" s="710"/>
      <c r="M21" s="710"/>
    </row>
    <row r="22" spans="3:18">
      <c r="C22" s="830" t="s">
        <v>802</v>
      </c>
      <c r="D22" s="830"/>
      <c r="E22" s="830"/>
      <c r="F22" s="830"/>
      <c r="G22" s="830"/>
      <c r="H22" s="830"/>
      <c r="I22" s="710">
        <f>I8/I9</f>
        <v>0.5</v>
      </c>
      <c r="J22" s="710"/>
      <c r="K22" s="710"/>
      <c r="L22" s="710"/>
      <c r="M22" s="710"/>
      <c r="O22" t="s">
        <v>487</v>
      </c>
      <c r="P22" s="710">
        <f t="shared" si="0"/>
        <v>2</v>
      </c>
      <c r="Q22" s="710"/>
      <c r="R22" t="s">
        <v>131</v>
      </c>
    </row>
    <row r="23" spans="3:18">
      <c r="C23" s="830" t="s">
        <v>803</v>
      </c>
      <c r="D23" s="830"/>
      <c r="E23" s="830"/>
      <c r="F23" s="830"/>
      <c r="G23" s="830"/>
      <c r="H23" s="830"/>
      <c r="I23" s="710">
        <f>I10/I11</f>
        <v>0.5</v>
      </c>
      <c r="J23" s="710"/>
      <c r="K23" s="710"/>
      <c r="L23" s="710"/>
      <c r="M23" s="710"/>
      <c r="O23" t="s">
        <v>487</v>
      </c>
      <c r="P23" s="710">
        <f t="shared" si="0"/>
        <v>2</v>
      </c>
      <c r="Q23" s="710"/>
      <c r="R23" t="s">
        <v>131</v>
      </c>
    </row>
    <row r="24" spans="3:18">
      <c r="C24" s="830" t="s">
        <v>804</v>
      </c>
      <c r="D24" s="830"/>
      <c r="E24" s="830"/>
      <c r="F24" s="830"/>
      <c r="G24" s="830"/>
      <c r="H24" s="830"/>
      <c r="I24" s="710">
        <f>I12/I13</f>
        <v>0.5</v>
      </c>
      <c r="J24" s="710"/>
      <c r="K24" s="710"/>
      <c r="L24" s="710"/>
      <c r="M24" s="710"/>
      <c r="O24" t="s">
        <v>487</v>
      </c>
      <c r="P24" s="710">
        <f t="shared" si="0"/>
        <v>2</v>
      </c>
      <c r="Q24" s="710"/>
      <c r="R24" t="s">
        <v>131</v>
      </c>
    </row>
    <row r="25" spans="3:18">
      <c r="C25" s="830" t="s">
        <v>805</v>
      </c>
      <c r="D25" s="830"/>
      <c r="E25" s="830"/>
      <c r="F25" s="830"/>
      <c r="G25" s="830"/>
      <c r="H25" s="830"/>
      <c r="I25" s="710">
        <f>(I14/I15)^2</f>
        <v>0.50015104561577595</v>
      </c>
      <c r="J25" s="710"/>
      <c r="K25" s="710"/>
      <c r="L25" s="710"/>
      <c r="M25" s="710"/>
      <c r="O25" t="s">
        <v>487</v>
      </c>
      <c r="P25" s="710">
        <f t="shared" si="0"/>
        <v>1.9993960000000002</v>
      </c>
      <c r="Q25" s="710"/>
      <c r="R25" t="s">
        <v>131</v>
      </c>
    </row>
    <row r="26" spans="3:18">
      <c r="C26" s="710"/>
      <c r="D26" s="710"/>
      <c r="E26" s="710"/>
      <c r="F26" s="710"/>
      <c r="G26" s="710"/>
      <c r="H26" s="710"/>
      <c r="I26" s="710"/>
      <c r="J26" s="710"/>
      <c r="K26" s="710"/>
      <c r="L26" s="710"/>
      <c r="M26" s="710"/>
    </row>
    <row r="27" spans="3:18">
      <c r="C27" s="830" t="s">
        <v>806</v>
      </c>
      <c r="D27" s="830"/>
      <c r="E27" s="830"/>
      <c r="F27" s="830"/>
      <c r="G27" s="830"/>
      <c r="H27" s="830"/>
      <c r="I27" s="710"/>
      <c r="J27" s="710"/>
      <c r="K27" s="710"/>
      <c r="L27" s="710"/>
      <c r="M27" s="710"/>
    </row>
    <row r="28" spans="3:18">
      <c r="C28" s="830" t="s">
        <v>807</v>
      </c>
      <c r="D28" s="830"/>
      <c r="E28" s="830"/>
      <c r="F28" s="830"/>
      <c r="G28" s="830"/>
      <c r="H28" s="830"/>
      <c r="I28" s="710">
        <f>I12/I19</f>
        <v>20</v>
      </c>
      <c r="J28" s="710"/>
      <c r="K28" s="710"/>
      <c r="L28" s="710"/>
      <c r="M28" s="710"/>
      <c r="N28" t="s">
        <v>512</v>
      </c>
    </row>
    <row r="29" spans="3:18">
      <c r="C29" s="830" t="s">
        <v>808</v>
      </c>
      <c r="D29" s="830"/>
      <c r="E29" s="830"/>
      <c r="F29" s="830"/>
      <c r="G29" s="830"/>
      <c r="H29" s="830"/>
      <c r="I29" s="710">
        <f>I14/SQRT(I19)</f>
        <v>1.4142135623730949</v>
      </c>
      <c r="J29" s="710"/>
      <c r="K29" s="710"/>
      <c r="L29" s="710"/>
      <c r="M29" s="710"/>
      <c r="N29" t="s">
        <v>119</v>
      </c>
    </row>
    <row r="30" spans="3:18">
      <c r="C30" s="830"/>
      <c r="D30" s="830"/>
      <c r="E30" s="830"/>
      <c r="F30" s="830"/>
      <c r="G30" s="830"/>
      <c r="H30" s="830"/>
      <c r="I30" s="710"/>
      <c r="J30" s="710"/>
      <c r="K30" s="710"/>
      <c r="L30" s="710"/>
      <c r="M30" s="710"/>
    </row>
    <row r="31" spans="3:18">
      <c r="C31" s="710"/>
      <c r="D31" s="710"/>
      <c r="E31" s="710"/>
      <c r="F31" s="710"/>
      <c r="G31" s="710"/>
      <c r="H31" s="710"/>
      <c r="I31" s="710"/>
      <c r="J31" s="710"/>
      <c r="K31" s="710"/>
      <c r="L31" s="710"/>
      <c r="M31" s="710"/>
    </row>
    <row r="32" spans="3:18">
      <c r="C32" s="830"/>
      <c r="D32" s="830"/>
      <c r="E32" s="830"/>
      <c r="F32" s="830"/>
      <c r="G32" s="830"/>
      <c r="H32" s="830"/>
      <c r="I32" s="710"/>
      <c r="J32" s="710"/>
      <c r="K32" s="710"/>
      <c r="L32" s="710"/>
      <c r="M32" s="710"/>
    </row>
    <row r="33" spans="3:13">
      <c r="C33" s="710"/>
      <c r="D33" s="710"/>
      <c r="E33" s="710"/>
      <c r="F33" s="710"/>
      <c r="G33" s="710"/>
      <c r="H33" s="710"/>
      <c r="I33" s="710"/>
      <c r="J33" s="710"/>
      <c r="K33" s="710"/>
      <c r="L33" s="710"/>
      <c r="M33" s="710"/>
    </row>
    <row r="34" spans="3:13"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</row>
  </sheetData>
  <mergeCells count="82">
    <mergeCell ref="C32:H32"/>
    <mergeCell ref="I32:M32"/>
    <mergeCell ref="C33:H33"/>
    <mergeCell ref="I33:M33"/>
    <mergeCell ref="C34:H34"/>
    <mergeCell ref="I34:M34"/>
    <mergeCell ref="C29:H29"/>
    <mergeCell ref="I29:M29"/>
    <mergeCell ref="C30:H30"/>
    <mergeCell ref="I30:M30"/>
    <mergeCell ref="C31:H31"/>
    <mergeCell ref="I31:M31"/>
    <mergeCell ref="C26:H26"/>
    <mergeCell ref="I26:M26"/>
    <mergeCell ref="C27:H27"/>
    <mergeCell ref="I27:M27"/>
    <mergeCell ref="C28:H28"/>
    <mergeCell ref="I28:M28"/>
    <mergeCell ref="C24:H24"/>
    <mergeCell ref="I24:M24"/>
    <mergeCell ref="P24:Q24"/>
    <mergeCell ref="C25:H25"/>
    <mergeCell ref="I25:M25"/>
    <mergeCell ref="P25:Q25"/>
    <mergeCell ref="C22:H22"/>
    <mergeCell ref="I22:M22"/>
    <mergeCell ref="P22:Q22"/>
    <mergeCell ref="C23:H23"/>
    <mergeCell ref="I23:M23"/>
    <mergeCell ref="P23:Q23"/>
    <mergeCell ref="C19:H19"/>
    <mergeCell ref="I19:M19"/>
    <mergeCell ref="P19:Q19"/>
    <mergeCell ref="C21:H21"/>
    <mergeCell ref="I21:M21"/>
    <mergeCell ref="C16:H16"/>
    <mergeCell ref="I16:M16"/>
    <mergeCell ref="C17:H17"/>
    <mergeCell ref="I17:M17"/>
    <mergeCell ref="C18:H18"/>
    <mergeCell ref="I18:M18"/>
    <mergeCell ref="AL14:AN14"/>
    <mergeCell ref="C15:H15"/>
    <mergeCell ref="I15:M15"/>
    <mergeCell ref="Q15:V15"/>
    <mergeCell ref="W15:AA15"/>
    <mergeCell ref="AF15:AK15"/>
    <mergeCell ref="AL15:AN15"/>
    <mergeCell ref="C14:H14"/>
    <mergeCell ref="I14:M14"/>
    <mergeCell ref="Q14:V14"/>
    <mergeCell ref="W14:AA14"/>
    <mergeCell ref="AF14:AK14"/>
    <mergeCell ref="AL12:AN12"/>
    <mergeCell ref="C13:H13"/>
    <mergeCell ref="I13:M13"/>
    <mergeCell ref="Q13:V13"/>
    <mergeCell ref="W13:AA13"/>
    <mergeCell ref="AF13:AK13"/>
    <mergeCell ref="AL13:AN13"/>
    <mergeCell ref="C12:H12"/>
    <mergeCell ref="I12:M12"/>
    <mergeCell ref="Q12:V12"/>
    <mergeCell ref="W12:AA12"/>
    <mergeCell ref="AF12:AK12"/>
    <mergeCell ref="AL10:AN10"/>
    <mergeCell ref="C11:H11"/>
    <mergeCell ref="I11:M11"/>
    <mergeCell ref="Q11:V11"/>
    <mergeCell ref="W11:AA11"/>
    <mergeCell ref="AF11:AK11"/>
    <mergeCell ref="AL11:AN11"/>
    <mergeCell ref="C10:H10"/>
    <mergeCell ref="I10:M10"/>
    <mergeCell ref="Q10:V10"/>
    <mergeCell ref="W10:AA10"/>
    <mergeCell ref="AF10:AK10"/>
    <mergeCell ref="A1:C1"/>
    <mergeCell ref="C8:H8"/>
    <mergeCell ref="I8:M8"/>
    <mergeCell ref="C9:H9"/>
    <mergeCell ref="I9:M9"/>
  </mergeCells>
  <phoneticPr fontId="42"/>
  <hyperlinks>
    <hyperlink ref="A1:C1" location="目次!A1" display="　目次　" xr:uid="{00000000-0004-0000-34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31"/>
  <sheetViews>
    <sheetView workbookViewId="0">
      <selection sqref="A1:C1"/>
    </sheetView>
  </sheetViews>
  <sheetFormatPr defaultColWidth="3.75" defaultRowHeight="13.5"/>
  <cols>
    <col min="1" max="1" width="9" customWidth="1"/>
  </cols>
  <sheetData>
    <row r="1" spans="1:4">
      <c r="A1" s="686" t="s">
        <v>61</v>
      </c>
      <c r="B1" s="686"/>
      <c r="C1" s="686"/>
    </row>
    <row r="3" spans="1:4">
      <c r="B3" t="s">
        <v>809</v>
      </c>
    </row>
    <row r="4" spans="1:4">
      <c r="C4" t="s">
        <v>810</v>
      </c>
    </row>
    <row r="5" spans="1:4">
      <c r="D5" t="s">
        <v>811</v>
      </c>
    </row>
    <row r="19" spans="2:15">
      <c r="C19" t="s">
        <v>812</v>
      </c>
    </row>
    <row r="22" spans="2:15">
      <c r="B22" s="710" t="s">
        <v>382</v>
      </c>
      <c r="C22" s="710"/>
      <c r="D22" s="709">
        <v>24</v>
      </c>
      <c r="E22" s="709"/>
      <c r="F22" s="709"/>
      <c r="G22" t="s">
        <v>65</v>
      </c>
      <c r="J22" s="710" t="s">
        <v>813</v>
      </c>
      <c r="K22" s="710"/>
      <c r="L22" s="709">
        <v>10</v>
      </c>
      <c r="M22" s="709"/>
      <c r="N22" s="709"/>
      <c r="O22" t="s">
        <v>512</v>
      </c>
    </row>
    <row r="23" spans="2:15">
      <c r="B23" s="710" t="s">
        <v>590</v>
      </c>
      <c r="C23" s="710"/>
      <c r="D23" s="709">
        <v>1000</v>
      </c>
      <c r="E23" s="709"/>
      <c r="F23" s="709"/>
      <c r="G23" t="s">
        <v>65</v>
      </c>
      <c r="J23" s="710" t="s">
        <v>814</v>
      </c>
      <c r="K23" s="710"/>
      <c r="L23" s="709">
        <v>2.5</v>
      </c>
      <c r="M23" s="709"/>
      <c r="N23" s="709"/>
      <c r="O23" t="s">
        <v>119</v>
      </c>
    </row>
    <row r="24" spans="2:15">
      <c r="B24" s="710" t="s">
        <v>815</v>
      </c>
      <c r="C24" s="710"/>
      <c r="D24" s="709">
        <v>1</v>
      </c>
      <c r="E24" s="709"/>
      <c r="F24" s="709"/>
      <c r="G24" t="s">
        <v>65</v>
      </c>
    </row>
    <row r="25" spans="2:15">
      <c r="B25" s="710" t="s">
        <v>816</v>
      </c>
      <c r="C25" s="710"/>
      <c r="D25" s="709">
        <v>0.4</v>
      </c>
      <c r="E25" s="709"/>
      <c r="F25" s="709"/>
      <c r="J25" s="710" t="s">
        <v>817</v>
      </c>
      <c r="K25" s="710"/>
      <c r="L25" s="708">
        <f>D29*L22</f>
        <v>416.66666666666663</v>
      </c>
      <c r="M25" s="708"/>
      <c r="N25" s="708"/>
      <c r="O25" t="s">
        <v>512</v>
      </c>
    </row>
    <row r="26" spans="2:15">
      <c r="J26" s="830" t="s">
        <v>818</v>
      </c>
      <c r="K26" s="830"/>
      <c r="L26" s="710">
        <f>L23/SQRT(1/D29)</f>
        <v>16.137430609197569</v>
      </c>
      <c r="M26" s="710"/>
      <c r="N26" s="710"/>
      <c r="O26" t="s">
        <v>119</v>
      </c>
    </row>
    <row r="27" spans="2:15">
      <c r="J27" s="710"/>
      <c r="K27" s="710"/>
      <c r="L27" s="710"/>
      <c r="M27" s="710"/>
      <c r="N27" s="710"/>
    </row>
    <row r="29" spans="2:15">
      <c r="B29" s="830" t="s">
        <v>418</v>
      </c>
      <c r="C29" s="830"/>
      <c r="D29" s="708">
        <f>D23/D22</f>
        <v>41.666666666666664</v>
      </c>
      <c r="E29" s="708"/>
      <c r="F29" s="708"/>
      <c r="G29" t="s">
        <v>131</v>
      </c>
    </row>
    <row r="30" spans="2:15">
      <c r="B30" s="710" t="s">
        <v>819</v>
      </c>
      <c r="C30" s="710"/>
      <c r="D30" s="708">
        <f>D25*(D23+D24)</f>
        <v>400.40000000000003</v>
      </c>
      <c r="E30" s="708"/>
      <c r="F30" s="708"/>
    </row>
    <row r="31" spans="2:15">
      <c r="B31" s="710"/>
      <c r="C31" s="710"/>
      <c r="D31" s="710"/>
      <c r="E31" s="710"/>
      <c r="F31" s="710"/>
    </row>
  </sheetData>
  <mergeCells count="25">
    <mergeCell ref="B31:C31"/>
    <mergeCell ref="D31:F31"/>
    <mergeCell ref="J27:K27"/>
    <mergeCell ref="L27:N27"/>
    <mergeCell ref="B29:C29"/>
    <mergeCell ref="D29:F29"/>
    <mergeCell ref="B30:C30"/>
    <mergeCell ref="D30:F30"/>
    <mergeCell ref="B25:C25"/>
    <mergeCell ref="D25:F25"/>
    <mergeCell ref="J25:K25"/>
    <mergeCell ref="L25:N25"/>
    <mergeCell ref="J26:K26"/>
    <mergeCell ref="L26:N26"/>
    <mergeCell ref="B23:C23"/>
    <mergeCell ref="D23:F23"/>
    <mergeCell ref="J23:K23"/>
    <mergeCell ref="L23:N23"/>
    <mergeCell ref="B24:C24"/>
    <mergeCell ref="D24:F24"/>
    <mergeCell ref="A1:C1"/>
    <mergeCell ref="B22:C22"/>
    <mergeCell ref="D22:F22"/>
    <mergeCell ref="J22:K22"/>
    <mergeCell ref="L22:N22"/>
  </mergeCells>
  <phoneticPr fontId="42"/>
  <hyperlinks>
    <hyperlink ref="A1:C1" location="目次!A1" display="　目次　" xr:uid="{00000000-0004-0000-35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43"/>
  <sheetViews>
    <sheetView zoomScale="85" zoomScaleNormal="85" workbookViewId="0">
      <selection sqref="A1:C1"/>
    </sheetView>
  </sheetViews>
  <sheetFormatPr defaultColWidth="4.75" defaultRowHeight="13.5"/>
  <cols>
    <col min="1" max="1" width="9" customWidth="1"/>
  </cols>
  <sheetData>
    <row r="1" spans="1:3">
      <c r="A1" s="686" t="s">
        <v>61</v>
      </c>
      <c r="B1" s="686"/>
      <c r="C1" s="686"/>
    </row>
    <row r="2" spans="1:3" ht="24">
      <c r="B2" s="2" t="s">
        <v>820</v>
      </c>
    </row>
    <row r="4" spans="1:3" s="285" customFormat="1"/>
    <row r="5" spans="1:3" s="285" customFormat="1"/>
    <row r="6" spans="1:3" s="285" customFormat="1"/>
    <row r="7" spans="1:3" s="285" customFormat="1"/>
    <row r="8" spans="1:3" s="285" customFormat="1"/>
    <row r="9" spans="1:3" s="285" customFormat="1"/>
    <row r="10" spans="1:3" s="285" customFormat="1"/>
    <row r="11" spans="1:3" s="285" customFormat="1"/>
    <row r="12" spans="1:3" s="285" customFormat="1"/>
    <row r="13" spans="1:3" s="285" customFormat="1"/>
    <row r="14" spans="1:3" s="285" customFormat="1"/>
    <row r="15" spans="1:3" s="285" customFormat="1"/>
    <row r="16" spans="1:3" s="285" customFormat="1"/>
    <row r="17" s="285" customFormat="1"/>
    <row r="18" s="285" customFormat="1"/>
    <row r="19" s="285" customFormat="1"/>
    <row r="20" s="285" customFormat="1"/>
    <row r="21" s="285" customFormat="1"/>
    <row r="22" s="285" customFormat="1"/>
    <row r="23" s="285" customFormat="1"/>
    <row r="24" s="285" customFormat="1"/>
    <row r="25" s="285" customFormat="1"/>
    <row r="26" s="285" customFormat="1"/>
    <row r="27" s="285" customFormat="1"/>
    <row r="28" s="285" customFormat="1"/>
    <row r="29" s="285" customFormat="1"/>
    <row r="30" s="285" customFormat="1"/>
    <row r="31" s="285" customFormat="1"/>
    <row r="32" s="285" customFormat="1"/>
    <row r="33" spans="2:8" s="285" customFormat="1"/>
    <row r="34" spans="2:8" s="285" customFormat="1"/>
    <row r="35" spans="2:8" s="285" customFormat="1"/>
    <row r="36" spans="2:8" s="285" customFormat="1"/>
    <row r="37" spans="2:8">
      <c r="B37" t="s">
        <v>821</v>
      </c>
    </row>
    <row r="39" spans="2:8">
      <c r="B39" s="710" t="s">
        <v>822</v>
      </c>
      <c r="C39" s="710"/>
      <c r="D39" s="710"/>
      <c r="E39" s="709">
        <v>4700</v>
      </c>
      <c r="F39" s="709"/>
      <c r="G39" s="709"/>
      <c r="H39" t="s">
        <v>214</v>
      </c>
    </row>
    <row r="40" spans="2:8">
      <c r="B40" s="710" t="s">
        <v>823</v>
      </c>
      <c r="C40" s="710"/>
      <c r="D40" s="710"/>
      <c r="E40" s="709">
        <v>1000000</v>
      </c>
      <c r="F40" s="709"/>
      <c r="G40" s="709"/>
      <c r="H40" t="s">
        <v>210</v>
      </c>
    </row>
    <row r="41" spans="2:8">
      <c r="B41" s="710" t="s">
        <v>272</v>
      </c>
      <c r="C41" s="710"/>
      <c r="D41" s="710"/>
      <c r="E41" s="709">
        <v>3.3</v>
      </c>
      <c r="F41" s="709"/>
      <c r="G41" s="709"/>
      <c r="H41" t="s">
        <v>65</v>
      </c>
    </row>
    <row r="43" spans="2:8">
      <c r="B43" s="710" t="s">
        <v>824</v>
      </c>
      <c r="C43" s="710"/>
      <c r="D43" s="710"/>
      <c r="E43" s="708">
        <f>E40*E39*10^-12*E41^2</f>
        <v>5.1182999999999999E-2</v>
      </c>
      <c r="F43" s="708"/>
      <c r="G43" s="708"/>
      <c r="H43" t="s">
        <v>95</v>
      </c>
    </row>
  </sheetData>
  <mergeCells count="9">
    <mergeCell ref="B41:D41"/>
    <mergeCell ref="E41:G41"/>
    <mergeCell ref="B43:D43"/>
    <mergeCell ref="E43:G43"/>
    <mergeCell ref="A1:C1"/>
    <mergeCell ref="B39:D39"/>
    <mergeCell ref="E39:G39"/>
    <mergeCell ref="B40:D40"/>
    <mergeCell ref="E40:G40"/>
  </mergeCells>
  <phoneticPr fontId="42"/>
  <hyperlinks>
    <hyperlink ref="A1:C1" location="目次!A1" display="　目次　" xr:uid="{00000000-0004-0000-36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59"/>
  <sheetViews>
    <sheetView topLeftCell="A10" workbookViewId="0">
      <selection activeCell="K31" sqref="K31"/>
    </sheetView>
  </sheetViews>
  <sheetFormatPr defaultColWidth="4.25" defaultRowHeight="13.5"/>
  <cols>
    <col min="1" max="1" width="9" customWidth="1"/>
    <col min="6" max="6" width="4.5" customWidth="1"/>
  </cols>
  <sheetData>
    <row r="1" spans="1:22">
      <c r="A1" s="686" t="s">
        <v>61</v>
      </c>
      <c r="B1" s="686"/>
      <c r="C1" s="686"/>
    </row>
    <row r="2" spans="1:22">
      <c r="B2" t="s">
        <v>825</v>
      </c>
    </row>
    <row r="3" spans="1:22">
      <c r="B3" t="s">
        <v>826</v>
      </c>
      <c r="D3" s="24" t="s">
        <v>827</v>
      </c>
      <c r="V3" s="477" t="s">
        <v>1353</v>
      </c>
    </row>
    <row r="4" spans="1:22">
      <c r="V4" t="s">
        <v>829</v>
      </c>
    </row>
    <row r="5" spans="1:22">
      <c r="A5" t="s">
        <v>830</v>
      </c>
    </row>
    <row r="6" spans="1:22">
      <c r="A6" t="s">
        <v>831</v>
      </c>
      <c r="B6" t="s">
        <v>832</v>
      </c>
    </row>
    <row r="7" spans="1:22">
      <c r="C7" t="s">
        <v>833</v>
      </c>
      <c r="V7" t="s">
        <v>834</v>
      </c>
    </row>
    <row r="8" spans="1:22">
      <c r="C8" t="s">
        <v>835</v>
      </c>
      <c r="V8" t="s">
        <v>836</v>
      </c>
    </row>
    <row r="10" spans="1:22">
      <c r="A10" t="s">
        <v>837</v>
      </c>
      <c r="B10" t="s">
        <v>838</v>
      </c>
      <c r="R10" s="25"/>
      <c r="V10" s="25" t="s">
        <v>839</v>
      </c>
    </row>
    <row r="11" spans="1:22">
      <c r="C11" t="s">
        <v>840</v>
      </c>
    </row>
    <row r="12" spans="1:22">
      <c r="C12" t="s">
        <v>841</v>
      </c>
    </row>
    <row r="13" spans="1:22">
      <c r="C13" t="s">
        <v>842</v>
      </c>
    </row>
    <row r="14" spans="1:22">
      <c r="C14" t="s">
        <v>843</v>
      </c>
      <c r="V14" t="s">
        <v>844</v>
      </c>
    </row>
    <row r="15" spans="1:22">
      <c r="V15" t="s">
        <v>845</v>
      </c>
    </row>
    <row r="16" spans="1:22">
      <c r="A16" t="s">
        <v>846</v>
      </c>
      <c r="B16" s="25" t="s">
        <v>847</v>
      </c>
    </row>
    <row r="18" spans="1:24">
      <c r="V18" s="25" t="s">
        <v>848</v>
      </c>
    </row>
    <row r="19" spans="1:24">
      <c r="A19" t="s">
        <v>849</v>
      </c>
      <c r="B19" t="s">
        <v>850</v>
      </c>
    </row>
    <row r="20" spans="1:24">
      <c r="C20" t="s">
        <v>851</v>
      </c>
      <c r="V20" t="s">
        <v>487</v>
      </c>
      <c r="W20" t="s">
        <v>852</v>
      </c>
    </row>
    <row r="21" spans="1:24">
      <c r="C21" t="s">
        <v>853</v>
      </c>
    </row>
    <row r="22" spans="1:24">
      <c r="C22" t="s">
        <v>854</v>
      </c>
    </row>
    <row r="25" spans="1:24">
      <c r="V25" t="s">
        <v>855</v>
      </c>
    </row>
    <row r="26" spans="1:24">
      <c r="W26" t="s">
        <v>856</v>
      </c>
    </row>
    <row r="27" spans="1:24">
      <c r="X27" t="s">
        <v>487</v>
      </c>
    </row>
    <row r="32" spans="1:24">
      <c r="B32" s="710" t="s">
        <v>857</v>
      </c>
      <c r="C32" s="710"/>
      <c r="D32" s="710"/>
      <c r="E32" s="710"/>
      <c r="F32" s="709">
        <v>100</v>
      </c>
      <c r="G32" s="709"/>
      <c r="H32" s="709"/>
      <c r="I32" t="s">
        <v>65</v>
      </c>
    </row>
    <row r="33" spans="2:9">
      <c r="B33" s="710" t="s">
        <v>858</v>
      </c>
      <c r="C33" s="710"/>
      <c r="D33" s="710"/>
      <c r="E33" s="710"/>
      <c r="F33" s="709">
        <v>1000000</v>
      </c>
      <c r="G33" s="709"/>
      <c r="H33" s="709"/>
      <c r="I33" t="s">
        <v>210</v>
      </c>
    </row>
    <row r="34" spans="2:9">
      <c r="B34" s="710" t="s">
        <v>859</v>
      </c>
      <c r="C34" s="710"/>
      <c r="D34" s="710"/>
      <c r="E34" s="710"/>
      <c r="F34" s="709">
        <v>50</v>
      </c>
      <c r="G34" s="709"/>
      <c r="H34" s="709"/>
      <c r="I34" t="s">
        <v>245</v>
      </c>
    </row>
    <row r="35" spans="2:9">
      <c r="B35" s="710" t="s">
        <v>860</v>
      </c>
      <c r="C35" s="710"/>
      <c r="D35" s="710"/>
      <c r="E35" s="710"/>
      <c r="F35" s="836">
        <v>76</v>
      </c>
      <c r="G35" s="836"/>
      <c r="H35" s="836"/>
      <c r="I35" t="s">
        <v>861</v>
      </c>
    </row>
    <row r="36" spans="2:9">
      <c r="B36" s="710" t="s">
        <v>862</v>
      </c>
      <c r="C36" s="710"/>
      <c r="D36" s="710"/>
      <c r="E36" s="710"/>
      <c r="F36" s="836">
        <v>480</v>
      </c>
      <c r="G36" s="836"/>
      <c r="H36" s="836"/>
      <c r="I36" t="s">
        <v>863</v>
      </c>
    </row>
    <row r="37" spans="2:9">
      <c r="B37" s="830" t="s">
        <v>864</v>
      </c>
      <c r="C37" s="830"/>
      <c r="D37" s="830"/>
      <c r="E37" s="830"/>
      <c r="F37" s="708">
        <f>(F32*F34/100)/(F36*10^-3*F35*10^-6*F33)</f>
        <v>1.3706140350877194</v>
      </c>
      <c r="G37" s="708"/>
      <c r="H37" s="708"/>
      <c r="I37" t="s">
        <v>122</v>
      </c>
    </row>
    <row r="38" spans="2:9">
      <c r="B38" s="710"/>
      <c r="C38" s="710"/>
      <c r="D38" s="710"/>
      <c r="E38" s="710"/>
      <c r="F38" s="738"/>
      <c r="G38" s="738"/>
      <c r="H38" s="738"/>
    </row>
    <row r="39" spans="2:9">
      <c r="B39" s="830" t="s">
        <v>865</v>
      </c>
      <c r="C39" s="830"/>
      <c r="D39" s="830"/>
      <c r="E39" s="830"/>
      <c r="F39" s="782">
        <v>12</v>
      </c>
      <c r="G39" s="782"/>
      <c r="H39" s="782"/>
      <c r="I39" t="s">
        <v>65</v>
      </c>
    </row>
    <row r="40" spans="2:9">
      <c r="B40" s="9" t="s">
        <v>866</v>
      </c>
      <c r="C40" s="9"/>
      <c r="D40" s="9"/>
      <c r="E40" s="9"/>
      <c r="F40" s="842">
        <f>F37</f>
        <v>1.3706140350877194</v>
      </c>
      <c r="G40" s="842"/>
      <c r="H40" s="842"/>
      <c r="I40" t="s">
        <v>122</v>
      </c>
    </row>
    <row r="41" spans="2:9">
      <c r="B41" s="710" t="s">
        <v>867</v>
      </c>
      <c r="C41" s="710"/>
      <c r="D41" s="710"/>
      <c r="E41" s="710"/>
      <c r="F41" s="779">
        <f>(F39/F32)*F40</f>
        <v>0.16447368421052633</v>
      </c>
      <c r="G41" s="779"/>
      <c r="H41" s="779"/>
      <c r="I41" t="s">
        <v>122</v>
      </c>
    </row>
    <row r="42" spans="2:9">
      <c r="B42" s="710"/>
      <c r="C42" s="710"/>
      <c r="D42" s="710"/>
      <c r="E42" s="710"/>
      <c r="F42" s="738"/>
      <c r="G42" s="738"/>
      <c r="H42" s="738"/>
    </row>
    <row r="47" spans="2:9">
      <c r="B47" s="710" t="s">
        <v>868</v>
      </c>
      <c r="C47" s="710"/>
      <c r="D47" s="710"/>
      <c r="E47" s="710"/>
      <c r="F47" s="836">
        <v>80</v>
      </c>
      <c r="G47" s="836"/>
      <c r="H47" s="836"/>
      <c r="I47" t="s">
        <v>122</v>
      </c>
    </row>
    <row r="48" spans="2:9">
      <c r="B48" s="710" t="s">
        <v>860</v>
      </c>
      <c r="C48" s="710"/>
      <c r="D48" s="710"/>
      <c r="E48" s="710"/>
      <c r="F48" s="836">
        <v>76</v>
      </c>
      <c r="G48" s="836"/>
      <c r="H48" s="836"/>
      <c r="I48" t="s">
        <v>861</v>
      </c>
    </row>
    <row r="49" spans="2:9">
      <c r="B49" s="710" t="s">
        <v>862</v>
      </c>
      <c r="C49" s="710"/>
      <c r="D49" s="710"/>
      <c r="E49" s="710"/>
      <c r="F49" s="843">
        <v>480</v>
      </c>
      <c r="G49" s="843"/>
      <c r="H49" s="843"/>
      <c r="I49" t="s">
        <v>863</v>
      </c>
    </row>
    <row r="50" spans="2:9">
      <c r="B50" s="830" t="s">
        <v>869</v>
      </c>
      <c r="C50" s="830"/>
      <c r="D50" s="830"/>
      <c r="E50" s="830"/>
      <c r="F50" s="836">
        <v>200</v>
      </c>
      <c r="G50" s="836"/>
      <c r="H50" s="836"/>
      <c r="I50" t="s">
        <v>93</v>
      </c>
    </row>
    <row r="51" spans="2:9">
      <c r="B51" s="710"/>
      <c r="C51" s="710"/>
      <c r="D51" s="710"/>
      <c r="E51" s="710"/>
      <c r="F51" s="710"/>
      <c r="G51" s="710"/>
      <c r="H51" s="710"/>
    </row>
    <row r="52" spans="2:9">
      <c r="B52" s="702" t="s">
        <v>250</v>
      </c>
      <c r="C52" s="702"/>
      <c r="D52" s="702"/>
      <c r="E52" s="702"/>
      <c r="F52" s="708">
        <f>(F47*F49*10^-3*F48*10^-6)/(F50*10^-3)</f>
        <v>1.4591999999999999E-2</v>
      </c>
      <c r="G52" s="708"/>
      <c r="H52" s="708"/>
      <c r="I52" t="s">
        <v>776</v>
      </c>
    </row>
    <row r="53" spans="2:9">
      <c r="B53" s="710"/>
      <c r="C53" s="710"/>
      <c r="D53" s="710"/>
      <c r="E53" s="710"/>
      <c r="F53" s="708">
        <f>F52*1000</f>
        <v>14.591999999999999</v>
      </c>
      <c r="G53" s="708"/>
      <c r="H53" s="708"/>
      <c r="I53" t="s">
        <v>503</v>
      </c>
    </row>
    <row r="54" spans="2:9">
      <c r="B54" s="710"/>
      <c r="C54" s="710"/>
      <c r="D54" s="710"/>
      <c r="E54" s="710"/>
      <c r="F54" s="708">
        <f>F53*1000</f>
        <v>14591.999999999998</v>
      </c>
      <c r="G54" s="708"/>
      <c r="H54" s="708"/>
      <c r="I54" t="s">
        <v>119</v>
      </c>
    </row>
    <row r="57" spans="2:9">
      <c r="F57">
        <v>237</v>
      </c>
    </row>
    <row r="58" spans="2:9">
      <c r="F58">
        <v>986</v>
      </c>
    </row>
    <row r="59" spans="2:9">
      <c r="F59">
        <f>F58/F57</f>
        <v>4.1603375527426163</v>
      </c>
    </row>
  </sheetData>
  <mergeCells count="38">
    <mergeCell ref="B53:E53"/>
    <mergeCell ref="F53:H53"/>
    <mergeCell ref="B54:E54"/>
    <mergeCell ref="F54:H54"/>
    <mergeCell ref="B50:E50"/>
    <mergeCell ref="F50:H50"/>
    <mergeCell ref="B51:E51"/>
    <mergeCell ref="F51:H51"/>
    <mergeCell ref="B52:E52"/>
    <mergeCell ref="F52:H52"/>
    <mergeCell ref="B47:E47"/>
    <mergeCell ref="F47:H47"/>
    <mergeCell ref="B48:E48"/>
    <mergeCell ref="F48:H48"/>
    <mergeCell ref="B49:E49"/>
    <mergeCell ref="F49:H49"/>
    <mergeCell ref="F40:H40"/>
    <mergeCell ref="B41:E41"/>
    <mergeCell ref="F41:H41"/>
    <mergeCell ref="B42:E42"/>
    <mergeCell ref="F42:H42"/>
    <mergeCell ref="B37:E37"/>
    <mergeCell ref="F37:H37"/>
    <mergeCell ref="B38:E38"/>
    <mergeCell ref="F38:H38"/>
    <mergeCell ref="B39:E39"/>
    <mergeCell ref="F39:H39"/>
    <mergeCell ref="B34:E34"/>
    <mergeCell ref="F34:H34"/>
    <mergeCell ref="B35:E35"/>
    <mergeCell ref="F35:H35"/>
    <mergeCell ref="B36:E36"/>
    <mergeCell ref="F36:H36"/>
    <mergeCell ref="A1:C1"/>
    <mergeCell ref="B32:E32"/>
    <mergeCell ref="F32:H32"/>
    <mergeCell ref="B33:E33"/>
    <mergeCell ref="F33:H33"/>
  </mergeCells>
  <phoneticPr fontId="42"/>
  <hyperlinks>
    <hyperlink ref="A1:C1" location="目次!A1" display="　目次　" xr:uid="{00000000-0004-0000-3700-000000000000}"/>
    <hyperlink ref="D3" r:id="rId1" xr:uid="{00000000-0004-0000-3700-000001000000}"/>
  </hyperlinks>
  <pageMargins left="0.69930555555555596" right="0.69930555555555596" top="0.75" bottom="0.75" header="0.3" footer="0.3"/>
  <pageSetup paperSize="9" orientation="portrait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6177-D491-46F4-BCC7-55B51875B50C}">
  <dimension ref="A1:X59"/>
  <sheetViews>
    <sheetView topLeftCell="A17" workbookViewId="0">
      <selection activeCell="K35" sqref="K35"/>
    </sheetView>
  </sheetViews>
  <sheetFormatPr defaultColWidth="4.25" defaultRowHeight="13.5"/>
  <cols>
    <col min="1" max="1" width="9" style="474" customWidth="1"/>
    <col min="2" max="5" width="4.25" style="474"/>
    <col min="6" max="6" width="4.5" style="474" customWidth="1"/>
    <col min="7" max="16384" width="4.25" style="474"/>
  </cols>
  <sheetData>
    <row r="1" spans="1:22">
      <c r="A1" s="686" t="s">
        <v>61</v>
      </c>
      <c r="B1" s="686"/>
      <c r="C1" s="686"/>
    </row>
    <row r="2" spans="1:22">
      <c r="B2" s="474" t="s">
        <v>825</v>
      </c>
    </row>
    <row r="3" spans="1:22">
      <c r="B3" s="474" t="s">
        <v>826</v>
      </c>
      <c r="D3" s="476" t="s">
        <v>827</v>
      </c>
      <c r="V3" s="474" t="s">
        <v>828</v>
      </c>
    </row>
    <row r="4" spans="1:22">
      <c r="V4" s="474" t="s">
        <v>829</v>
      </c>
    </row>
    <row r="5" spans="1:22">
      <c r="A5" s="474" t="s">
        <v>830</v>
      </c>
    </row>
    <row r="6" spans="1:22">
      <c r="A6" s="474" t="s">
        <v>831</v>
      </c>
      <c r="B6" s="474" t="s">
        <v>832</v>
      </c>
    </row>
    <row r="7" spans="1:22">
      <c r="C7" s="474" t="s">
        <v>833</v>
      </c>
      <c r="V7" s="474" t="s">
        <v>834</v>
      </c>
    </row>
    <row r="8" spans="1:22">
      <c r="C8" s="474" t="s">
        <v>835</v>
      </c>
      <c r="V8" s="474" t="s">
        <v>836</v>
      </c>
    </row>
    <row r="10" spans="1:22">
      <c r="A10" s="474" t="s">
        <v>837</v>
      </c>
      <c r="B10" s="474" t="s">
        <v>838</v>
      </c>
      <c r="R10" s="25"/>
      <c r="V10" s="25" t="s">
        <v>839</v>
      </c>
    </row>
    <row r="11" spans="1:22">
      <c r="C11" s="474" t="s">
        <v>840</v>
      </c>
    </row>
    <row r="12" spans="1:22">
      <c r="C12" s="474" t="s">
        <v>841</v>
      </c>
    </row>
    <row r="13" spans="1:22">
      <c r="C13" s="474" t="s">
        <v>842</v>
      </c>
    </row>
    <row r="14" spans="1:22">
      <c r="C14" s="474" t="s">
        <v>843</v>
      </c>
      <c r="V14" s="474" t="s">
        <v>844</v>
      </c>
    </row>
    <row r="15" spans="1:22">
      <c r="V15" s="474" t="s">
        <v>845</v>
      </c>
    </row>
    <row r="16" spans="1:22">
      <c r="A16" s="474" t="s">
        <v>846</v>
      </c>
      <c r="B16" s="25" t="s">
        <v>847</v>
      </c>
    </row>
    <row r="18" spans="1:24">
      <c r="V18" s="25" t="s">
        <v>848</v>
      </c>
    </row>
    <row r="19" spans="1:24">
      <c r="A19" s="474" t="s">
        <v>849</v>
      </c>
      <c r="B19" s="474" t="s">
        <v>850</v>
      </c>
    </row>
    <row r="20" spans="1:24">
      <c r="C20" s="474" t="s">
        <v>851</v>
      </c>
      <c r="V20" s="474" t="s">
        <v>487</v>
      </c>
      <c r="W20" s="474" t="s">
        <v>852</v>
      </c>
    </row>
    <row r="21" spans="1:24">
      <c r="C21" s="474" t="s">
        <v>853</v>
      </c>
    </row>
    <row r="22" spans="1:24">
      <c r="C22" s="474" t="s">
        <v>854</v>
      </c>
    </row>
    <row r="25" spans="1:24">
      <c r="V25" s="474" t="s">
        <v>855</v>
      </c>
    </row>
    <row r="26" spans="1:24">
      <c r="W26" s="474" t="s">
        <v>856</v>
      </c>
    </row>
    <row r="27" spans="1:24">
      <c r="X27" s="474" t="s">
        <v>487</v>
      </c>
    </row>
    <row r="32" spans="1:24">
      <c r="B32" s="710" t="s">
        <v>857</v>
      </c>
      <c r="C32" s="710"/>
      <c r="D32" s="710"/>
      <c r="E32" s="710"/>
      <c r="F32" s="709">
        <v>14.4</v>
      </c>
      <c r="G32" s="709"/>
      <c r="H32" s="709"/>
      <c r="I32" s="474" t="s">
        <v>65</v>
      </c>
    </row>
    <row r="33" spans="2:9">
      <c r="B33" s="710" t="s">
        <v>858</v>
      </c>
      <c r="C33" s="710"/>
      <c r="D33" s="710"/>
      <c r="E33" s="710"/>
      <c r="F33" s="709">
        <v>35000</v>
      </c>
      <c r="G33" s="709"/>
      <c r="H33" s="709"/>
      <c r="I33" s="474" t="s">
        <v>210</v>
      </c>
    </row>
    <row r="34" spans="2:9">
      <c r="B34" s="710" t="s">
        <v>859</v>
      </c>
      <c r="C34" s="710"/>
      <c r="D34" s="710"/>
      <c r="E34" s="710"/>
      <c r="F34" s="709">
        <v>50</v>
      </c>
      <c r="G34" s="709"/>
      <c r="H34" s="709"/>
      <c r="I34" s="474" t="s">
        <v>245</v>
      </c>
    </row>
    <row r="35" spans="2:9">
      <c r="B35" s="710" t="s">
        <v>860</v>
      </c>
      <c r="C35" s="710"/>
      <c r="D35" s="710"/>
      <c r="E35" s="710"/>
      <c r="F35" s="836">
        <v>19.8</v>
      </c>
      <c r="G35" s="836"/>
      <c r="H35" s="836"/>
      <c r="I35" s="474" t="s">
        <v>861</v>
      </c>
    </row>
    <row r="36" spans="2:9">
      <c r="B36" s="710" t="s">
        <v>862</v>
      </c>
      <c r="C36" s="710"/>
      <c r="D36" s="710"/>
      <c r="E36" s="710"/>
      <c r="F36" s="836">
        <v>300</v>
      </c>
      <c r="G36" s="836"/>
      <c r="H36" s="836"/>
      <c r="I36" s="474" t="s">
        <v>863</v>
      </c>
    </row>
    <row r="37" spans="2:9">
      <c r="B37" s="830" t="s">
        <v>864</v>
      </c>
      <c r="C37" s="830"/>
      <c r="D37" s="830"/>
      <c r="E37" s="830"/>
      <c r="F37" s="708">
        <f>(F32*F34/100)/(F36*10^-3*F35*10^-6*F33)</f>
        <v>34.632034632034632</v>
      </c>
      <c r="G37" s="708"/>
      <c r="H37" s="708"/>
      <c r="I37" s="474" t="s">
        <v>122</v>
      </c>
    </row>
    <row r="38" spans="2:9">
      <c r="B38" s="710"/>
      <c r="C38" s="710"/>
      <c r="D38" s="710"/>
      <c r="E38" s="710"/>
      <c r="F38" s="738"/>
      <c r="G38" s="738"/>
      <c r="H38" s="738"/>
    </row>
    <row r="39" spans="2:9">
      <c r="B39" s="830" t="s">
        <v>865</v>
      </c>
      <c r="C39" s="830"/>
      <c r="D39" s="830"/>
      <c r="E39" s="830"/>
      <c r="F39" s="782">
        <v>40</v>
      </c>
      <c r="G39" s="782"/>
      <c r="H39" s="782"/>
      <c r="I39" s="474" t="s">
        <v>65</v>
      </c>
    </row>
    <row r="40" spans="2:9">
      <c r="B40" s="475" t="s">
        <v>866</v>
      </c>
      <c r="C40" s="475"/>
      <c r="D40" s="475"/>
      <c r="E40" s="475"/>
      <c r="F40" s="842">
        <f>F37</f>
        <v>34.632034632034632</v>
      </c>
      <c r="G40" s="842"/>
      <c r="H40" s="842"/>
      <c r="I40" s="474" t="s">
        <v>122</v>
      </c>
    </row>
    <row r="41" spans="2:9">
      <c r="B41" s="710" t="s">
        <v>867</v>
      </c>
      <c r="C41" s="710"/>
      <c r="D41" s="710"/>
      <c r="E41" s="710"/>
      <c r="F41" s="779">
        <f>(F39/F32)*F40</f>
        <v>96.200096200096198</v>
      </c>
      <c r="G41" s="779"/>
      <c r="H41" s="779"/>
      <c r="I41" s="474" t="s">
        <v>122</v>
      </c>
    </row>
    <row r="42" spans="2:9">
      <c r="B42" s="710"/>
      <c r="C42" s="710"/>
      <c r="D42" s="710"/>
      <c r="E42" s="710"/>
      <c r="F42" s="738"/>
      <c r="G42" s="738"/>
      <c r="H42" s="738"/>
    </row>
    <row r="47" spans="2:9">
      <c r="B47" s="710" t="s">
        <v>868</v>
      </c>
      <c r="C47" s="710"/>
      <c r="D47" s="710"/>
      <c r="E47" s="710"/>
      <c r="F47" s="836">
        <v>200</v>
      </c>
      <c r="G47" s="836"/>
      <c r="H47" s="836"/>
      <c r="I47" s="474" t="s">
        <v>122</v>
      </c>
    </row>
    <row r="48" spans="2:9">
      <c r="B48" s="710" t="s">
        <v>860</v>
      </c>
      <c r="C48" s="710"/>
      <c r="D48" s="710"/>
      <c r="E48" s="710"/>
      <c r="F48" s="836">
        <v>19.8</v>
      </c>
      <c r="G48" s="836"/>
      <c r="H48" s="836"/>
      <c r="I48" s="474" t="s">
        <v>861</v>
      </c>
    </row>
    <row r="49" spans="2:9">
      <c r="B49" s="710" t="s">
        <v>862</v>
      </c>
      <c r="C49" s="710"/>
      <c r="D49" s="710"/>
      <c r="E49" s="710"/>
      <c r="F49" s="843">
        <v>300</v>
      </c>
      <c r="G49" s="843"/>
      <c r="H49" s="843"/>
      <c r="I49" s="474" t="s">
        <v>863</v>
      </c>
    </row>
    <row r="50" spans="2:9">
      <c r="B50" s="830" t="s">
        <v>869</v>
      </c>
      <c r="C50" s="830"/>
      <c r="D50" s="830"/>
      <c r="E50" s="830"/>
      <c r="F50" s="836">
        <v>100</v>
      </c>
      <c r="G50" s="836"/>
      <c r="H50" s="836"/>
      <c r="I50" s="474" t="s">
        <v>93</v>
      </c>
    </row>
    <row r="51" spans="2:9">
      <c r="B51" s="710"/>
      <c r="C51" s="710"/>
      <c r="D51" s="710"/>
      <c r="E51" s="710"/>
      <c r="F51" s="710"/>
      <c r="G51" s="710"/>
      <c r="H51" s="710"/>
    </row>
    <row r="52" spans="2:9">
      <c r="B52" s="702" t="s">
        <v>250</v>
      </c>
      <c r="C52" s="702"/>
      <c r="D52" s="702"/>
      <c r="E52" s="702"/>
      <c r="F52" s="708">
        <f>(F47*F49*10^-3*F48*10^-6)/(F50*10^-3)</f>
        <v>1.188E-2</v>
      </c>
      <c r="G52" s="708"/>
      <c r="H52" s="708"/>
      <c r="I52" s="474" t="s">
        <v>776</v>
      </c>
    </row>
    <row r="53" spans="2:9">
      <c r="B53" s="710"/>
      <c r="C53" s="710"/>
      <c r="D53" s="710"/>
      <c r="E53" s="710"/>
      <c r="F53" s="708">
        <f>F52*1000</f>
        <v>11.88</v>
      </c>
      <c r="G53" s="708"/>
      <c r="H53" s="708"/>
      <c r="I53" s="474" t="s">
        <v>503</v>
      </c>
    </row>
    <row r="54" spans="2:9">
      <c r="B54" s="710"/>
      <c r="C54" s="710"/>
      <c r="D54" s="710"/>
      <c r="E54" s="710"/>
      <c r="F54" s="708">
        <f>F53*1000</f>
        <v>11880</v>
      </c>
      <c r="G54" s="708"/>
      <c r="H54" s="708"/>
      <c r="I54" s="474" t="s">
        <v>119</v>
      </c>
    </row>
    <row r="57" spans="2:9">
      <c r="F57" s="474">
        <v>237</v>
      </c>
    </row>
    <row r="58" spans="2:9">
      <c r="F58" s="474">
        <v>986</v>
      </c>
    </row>
    <row r="59" spans="2:9">
      <c r="F59" s="474">
        <f>F58/F57</f>
        <v>4.1603375527426163</v>
      </c>
    </row>
  </sheetData>
  <mergeCells count="38">
    <mergeCell ref="B34:E34"/>
    <mergeCell ref="F34:H34"/>
    <mergeCell ref="A1:C1"/>
    <mergeCell ref="B32:E32"/>
    <mergeCell ref="F32:H32"/>
    <mergeCell ref="B33:E33"/>
    <mergeCell ref="F33:H33"/>
    <mergeCell ref="B41:E41"/>
    <mergeCell ref="F41:H41"/>
    <mergeCell ref="B35:E35"/>
    <mergeCell ref="F35:H35"/>
    <mergeCell ref="B36:E36"/>
    <mergeCell ref="F36:H36"/>
    <mergeCell ref="B37:E37"/>
    <mergeCell ref="F37:H37"/>
    <mergeCell ref="B38:E38"/>
    <mergeCell ref="F38:H38"/>
    <mergeCell ref="B39:E39"/>
    <mergeCell ref="F39:H39"/>
    <mergeCell ref="F40:H40"/>
    <mergeCell ref="B42:E42"/>
    <mergeCell ref="F42:H42"/>
    <mergeCell ref="B47:E47"/>
    <mergeCell ref="F47:H47"/>
    <mergeCell ref="B48:E48"/>
    <mergeCell ref="F48:H48"/>
    <mergeCell ref="B49:E49"/>
    <mergeCell ref="F49:H49"/>
    <mergeCell ref="B50:E50"/>
    <mergeCell ref="F50:H50"/>
    <mergeCell ref="B51:E51"/>
    <mergeCell ref="F51:H51"/>
    <mergeCell ref="B52:E52"/>
    <mergeCell ref="F52:H52"/>
    <mergeCell ref="B53:E53"/>
    <mergeCell ref="F53:H53"/>
    <mergeCell ref="B54:E54"/>
    <mergeCell ref="F54:H54"/>
  </mergeCells>
  <phoneticPr fontId="42"/>
  <hyperlinks>
    <hyperlink ref="A1:C1" location="目次!A1" display="　目次　" xr:uid="{7B6374F3-AE9E-45E1-A301-42AF7429C2DD}"/>
    <hyperlink ref="D3" r:id="rId1" xr:uid="{D69F7EF5-7C60-4924-BF71-80932EDFF95F}"/>
  </hyperlinks>
  <pageMargins left="0.69930555555555596" right="0.69930555555555596" top="0.75" bottom="0.75" header="0.3" footer="0.3"/>
  <pageSetup paperSize="9" orientation="portrait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11"/>
  <sheetViews>
    <sheetView workbookViewId="0">
      <selection sqref="A1:C1"/>
    </sheetView>
  </sheetViews>
  <sheetFormatPr defaultColWidth="9" defaultRowHeight="13.5"/>
  <cols>
    <col min="1" max="1" width="9" customWidth="1"/>
  </cols>
  <sheetData>
    <row r="1" spans="1:4">
      <c r="A1" s="686" t="s">
        <v>61</v>
      </c>
      <c r="B1" s="686"/>
      <c r="C1" s="686"/>
    </row>
    <row r="2" spans="1:4" ht="21">
      <c r="A2" s="22" t="s">
        <v>870</v>
      </c>
    </row>
    <row r="4" spans="1:4">
      <c r="B4" t="s">
        <v>871</v>
      </c>
      <c r="C4" s="21">
        <v>8</v>
      </c>
      <c r="D4" t="s">
        <v>294</v>
      </c>
    </row>
    <row r="5" spans="1:4">
      <c r="B5" t="s">
        <v>872</v>
      </c>
      <c r="C5" s="21">
        <v>2</v>
      </c>
      <c r="D5" t="s">
        <v>294</v>
      </c>
    </row>
    <row r="6" spans="1:4">
      <c r="B6" t="s">
        <v>873</v>
      </c>
      <c r="C6" s="21">
        <v>3</v>
      </c>
      <c r="D6" t="s">
        <v>294</v>
      </c>
    </row>
    <row r="7" spans="1:4">
      <c r="B7" t="s">
        <v>874</v>
      </c>
      <c r="C7" s="21">
        <v>6</v>
      </c>
      <c r="D7" t="s">
        <v>512</v>
      </c>
    </row>
    <row r="8" spans="1:4">
      <c r="B8" t="s">
        <v>875</v>
      </c>
      <c r="C8" s="21">
        <v>7</v>
      </c>
      <c r="D8" t="s">
        <v>875</v>
      </c>
    </row>
    <row r="10" spans="1:4">
      <c r="B10" t="s">
        <v>876</v>
      </c>
      <c r="C10" s="23">
        <f>(C5+C4)*C7*C8+C6*C8</f>
        <v>441</v>
      </c>
      <c r="D10" t="s">
        <v>294</v>
      </c>
    </row>
    <row r="11" spans="1:4">
      <c r="C11" s="23">
        <f>C10/60</f>
        <v>7.35</v>
      </c>
      <c r="D11" t="s">
        <v>216</v>
      </c>
    </row>
  </sheetData>
  <mergeCells count="1">
    <mergeCell ref="A1:C1"/>
  </mergeCells>
  <phoneticPr fontId="42"/>
  <hyperlinks>
    <hyperlink ref="A1:C1" location="目次!A1" display="　目次　" xr:uid="{00000000-0004-0000-3800-000000000000}"/>
  </hyperlinks>
  <pageMargins left="0.69930555555555596" right="0.69930555555555596" top="0.75" bottom="0.75" header="0.3" footer="0.3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31"/>
  <sheetViews>
    <sheetView zoomScale="115" zoomScaleNormal="115" workbookViewId="0">
      <selection sqref="A1:C1"/>
    </sheetView>
  </sheetViews>
  <sheetFormatPr defaultColWidth="3.25" defaultRowHeight="13.5"/>
  <cols>
    <col min="1" max="1" width="3.25" customWidth="1"/>
    <col min="7" max="7" width="3.25" style="231"/>
  </cols>
  <sheetData>
    <row r="1" spans="1:8">
      <c r="A1" s="700" t="s">
        <v>944</v>
      </c>
      <c r="B1" s="686"/>
      <c r="C1" s="686"/>
    </row>
    <row r="2" spans="1:8" s="229" customFormat="1">
      <c r="A2" s="227"/>
      <c r="B2" s="227"/>
      <c r="C2" s="227"/>
      <c r="G2" s="231"/>
    </row>
    <row r="3" spans="1:8" s="229" customFormat="1">
      <c r="A3" s="227"/>
      <c r="B3" s="132"/>
      <c r="C3" s="132"/>
      <c r="D3" s="132"/>
      <c r="E3" s="63" t="s">
        <v>86</v>
      </c>
      <c r="F3" s="63"/>
      <c r="G3" s="63"/>
      <c r="H3" s="63"/>
    </row>
    <row r="4" spans="1:8" s="229" customFormat="1">
      <c r="A4" s="227"/>
      <c r="B4" s="133"/>
      <c r="C4" s="133"/>
      <c r="D4" s="133"/>
      <c r="E4" s="63" t="s">
        <v>63</v>
      </c>
      <c r="F4" s="63"/>
      <c r="G4" s="63"/>
      <c r="H4" s="63"/>
    </row>
    <row r="5" spans="1:8" s="229" customFormat="1">
      <c r="A5" s="227"/>
      <c r="B5" s="227"/>
      <c r="C5" s="227"/>
      <c r="G5" s="231"/>
    </row>
    <row r="19" spans="4:12">
      <c r="D19" s="741" t="s">
        <v>353</v>
      </c>
      <c r="E19" s="741"/>
      <c r="F19" s="741"/>
      <c r="G19" s="741"/>
      <c r="H19" s="738">
        <v>299792458</v>
      </c>
      <c r="I19" s="738"/>
      <c r="J19" s="738"/>
      <c r="K19" s="738"/>
      <c r="L19" s="229" t="s">
        <v>354</v>
      </c>
    </row>
    <row r="20" spans="4:12">
      <c r="D20" s="710"/>
      <c r="E20" s="710"/>
      <c r="F20" s="710"/>
      <c r="G20" s="710"/>
    </row>
    <row r="21" spans="4:12">
      <c r="D21" s="710" t="s">
        <v>877</v>
      </c>
      <c r="E21" s="710"/>
      <c r="F21" s="710"/>
      <c r="G21" s="710"/>
      <c r="H21" s="709">
        <v>10</v>
      </c>
      <c r="I21" s="709"/>
      <c r="J21" s="709"/>
      <c r="K21" s="709"/>
      <c r="L21" s="230" t="s">
        <v>915</v>
      </c>
    </row>
    <row r="22" spans="4:12">
      <c r="D22" s="707" t="s">
        <v>913</v>
      </c>
      <c r="E22" s="707"/>
      <c r="F22" s="707"/>
      <c r="G22" s="707"/>
      <c r="H22" s="709">
        <v>920000000</v>
      </c>
      <c r="I22" s="709"/>
      <c r="J22" s="709"/>
      <c r="K22" s="709"/>
      <c r="L22" s="230" t="s">
        <v>914</v>
      </c>
    </row>
    <row r="23" spans="4:12">
      <c r="D23" s="710"/>
      <c r="E23" s="710"/>
      <c r="F23" s="710"/>
      <c r="G23" s="710"/>
      <c r="H23" s="710"/>
      <c r="I23" s="710"/>
      <c r="J23" s="710"/>
      <c r="K23" s="710"/>
    </row>
    <row r="24" spans="4:12">
      <c r="D24" s="707" t="s">
        <v>921</v>
      </c>
      <c r="E24" s="707"/>
      <c r="F24" s="707"/>
      <c r="G24" s="707"/>
      <c r="H24" s="834">
        <f>H19/H22</f>
        <v>0.32586136739130434</v>
      </c>
      <c r="I24" s="834"/>
      <c r="J24" s="834"/>
      <c r="K24" s="834"/>
      <c r="L24" s="230" t="s">
        <v>922</v>
      </c>
    </row>
    <row r="25" spans="4:12">
      <c r="D25" s="844" t="s">
        <v>957</v>
      </c>
      <c r="E25" s="844"/>
      <c r="F25" s="844"/>
      <c r="G25" s="844"/>
      <c r="H25" s="779">
        <f>-20*LOG((4*PI()*H21)/H24)</f>
        <v>-51.723539768794481</v>
      </c>
      <c r="I25" s="779"/>
      <c r="J25" s="779"/>
      <c r="K25" s="779"/>
      <c r="L25" s="230" t="s">
        <v>923</v>
      </c>
    </row>
    <row r="27" spans="4:12">
      <c r="D27" s="707" t="s">
        <v>1477</v>
      </c>
      <c r="E27" s="707"/>
      <c r="F27" s="707"/>
      <c r="G27" s="707"/>
      <c r="H27" s="709">
        <v>10</v>
      </c>
      <c r="I27" s="709"/>
      <c r="J27" s="709"/>
      <c r="K27" s="709"/>
      <c r="L27" s="514" t="s">
        <v>1473</v>
      </c>
    </row>
    <row r="28" spans="4:12">
      <c r="D28" s="707" t="s">
        <v>1478</v>
      </c>
      <c r="E28" s="707"/>
      <c r="F28" s="707"/>
      <c r="G28" s="707"/>
      <c r="H28" s="709">
        <v>10</v>
      </c>
      <c r="I28" s="709"/>
      <c r="J28" s="709"/>
      <c r="K28" s="709"/>
      <c r="L28" s="514" t="s">
        <v>1474</v>
      </c>
    </row>
    <row r="30" spans="4:12">
      <c r="D30" s="707" t="s">
        <v>1475</v>
      </c>
      <c r="E30" s="707"/>
      <c r="F30" s="707"/>
      <c r="G30" s="707"/>
      <c r="H30" s="779">
        <f>10^(H25/10)*H28</f>
        <v>6.7242836213887581E-5</v>
      </c>
      <c r="I30" s="779"/>
      <c r="J30" s="779"/>
      <c r="K30" s="779"/>
      <c r="L30" s="514" t="s">
        <v>1473</v>
      </c>
    </row>
    <row r="31" spans="4:12">
      <c r="D31" s="707" t="s">
        <v>1476</v>
      </c>
      <c r="E31" s="707"/>
      <c r="F31" s="707"/>
      <c r="G31" s="707"/>
      <c r="H31" s="708">
        <f>10^(H25/20)*H28</f>
        <v>2.5931223691505106E-2</v>
      </c>
      <c r="I31" s="708"/>
      <c r="J31" s="708"/>
      <c r="K31" s="708"/>
      <c r="L31" s="514" t="s">
        <v>1474</v>
      </c>
    </row>
  </sheetData>
  <mergeCells count="22">
    <mergeCell ref="D25:G25"/>
    <mergeCell ref="H27:K27"/>
    <mergeCell ref="D27:G27"/>
    <mergeCell ref="D28:G28"/>
    <mergeCell ref="H25:K25"/>
    <mergeCell ref="D31:G31"/>
    <mergeCell ref="H31:K31"/>
    <mergeCell ref="H30:K30"/>
    <mergeCell ref="D30:G30"/>
    <mergeCell ref="H28:K28"/>
    <mergeCell ref="A1:C1"/>
    <mergeCell ref="H21:K21"/>
    <mergeCell ref="H22:K22"/>
    <mergeCell ref="H23:K23"/>
    <mergeCell ref="H24:K24"/>
    <mergeCell ref="H19:K19"/>
    <mergeCell ref="D19:G19"/>
    <mergeCell ref="D20:G20"/>
    <mergeCell ref="D21:G21"/>
    <mergeCell ref="D22:G22"/>
    <mergeCell ref="D23:G23"/>
    <mergeCell ref="D24:G24"/>
  </mergeCells>
  <phoneticPr fontId="42"/>
  <hyperlinks>
    <hyperlink ref="A1:C1" location="目次!A1" display="　目次　" xr:uid="{00000000-0004-0000-3900-000000000000}"/>
  </hyperlinks>
  <pageMargins left="0.69930555555555596" right="0.69930555555555596" top="0.75" bottom="0.75" header="0.3" footer="0.3"/>
  <pageSetup paperSize="9"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41"/>
  <sheetViews>
    <sheetView zoomScale="130" zoomScaleNormal="130" workbookViewId="0">
      <selection sqref="A1:C1"/>
    </sheetView>
  </sheetViews>
  <sheetFormatPr defaultColWidth="4.125" defaultRowHeight="13.5"/>
  <cols>
    <col min="1" max="1" width="9" style="261" customWidth="1"/>
    <col min="2" max="16384" width="4.125" style="261"/>
  </cols>
  <sheetData>
    <row r="1" spans="1:26" s="231" customFormat="1">
      <c r="A1" s="686" t="s">
        <v>1470</v>
      </c>
      <c r="B1" s="686"/>
      <c r="C1" s="686"/>
    </row>
    <row r="2" spans="1:26" s="231" customFormat="1">
      <c r="B2" s="234"/>
      <c r="C2" s="231" t="s">
        <v>364</v>
      </c>
    </row>
    <row r="3" spans="1:26" s="231" customFormat="1">
      <c r="B3" s="36"/>
      <c r="C3" s="231" t="s">
        <v>395</v>
      </c>
    </row>
    <row r="4" spans="1:26" s="231" customFormat="1">
      <c r="B4" s="35"/>
      <c r="C4" s="231" t="s">
        <v>404</v>
      </c>
    </row>
    <row r="6" spans="1:26" ht="24">
      <c r="C6" s="263" t="s">
        <v>981</v>
      </c>
    </row>
    <row r="7" spans="1:26" s="267" customFormat="1" ht="24">
      <c r="C7" s="263"/>
      <c r="D7" s="270" t="s">
        <v>994</v>
      </c>
    </row>
    <row r="8" spans="1:26" s="267" customFormat="1" ht="24">
      <c r="C8" s="263"/>
      <c r="D8" s="270" t="s">
        <v>996</v>
      </c>
    </row>
    <row r="9" spans="1:26" s="267" customFormat="1" ht="24">
      <c r="C9" s="263"/>
      <c r="D9" s="270" t="s">
        <v>999</v>
      </c>
    </row>
    <row r="11" spans="1:26">
      <c r="C11" s="847" t="s">
        <v>963</v>
      </c>
      <c r="D11" s="847"/>
      <c r="E11" s="847"/>
      <c r="F11" s="847"/>
      <c r="G11" s="847"/>
      <c r="H11" s="847"/>
      <c r="I11" s="848">
        <f>-7.32/100</f>
        <v>-7.3200000000000001E-2</v>
      </c>
      <c r="J11" s="848"/>
      <c r="K11" s="848"/>
      <c r="L11" s="261" t="s">
        <v>964</v>
      </c>
      <c r="T11" s="266" t="s">
        <v>987</v>
      </c>
      <c r="Z11" s="266" t="s">
        <v>988</v>
      </c>
    </row>
    <row r="12" spans="1:26">
      <c r="C12" s="849" t="s">
        <v>995</v>
      </c>
      <c r="D12" s="847"/>
      <c r="E12" s="847"/>
      <c r="F12" s="847"/>
      <c r="G12" s="847"/>
      <c r="H12" s="847"/>
      <c r="I12" s="850">
        <f>10^(I11/10)</f>
        <v>0.98328632663531335</v>
      </c>
      <c r="J12" s="850"/>
      <c r="K12" s="850"/>
      <c r="L12" s="261" t="s">
        <v>965</v>
      </c>
    </row>
    <row r="13" spans="1:26">
      <c r="C13" s="847" t="s">
        <v>966</v>
      </c>
      <c r="D13" s="847"/>
      <c r="E13" s="847"/>
      <c r="F13" s="847"/>
      <c r="G13" s="847"/>
      <c r="H13" s="847"/>
      <c r="I13" s="848">
        <v>0</v>
      </c>
      <c r="J13" s="848"/>
      <c r="K13" s="848"/>
      <c r="L13" s="261" t="s">
        <v>967</v>
      </c>
    </row>
    <row r="14" spans="1:26">
      <c r="C14" s="851" t="s">
        <v>968</v>
      </c>
      <c r="D14" s="851"/>
      <c r="E14" s="851"/>
      <c r="F14" s="851"/>
      <c r="G14" s="851"/>
      <c r="H14" s="851"/>
      <c r="I14" s="850">
        <f>(10^(I13/10))</f>
        <v>1</v>
      </c>
      <c r="J14" s="850"/>
      <c r="K14" s="850"/>
      <c r="L14" s="261" t="s">
        <v>969</v>
      </c>
      <c r="T14" s="268" t="s">
        <v>985</v>
      </c>
    </row>
    <row r="15" spans="1:26">
      <c r="C15" s="852" t="s">
        <v>997</v>
      </c>
      <c r="D15" s="851"/>
      <c r="E15" s="851"/>
      <c r="F15" s="851"/>
      <c r="G15" s="851"/>
      <c r="H15" s="851"/>
      <c r="I15" s="850">
        <f>10*LOG(I16)</f>
        <v>-7.3200000000000182E-2</v>
      </c>
      <c r="J15" s="850"/>
      <c r="K15" s="850"/>
      <c r="L15" s="261" t="s">
        <v>967</v>
      </c>
    </row>
    <row r="16" spans="1:26">
      <c r="C16" s="852" t="s">
        <v>998</v>
      </c>
      <c r="D16" s="851"/>
      <c r="E16" s="851"/>
      <c r="F16" s="851"/>
      <c r="G16" s="851"/>
      <c r="H16" s="851"/>
      <c r="I16" s="850">
        <f>I14*I12</f>
        <v>0.98328632663531335</v>
      </c>
      <c r="J16" s="850"/>
      <c r="K16" s="850"/>
      <c r="L16" s="261" t="s">
        <v>969</v>
      </c>
    </row>
    <row r="17" spans="3:30">
      <c r="C17" s="847"/>
      <c r="D17" s="847"/>
      <c r="E17" s="847"/>
      <c r="F17" s="847"/>
      <c r="G17" s="847"/>
      <c r="H17" s="847"/>
      <c r="I17" s="847"/>
      <c r="J17" s="847"/>
      <c r="K17" s="847"/>
      <c r="AC17" s="845" t="s">
        <v>986</v>
      </c>
      <c r="AD17" s="846"/>
    </row>
    <row r="18" spans="3:30">
      <c r="C18" s="851" t="s">
        <v>970</v>
      </c>
      <c r="D18" s="851"/>
      <c r="E18" s="851"/>
      <c r="F18" s="851"/>
      <c r="G18" s="851"/>
      <c r="H18" s="851"/>
      <c r="I18" s="848">
        <v>920</v>
      </c>
      <c r="J18" s="848"/>
      <c r="K18" s="848"/>
      <c r="L18" s="261" t="s">
        <v>971</v>
      </c>
      <c r="AC18" s="846"/>
      <c r="AD18" s="846"/>
    </row>
    <row r="19" spans="3:30">
      <c r="C19" s="851" t="s">
        <v>972</v>
      </c>
      <c r="D19" s="851"/>
      <c r="E19" s="851"/>
      <c r="F19" s="851"/>
      <c r="G19" s="851"/>
      <c r="H19" s="851"/>
      <c r="I19" s="848">
        <v>-1</v>
      </c>
      <c r="J19" s="848"/>
      <c r="K19" s="848"/>
      <c r="L19" s="261" t="s">
        <v>973</v>
      </c>
    </row>
    <row r="20" spans="3:30">
      <c r="C20" s="851" t="s">
        <v>974</v>
      </c>
      <c r="D20" s="851"/>
      <c r="E20" s="851"/>
      <c r="F20" s="851"/>
      <c r="G20" s="851"/>
      <c r="H20" s="851"/>
      <c r="I20" s="848">
        <v>-1</v>
      </c>
      <c r="J20" s="848"/>
      <c r="K20" s="848"/>
      <c r="L20" s="261" t="s">
        <v>973</v>
      </c>
    </row>
    <row r="21" spans="3:30">
      <c r="C21" s="851" t="s">
        <v>975</v>
      </c>
      <c r="D21" s="851"/>
      <c r="E21" s="851"/>
      <c r="F21" s="851"/>
      <c r="G21" s="851"/>
      <c r="H21" s="851"/>
      <c r="I21" s="855">
        <v>-130</v>
      </c>
      <c r="J21" s="855"/>
      <c r="K21" s="855"/>
      <c r="L21" s="261" t="s">
        <v>976</v>
      </c>
    </row>
    <row r="22" spans="3:30">
      <c r="C22" s="262"/>
      <c r="D22" s="262"/>
      <c r="E22" s="262"/>
      <c r="F22" s="262"/>
      <c r="G22" s="262"/>
      <c r="H22" s="262"/>
      <c r="I22" s="262"/>
      <c r="J22" s="262"/>
      <c r="K22" s="262"/>
      <c r="U22" s="269"/>
      <c r="AB22" s="265"/>
    </row>
    <row r="23" spans="3:30">
      <c r="C23" s="852" t="s">
        <v>991</v>
      </c>
      <c r="D23" s="851"/>
      <c r="E23" s="851"/>
      <c r="F23" s="851"/>
      <c r="G23" s="851"/>
      <c r="H23" s="851"/>
      <c r="I23" s="854">
        <f>((10^((I13+I19+I20-I21)/20))/(41.88*I18))*1000</f>
        <v>65193.680482267839</v>
      </c>
      <c r="J23" s="854"/>
      <c r="K23" s="854"/>
      <c r="L23" s="261" t="s">
        <v>977</v>
      </c>
      <c r="M23" s="270" t="s">
        <v>992</v>
      </c>
      <c r="U23" s="269"/>
      <c r="AB23" s="265"/>
    </row>
    <row r="24" spans="3:30">
      <c r="C24" s="851" t="s">
        <v>978</v>
      </c>
      <c r="D24" s="851"/>
      <c r="E24" s="851"/>
      <c r="F24" s="851"/>
      <c r="G24" s="851"/>
      <c r="H24" s="851"/>
      <c r="I24" s="854">
        <f>((10^((I15+I19+I20-I21)/20))/(41.88*I18))*1000</f>
        <v>64646.571860319411</v>
      </c>
      <c r="J24" s="854"/>
      <c r="K24" s="854"/>
      <c r="L24" s="270" t="s">
        <v>990</v>
      </c>
      <c r="M24" s="270" t="s">
        <v>993</v>
      </c>
      <c r="U24" s="269"/>
      <c r="AB24" s="265"/>
    </row>
    <row r="25" spans="3:30">
      <c r="U25" s="269"/>
      <c r="AB25" s="265"/>
    </row>
    <row r="26" spans="3:30">
      <c r="C26" s="851" t="s">
        <v>979</v>
      </c>
      <c r="D26" s="851"/>
      <c r="E26" s="851"/>
      <c r="F26" s="851"/>
      <c r="G26" s="851"/>
      <c r="H26" s="851"/>
      <c r="I26" s="853">
        <f>(1-I24/I23)*100</f>
        <v>0.83920499333863807</v>
      </c>
      <c r="J26" s="853"/>
      <c r="K26" s="853"/>
      <c r="L26" s="261" t="s">
        <v>980</v>
      </c>
      <c r="U26" s="269"/>
      <c r="AB26" s="265"/>
    </row>
    <row r="29" spans="3:30">
      <c r="U29" s="268"/>
    </row>
    <row r="31" spans="3:30" ht="15" customHeight="1"/>
    <row r="39" spans="1:1">
      <c r="A39" s="268" t="s">
        <v>989</v>
      </c>
    </row>
    <row r="40" spans="1:1">
      <c r="A40" s="264" t="s">
        <v>984</v>
      </c>
    </row>
    <row r="41" spans="1:1">
      <c r="A41" s="260" t="s">
        <v>983</v>
      </c>
    </row>
  </sheetData>
  <mergeCells count="30">
    <mergeCell ref="C26:H26"/>
    <mergeCell ref="I26:K26"/>
    <mergeCell ref="A1:C1"/>
    <mergeCell ref="C24:H24"/>
    <mergeCell ref="I24:K24"/>
    <mergeCell ref="C23:H23"/>
    <mergeCell ref="I23:K23"/>
    <mergeCell ref="I18:K18"/>
    <mergeCell ref="C19:H19"/>
    <mergeCell ref="I19:K19"/>
    <mergeCell ref="C20:H20"/>
    <mergeCell ref="I20:K20"/>
    <mergeCell ref="C21:H21"/>
    <mergeCell ref="I21:K21"/>
    <mergeCell ref="AC17:AD18"/>
    <mergeCell ref="C11:H11"/>
    <mergeCell ref="I11:K11"/>
    <mergeCell ref="C12:H12"/>
    <mergeCell ref="I12:K12"/>
    <mergeCell ref="C13:H13"/>
    <mergeCell ref="I13:K13"/>
    <mergeCell ref="C14:H14"/>
    <mergeCell ref="I14:K14"/>
    <mergeCell ref="C15:H15"/>
    <mergeCell ref="I15:K15"/>
    <mergeCell ref="C16:H16"/>
    <mergeCell ref="I16:K16"/>
    <mergeCell ref="C17:H17"/>
    <mergeCell ref="I17:K17"/>
    <mergeCell ref="C18:H18"/>
  </mergeCells>
  <phoneticPr fontId="42"/>
  <hyperlinks>
    <hyperlink ref="A1:C1" location="目次!A1" display="　目次　" xr:uid="{00000000-0004-0000-3A00-000000000000}"/>
    <hyperlink ref="A41" r:id="rId1" xr:uid="{00000000-0004-0000-3A00-000001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F41"/>
  <sheetViews>
    <sheetView zoomScale="115" zoomScaleNormal="115" workbookViewId="0">
      <selection sqref="A1:C1"/>
    </sheetView>
  </sheetViews>
  <sheetFormatPr defaultColWidth="4.125" defaultRowHeight="13.5"/>
  <cols>
    <col min="1" max="1" width="9" style="275" customWidth="1"/>
    <col min="2" max="16384" width="4.125" style="275"/>
  </cols>
  <sheetData>
    <row r="1" spans="1:28" s="271" customFormat="1">
      <c r="A1" s="858" t="s">
        <v>61</v>
      </c>
      <c r="B1" s="858"/>
      <c r="C1" s="858"/>
    </row>
    <row r="2" spans="1:28" s="271" customFormat="1">
      <c r="B2" s="272"/>
      <c r="C2" s="271" t="s">
        <v>364</v>
      </c>
    </row>
    <row r="3" spans="1:28" s="271" customFormat="1">
      <c r="B3" s="273"/>
      <c r="C3" s="271" t="s">
        <v>395</v>
      </c>
    </row>
    <row r="4" spans="1:28" s="271" customFormat="1">
      <c r="B4" s="274"/>
      <c r="C4" s="271" t="s">
        <v>404</v>
      </c>
    </row>
    <row r="6" spans="1:28" ht="24">
      <c r="C6" s="276" t="s">
        <v>981</v>
      </c>
    </row>
    <row r="7" spans="1:28" ht="24">
      <c r="C7" s="276"/>
      <c r="D7" s="277" t="s">
        <v>994</v>
      </c>
    </row>
    <row r="8" spans="1:28" ht="24">
      <c r="C8" s="276"/>
      <c r="D8" s="277" t="s">
        <v>996</v>
      </c>
    </row>
    <row r="9" spans="1:28" ht="24">
      <c r="C9" s="276"/>
      <c r="D9" s="277" t="s">
        <v>999</v>
      </c>
    </row>
    <row r="11" spans="1:28">
      <c r="C11" s="856" t="s">
        <v>963</v>
      </c>
      <c r="D11" s="856"/>
      <c r="E11" s="856"/>
      <c r="F11" s="856"/>
      <c r="G11" s="856"/>
      <c r="H11" s="856"/>
      <c r="I11" s="856"/>
      <c r="J11" s="856"/>
      <c r="K11" s="857">
        <f>-7.32/100</f>
        <v>-7.3200000000000001E-2</v>
      </c>
      <c r="L11" s="857"/>
      <c r="M11" s="857"/>
      <c r="N11" s="275" t="s">
        <v>1000</v>
      </c>
      <c r="V11" s="277" t="s">
        <v>987</v>
      </c>
      <c r="AB11" s="277" t="s">
        <v>988</v>
      </c>
    </row>
    <row r="12" spans="1:28">
      <c r="C12" s="859" t="s">
        <v>995</v>
      </c>
      <c r="D12" s="856"/>
      <c r="E12" s="856"/>
      <c r="F12" s="856"/>
      <c r="G12" s="856"/>
      <c r="H12" s="856"/>
      <c r="I12" s="856"/>
      <c r="J12" s="856"/>
      <c r="K12" s="860">
        <f>10^(K11/10)</f>
        <v>0.98328632663531335</v>
      </c>
      <c r="L12" s="860"/>
      <c r="M12" s="860"/>
      <c r="N12" s="275" t="s">
        <v>965</v>
      </c>
    </row>
    <row r="13" spans="1:28">
      <c r="C13" s="856" t="s">
        <v>966</v>
      </c>
      <c r="D13" s="856"/>
      <c r="E13" s="856"/>
      <c r="F13" s="856"/>
      <c r="G13" s="856"/>
      <c r="H13" s="856"/>
      <c r="I13" s="856"/>
      <c r="J13" s="856"/>
      <c r="K13" s="857">
        <v>0</v>
      </c>
      <c r="L13" s="857"/>
      <c r="M13" s="857"/>
      <c r="N13" s="275" t="s">
        <v>1001</v>
      </c>
    </row>
    <row r="14" spans="1:28">
      <c r="C14" s="861" t="s">
        <v>968</v>
      </c>
      <c r="D14" s="861"/>
      <c r="E14" s="861"/>
      <c r="F14" s="861"/>
      <c r="G14" s="861"/>
      <c r="H14" s="861"/>
      <c r="I14" s="861"/>
      <c r="J14" s="861"/>
      <c r="K14" s="860">
        <f>(10^(K13/10))</f>
        <v>1</v>
      </c>
      <c r="L14" s="860"/>
      <c r="M14" s="860"/>
      <c r="N14" s="275" t="s">
        <v>1002</v>
      </c>
      <c r="V14" s="277" t="s">
        <v>985</v>
      </c>
    </row>
    <row r="15" spans="1:28">
      <c r="C15" s="862" t="s">
        <v>997</v>
      </c>
      <c r="D15" s="861"/>
      <c r="E15" s="861"/>
      <c r="F15" s="861"/>
      <c r="G15" s="861"/>
      <c r="H15" s="861"/>
      <c r="I15" s="861"/>
      <c r="J15" s="861"/>
      <c r="K15" s="860">
        <f>10*LOG(K16)</f>
        <v>-7.3200000000000182E-2</v>
      </c>
      <c r="L15" s="860"/>
      <c r="M15" s="860"/>
      <c r="N15" s="275" t="s">
        <v>1003</v>
      </c>
    </row>
    <row r="16" spans="1:28">
      <c r="C16" s="862" t="s">
        <v>998</v>
      </c>
      <c r="D16" s="861"/>
      <c r="E16" s="861"/>
      <c r="F16" s="861"/>
      <c r="G16" s="861"/>
      <c r="H16" s="861"/>
      <c r="I16" s="861"/>
      <c r="J16" s="861"/>
      <c r="K16" s="860">
        <f>K14*K12</f>
        <v>0.98328632663531335</v>
      </c>
      <c r="L16" s="860"/>
      <c r="M16" s="860"/>
      <c r="N16" s="275" t="s">
        <v>1004</v>
      </c>
    </row>
    <row r="17" spans="3:32">
      <c r="C17" s="856"/>
      <c r="D17" s="856"/>
      <c r="E17" s="856"/>
      <c r="F17" s="856"/>
      <c r="G17" s="856"/>
      <c r="H17" s="856"/>
      <c r="I17" s="856"/>
      <c r="J17" s="856"/>
      <c r="K17" s="856"/>
      <c r="L17" s="856"/>
      <c r="M17" s="856"/>
      <c r="AE17" s="863" t="s">
        <v>1005</v>
      </c>
      <c r="AF17" s="864"/>
    </row>
    <row r="18" spans="3:32">
      <c r="C18" s="861" t="s">
        <v>970</v>
      </c>
      <c r="D18" s="861"/>
      <c r="E18" s="861"/>
      <c r="F18" s="861"/>
      <c r="G18" s="861"/>
      <c r="H18" s="861"/>
      <c r="I18" s="861"/>
      <c r="J18" s="861"/>
      <c r="K18" s="857">
        <v>920</v>
      </c>
      <c r="L18" s="857"/>
      <c r="M18" s="857"/>
      <c r="N18" s="275" t="s">
        <v>1006</v>
      </c>
      <c r="AE18" s="864"/>
      <c r="AF18" s="864"/>
    </row>
    <row r="19" spans="3:32">
      <c r="C19" s="861" t="s">
        <v>972</v>
      </c>
      <c r="D19" s="861"/>
      <c r="E19" s="861"/>
      <c r="F19" s="861"/>
      <c r="G19" s="861"/>
      <c r="H19" s="861"/>
      <c r="I19" s="861"/>
      <c r="J19" s="861"/>
      <c r="K19" s="857">
        <v>-1</v>
      </c>
      <c r="L19" s="857"/>
      <c r="M19" s="857"/>
      <c r="N19" s="275" t="s">
        <v>1007</v>
      </c>
    </row>
    <row r="20" spans="3:32">
      <c r="C20" s="861" t="s">
        <v>974</v>
      </c>
      <c r="D20" s="861"/>
      <c r="E20" s="861"/>
      <c r="F20" s="861"/>
      <c r="G20" s="861"/>
      <c r="H20" s="861"/>
      <c r="I20" s="861"/>
      <c r="J20" s="861"/>
      <c r="K20" s="857">
        <v>-1</v>
      </c>
      <c r="L20" s="857"/>
      <c r="M20" s="857"/>
      <c r="N20" s="275" t="s">
        <v>1007</v>
      </c>
    </row>
    <row r="21" spans="3:32">
      <c r="C21" s="861" t="s">
        <v>975</v>
      </c>
      <c r="D21" s="861"/>
      <c r="E21" s="861"/>
      <c r="F21" s="861"/>
      <c r="G21" s="861"/>
      <c r="H21" s="861"/>
      <c r="I21" s="861"/>
      <c r="J21" s="861"/>
      <c r="K21" s="865">
        <v>-130</v>
      </c>
      <c r="L21" s="865"/>
      <c r="M21" s="865"/>
      <c r="N21" s="275" t="s">
        <v>1003</v>
      </c>
    </row>
    <row r="22" spans="3:32">
      <c r="C22" s="278"/>
      <c r="D22" s="278"/>
      <c r="E22" s="278"/>
      <c r="F22" s="278"/>
      <c r="G22" s="278"/>
      <c r="H22" s="278"/>
      <c r="I22" s="278"/>
      <c r="J22" s="278"/>
      <c r="K22" s="278"/>
      <c r="L22" s="278"/>
      <c r="M22" s="278"/>
      <c r="W22" s="279"/>
      <c r="AD22" s="271"/>
    </row>
    <row r="23" spans="3:32">
      <c r="C23" s="862" t="s">
        <v>991</v>
      </c>
      <c r="D23" s="861"/>
      <c r="E23" s="861"/>
      <c r="F23" s="861"/>
      <c r="G23" s="861"/>
      <c r="H23" s="861"/>
      <c r="I23" s="861"/>
      <c r="J23" s="861"/>
      <c r="K23" s="866">
        <f>((10^((K13+K19+K20-K21)/20))/(41.88*K18))*1000</f>
        <v>65193.680482267839</v>
      </c>
      <c r="L23" s="866"/>
      <c r="M23" s="866"/>
      <c r="N23" s="275" t="s">
        <v>1008</v>
      </c>
      <c r="O23" s="277" t="s">
        <v>992</v>
      </c>
      <c r="W23" s="279"/>
      <c r="AD23" s="271"/>
    </row>
    <row r="24" spans="3:32">
      <c r="C24" s="861" t="s">
        <v>978</v>
      </c>
      <c r="D24" s="861"/>
      <c r="E24" s="861"/>
      <c r="F24" s="861"/>
      <c r="G24" s="861"/>
      <c r="H24" s="861"/>
      <c r="I24" s="861"/>
      <c r="J24" s="861"/>
      <c r="K24" s="866">
        <f>((10^((K15+K19+K20-K21)/20))/(41.88*K18))*1000</f>
        <v>64646.571860319411</v>
      </c>
      <c r="L24" s="866"/>
      <c r="M24" s="866"/>
      <c r="N24" s="277" t="s">
        <v>1009</v>
      </c>
      <c r="O24" s="277" t="s">
        <v>993</v>
      </c>
      <c r="W24" s="279"/>
      <c r="AD24" s="271"/>
    </row>
    <row r="25" spans="3:32">
      <c r="W25" s="279"/>
      <c r="AD25" s="271"/>
    </row>
    <row r="26" spans="3:32">
      <c r="C26" s="867" t="s">
        <v>1010</v>
      </c>
      <c r="D26" s="861"/>
      <c r="E26" s="861"/>
      <c r="F26" s="861"/>
      <c r="G26" s="861"/>
      <c r="H26" s="861"/>
      <c r="I26" s="861"/>
      <c r="J26" s="861"/>
      <c r="K26" s="868">
        <f>(1-K24/K23)*100</f>
        <v>0.83920499333863807</v>
      </c>
      <c r="L26" s="868"/>
      <c r="M26" s="868"/>
      <c r="N26" s="280" t="s">
        <v>1011</v>
      </c>
      <c r="W26" s="279"/>
      <c r="AD26" s="271"/>
    </row>
    <row r="28" spans="3:32">
      <c r="C28" s="867" t="s">
        <v>1012</v>
      </c>
      <c r="D28" s="861"/>
      <c r="E28" s="861"/>
      <c r="F28" s="861"/>
      <c r="G28" s="861"/>
      <c r="H28" s="861"/>
      <c r="I28" s="861"/>
      <c r="J28" s="861"/>
      <c r="K28" s="857">
        <v>5</v>
      </c>
      <c r="L28" s="857"/>
      <c r="M28" s="857"/>
      <c r="N28" s="280" t="s">
        <v>1008</v>
      </c>
    </row>
    <row r="29" spans="3:32">
      <c r="W29" s="277"/>
    </row>
    <row r="30" spans="3:32">
      <c r="C30" s="867" t="str">
        <f>"同軸ケーブル" &amp; K28 &amp; "m時の減衰率"</f>
        <v>同軸ケーブル5m時の減衰率</v>
      </c>
      <c r="D30" s="861"/>
      <c r="E30" s="861"/>
      <c r="F30" s="861"/>
      <c r="G30" s="861"/>
      <c r="H30" s="861"/>
      <c r="I30" s="861"/>
      <c r="J30" s="861"/>
      <c r="K30" s="868">
        <f>K28*K26</f>
        <v>4.1960249666931908</v>
      </c>
      <c r="L30" s="868"/>
      <c r="M30" s="868"/>
      <c r="N30" s="280" t="s">
        <v>1013</v>
      </c>
    </row>
    <row r="31" spans="3:32" ht="15" customHeight="1">
      <c r="C31" s="867" t="str">
        <f>"同軸ケーブル" &amp; K28 &amp; "m時の通信距離"</f>
        <v>同軸ケーブル5m時の通信距離</v>
      </c>
      <c r="D31" s="861"/>
      <c r="E31" s="861"/>
      <c r="F31" s="861"/>
      <c r="G31" s="861"/>
      <c r="H31" s="861"/>
      <c r="I31" s="861"/>
      <c r="J31" s="861"/>
      <c r="K31" s="869">
        <f>K23-((K30/100) * K23)</f>
        <v>62458.137372525693</v>
      </c>
      <c r="L31" s="869"/>
      <c r="M31" s="869"/>
      <c r="N31" s="280" t="s">
        <v>977</v>
      </c>
      <c r="O31" s="277" t="s">
        <v>992</v>
      </c>
    </row>
    <row r="32" spans="3:32">
      <c r="O32" s="277" t="s">
        <v>993</v>
      </c>
    </row>
    <row r="39" spans="1:1">
      <c r="A39" s="280" t="s">
        <v>989</v>
      </c>
    </row>
    <row r="40" spans="1:1">
      <c r="A40" s="277" t="s">
        <v>1014</v>
      </c>
    </row>
    <row r="41" spans="1:1">
      <c r="A41" s="281" t="s">
        <v>1015</v>
      </c>
    </row>
  </sheetData>
  <mergeCells count="36">
    <mergeCell ref="C31:J31"/>
    <mergeCell ref="K31:M31"/>
    <mergeCell ref="C24:J24"/>
    <mergeCell ref="K24:M24"/>
    <mergeCell ref="C26:J26"/>
    <mergeCell ref="K26:M26"/>
    <mergeCell ref="C28:J28"/>
    <mergeCell ref="K28:M28"/>
    <mergeCell ref="C21:J21"/>
    <mergeCell ref="K21:M21"/>
    <mergeCell ref="C23:J23"/>
    <mergeCell ref="K23:M23"/>
    <mergeCell ref="C30:J30"/>
    <mergeCell ref="K30:M30"/>
    <mergeCell ref="AE17:AF18"/>
    <mergeCell ref="C18:J18"/>
    <mergeCell ref="K18:M18"/>
    <mergeCell ref="C20:J20"/>
    <mergeCell ref="K20:M20"/>
    <mergeCell ref="C19:J19"/>
    <mergeCell ref="K19:M19"/>
    <mergeCell ref="C17:J17"/>
    <mergeCell ref="K17:M17"/>
    <mergeCell ref="C14:J14"/>
    <mergeCell ref="K14:M14"/>
    <mergeCell ref="C15:J15"/>
    <mergeCell ref="K15:M15"/>
    <mergeCell ref="C16:J16"/>
    <mergeCell ref="K16:M16"/>
    <mergeCell ref="C13:J13"/>
    <mergeCell ref="K13:M13"/>
    <mergeCell ref="A1:C1"/>
    <mergeCell ref="C11:J11"/>
    <mergeCell ref="K11:M11"/>
    <mergeCell ref="C12:J12"/>
    <mergeCell ref="K12:M12"/>
  </mergeCells>
  <phoneticPr fontId="42"/>
  <hyperlinks>
    <hyperlink ref="A1:C1" location="目次!A1" display="　目次　" xr:uid="{00000000-0004-0000-3B00-000000000000}"/>
    <hyperlink ref="A41" r:id="rId1" xr:uid="{00000000-0004-0000-3B00-000001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26"/>
  <sheetViews>
    <sheetView zoomScale="115" zoomScaleNormal="115" workbookViewId="0">
      <selection sqref="A1:C1"/>
    </sheetView>
  </sheetViews>
  <sheetFormatPr defaultColWidth="9" defaultRowHeight="13.5"/>
  <cols>
    <col min="1" max="1" width="9" style="286" customWidth="1"/>
    <col min="2" max="2" width="16.25" style="286" customWidth="1"/>
    <col min="3" max="6" width="9" style="286"/>
    <col min="7" max="7" width="15.5" style="286" bestFit="1" customWidth="1"/>
    <col min="8" max="8" width="11.625" style="286" bestFit="1" customWidth="1"/>
    <col min="9" max="9" width="10.125" style="286" bestFit="1" customWidth="1"/>
    <col min="10" max="10" width="9.375" style="286" bestFit="1" customWidth="1"/>
    <col min="11" max="11" width="12.75" style="286" bestFit="1" customWidth="1"/>
    <col min="12" max="12" width="5.5" style="286" bestFit="1" customWidth="1"/>
    <col min="13" max="16384" width="9" style="286"/>
  </cols>
  <sheetData>
    <row r="1" spans="1:12">
      <c r="A1" s="686" t="s">
        <v>61</v>
      </c>
      <c r="B1" s="686"/>
      <c r="C1" s="686"/>
    </row>
    <row r="2" spans="1:12">
      <c r="B2" s="288"/>
      <c r="C2" s="286" t="s">
        <v>364</v>
      </c>
    </row>
    <row r="3" spans="1:12">
      <c r="B3" s="36"/>
      <c r="C3" s="286" t="s">
        <v>395</v>
      </c>
    </row>
    <row r="4" spans="1:12">
      <c r="B4" s="35"/>
      <c r="C4" s="286" t="s">
        <v>404</v>
      </c>
      <c r="G4" s="327" t="s">
        <v>1141</v>
      </c>
      <c r="H4" s="325">
        <v>8</v>
      </c>
      <c r="I4" s="327" t="s">
        <v>1142</v>
      </c>
    </row>
    <row r="5" spans="1:12">
      <c r="G5" s="327" t="s">
        <v>1139</v>
      </c>
      <c r="H5" s="325">
        <v>100</v>
      </c>
      <c r="I5" s="323" t="s">
        <v>1132</v>
      </c>
    </row>
    <row r="6" spans="1:12">
      <c r="G6" s="327" t="s">
        <v>1140</v>
      </c>
      <c r="H6" s="326">
        <f>1/H5</f>
        <v>0.01</v>
      </c>
      <c r="I6" s="323" t="s">
        <v>1135</v>
      </c>
    </row>
    <row r="7" spans="1:12">
      <c r="B7" s="286" t="s">
        <v>1045</v>
      </c>
      <c r="C7" s="288">
        <v>9</v>
      </c>
      <c r="D7" s="286" t="s">
        <v>1046</v>
      </c>
      <c r="G7" s="323" t="s">
        <v>1130</v>
      </c>
      <c r="H7" s="496">
        <f>H4/8</f>
        <v>1</v>
      </c>
      <c r="I7" s="323" t="s">
        <v>1131</v>
      </c>
    </row>
    <row r="8" spans="1:12">
      <c r="B8" s="286" t="s">
        <v>1144</v>
      </c>
      <c r="C8" s="288">
        <v>2</v>
      </c>
      <c r="D8" s="286" t="s">
        <v>1047</v>
      </c>
      <c r="G8" s="323" t="s">
        <v>1133</v>
      </c>
      <c r="H8" s="325">
        <v>8000</v>
      </c>
      <c r="I8" s="323" t="s">
        <v>1134</v>
      </c>
    </row>
    <row r="9" spans="1:12">
      <c r="B9" s="286" t="s">
        <v>1048</v>
      </c>
      <c r="C9" s="288">
        <v>1E-3</v>
      </c>
      <c r="D9" s="286" t="s">
        <v>1049</v>
      </c>
      <c r="G9" s="323"/>
      <c r="H9" s="326">
        <f>H8*1024</f>
        <v>8192000</v>
      </c>
      <c r="I9" s="323" t="s">
        <v>1136</v>
      </c>
      <c r="J9" s="323"/>
      <c r="K9" s="323"/>
      <c r="L9" s="323"/>
    </row>
    <row r="10" spans="1:12">
      <c r="B10" s="286" t="s">
        <v>1050</v>
      </c>
      <c r="C10" s="288">
        <v>1800</v>
      </c>
      <c r="D10" s="286" t="s">
        <v>1049</v>
      </c>
      <c r="G10" s="323"/>
      <c r="H10" s="326">
        <f>H9*1024</f>
        <v>8388608000</v>
      </c>
      <c r="I10" s="323" t="s">
        <v>1053</v>
      </c>
      <c r="J10" s="323"/>
      <c r="K10" s="323"/>
      <c r="L10" s="323"/>
    </row>
    <row r="11" spans="1:12">
      <c r="C11" s="289">
        <f>C10/60</f>
        <v>30</v>
      </c>
      <c r="D11" s="286" t="s">
        <v>1051</v>
      </c>
      <c r="G11" s="323"/>
      <c r="H11" s="323"/>
      <c r="I11" s="323"/>
      <c r="J11" s="323"/>
      <c r="K11" s="323"/>
      <c r="L11" s="323"/>
    </row>
    <row r="12" spans="1:12">
      <c r="C12" s="289">
        <f>C11/60</f>
        <v>0.5</v>
      </c>
      <c r="D12" s="286" t="s">
        <v>1052</v>
      </c>
      <c r="G12" s="323"/>
      <c r="H12" s="324">
        <f>H10/H7</f>
        <v>8388608000</v>
      </c>
      <c r="I12" s="323" t="s">
        <v>1137</v>
      </c>
      <c r="J12" s="323"/>
    </row>
    <row r="13" spans="1:12">
      <c r="G13" s="323"/>
      <c r="H13" s="323"/>
      <c r="I13" s="323"/>
      <c r="J13" s="323"/>
    </row>
    <row r="14" spans="1:12">
      <c r="C14" s="287">
        <f>C7*C8*(C10/C9)</f>
        <v>32400000</v>
      </c>
      <c r="D14" s="286" t="s">
        <v>1053</v>
      </c>
      <c r="G14" s="323"/>
      <c r="H14" s="324">
        <f>H12/H5</f>
        <v>83886080</v>
      </c>
      <c r="I14" s="323" t="s">
        <v>1049</v>
      </c>
      <c r="J14" s="323"/>
    </row>
    <row r="15" spans="1:12">
      <c r="G15" s="323"/>
      <c r="H15" s="324">
        <f>H14/60</f>
        <v>1398101.3333333333</v>
      </c>
      <c r="I15" s="323" t="s">
        <v>1051</v>
      </c>
      <c r="J15" s="323"/>
    </row>
    <row r="16" spans="1:12">
      <c r="H16" s="324">
        <f>H15/60</f>
        <v>23301.688888888886</v>
      </c>
      <c r="I16" s="323" t="s">
        <v>1052</v>
      </c>
    </row>
    <row r="17" spans="7:9">
      <c r="H17" s="324">
        <f>H16/24</f>
        <v>970.90370370370363</v>
      </c>
      <c r="I17" s="323" t="s">
        <v>1138</v>
      </c>
    </row>
    <row r="26" spans="7:9">
      <c r="G26" s="286">
        <v>0</v>
      </c>
    </row>
  </sheetData>
  <mergeCells count="1">
    <mergeCell ref="A1:C1"/>
  </mergeCells>
  <phoneticPr fontId="42"/>
  <hyperlinks>
    <hyperlink ref="A1:C1" location="目次!A1" display="　目次　" xr:uid="{00000000-0004-0000-3C00-000000000000}"/>
  </hyperlinks>
  <pageMargins left="0.69930555555555596" right="0.69930555555555596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19"/>
  <sheetViews>
    <sheetView workbookViewId="0">
      <selection sqref="A1:C1"/>
    </sheetView>
  </sheetViews>
  <sheetFormatPr defaultColWidth="5" defaultRowHeight="13.5"/>
  <cols>
    <col min="1" max="16384" width="5" style="291"/>
  </cols>
  <sheetData>
    <row r="1" spans="1:6">
      <c r="A1" s="686" t="s">
        <v>61</v>
      </c>
      <c r="B1" s="686"/>
      <c r="C1" s="686"/>
    </row>
    <row r="2" spans="1:6" ht="21">
      <c r="A2" s="290"/>
      <c r="B2" s="294" t="s">
        <v>1068</v>
      </c>
      <c r="C2" s="290"/>
    </row>
    <row r="3" spans="1:6">
      <c r="A3" s="290"/>
      <c r="B3" s="290"/>
      <c r="C3" s="290"/>
    </row>
    <row r="4" spans="1:6">
      <c r="B4" s="292"/>
      <c r="C4" s="291" t="s">
        <v>364</v>
      </c>
    </row>
    <row r="5" spans="1:6">
      <c r="B5" s="36"/>
      <c r="C5" s="291" t="s">
        <v>395</v>
      </c>
    </row>
    <row r="6" spans="1:6">
      <c r="B6" s="35"/>
      <c r="C6" s="291" t="s">
        <v>404</v>
      </c>
    </row>
    <row r="9" spans="1:6">
      <c r="B9" s="293" t="s">
        <v>1059</v>
      </c>
    </row>
    <row r="10" spans="1:6">
      <c r="C10" s="293" t="s">
        <v>1060</v>
      </c>
    </row>
    <row r="11" spans="1:6">
      <c r="B11" s="293" t="s">
        <v>1061</v>
      </c>
    </row>
    <row r="12" spans="1:6">
      <c r="C12" s="293" t="s">
        <v>1062</v>
      </c>
    </row>
    <row r="13" spans="1:6">
      <c r="C13" s="293"/>
    </row>
    <row r="14" spans="1:6">
      <c r="B14" s="707" t="s">
        <v>1057</v>
      </c>
      <c r="C14" s="707"/>
      <c r="D14" s="709">
        <v>0.71299999999999997</v>
      </c>
      <c r="E14" s="709"/>
    </row>
    <row r="15" spans="1:6">
      <c r="B15" s="707" t="s">
        <v>1058</v>
      </c>
      <c r="C15" s="707"/>
      <c r="D15" s="709">
        <v>0.34079999999999999</v>
      </c>
      <c r="E15" s="709"/>
    </row>
    <row r="16" spans="1:6">
      <c r="B16" s="707" t="s">
        <v>1063</v>
      </c>
      <c r="C16" s="707"/>
      <c r="D16" s="709">
        <v>0.48</v>
      </c>
      <c r="E16" s="709"/>
      <c r="F16" s="293" t="s">
        <v>1064</v>
      </c>
    </row>
    <row r="17" spans="2:6">
      <c r="B17" s="710"/>
      <c r="C17" s="710"/>
      <c r="D17" s="710"/>
      <c r="E17" s="710"/>
    </row>
    <row r="18" spans="2:6">
      <c r="B18" s="711" t="s">
        <v>1065</v>
      </c>
      <c r="C18" s="711"/>
      <c r="D18" s="708">
        <f>D16*D14-D15</f>
        <v>1.4399999999999968E-3</v>
      </c>
      <c r="E18" s="708"/>
      <c r="F18" s="293" t="s">
        <v>1066</v>
      </c>
    </row>
    <row r="19" spans="2:6">
      <c r="D19" s="708">
        <f>D18*100</f>
        <v>0.14399999999999968</v>
      </c>
      <c r="E19" s="708"/>
      <c r="F19" s="293" t="s">
        <v>1067</v>
      </c>
    </row>
  </sheetData>
  <mergeCells count="12">
    <mergeCell ref="A1:C1"/>
    <mergeCell ref="B14:C14"/>
    <mergeCell ref="B15:C15"/>
    <mergeCell ref="B16:C16"/>
    <mergeCell ref="D19:E19"/>
    <mergeCell ref="B17:C17"/>
    <mergeCell ref="B18:C18"/>
    <mergeCell ref="D14:E14"/>
    <mergeCell ref="D15:E15"/>
    <mergeCell ref="D16:E16"/>
    <mergeCell ref="D17:E17"/>
    <mergeCell ref="D18:E18"/>
  </mergeCells>
  <phoneticPr fontId="42"/>
  <hyperlinks>
    <hyperlink ref="A1:C1" location="目次!A1" display="　目次　" xr:uid="{00000000-0004-0000-3D00-000000000000}"/>
  </hyperlinks>
  <pageMargins left="0.69930555555555596" right="0.69930555555555596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N28"/>
  <sheetViews>
    <sheetView topLeftCell="B1" workbookViewId="0">
      <selection activeCell="A2" sqref="A2:C2"/>
    </sheetView>
  </sheetViews>
  <sheetFormatPr defaultColWidth="9" defaultRowHeight="13.5"/>
  <cols>
    <col min="1" max="1" width="9" style="295" customWidth="1"/>
    <col min="2" max="16384" width="9" style="295"/>
  </cols>
  <sheetData>
    <row r="1" spans="1:4" ht="24">
      <c r="B1" s="2" t="s">
        <v>1076</v>
      </c>
    </row>
    <row r="2" spans="1:4">
      <c r="A2" s="686" t="s">
        <v>61</v>
      </c>
      <c r="B2" s="686"/>
      <c r="C2" s="686"/>
    </row>
    <row r="4" spans="1:4">
      <c r="B4" s="297"/>
      <c r="C4" s="295" t="s">
        <v>364</v>
      </c>
    </row>
    <row r="5" spans="1:4">
      <c r="B5" s="36"/>
      <c r="C5" s="295" t="s">
        <v>395</v>
      </c>
    </row>
    <row r="6" spans="1:4">
      <c r="B6" s="35"/>
      <c r="C6" s="295" t="s">
        <v>404</v>
      </c>
    </row>
    <row r="9" spans="1:4">
      <c r="B9" s="299" t="s">
        <v>1078</v>
      </c>
      <c r="C9" s="298">
        <v>0.6</v>
      </c>
    </row>
    <row r="10" spans="1:4">
      <c r="B10" s="295" t="s">
        <v>1072</v>
      </c>
      <c r="C10" s="298">
        <v>200</v>
      </c>
      <c r="D10" s="295" t="s">
        <v>1071</v>
      </c>
    </row>
    <row r="12" spans="1:4">
      <c r="B12" s="299" t="s">
        <v>1079</v>
      </c>
    </row>
    <row r="13" spans="1:4">
      <c r="B13" s="295" t="s">
        <v>1073</v>
      </c>
      <c r="C13" s="297">
        <v>35</v>
      </c>
      <c r="D13" s="295" t="s">
        <v>1074</v>
      </c>
    </row>
    <row r="14" spans="1:4">
      <c r="B14" s="295" t="s">
        <v>1075</v>
      </c>
      <c r="C14" s="296">
        <f>((C10/C13)+1)*C9</f>
        <v>4.0285714285714285</v>
      </c>
      <c r="D14" s="299" t="s">
        <v>1077</v>
      </c>
    </row>
    <row r="17" spans="2:14">
      <c r="B17" s="300" t="s">
        <v>1080</v>
      </c>
      <c r="D17" s="299"/>
    </row>
    <row r="18" spans="2:14">
      <c r="B18" s="295" t="s">
        <v>1075</v>
      </c>
      <c r="C18" s="297">
        <v>4</v>
      </c>
      <c r="D18" s="299" t="s">
        <v>1077</v>
      </c>
      <c r="N18" s="299" t="s">
        <v>1082</v>
      </c>
    </row>
    <row r="19" spans="2:14">
      <c r="B19" s="295" t="s">
        <v>1073</v>
      </c>
      <c r="C19" s="296">
        <f>C10/((C18/C9)-1)</f>
        <v>35.294117647058819</v>
      </c>
      <c r="D19" s="295" t="s">
        <v>1074</v>
      </c>
    </row>
    <row r="21" spans="2:14">
      <c r="B21" s="299"/>
    </row>
    <row r="22" spans="2:14">
      <c r="B22" s="299"/>
    </row>
    <row r="27" spans="2:14">
      <c r="D27" s="299"/>
    </row>
    <row r="28" spans="2:14">
      <c r="D28" s="299"/>
    </row>
  </sheetData>
  <mergeCells count="1">
    <mergeCell ref="A2:C2"/>
  </mergeCells>
  <phoneticPr fontId="55"/>
  <hyperlinks>
    <hyperlink ref="A2:C2" location="目次!A1" display="　目次　" xr:uid="{00000000-0004-0000-3E00-000000000000}"/>
  </hyperlinks>
  <pageMargins left="0.69930555555555596" right="0.69930555555555596" top="0.75" bottom="0.75" header="0.3" footer="0.3"/>
  <pageSetup paperSize="9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I42"/>
  <sheetViews>
    <sheetView zoomScale="85" zoomScaleNormal="85" workbookViewId="0">
      <selection sqref="A1:C1"/>
    </sheetView>
  </sheetViews>
  <sheetFormatPr defaultColWidth="9" defaultRowHeight="13.5"/>
  <cols>
    <col min="1" max="1" width="4" style="307" customWidth="1"/>
    <col min="2" max="2" width="11.375" style="307" customWidth="1"/>
    <col min="3" max="3" width="10.875" style="307" customWidth="1"/>
    <col min="4" max="5" width="9" style="307"/>
    <col min="6" max="6" width="11.375" style="307" customWidth="1"/>
    <col min="7" max="7" width="12.75" style="307" bestFit="1" customWidth="1"/>
    <col min="8" max="16384" width="9" style="307"/>
  </cols>
  <sheetData>
    <row r="1" spans="1:9">
      <c r="A1" s="686" t="s">
        <v>61</v>
      </c>
      <c r="B1" s="686"/>
      <c r="C1" s="686"/>
    </row>
    <row r="2" spans="1:9" ht="28.5">
      <c r="B2" s="320" t="s">
        <v>1113</v>
      </c>
    </row>
    <row r="3" spans="1:9">
      <c r="B3" s="310"/>
      <c r="C3" s="307" t="s">
        <v>364</v>
      </c>
      <c r="E3" s="308" t="s">
        <v>1114</v>
      </c>
    </row>
    <row r="4" spans="1:9">
      <c r="B4" s="36"/>
      <c r="C4" s="307" t="s">
        <v>395</v>
      </c>
    </row>
    <row r="5" spans="1:9">
      <c r="B5" s="35"/>
      <c r="C5" s="307" t="s">
        <v>404</v>
      </c>
    </row>
    <row r="13" spans="1:9">
      <c r="G13"/>
    </row>
    <row r="15" spans="1:9">
      <c r="I15"/>
    </row>
    <row r="23" spans="2:3">
      <c r="B23" s="312"/>
    </row>
    <row r="31" spans="2:3">
      <c r="C31" s="311">
        <v>0.63900000000000001</v>
      </c>
    </row>
    <row r="32" spans="2:3">
      <c r="C32" s="311">
        <v>1.44</v>
      </c>
    </row>
    <row r="33" spans="2:4">
      <c r="B33" s="312" t="s">
        <v>1101</v>
      </c>
      <c r="C33" s="310">
        <v>680000</v>
      </c>
      <c r="D33" s="312" t="s">
        <v>1103</v>
      </c>
    </row>
    <row r="34" spans="2:4">
      <c r="B34" s="312" t="s">
        <v>1102</v>
      </c>
      <c r="C34" s="310">
        <v>10000</v>
      </c>
      <c r="D34" s="312" t="s">
        <v>1099</v>
      </c>
    </row>
    <row r="35" spans="2:4">
      <c r="B35" s="312" t="s">
        <v>1104</v>
      </c>
      <c r="C35" s="310">
        <v>100</v>
      </c>
      <c r="D35" s="312" t="s">
        <v>1100</v>
      </c>
    </row>
    <row r="37" spans="2:4">
      <c r="B37" s="312" t="s">
        <v>1110</v>
      </c>
      <c r="C37" s="309">
        <f>C31*(C33+C34)*C35*10^-6</f>
        <v>44.091000000000001</v>
      </c>
      <c r="D37" s="307" t="s">
        <v>1105</v>
      </c>
    </row>
    <row r="38" spans="2:4">
      <c r="B38" s="312" t="s">
        <v>1111</v>
      </c>
      <c r="C38" s="309">
        <f>C31*C34*C35*10^-6</f>
        <v>0.63900000000000001</v>
      </c>
      <c r="D38" s="307" t="s">
        <v>1106</v>
      </c>
    </row>
    <row r="39" spans="2:4">
      <c r="B39" s="307" t="s">
        <v>913</v>
      </c>
      <c r="C39" s="309">
        <f>C32/((C33+C34+C34)*C35*10^-6)</f>
        <v>2.057142857142857E-2</v>
      </c>
      <c r="D39" s="307" t="s">
        <v>1107</v>
      </c>
    </row>
    <row r="40" spans="2:4">
      <c r="B40" s="313" t="s">
        <v>1112</v>
      </c>
      <c r="C40" s="309">
        <f>(1/C39)</f>
        <v>48.611111111111114</v>
      </c>
    </row>
    <row r="41" spans="2:4">
      <c r="B41" s="307" t="s">
        <v>1108</v>
      </c>
      <c r="C41" s="309">
        <f>C37/(C37+C38)*100</f>
        <v>98.571428571428569</v>
      </c>
      <c r="D41" s="307" t="s">
        <v>1109</v>
      </c>
    </row>
    <row r="42" spans="2:4">
      <c r="B42" s="321" t="s">
        <v>1116</v>
      </c>
      <c r="C42" s="311">
        <f>C34/(C33+C34+C34)*100</f>
        <v>1.4285714285714286</v>
      </c>
      <c r="D42" s="321" t="s">
        <v>1115</v>
      </c>
    </row>
  </sheetData>
  <mergeCells count="1">
    <mergeCell ref="A1:C1"/>
  </mergeCells>
  <phoneticPr fontId="42"/>
  <hyperlinks>
    <hyperlink ref="A1:C1" location="目次!A1" display="　目次　" xr:uid="{00000000-0004-0000-3F00-000000000000}"/>
    <hyperlink ref="E3" r:id="rId1" xr:uid="{00000000-0004-0000-3F00-000001000000}"/>
  </hyperlinks>
  <pageMargins left="0.69930555555555596" right="0.69930555555555596" top="0.75" bottom="0.75" header="0.3" footer="0.3"/>
  <pageSetup paperSize="9" orientation="portrait" horizontalDpi="0" verticalDpi="0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6"/>
  <sheetViews>
    <sheetView workbookViewId="0">
      <selection sqref="A1:C1"/>
    </sheetView>
  </sheetViews>
  <sheetFormatPr defaultColWidth="9" defaultRowHeight="13.5"/>
  <cols>
    <col min="1" max="1" width="4.375" style="315" customWidth="1"/>
    <col min="2" max="2" width="13" style="315" customWidth="1"/>
    <col min="3" max="16384" width="9" style="315"/>
  </cols>
  <sheetData>
    <row r="1" spans="1:4">
      <c r="A1" s="686" t="s">
        <v>61</v>
      </c>
      <c r="B1" s="686"/>
      <c r="C1" s="686"/>
    </row>
    <row r="2" spans="1:4">
      <c r="B2" s="317"/>
      <c r="C2" s="315" t="s">
        <v>364</v>
      </c>
    </row>
    <row r="3" spans="1:4">
      <c r="B3" s="36"/>
      <c r="C3" s="315" t="s">
        <v>395</v>
      </c>
    </row>
    <row r="4" spans="1:4">
      <c r="B4" s="35"/>
      <c r="C4" s="315" t="s">
        <v>404</v>
      </c>
    </row>
    <row r="6" spans="1:4" ht="24">
      <c r="B6" s="2" t="s">
        <v>1117</v>
      </c>
    </row>
    <row r="8" spans="1:4">
      <c r="B8" s="318"/>
    </row>
    <row r="9" spans="1:4">
      <c r="B9" s="318" t="s">
        <v>1121</v>
      </c>
      <c r="C9" s="317">
        <v>3.3</v>
      </c>
      <c r="D9" s="318" t="s">
        <v>1124</v>
      </c>
    </row>
    <row r="10" spans="1:4">
      <c r="B10" s="318" t="s">
        <v>1063</v>
      </c>
      <c r="C10" s="317">
        <v>5</v>
      </c>
      <c r="D10" s="318" t="s">
        <v>1123</v>
      </c>
    </row>
    <row r="11" spans="1:4">
      <c r="B11" s="318" t="s">
        <v>1120</v>
      </c>
      <c r="C11" s="317">
        <v>300</v>
      </c>
      <c r="D11" s="318" t="s">
        <v>1122</v>
      </c>
    </row>
    <row r="12" spans="1:4">
      <c r="B12" s="318" t="s">
        <v>1127</v>
      </c>
      <c r="C12" s="317">
        <v>85</v>
      </c>
      <c r="D12" s="318" t="s">
        <v>1128</v>
      </c>
    </row>
    <row r="13" spans="1:4">
      <c r="B13" s="318" t="s">
        <v>1126</v>
      </c>
      <c r="C13" s="322">
        <f>C10/C9</f>
        <v>1.5151515151515151</v>
      </c>
      <c r="D13" s="318" t="s">
        <v>952</v>
      </c>
    </row>
    <row r="14" spans="1:4">
      <c r="B14" s="318" t="s">
        <v>1129</v>
      </c>
      <c r="C14" s="322">
        <f>C13*C11*((100-C12)/100)</f>
        <v>68.181818181818187</v>
      </c>
      <c r="D14" s="318" t="s">
        <v>1122</v>
      </c>
    </row>
    <row r="16" spans="1:4">
      <c r="B16" s="319" t="s">
        <v>1119</v>
      </c>
      <c r="C16" s="316">
        <f>C11*C13+C14</f>
        <v>522.72727272727275</v>
      </c>
      <c r="D16" s="318" t="s">
        <v>1125</v>
      </c>
    </row>
  </sheetData>
  <mergeCells count="1">
    <mergeCell ref="A1:C1"/>
  </mergeCells>
  <phoneticPr fontId="42"/>
  <hyperlinks>
    <hyperlink ref="A1:C1" location="目次!A1" display="　目次　" xr:uid="{00000000-0004-0000-4000-000000000000}"/>
  </hyperlinks>
  <pageMargins left="0.69930555555555596" right="0.69930555555555596" top="0.75" bottom="0.75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7"/>
  <sheetViews>
    <sheetView workbookViewId="0">
      <selection sqref="A1:C1"/>
    </sheetView>
  </sheetViews>
  <sheetFormatPr defaultColWidth="4.625" defaultRowHeight="13.5"/>
  <cols>
    <col min="1" max="1" width="9" customWidth="1"/>
  </cols>
  <sheetData>
    <row r="1" spans="1:27">
      <c r="A1" s="686" t="s">
        <v>61</v>
      </c>
      <c r="B1" s="686"/>
      <c r="C1" s="686"/>
    </row>
    <row r="3" spans="1:27" ht="24">
      <c r="B3" s="2" t="s">
        <v>908</v>
      </c>
    </row>
    <row r="6" spans="1:27">
      <c r="C6" s="3" t="s">
        <v>778</v>
      </c>
      <c r="R6" t="s">
        <v>779</v>
      </c>
    </row>
    <row r="8" spans="1:27">
      <c r="D8" t="s">
        <v>781</v>
      </c>
    </row>
    <row r="12" spans="1:27">
      <c r="C12" s="710" t="s">
        <v>909</v>
      </c>
      <c r="D12" s="710"/>
      <c r="E12" s="710"/>
      <c r="F12" s="710"/>
      <c r="G12" s="710"/>
      <c r="H12" s="710"/>
      <c r="I12" s="710">
        <v>5000</v>
      </c>
      <c r="J12" s="710"/>
      <c r="K12" s="710"/>
      <c r="L12" s="710"/>
      <c r="M12" s="710"/>
      <c r="R12" s="741" t="s">
        <v>786</v>
      </c>
      <c r="S12" s="741"/>
      <c r="T12" s="741"/>
      <c r="U12" s="741"/>
      <c r="V12" s="741"/>
      <c r="W12" s="741"/>
      <c r="X12" s="710">
        <v>10</v>
      </c>
      <c r="Y12" s="710"/>
      <c r="Z12" s="710"/>
      <c r="AA12" t="s">
        <v>65</v>
      </c>
    </row>
    <row r="13" spans="1:27">
      <c r="C13" s="710" t="s">
        <v>910</v>
      </c>
      <c r="D13" s="710"/>
      <c r="E13" s="710"/>
      <c r="F13" s="710"/>
      <c r="G13" s="710"/>
      <c r="H13" s="710"/>
      <c r="I13" s="710">
        <v>1</v>
      </c>
      <c r="J13" s="710"/>
      <c r="K13" s="710"/>
      <c r="L13" s="710"/>
      <c r="M13" s="710"/>
      <c r="R13" s="741" t="s">
        <v>788</v>
      </c>
      <c r="S13" s="741"/>
      <c r="T13" s="741"/>
      <c r="U13" s="741"/>
      <c r="V13" s="741"/>
      <c r="W13" s="741"/>
      <c r="X13" s="710">
        <v>0.5</v>
      </c>
      <c r="Y13" s="710"/>
      <c r="Z13" s="710"/>
      <c r="AA13" t="s">
        <v>219</v>
      </c>
    </row>
    <row r="14" spans="1:27">
      <c r="C14" s="710" t="s">
        <v>911</v>
      </c>
      <c r="D14" s="710"/>
      <c r="E14" s="710"/>
      <c r="F14" s="710"/>
      <c r="G14" s="710"/>
      <c r="H14" s="710"/>
      <c r="I14" s="835" t="s">
        <v>772</v>
      </c>
      <c r="J14" s="835"/>
      <c r="K14" s="835"/>
      <c r="L14" s="835"/>
      <c r="M14" s="835"/>
      <c r="R14" s="838" t="s">
        <v>791</v>
      </c>
      <c r="S14" s="838"/>
      <c r="T14" s="838"/>
      <c r="U14" s="838"/>
      <c r="V14" s="838"/>
      <c r="W14" s="838"/>
      <c r="X14" s="710">
        <v>100</v>
      </c>
      <c r="Y14" s="710"/>
      <c r="Z14" s="710"/>
      <c r="AA14" t="s">
        <v>122</v>
      </c>
    </row>
    <row r="15" spans="1:27">
      <c r="C15" s="837" t="s">
        <v>793</v>
      </c>
      <c r="D15" s="837"/>
      <c r="E15" s="837"/>
      <c r="F15" s="837"/>
      <c r="G15" s="837"/>
      <c r="H15" s="837"/>
      <c r="I15" s="834">
        <f>4*PI()*10^-7</f>
        <v>1.2566370614359173E-6</v>
      </c>
      <c r="J15" s="834"/>
      <c r="K15" s="834"/>
      <c r="L15" s="834"/>
      <c r="M15" s="834"/>
      <c r="R15" s="829" t="s">
        <v>794</v>
      </c>
      <c r="S15" s="829"/>
      <c r="T15" s="829"/>
      <c r="U15" s="829"/>
      <c r="V15" s="829"/>
      <c r="W15" s="829"/>
      <c r="X15" s="830">
        <v>3</v>
      </c>
      <c r="Y15" s="830"/>
      <c r="Z15" s="830"/>
      <c r="AA15" t="s">
        <v>358</v>
      </c>
    </row>
    <row r="16" spans="1:27">
      <c r="C16" s="710"/>
      <c r="D16" s="710"/>
      <c r="E16" s="710"/>
      <c r="F16" s="710"/>
      <c r="G16" s="710"/>
      <c r="H16" s="710"/>
      <c r="I16" s="710"/>
      <c r="J16" s="710"/>
      <c r="K16" s="710"/>
      <c r="L16" s="710"/>
      <c r="M16" s="710"/>
      <c r="R16" s="829" t="s">
        <v>796</v>
      </c>
      <c r="S16" s="829"/>
      <c r="T16" s="829"/>
      <c r="U16" s="829"/>
      <c r="V16" s="829"/>
      <c r="W16" s="829"/>
      <c r="X16" s="710">
        <f>X15*X15*PI()</f>
        <v>28.274333882308138</v>
      </c>
      <c r="Y16" s="710"/>
      <c r="Z16" s="710"/>
      <c r="AA16" t="s">
        <v>797</v>
      </c>
    </row>
    <row r="17" spans="3:26">
      <c r="C17" s="710"/>
      <c r="D17" s="710"/>
      <c r="E17" s="710"/>
      <c r="F17" s="710"/>
      <c r="G17" s="710"/>
      <c r="H17" s="710"/>
      <c r="I17" s="710"/>
      <c r="J17" s="710"/>
      <c r="K17" s="710"/>
      <c r="L17" s="710"/>
      <c r="M17" s="710"/>
      <c r="R17" s="744"/>
      <c r="S17" s="744"/>
      <c r="T17" s="744"/>
      <c r="U17" s="744"/>
      <c r="V17" s="744"/>
      <c r="W17" s="744"/>
      <c r="X17" s="710"/>
      <c r="Y17" s="710"/>
      <c r="Z17" s="710"/>
    </row>
  </sheetData>
  <mergeCells count="25">
    <mergeCell ref="C17:H17"/>
    <mergeCell ref="I17:M17"/>
    <mergeCell ref="R17:W17"/>
    <mergeCell ref="X17:Z17"/>
    <mergeCell ref="C15:H15"/>
    <mergeCell ref="I15:M15"/>
    <mergeCell ref="R15:W15"/>
    <mergeCell ref="X15:Z15"/>
    <mergeCell ref="C16:H16"/>
    <mergeCell ref="I16:M16"/>
    <mergeCell ref="R16:W16"/>
    <mergeCell ref="X16:Z16"/>
    <mergeCell ref="C13:H13"/>
    <mergeCell ref="I13:M13"/>
    <mergeCell ref="R13:W13"/>
    <mergeCell ref="X13:Z13"/>
    <mergeCell ref="C14:H14"/>
    <mergeCell ref="I14:M14"/>
    <mergeCell ref="R14:W14"/>
    <mergeCell ref="X14:Z14"/>
    <mergeCell ref="A1:C1"/>
    <mergeCell ref="C12:H12"/>
    <mergeCell ref="I12:M12"/>
    <mergeCell ref="R12:W12"/>
    <mergeCell ref="X12:Z12"/>
  </mergeCells>
  <phoneticPr fontId="42"/>
  <hyperlinks>
    <hyperlink ref="A1:C1" location="目次!A1" display="　目次　" xr:uid="{00000000-0004-0000-4100-000000000000}"/>
  </hyperlinks>
  <pageMargins left="0.69930555555555596" right="0.69930555555555596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9"/>
  <sheetViews>
    <sheetView workbookViewId="0">
      <selection sqref="A1:C1"/>
    </sheetView>
  </sheetViews>
  <sheetFormatPr defaultColWidth="9" defaultRowHeight="13.5"/>
  <cols>
    <col min="1" max="1" width="9" style="231" customWidth="1"/>
    <col min="2" max="16384" width="9" style="231"/>
  </cols>
  <sheetData>
    <row r="1" spans="1:3">
      <c r="A1" s="686" t="s">
        <v>61</v>
      </c>
      <c r="B1" s="686"/>
      <c r="C1" s="686"/>
    </row>
    <row r="19" spans="2:2">
      <c r="B19" s="232" t="s">
        <v>945</v>
      </c>
    </row>
  </sheetData>
  <mergeCells count="1">
    <mergeCell ref="A1:C1"/>
  </mergeCells>
  <phoneticPr fontId="42"/>
  <hyperlinks>
    <hyperlink ref="A1:C1" location="目次!A1" display="　目次　" xr:uid="{00000000-0004-0000-4200-000000000000}"/>
    <hyperlink ref="B19" r:id="rId1" xr:uid="{00000000-0004-0000-4200-000001000000}"/>
  </hyperlinks>
  <pageMargins left="0.69930555555555596" right="0.69930555555555596" top="0.75" bottom="0.75" header="0.3" footer="0.3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29"/>
  <sheetViews>
    <sheetView workbookViewId="0">
      <selection sqref="A1:C1"/>
    </sheetView>
  </sheetViews>
  <sheetFormatPr defaultColWidth="9" defaultRowHeight="13.5"/>
  <cols>
    <col min="1" max="1" width="9" style="231" customWidth="1"/>
    <col min="2" max="16384" width="9" style="231"/>
  </cols>
  <sheetData>
    <row r="1" spans="1:8">
      <c r="A1" s="686" t="s">
        <v>1169</v>
      </c>
      <c r="B1" s="686"/>
      <c r="C1" s="686"/>
    </row>
    <row r="2" spans="1:8">
      <c r="B2" s="234"/>
      <c r="C2" s="231" t="s">
        <v>364</v>
      </c>
    </row>
    <row r="3" spans="1:8">
      <c r="B3" s="36"/>
      <c r="C3" s="231" t="s">
        <v>395</v>
      </c>
    </row>
    <row r="4" spans="1:8">
      <c r="B4" s="35"/>
      <c r="C4" s="231" t="s">
        <v>404</v>
      </c>
    </row>
    <row r="6" spans="1:8">
      <c r="B6" s="235" t="s">
        <v>949</v>
      </c>
      <c r="F6" s="235" t="s">
        <v>954</v>
      </c>
    </row>
    <row r="8" spans="1:8">
      <c r="B8" s="235" t="s">
        <v>948</v>
      </c>
      <c r="F8" s="235" t="s">
        <v>955</v>
      </c>
    </row>
    <row r="10" spans="1:8">
      <c r="B10" s="235" t="s">
        <v>950</v>
      </c>
      <c r="C10" s="234">
        <v>0.5</v>
      </c>
      <c r="D10" s="235" t="s">
        <v>952</v>
      </c>
      <c r="F10" s="235" t="s">
        <v>951</v>
      </c>
      <c r="G10" s="234">
        <v>-15.96</v>
      </c>
      <c r="H10" s="235" t="s">
        <v>956</v>
      </c>
    </row>
    <row r="12" spans="1:8">
      <c r="B12" s="235" t="s">
        <v>951</v>
      </c>
      <c r="C12" s="233">
        <f>10*LOG10(C10)</f>
        <v>-3.0102999566398121</v>
      </c>
      <c r="D12" s="235" t="s">
        <v>953</v>
      </c>
      <c r="F12" s="235" t="s">
        <v>950</v>
      </c>
      <c r="G12" s="233">
        <f>10^(G10/10)</f>
        <v>2.535128630497906E-2</v>
      </c>
      <c r="H12" s="235" t="s">
        <v>952</v>
      </c>
    </row>
    <row r="16" spans="1:8">
      <c r="B16" s="235" t="s">
        <v>960</v>
      </c>
      <c r="C16" s="231">
        <v>7.32</v>
      </c>
    </row>
    <row r="18" spans="3:6">
      <c r="C18" s="231">
        <v>100</v>
      </c>
      <c r="D18" s="235" t="s">
        <v>958</v>
      </c>
      <c r="E18" s="231">
        <v>1</v>
      </c>
      <c r="F18" s="235" t="s">
        <v>959</v>
      </c>
    </row>
    <row r="20" spans="3:6">
      <c r="C20" s="231">
        <f>C18*0.3048</f>
        <v>30.48</v>
      </c>
      <c r="D20" s="235" t="s">
        <v>915</v>
      </c>
      <c r="E20" s="231">
        <f>E18*0.3048</f>
        <v>0.30480000000000002</v>
      </c>
      <c r="F20" s="235" t="s">
        <v>961</v>
      </c>
    </row>
    <row r="22" spans="3:6">
      <c r="C22" s="235"/>
    </row>
    <row r="23" spans="3:6">
      <c r="C23" s="231">
        <f>C16/C20</f>
        <v>0.24015748031496065</v>
      </c>
    </row>
    <row r="26" spans="3:6">
      <c r="C26" s="231">
        <f>C23*E18</f>
        <v>0.24015748031496065</v>
      </c>
    </row>
    <row r="29" spans="3:6">
      <c r="C29" s="231">
        <f>9.95/C20</f>
        <v>0.32644356955380577</v>
      </c>
    </row>
  </sheetData>
  <mergeCells count="1">
    <mergeCell ref="A1:C1"/>
  </mergeCells>
  <phoneticPr fontId="42"/>
  <hyperlinks>
    <hyperlink ref="A1:C1" location="目次!A1" display="　目次　" xr:uid="{00000000-0004-0000-4300-000000000000}"/>
  </hyperlinks>
  <pageMargins left="0.69930555555555596" right="0.69930555555555596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18"/>
  <sheetViews>
    <sheetView workbookViewId="0">
      <selection sqref="A1:C1"/>
    </sheetView>
  </sheetViews>
  <sheetFormatPr defaultColWidth="9" defaultRowHeight="13.5"/>
  <cols>
    <col min="1" max="1" width="9" style="330" customWidth="1"/>
    <col min="2" max="16384" width="9" style="330"/>
  </cols>
  <sheetData>
    <row r="1" spans="1:6">
      <c r="A1" s="686" t="s">
        <v>61</v>
      </c>
      <c r="B1" s="686"/>
      <c r="C1" s="686"/>
    </row>
    <row r="3" spans="1:6" ht="18.75">
      <c r="B3" s="350" t="s">
        <v>1168</v>
      </c>
    </row>
    <row r="5" spans="1:6">
      <c r="B5" s="331"/>
      <c r="C5" s="330" t="s">
        <v>364</v>
      </c>
    </row>
    <row r="6" spans="1:6">
      <c r="B6" s="36"/>
      <c r="C6" s="330" t="s">
        <v>395</v>
      </c>
    </row>
    <row r="7" spans="1:6">
      <c r="B7" s="35"/>
      <c r="C7" s="330" t="s">
        <v>404</v>
      </c>
    </row>
    <row r="9" spans="1:6">
      <c r="B9" s="332" t="s">
        <v>1166</v>
      </c>
    </row>
    <row r="14" spans="1:6">
      <c r="B14" s="330">
        <v>3</v>
      </c>
      <c r="C14" s="330" t="s">
        <v>1164</v>
      </c>
      <c r="E14" s="330">
        <v>0.15</v>
      </c>
      <c r="F14" s="330" t="s">
        <v>1165</v>
      </c>
    </row>
    <row r="15" spans="1:6">
      <c r="B15" s="330">
        <v>0.71299999999999997</v>
      </c>
      <c r="E15" s="330">
        <v>0.71299999999999997</v>
      </c>
    </row>
    <row r="16" spans="1:6">
      <c r="B16" s="330">
        <v>0.34079999999999999</v>
      </c>
      <c r="E16" s="330">
        <v>0.34079999999999999</v>
      </c>
    </row>
    <row r="18" spans="2:6">
      <c r="B18" s="330">
        <f>(B15*B14)-B16</f>
        <v>1.7981999999999998</v>
      </c>
      <c r="C18" s="332" t="s">
        <v>1167</v>
      </c>
      <c r="E18" s="330">
        <f>(E14+E16)/E15</f>
        <v>0.68835904628331002</v>
      </c>
      <c r="F18" s="330" t="s">
        <v>1164</v>
      </c>
    </row>
  </sheetData>
  <mergeCells count="1">
    <mergeCell ref="A1:C1"/>
  </mergeCells>
  <phoneticPr fontId="42"/>
  <hyperlinks>
    <hyperlink ref="A1:C1" location="目次!A1" display="　目次　" xr:uid="{00000000-0004-0000-4400-000000000000}"/>
  </hyperlinks>
  <pageMargins left="0.69930555555555596" right="0.69930555555555596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65"/>
  <sheetViews>
    <sheetView workbookViewId="0">
      <selection activeCell="K40" sqref="K40"/>
    </sheetView>
  </sheetViews>
  <sheetFormatPr defaultColWidth="9" defaultRowHeight="13.5"/>
  <cols>
    <col min="1" max="1" width="4.375" style="304" customWidth="1"/>
    <col min="2" max="16384" width="9" style="304"/>
  </cols>
  <sheetData>
    <row r="1" spans="1:3" s="301" customFormat="1">
      <c r="A1" s="686" t="s">
        <v>61</v>
      </c>
      <c r="B1" s="686"/>
      <c r="C1" s="686"/>
    </row>
    <row r="2" spans="1:3" s="301" customFormat="1">
      <c r="B2" s="302"/>
      <c r="C2" s="301" t="s">
        <v>364</v>
      </c>
    </row>
    <row r="3" spans="1:3" s="301" customFormat="1">
      <c r="B3" s="36"/>
      <c r="C3" s="301" t="s">
        <v>395</v>
      </c>
    </row>
    <row r="4" spans="1:3" s="301" customFormat="1">
      <c r="B4" s="35"/>
      <c r="C4" s="301" t="s">
        <v>404</v>
      </c>
    </row>
    <row r="6" spans="1:3" ht="24">
      <c r="B6" s="306" t="s">
        <v>1087</v>
      </c>
    </row>
    <row r="9" spans="1:3">
      <c r="B9" s="314" t="s">
        <v>1097</v>
      </c>
    </row>
    <row r="28" spans="2:3">
      <c r="B28" s="304" t="s">
        <v>1083</v>
      </c>
      <c r="C28" s="304">
        <v>1.25</v>
      </c>
    </row>
    <row r="29" spans="2:3">
      <c r="B29" s="304" t="s">
        <v>1084</v>
      </c>
      <c r="C29" s="304">
        <v>122.9</v>
      </c>
    </row>
    <row r="30" spans="2:3">
      <c r="B30" s="304" t="s">
        <v>1085</v>
      </c>
      <c r="C30" s="304">
        <v>404</v>
      </c>
    </row>
    <row r="32" spans="2:3">
      <c r="C32" s="304">
        <f>C28*(C30/(C29+1))</f>
        <v>4.0758676351896685</v>
      </c>
    </row>
    <row r="36" spans="2:2">
      <c r="B36" s="303" t="s">
        <v>1086</v>
      </c>
    </row>
    <row r="61" spans="3:5">
      <c r="C61" s="305" t="s">
        <v>1091</v>
      </c>
      <c r="D61" s="304">
        <v>1.25</v>
      </c>
      <c r="E61" s="305" t="s">
        <v>1092</v>
      </c>
    </row>
    <row r="62" spans="3:5">
      <c r="C62" s="305" t="s">
        <v>1089</v>
      </c>
      <c r="D62" s="304">
        <v>120</v>
      </c>
      <c r="E62" s="305" t="s">
        <v>1093</v>
      </c>
    </row>
    <row r="63" spans="3:5">
      <c r="C63" s="305" t="s">
        <v>1090</v>
      </c>
      <c r="D63" s="304">
        <v>270</v>
      </c>
      <c r="E63" s="305" t="s">
        <v>1094</v>
      </c>
    </row>
    <row r="65" spans="3:5">
      <c r="C65" s="305" t="s">
        <v>1095</v>
      </c>
      <c r="D65" s="304">
        <f>D61*(1+D63/D62)</f>
        <v>4.0625</v>
      </c>
      <c r="E65" s="305" t="s">
        <v>1096</v>
      </c>
    </row>
  </sheetData>
  <mergeCells count="1">
    <mergeCell ref="A1:C1"/>
  </mergeCells>
  <phoneticPr fontId="55"/>
  <hyperlinks>
    <hyperlink ref="A1:C1" location="目次!A1" display="　目次　" xr:uid="{00000000-0004-0000-4500-000000000000}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12"/>
  <sheetViews>
    <sheetView workbookViewId="0">
      <selection sqref="A1:C1"/>
    </sheetView>
  </sheetViews>
  <sheetFormatPr defaultColWidth="9" defaultRowHeight="13.5"/>
  <cols>
    <col min="1" max="1" width="4.125" style="361" customWidth="1"/>
    <col min="2" max="3" width="9" style="361"/>
    <col min="4" max="4" width="9.75" style="361" customWidth="1"/>
    <col min="5" max="16384" width="9" style="361"/>
  </cols>
  <sheetData>
    <row r="1" spans="1:7">
      <c r="A1" s="870" t="s">
        <v>61</v>
      </c>
      <c r="B1" s="870"/>
      <c r="C1" s="870"/>
    </row>
    <row r="2" spans="1:7">
      <c r="B2" s="362"/>
      <c r="C2" s="361" t="s">
        <v>364</v>
      </c>
      <c r="G2" s="363" t="s">
        <v>1191</v>
      </c>
    </row>
    <row r="3" spans="1:7">
      <c r="B3" s="364"/>
      <c r="C3" s="361" t="s">
        <v>395</v>
      </c>
    </row>
    <row r="4" spans="1:7">
      <c r="B4" s="365"/>
      <c r="C4" s="361" t="s">
        <v>404</v>
      </c>
    </row>
    <row r="6" spans="1:7" ht="24">
      <c r="B6" s="366" t="s">
        <v>1190</v>
      </c>
    </row>
    <row r="8" spans="1:7">
      <c r="B8" s="361" t="s">
        <v>1192</v>
      </c>
      <c r="D8" s="362">
        <v>1000</v>
      </c>
      <c r="E8" s="361" t="s">
        <v>1198</v>
      </c>
    </row>
    <row r="9" spans="1:7">
      <c r="B9" s="871" t="s">
        <v>1193</v>
      </c>
      <c r="C9" s="871"/>
      <c r="D9" s="362">
        <v>10</v>
      </c>
      <c r="E9" s="361" t="s">
        <v>1194</v>
      </c>
    </row>
    <row r="11" spans="1:7">
      <c r="B11" s="872" t="s">
        <v>1195</v>
      </c>
      <c r="C11" s="872"/>
      <c r="D11" s="367">
        <f>D8*D9</f>
        <v>10000</v>
      </c>
      <c r="E11" s="361" t="s">
        <v>1199</v>
      </c>
    </row>
    <row r="12" spans="1:7">
      <c r="B12" s="872" t="s">
        <v>1197</v>
      </c>
      <c r="C12" s="872"/>
      <c r="D12" s="367">
        <f>1/D11</f>
        <v>1E-4</v>
      </c>
      <c r="E12" s="361" t="s">
        <v>1196</v>
      </c>
    </row>
  </sheetData>
  <mergeCells count="4">
    <mergeCell ref="A1:C1"/>
    <mergeCell ref="B9:C9"/>
    <mergeCell ref="B11:C11"/>
    <mergeCell ref="B12:C12"/>
  </mergeCells>
  <phoneticPr fontId="42"/>
  <hyperlinks>
    <hyperlink ref="A1:C1" location="目次!A1" display="　目次　" xr:uid="{00000000-0004-0000-4600-000000000000}"/>
    <hyperlink ref="G2" r:id="rId1" xr:uid="{00000000-0004-0000-4600-000001000000}"/>
  </hyperlinks>
  <pageMargins left="0.69930555555555596" right="0.69930555555555596" top="0.75" bottom="0.75" header="0.3" footer="0.3"/>
  <pageSetup paperSize="9" orientation="portrait" r:id="rId2"/>
  <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15"/>
  <sheetViews>
    <sheetView workbookViewId="0">
      <selection sqref="A1:C1"/>
    </sheetView>
  </sheetViews>
  <sheetFormatPr defaultColWidth="9" defaultRowHeight="13.5"/>
  <cols>
    <col min="1" max="1" width="4.125" style="358" customWidth="1"/>
    <col min="2" max="2" width="15.875" style="358" customWidth="1"/>
    <col min="3" max="3" width="9" style="358"/>
    <col min="4" max="4" width="9.75" style="358" customWidth="1"/>
    <col min="5" max="5" width="9" style="358"/>
    <col min="6" max="6" width="15.125" style="358" customWidth="1"/>
    <col min="7" max="7" width="10.25" style="358" customWidth="1"/>
    <col min="8" max="16384" width="9" style="358"/>
  </cols>
  <sheetData>
    <row r="1" spans="1:8">
      <c r="A1" s="686" t="s">
        <v>61</v>
      </c>
      <c r="B1" s="686"/>
      <c r="C1" s="686"/>
    </row>
    <row r="2" spans="1:8">
      <c r="B2" s="359"/>
      <c r="C2" s="358" t="s">
        <v>364</v>
      </c>
      <c r="F2" s="360"/>
    </row>
    <row r="3" spans="1:8">
      <c r="B3" s="369"/>
      <c r="C3" s="358" t="s">
        <v>395</v>
      </c>
      <c r="F3" s="360"/>
      <c r="H3" s="360"/>
    </row>
    <row r="4" spans="1:8">
      <c r="B4" s="35"/>
      <c r="C4" s="358" t="s">
        <v>404</v>
      </c>
      <c r="F4" s="360"/>
      <c r="H4" s="360"/>
    </row>
    <row r="6" spans="1:8" ht="21">
      <c r="B6" s="22" t="s">
        <v>1205</v>
      </c>
    </row>
    <row r="9" spans="1:8">
      <c r="B9" s="360" t="s">
        <v>1207</v>
      </c>
      <c r="C9" s="370">
        <v>5</v>
      </c>
      <c r="D9" s="360" t="s">
        <v>1209</v>
      </c>
      <c r="F9" s="360" t="s">
        <v>1207</v>
      </c>
      <c r="G9" s="370">
        <v>5</v>
      </c>
      <c r="H9" s="360" t="s">
        <v>1209</v>
      </c>
    </row>
    <row r="10" spans="1:8">
      <c r="B10" s="360" t="s">
        <v>1208</v>
      </c>
      <c r="C10" s="370">
        <v>3.3</v>
      </c>
      <c r="D10" s="360" t="s">
        <v>1209</v>
      </c>
      <c r="F10" s="360" t="s">
        <v>1208</v>
      </c>
      <c r="G10" s="370">
        <v>3.3</v>
      </c>
      <c r="H10" s="360" t="s">
        <v>1209</v>
      </c>
    </row>
    <row r="11" spans="1:8">
      <c r="B11" s="360" t="s">
        <v>1206</v>
      </c>
      <c r="C11" s="322">
        <f>C10/C9</f>
        <v>0.65999999999999992</v>
      </c>
      <c r="D11" s="360" t="s">
        <v>952</v>
      </c>
      <c r="F11" s="360" t="s">
        <v>1206</v>
      </c>
      <c r="G11" s="322">
        <f>G10/G9</f>
        <v>0.65999999999999992</v>
      </c>
      <c r="H11" s="360" t="s">
        <v>952</v>
      </c>
    </row>
    <row r="12" spans="1:8">
      <c r="B12" s="360" t="s">
        <v>1127</v>
      </c>
      <c r="C12" s="370">
        <v>100</v>
      </c>
      <c r="D12" s="360" t="s">
        <v>1067</v>
      </c>
      <c r="F12" s="360" t="s">
        <v>1127</v>
      </c>
      <c r="G12" s="370">
        <v>100</v>
      </c>
      <c r="H12" s="360" t="s">
        <v>1067</v>
      </c>
    </row>
    <row r="13" spans="1:8">
      <c r="B13" s="360" t="s">
        <v>1211</v>
      </c>
      <c r="C13" s="322">
        <v>255</v>
      </c>
      <c r="D13" s="360" t="s">
        <v>1122</v>
      </c>
      <c r="F13" s="360" t="s">
        <v>1210</v>
      </c>
      <c r="G13" s="322">
        <v>127.5</v>
      </c>
      <c r="H13" s="360" t="s">
        <v>1122</v>
      </c>
    </row>
    <row r="15" spans="1:8">
      <c r="B15" s="360" t="s">
        <v>1210</v>
      </c>
      <c r="C15" s="369">
        <f>C13/C11*(1+(1-C12/100))</f>
        <v>386.36363636363643</v>
      </c>
      <c r="D15" s="360" t="s">
        <v>1122</v>
      </c>
      <c r="F15" s="360" t="s">
        <v>1211</v>
      </c>
      <c r="G15" s="369">
        <f>G13*G11*(1+(1-G12/100))</f>
        <v>84.149999999999991</v>
      </c>
      <c r="H15" s="360" t="s">
        <v>1122</v>
      </c>
    </row>
  </sheetData>
  <mergeCells count="1">
    <mergeCell ref="A1:C1"/>
  </mergeCells>
  <phoneticPr fontId="42"/>
  <hyperlinks>
    <hyperlink ref="A1:C1" location="目次!A1" display="　目次　" xr:uid="{00000000-0004-0000-4700-000000000000}"/>
  </hyperlinks>
  <pageMargins left="0.69930555555555596" right="0.69930555555555596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I24"/>
  <sheetViews>
    <sheetView workbookViewId="0">
      <selection sqref="A1:C1"/>
    </sheetView>
  </sheetViews>
  <sheetFormatPr defaultColWidth="9" defaultRowHeight="13.5"/>
  <cols>
    <col min="1" max="1" width="4.125" style="345" customWidth="1"/>
    <col min="2" max="3" width="9" style="345"/>
    <col min="4" max="4" width="9.75" style="345" customWidth="1"/>
    <col min="5" max="16384" width="9" style="345"/>
  </cols>
  <sheetData>
    <row r="1" spans="1:9">
      <c r="A1" s="686" t="s">
        <v>61</v>
      </c>
      <c r="B1" s="686"/>
      <c r="C1" s="686"/>
    </row>
    <row r="2" spans="1:9">
      <c r="B2" s="347"/>
      <c r="C2" s="345" t="s">
        <v>364</v>
      </c>
      <c r="F2" s="349" t="s">
        <v>1175</v>
      </c>
    </row>
    <row r="3" spans="1:9">
      <c r="B3" s="36"/>
      <c r="C3" s="345" t="s">
        <v>395</v>
      </c>
      <c r="F3" s="349" t="s">
        <v>1172</v>
      </c>
      <c r="H3" s="349" t="s">
        <v>1173</v>
      </c>
    </row>
    <row r="4" spans="1:9">
      <c r="B4" s="35"/>
      <c r="C4" s="345" t="s">
        <v>404</v>
      </c>
      <c r="F4" s="349" t="s">
        <v>1171</v>
      </c>
      <c r="H4" s="349" t="s">
        <v>1174</v>
      </c>
    </row>
    <row r="5" spans="1:9">
      <c r="B5" s="3" t="s">
        <v>1187</v>
      </c>
    </row>
    <row r="9" spans="1:9">
      <c r="B9" s="873" t="s">
        <v>1170</v>
      </c>
      <c r="C9" s="873"/>
      <c r="D9" s="347">
        <v>6000</v>
      </c>
      <c r="E9" s="349" t="s">
        <v>1176</v>
      </c>
      <c r="F9" s="348">
        <f>D9/1000</f>
        <v>6</v>
      </c>
      <c r="G9" s="349" t="s">
        <v>1177</v>
      </c>
      <c r="H9" s="348">
        <f>F9/1000</f>
        <v>6.0000000000000001E-3</v>
      </c>
      <c r="I9" s="349" t="s">
        <v>1178</v>
      </c>
    </row>
    <row r="10" spans="1:9">
      <c r="B10" s="873" t="s">
        <v>1171</v>
      </c>
      <c r="C10" s="873"/>
      <c r="D10" s="347">
        <v>4.2</v>
      </c>
      <c r="E10" s="349" t="s">
        <v>1179</v>
      </c>
    </row>
    <row r="11" spans="1:9">
      <c r="B11" s="874" t="s">
        <v>1180</v>
      </c>
      <c r="C11" s="874"/>
      <c r="D11" s="347">
        <v>2</v>
      </c>
      <c r="E11" s="349" t="s">
        <v>1181</v>
      </c>
    </row>
    <row r="12" spans="1:9">
      <c r="B12" s="873" t="s">
        <v>1183</v>
      </c>
      <c r="C12" s="791"/>
      <c r="D12" s="348">
        <f>100-(D11/D10*100)</f>
        <v>52.380952380952387</v>
      </c>
      <c r="E12" s="349" t="s">
        <v>1182</v>
      </c>
    </row>
    <row r="14" spans="1:9">
      <c r="B14" s="873" t="s">
        <v>1184</v>
      </c>
      <c r="C14" s="791"/>
      <c r="D14" s="346">
        <f>(((D9/10^6)*D10)/3600)*(D12/100)*1000</f>
        <v>3.666666666666667E-3</v>
      </c>
      <c r="E14" s="349" t="s">
        <v>1185</v>
      </c>
    </row>
    <row r="21" spans="2:9">
      <c r="B21" s="873" t="s">
        <v>1184</v>
      </c>
      <c r="C21" s="791"/>
      <c r="D21" s="347">
        <v>400</v>
      </c>
      <c r="E21" s="349" t="s">
        <v>1185</v>
      </c>
      <c r="F21" s="349"/>
    </row>
    <row r="22" spans="2:9">
      <c r="B22" s="873" t="s">
        <v>1171</v>
      </c>
      <c r="C22" s="873"/>
      <c r="D22" s="347">
        <v>4</v>
      </c>
      <c r="E22" s="349" t="s">
        <v>1179</v>
      </c>
    </row>
    <row r="24" spans="2:9">
      <c r="B24" s="873" t="s">
        <v>1170</v>
      </c>
      <c r="C24" s="873"/>
      <c r="D24" s="346">
        <f>(D21*1000*3600)/D22</f>
        <v>360000000</v>
      </c>
      <c r="E24" s="349" t="s">
        <v>1186</v>
      </c>
      <c r="F24" s="346">
        <f>D24/1000</f>
        <v>360000</v>
      </c>
      <c r="G24" s="349" t="s">
        <v>1177</v>
      </c>
      <c r="H24" s="346">
        <f>F24/1000</f>
        <v>360</v>
      </c>
      <c r="I24" s="349" t="s">
        <v>1178</v>
      </c>
    </row>
  </sheetData>
  <mergeCells count="9">
    <mergeCell ref="B21:C21"/>
    <mergeCell ref="B22:C22"/>
    <mergeCell ref="B24:C24"/>
    <mergeCell ref="A1:C1"/>
    <mergeCell ref="B9:C9"/>
    <mergeCell ref="B10:C10"/>
    <mergeCell ref="B11:C11"/>
    <mergeCell ref="B12:C12"/>
    <mergeCell ref="B14:C14"/>
  </mergeCells>
  <phoneticPr fontId="42"/>
  <hyperlinks>
    <hyperlink ref="A1:C1" location="目次!A1" display="　目次　" xr:uid="{00000000-0004-0000-4800-000000000000}"/>
  </hyperlinks>
  <pageMargins left="0.69930555555555596" right="0.69930555555555596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32"/>
  <sheetViews>
    <sheetView zoomScale="115" zoomScaleNormal="115" workbookViewId="0">
      <selection sqref="A1:C1"/>
    </sheetView>
  </sheetViews>
  <sheetFormatPr defaultColWidth="9" defaultRowHeight="13.5"/>
  <cols>
    <col min="1" max="1" width="4.125" style="401" customWidth="1"/>
    <col min="2" max="2" width="3" style="401" customWidth="1"/>
    <col min="3" max="3" width="13.75" style="401" customWidth="1"/>
    <col min="4" max="4" width="7.625" style="401" customWidth="1"/>
    <col min="5" max="5" width="4.5" style="401" customWidth="1"/>
    <col min="6" max="6" width="7.75" style="401" customWidth="1"/>
    <col min="7" max="7" width="15" style="401" customWidth="1"/>
    <col min="8" max="8" width="7.75" style="401" customWidth="1"/>
    <col min="9" max="9" width="3.375" style="401" customWidth="1"/>
    <col min="10" max="10" width="5.5" style="401" customWidth="1"/>
    <col min="11" max="16384" width="9" style="401"/>
  </cols>
  <sheetData>
    <row r="1" spans="1:10">
      <c r="A1" s="686" t="s">
        <v>61</v>
      </c>
      <c r="B1" s="686"/>
      <c r="C1" s="686"/>
    </row>
    <row r="2" spans="1:10">
      <c r="B2" s="402"/>
      <c r="C2" s="401" t="s">
        <v>364</v>
      </c>
      <c r="H2" s="404"/>
    </row>
    <row r="3" spans="1:10">
      <c r="B3" s="36"/>
      <c r="C3" s="401" t="s">
        <v>395</v>
      </c>
      <c r="H3" s="404"/>
      <c r="J3" s="404"/>
    </row>
    <row r="4" spans="1:10">
      <c r="B4" s="35"/>
      <c r="C4" s="401" t="s">
        <v>404</v>
      </c>
      <c r="H4" s="404"/>
      <c r="J4" s="404"/>
    </row>
    <row r="6" spans="1:10" ht="24">
      <c r="B6" s="2" t="s">
        <v>1212</v>
      </c>
    </row>
    <row r="7" spans="1:10" ht="14.25" thickBot="1"/>
    <row r="8" spans="1:10">
      <c r="B8" s="410" t="s">
        <v>1222</v>
      </c>
      <c r="C8" s="406"/>
      <c r="D8" s="75"/>
      <c r="E8" s="75"/>
      <c r="F8" s="75"/>
      <c r="G8" s="75"/>
      <c r="H8" s="75"/>
      <c r="I8" s="75"/>
      <c r="J8" s="81"/>
    </row>
    <row r="9" spans="1:10">
      <c r="B9" s="76"/>
      <c r="C9" s="407" t="s">
        <v>1213</v>
      </c>
      <c r="D9" s="63"/>
      <c r="E9" s="63"/>
      <c r="F9" s="63"/>
      <c r="G9" s="63"/>
      <c r="H9" s="63"/>
      <c r="I9" s="63"/>
      <c r="J9" s="82"/>
    </row>
    <row r="10" spans="1:10">
      <c r="B10" s="76"/>
      <c r="C10" s="407" t="s">
        <v>1214</v>
      </c>
      <c r="D10" s="63"/>
      <c r="E10" s="63"/>
      <c r="F10" s="63"/>
      <c r="G10" s="63"/>
      <c r="H10" s="63"/>
      <c r="I10" s="63"/>
      <c r="J10" s="82"/>
    </row>
    <row r="11" spans="1:10">
      <c r="B11" s="76"/>
      <c r="C11" s="63"/>
      <c r="D11" s="63"/>
      <c r="E11" s="63"/>
      <c r="F11" s="63"/>
      <c r="G11" s="63"/>
      <c r="H11" s="63"/>
      <c r="I11" s="63"/>
      <c r="J11" s="82"/>
    </row>
    <row r="12" spans="1:10">
      <c r="B12" s="76"/>
      <c r="C12" s="407" t="s">
        <v>1215</v>
      </c>
      <c r="D12" s="63"/>
      <c r="E12" s="63"/>
      <c r="F12" s="63"/>
      <c r="G12" s="407" t="s">
        <v>1215</v>
      </c>
      <c r="H12" s="63"/>
      <c r="I12" s="63"/>
      <c r="J12" s="82"/>
    </row>
    <row r="13" spans="1:10">
      <c r="B13" s="76"/>
      <c r="C13" s="63"/>
      <c r="D13" s="63"/>
      <c r="E13" s="63"/>
      <c r="F13" s="63"/>
      <c r="G13" s="63"/>
      <c r="H13" s="63"/>
      <c r="I13" s="63"/>
      <c r="J13" s="82"/>
    </row>
    <row r="14" spans="1:10">
      <c r="B14" s="76"/>
      <c r="C14" s="408" t="s">
        <v>1216</v>
      </c>
      <c r="D14" s="403">
        <v>2000</v>
      </c>
      <c r="E14" s="407" t="s">
        <v>1217</v>
      </c>
      <c r="F14" s="63"/>
      <c r="G14" s="407" t="s">
        <v>1220</v>
      </c>
      <c r="H14" s="403">
        <v>500</v>
      </c>
      <c r="I14" s="407" t="s">
        <v>1221</v>
      </c>
      <c r="J14" s="82"/>
    </row>
    <row r="15" spans="1:10">
      <c r="B15" s="76"/>
      <c r="C15" s="408" t="s">
        <v>1218</v>
      </c>
      <c r="D15" s="403">
        <v>2</v>
      </c>
      <c r="E15" s="407" t="s">
        <v>915</v>
      </c>
      <c r="F15" s="63"/>
      <c r="G15" s="408" t="s">
        <v>1218</v>
      </c>
      <c r="H15" s="403">
        <v>2</v>
      </c>
      <c r="I15" s="407" t="s">
        <v>915</v>
      </c>
      <c r="J15" s="82"/>
    </row>
    <row r="16" spans="1:10">
      <c r="B16" s="76"/>
      <c r="C16" s="63"/>
      <c r="D16" s="63"/>
      <c r="E16" s="63"/>
      <c r="F16" s="63"/>
      <c r="G16" s="63"/>
      <c r="H16" s="63"/>
      <c r="I16" s="63"/>
      <c r="J16" s="82"/>
    </row>
    <row r="17" spans="2:10">
      <c r="B17" s="76"/>
      <c r="C17" s="407" t="s">
        <v>1220</v>
      </c>
      <c r="D17" s="409">
        <f>D14/(D15^2)</f>
        <v>500</v>
      </c>
      <c r="E17" s="407" t="s">
        <v>1219</v>
      </c>
      <c r="F17" s="63"/>
      <c r="G17" s="407" t="s">
        <v>1216</v>
      </c>
      <c r="H17" s="409">
        <f>H14*H15^2</f>
        <v>2000</v>
      </c>
      <c r="I17" s="407" t="s">
        <v>1217</v>
      </c>
      <c r="J17" s="82"/>
    </row>
    <row r="18" spans="2:10" ht="14.25" thickBot="1">
      <c r="B18" s="77"/>
      <c r="C18" s="78"/>
      <c r="D18" s="78"/>
      <c r="E18" s="78"/>
      <c r="F18" s="78"/>
      <c r="G18" s="78"/>
      <c r="H18" s="78"/>
      <c r="I18" s="78"/>
      <c r="J18" s="83"/>
    </row>
    <row r="20" spans="2:10" ht="14.25" thickBot="1"/>
    <row r="21" spans="2:10">
      <c r="B21" s="410" t="s">
        <v>1223</v>
      </c>
      <c r="C21" s="75"/>
      <c r="D21" s="75"/>
      <c r="E21" s="75"/>
      <c r="F21" s="75"/>
      <c r="G21" s="75"/>
      <c r="H21" s="75"/>
      <c r="I21" s="75"/>
      <c r="J21" s="81"/>
    </row>
    <row r="22" spans="2:10">
      <c r="B22" s="76"/>
      <c r="C22" s="407" t="s">
        <v>1224</v>
      </c>
      <c r="D22" s="63"/>
      <c r="E22" s="63"/>
      <c r="F22" s="63"/>
      <c r="G22" s="63"/>
      <c r="H22" s="63"/>
      <c r="I22" s="63"/>
      <c r="J22" s="82"/>
    </row>
    <row r="23" spans="2:10">
      <c r="B23" s="76"/>
      <c r="C23" s="407" t="s">
        <v>1226</v>
      </c>
      <c r="D23" s="63"/>
      <c r="E23" s="63"/>
      <c r="F23" s="63"/>
      <c r="G23" s="63"/>
      <c r="H23" s="63"/>
      <c r="I23" s="63"/>
      <c r="J23" s="82"/>
    </row>
    <row r="24" spans="2:10">
      <c r="B24" s="76"/>
      <c r="C24" s="63"/>
      <c r="D24" s="63"/>
      <c r="E24" s="63"/>
      <c r="F24" s="63"/>
      <c r="G24" s="63"/>
      <c r="H24" s="63"/>
      <c r="I24" s="63"/>
      <c r="J24" s="82"/>
    </row>
    <row r="25" spans="2:10">
      <c r="B25" s="76"/>
      <c r="C25" s="407" t="s">
        <v>1227</v>
      </c>
      <c r="D25" s="63"/>
      <c r="E25" s="63"/>
      <c r="F25" s="63"/>
      <c r="G25" s="63"/>
      <c r="H25" s="63"/>
      <c r="I25" s="63"/>
      <c r="J25" s="82"/>
    </row>
    <row r="26" spans="2:10">
      <c r="B26" s="411" t="s">
        <v>1228</v>
      </c>
      <c r="C26" s="407" t="s">
        <v>1229</v>
      </c>
      <c r="D26" s="63"/>
      <c r="E26" s="63"/>
      <c r="F26" s="63"/>
      <c r="G26" s="63"/>
      <c r="H26" s="63"/>
      <c r="I26" s="63"/>
      <c r="J26" s="82"/>
    </row>
    <row r="27" spans="2:10">
      <c r="B27" s="76"/>
      <c r="C27" s="63"/>
      <c r="D27" s="63"/>
      <c r="E27" s="63"/>
      <c r="F27" s="63"/>
      <c r="G27" s="63"/>
      <c r="H27" s="63"/>
      <c r="I27" s="63"/>
      <c r="J27" s="82"/>
    </row>
    <row r="28" spans="2:10">
      <c r="B28" s="76"/>
      <c r="C28" s="407" t="s">
        <v>1231</v>
      </c>
      <c r="D28" s="412">
        <v>1.46</v>
      </c>
      <c r="E28" s="407" t="s">
        <v>1230</v>
      </c>
      <c r="F28" s="63"/>
      <c r="G28" s="407" t="s">
        <v>1231</v>
      </c>
      <c r="H28" s="412">
        <v>1.46</v>
      </c>
      <c r="I28" s="407" t="s">
        <v>1230</v>
      </c>
      <c r="J28" s="82"/>
    </row>
    <row r="29" spans="2:10">
      <c r="B29" s="76"/>
      <c r="C29" s="408" t="s">
        <v>1220</v>
      </c>
      <c r="D29" s="403">
        <v>1</v>
      </c>
      <c r="E29" s="407" t="s">
        <v>1221</v>
      </c>
      <c r="F29" s="63"/>
      <c r="G29" s="407" t="s">
        <v>1225</v>
      </c>
      <c r="H29" s="403">
        <v>5</v>
      </c>
      <c r="I29" s="407" t="s">
        <v>1230</v>
      </c>
      <c r="J29" s="82"/>
    </row>
    <row r="30" spans="2:10">
      <c r="B30" s="76"/>
      <c r="C30" s="63"/>
      <c r="D30" s="63"/>
      <c r="E30" s="63"/>
      <c r="F30" s="63"/>
      <c r="G30" s="63"/>
      <c r="H30" s="63"/>
      <c r="I30" s="63"/>
      <c r="J30" s="82"/>
    </row>
    <row r="31" spans="2:10">
      <c r="B31" s="76"/>
      <c r="C31" s="408" t="s">
        <v>1225</v>
      </c>
      <c r="D31" s="413">
        <f>D28*D29</f>
        <v>1.46</v>
      </c>
      <c r="E31" s="407" t="s">
        <v>1230</v>
      </c>
      <c r="F31" s="63"/>
      <c r="G31" s="407" t="s">
        <v>1220</v>
      </c>
      <c r="H31" s="413">
        <f>H29/H28</f>
        <v>3.4246575342465753</v>
      </c>
      <c r="I31" s="407" t="s">
        <v>1221</v>
      </c>
      <c r="J31" s="82"/>
    </row>
    <row r="32" spans="2:10" ht="14.25" thickBot="1">
      <c r="B32" s="77"/>
      <c r="C32" s="78"/>
      <c r="D32" s="78"/>
      <c r="E32" s="78"/>
      <c r="F32" s="78"/>
      <c r="G32" s="78"/>
      <c r="H32" s="78"/>
      <c r="I32" s="78"/>
      <c r="J32" s="83"/>
    </row>
  </sheetData>
  <mergeCells count="1">
    <mergeCell ref="A1:C1"/>
  </mergeCells>
  <phoneticPr fontId="42"/>
  <hyperlinks>
    <hyperlink ref="A1:C1" location="目次!A1" display="　目次　" xr:uid="{00000000-0004-0000-4900-000000000000}"/>
  </hyperlinks>
  <pageMargins left="0.69930555555555596" right="0.69930555555555596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080D-53F3-42F3-AAB8-D864587C37D2}">
  <dimension ref="A1:I24"/>
  <sheetViews>
    <sheetView workbookViewId="0">
      <selection sqref="A1:D1"/>
    </sheetView>
  </sheetViews>
  <sheetFormatPr defaultColWidth="3.75" defaultRowHeight="13.5"/>
  <cols>
    <col min="1" max="16384" width="3.75" style="469"/>
  </cols>
  <sheetData>
    <row r="1" spans="1:9">
      <c r="A1" s="686" t="s">
        <v>61</v>
      </c>
      <c r="B1" s="686"/>
      <c r="C1" s="686"/>
      <c r="D1" s="686"/>
    </row>
    <row r="2" spans="1:9">
      <c r="B2" s="470"/>
      <c r="C2" s="470"/>
      <c r="D2" s="469" t="s">
        <v>364</v>
      </c>
      <c r="G2" s="471"/>
    </row>
    <row r="3" spans="1:9">
      <c r="B3" s="36"/>
      <c r="C3" s="36"/>
      <c r="D3" s="469" t="s">
        <v>395</v>
      </c>
      <c r="G3" s="471"/>
      <c r="I3" s="471"/>
    </row>
    <row r="4" spans="1:9">
      <c r="B4" s="35"/>
      <c r="C4" s="35"/>
      <c r="D4" s="469" t="s">
        <v>404</v>
      </c>
      <c r="G4" s="471"/>
      <c r="I4" s="471"/>
    </row>
    <row r="6" spans="1:9" ht="21">
      <c r="B6" s="22" t="s">
        <v>1344</v>
      </c>
    </row>
    <row r="17" spans="2:8">
      <c r="B17" s="707" t="s">
        <v>1121</v>
      </c>
      <c r="C17" s="707"/>
      <c r="D17" s="707"/>
      <c r="E17" s="709">
        <v>48</v>
      </c>
      <c r="F17" s="709"/>
      <c r="G17" s="709"/>
      <c r="H17" s="471" t="s">
        <v>1064</v>
      </c>
    </row>
    <row r="18" spans="2:8">
      <c r="B18" s="707" t="s">
        <v>1063</v>
      </c>
      <c r="C18" s="707"/>
      <c r="D18" s="707"/>
      <c r="E18" s="709">
        <v>10</v>
      </c>
      <c r="F18" s="709"/>
      <c r="G18" s="709"/>
      <c r="H18" s="471" t="s">
        <v>1064</v>
      </c>
    </row>
    <row r="19" spans="2:8">
      <c r="B19" s="707" t="s">
        <v>1127</v>
      </c>
      <c r="C19" s="707"/>
      <c r="D19" s="707"/>
      <c r="E19" s="709">
        <v>80</v>
      </c>
      <c r="F19" s="709"/>
      <c r="G19" s="709"/>
      <c r="H19" s="471" t="s">
        <v>1067</v>
      </c>
    </row>
    <row r="20" spans="2:8">
      <c r="B20" s="707" t="s">
        <v>1120</v>
      </c>
      <c r="C20" s="707"/>
      <c r="D20" s="707"/>
      <c r="E20" s="836">
        <v>0.3</v>
      </c>
      <c r="F20" s="836"/>
      <c r="G20" s="836"/>
      <c r="H20" s="471" t="s">
        <v>1269</v>
      </c>
    </row>
    <row r="21" spans="2:8">
      <c r="B21" s="710"/>
      <c r="C21" s="710"/>
      <c r="D21" s="710"/>
      <c r="E21" s="710"/>
      <c r="F21" s="710"/>
      <c r="G21" s="710"/>
    </row>
    <row r="22" spans="2:8">
      <c r="B22" s="711" t="s">
        <v>1342</v>
      </c>
      <c r="C22" s="711"/>
      <c r="D22" s="711"/>
      <c r="E22" s="875">
        <f>E18*E20</f>
        <v>3</v>
      </c>
      <c r="F22" s="875"/>
      <c r="G22" s="875"/>
      <c r="H22" s="472" t="s">
        <v>1331</v>
      </c>
    </row>
    <row r="23" spans="2:8">
      <c r="B23" s="471" t="s">
        <v>1343</v>
      </c>
      <c r="E23" s="875">
        <f>E22*(1+((100-E19)/100))</f>
        <v>3.5999999999999996</v>
      </c>
      <c r="F23" s="875"/>
      <c r="G23" s="875"/>
      <c r="H23" s="472" t="s">
        <v>1331</v>
      </c>
    </row>
    <row r="24" spans="2:8">
      <c r="B24" s="471" t="s">
        <v>1119</v>
      </c>
      <c r="E24" s="875">
        <f>E23/E17</f>
        <v>7.4999999999999997E-2</v>
      </c>
      <c r="F24" s="875"/>
      <c r="G24" s="875"/>
      <c r="H24" s="472" t="s">
        <v>1269</v>
      </c>
    </row>
  </sheetData>
  <mergeCells count="15">
    <mergeCell ref="E23:G23"/>
    <mergeCell ref="E24:G24"/>
    <mergeCell ref="E22:G22"/>
    <mergeCell ref="B17:D17"/>
    <mergeCell ref="B18:D18"/>
    <mergeCell ref="B19:D19"/>
    <mergeCell ref="B20:D20"/>
    <mergeCell ref="B21:D21"/>
    <mergeCell ref="B22:D22"/>
    <mergeCell ref="E21:G21"/>
    <mergeCell ref="A1:D1"/>
    <mergeCell ref="E17:G17"/>
    <mergeCell ref="E18:G18"/>
    <mergeCell ref="E19:G19"/>
    <mergeCell ref="E20:G20"/>
  </mergeCells>
  <phoneticPr fontId="42"/>
  <hyperlinks>
    <hyperlink ref="A1:D1" location="目次!A1" display="　目次　" xr:uid="{315892C8-C2C6-4918-B7FF-E9A3737491E6}"/>
  </hyperlinks>
  <pageMargins left="0.69930555555555596" right="0.69930555555555596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11"/>
  <sheetViews>
    <sheetView zoomScale="85" zoomScaleNormal="85" workbookViewId="0">
      <selection sqref="A1:C1"/>
    </sheetView>
  </sheetViews>
  <sheetFormatPr defaultColWidth="9" defaultRowHeight="13.5"/>
  <cols>
    <col min="1" max="1" width="4.125" style="430" customWidth="1"/>
    <col min="2" max="3" width="9" style="430"/>
    <col min="4" max="4" width="9.75" style="430" customWidth="1"/>
    <col min="5" max="16384" width="9" style="430"/>
  </cols>
  <sheetData>
    <row r="1" spans="1:12">
      <c r="A1" s="686" t="s">
        <v>61</v>
      </c>
      <c r="B1" s="686"/>
      <c r="C1" s="686"/>
    </row>
    <row r="2" spans="1:12">
      <c r="B2" s="432"/>
      <c r="C2" s="430" t="s">
        <v>364</v>
      </c>
      <c r="F2" s="433"/>
    </row>
    <row r="3" spans="1:12">
      <c r="B3" s="36"/>
      <c r="C3" s="430" t="s">
        <v>395</v>
      </c>
      <c r="F3" s="433"/>
      <c r="H3" s="433"/>
    </row>
    <row r="4" spans="1:12">
      <c r="B4" s="35"/>
      <c r="C4" s="430" t="s">
        <v>404</v>
      </c>
      <c r="F4" s="433"/>
      <c r="H4" s="433"/>
    </row>
    <row r="9" spans="1:12">
      <c r="B9" s="433" t="s">
        <v>1275</v>
      </c>
      <c r="C9" s="432">
        <v>2.0779999999999998</v>
      </c>
      <c r="D9" s="433" t="s">
        <v>1277</v>
      </c>
      <c r="F9" s="433" t="s">
        <v>1275</v>
      </c>
      <c r="G9" s="432">
        <v>4.03</v>
      </c>
      <c r="H9" s="433" t="s">
        <v>1277</v>
      </c>
      <c r="J9" s="433" t="s">
        <v>1275</v>
      </c>
      <c r="K9" s="432">
        <v>0.49399999999999999</v>
      </c>
      <c r="L9" s="433" t="s">
        <v>1277</v>
      </c>
    </row>
    <row r="11" spans="1:12">
      <c r="B11" s="433" t="s">
        <v>1276</v>
      </c>
      <c r="C11" s="431">
        <f>C9*25.4</f>
        <v>52.781199999999991</v>
      </c>
      <c r="D11" s="433" t="s">
        <v>1278</v>
      </c>
      <c r="F11" s="433" t="s">
        <v>1276</v>
      </c>
      <c r="G11" s="431">
        <f>G9*25.4</f>
        <v>102.36199999999999</v>
      </c>
      <c r="H11" s="433" t="s">
        <v>1278</v>
      </c>
      <c r="J11" s="433" t="s">
        <v>1276</v>
      </c>
      <c r="K11" s="431">
        <f>K9*25.4</f>
        <v>12.547599999999999</v>
      </c>
      <c r="L11" s="433" t="s">
        <v>1278</v>
      </c>
    </row>
  </sheetData>
  <mergeCells count="1">
    <mergeCell ref="A1:C1"/>
  </mergeCells>
  <phoneticPr fontId="42"/>
  <hyperlinks>
    <hyperlink ref="A1:C1" location="目次!A1" display="　目次　" xr:uid="{00000000-0004-0000-4A00-000000000000}"/>
  </hyperlinks>
  <pageMargins left="0.69930555555555596" right="0.69930555555555596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28"/>
  <sheetViews>
    <sheetView workbookViewId="0">
      <selection sqref="A1:C1"/>
    </sheetView>
  </sheetViews>
  <sheetFormatPr defaultColWidth="3.25" defaultRowHeight="13.5"/>
  <cols>
    <col min="1" max="7" width="3.25" style="443"/>
    <col min="8" max="8" width="3.25" style="447"/>
    <col min="9" max="9" width="3.25" style="443" customWidth="1"/>
    <col min="10" max="16384" width="3.25" style="443"/>
  </cols>
  <sheetData>
    <row r="1" spans="1:9">
      <c r="A1" s="686" t="s">
        <v>61</v>
      </c>
      <c r="B1" s="686"/>
      <c r="C1" s="686"/>
    </row>
    <row r="2" spans="1:9">
      <c r="B2" s="444"/>
      <c r="C2" s="443" t="s">
        <v>364</v>
      </c>
      <c r="F2" s="445"/>
    </row>
    <row r="3" spans="1:9">
      <c r="B3" s="36"/>
      <c r="C3" s="443" t="s">
        <v>395</v>
      </c>
      <c r="F3" s="445"/>
      <c r="I3" s="445"/>
    </row>
    <row r="4" spans="1:9">
      <c r="B4" s="35"/>
      <c r="C4" s="443" t="s">
        <v>404</v>
      </c>
      <c r="F4" s="445"/>
      <c r="I4" s="445"/>
    </row>
    <row r="6" spans="1:9" ht="28.5">
      <c r="B6" s="320" t="s">
        <v>1314</v>
      </c>
    </row>
    <row r="24" spans="4:10">
      <c r="D24" s="445" t="s">
        <v>1312</v>
      </c>
      <c r="G24" s="709">
        <v>5</v>
      </c>
      <c r="H24" s="709"/>
      <c r="I24" s="709"/>
      <c r="J24" s="445" t="s">
        <v>1064</v>
      </c>
    </row>
    <row r="25" spans="4:10">
      <c r="D25" s="445" t="s">
        <v>1313</v>
      </c>
      <c r="G25" s="709">
        <v>1000</v>
      </c>
      <c r="H25" s="709"/>
      <c r="I25" s="709"/>
      <c r="J25" s="445" t="s">
        <v>1099</v>
      </c>
    </row>
    <row r="26" spans="4:10" s="447" customFormat="1">
      <c r="D26" s="448" t="s">
        <v>1316</v>
      </c>
      <c r="G26" s="834">
        <v>4.2</v>
      </c>
      <c r="H26" s="834"/>
      <c r="I26" s="834"/>
      <c r="J26" s="448" t="s">
        <v>1064</v>
      </c>
    </row>
    <row r="28" spans="4:10">
      <c r="D28" s="445" t="s">
        <v>1265</v>
      </c>
      <c r="G28" s="708">
        <f>(G24-G26)/G25</f>
        <v>7.9999999999999982E-4</v>
      </c>
      <c r="H28" s="708"/>
      <c r="I28" s="708"/>
      <c r="J28" s="445" t="s">
        <v>1125</v>
      </c>
    </row>
  </sheetData>
  <mergeCells count="5">
    <mergeCell ref="A1:C1"/>
    <mergeCell ref="G24:I24"/>
    <mergeCell ref="G25:I25"/>
    <mergeCell ref="G28:I28"/>
    <mergeCell ref="G26:I26"/>
  </mergeCells>
  <phoneticPr fontId="42"/>
  <hyperlinks>
    <hyperlink ref="A1:C1" location="目次!A1" display="　目次　" xr:uid="{00000000-0004-0000-4B00-000000000000}"/>
  </hyperlinks>
  <pageMargins left="0.69930555555555596" right="0.69930555555555596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28"/>
  <sheetViews>
    <sheetView workbookViewId="0">
      <selection sqref="A1:C1"/>
    </sheetView>
  </sheetViews>
  <sheetFormatPr defaultColWidth="9" defaultRowHeight="13.5"/>
  <cols>
    <col min="1" max="1" width="4.125" style="424" customWidth="1"/>
    <col min="2" max="2" width="13.75" style="424" customWidth="1"/>
    <col min="3" max="3" width="9" style="424"/>
    <col min="4" max="4" width="9.75" style="424" customWidth="1"/>
    <col min="5" max="5" width="9" style="424"/>
    <col min="6" max="6" width="14.125" style="424" customWidth="1"/>
    <col min="7" max="9" width="9" style="424"/>
    <col min="10" max="10" width="13.375" style="424" customWidth="1"/>
    <col min="11" max="16384" width="9" style="424"/>
  </cols>
  <sheetData>
    <row r="1" spans="1:8">
      <c r="A1" s="686" t="s">
        <v>61</v>
      </c>
      <c r="B1" s="686"/>
      <c r="C1" s="686"/>
    </row>
    <row r="2" spans="1:8">
      <c r="B2" s="426"/>
      <c r="C2" s="424" t="s">
        <v>364</v>
      </c>
      <c r="F2" s="428"/>
    </row>
    <row r="3" spans="1:8">
      <c r="B3" s="36"/>
      <c r="C3" s="424" t="s">
        <v>395</v>
      </c>
      <c r="F3" s="428"/>
      <c r="H3" s="428"/>
    </row>
    <row r="4" spans="1:8">
      <c r="B4" s="35"/>
      <c r="C4" s="424" t="s">
        <v>404</v>
      </c>
      <c r="F4" s="428"/>
      <c r="H4" s="428"/>
    </row>
    <row r="6" spans="1:8" s="434" customFormat="1" ht="30.75">
      <c r="B6" s="441" t="s">
        <v>1282</v>
      </c>
    </row>
    <row r="7" spans="1:8" s="434" customFormat="1"/>
    <row r="8" spans="1:8" s="434" customFormat="1"/>
    <row r="15" spans="1:8">
      <c r="B15" s="428"/>
    </row>
    <row r="16" spans="1:8">
      <c r="B16" s="428"/>
    </row>
    <row r="17" spans="2:12">
      <c r="B17" s="428" t="s">
        <v>1272</v>
      </c>
    </row>
    <row r="18" spans="2:12">
      <c r="B18" s="428" t="s">
        <v>1266</v>
      </c>
      <c r="F18" s="428" t="s">
        <v>1267</v>
      </c>
      <c r="J18" s="428" t="s">
        <v>1268</v>
      </c>
    </row>
    <row r="19" spans="2:12">
      <c r="B19" s="428" t="s">
        <v>1265</v>
      </c>
      <c r="C19" s="426">
        <v>0.5</v>
      </c>
      <c r="D19" s="428" t="s">
        <v>1269</v>
      </c>
      <c r="F19" s="428" t="s">
        <v>1265</v>
      </c>
      <c r="G19" s="426">
        <v>0.1</v>
      </c>
      <c r="H19" s="428" t="s">
        <v>1269</v>
      </c>
      <c r="J19" s="428" t="s">
        <v>1265</v>
      </c>
      <c r="K19" s="426">
        <v>0.04</v>
      </c>
      <c r="L19" s="428" t="s">
        <v>1269</v>
      </c>
    </row>
    <row r="20" spans="2:12">
      <c r="B20" s="428" t="s">
        <v>1270</v>
      </c>
      <c r="C20" s="427">
        <v>390</v>
      </c>
      <c r="D20" s="428" t="s">
        <v>1264</v>
      </c>
      <c r="F20" s="428" t="s">
        <v>1270</v>
      </c>
      <c r="G20" s="427">
        <v>395</v>
      </c>
      <c r="H20" s="428" t="s">
        <v>1264</v>
      </c>
      <c r="J20" s="428" t="s">
        <v>1270</v>
      </c>
      <c r="K20" s="427">
        <v>400</v>
      </c>
      <c r="L20" s="428" t="s">
        <v>1264</v>
      </c>
    </row>
    <row r="21" spans="2:12">
      <c r="B21" s="428" t="s">
        <v>1274</v>
      </c>
      <c r="C21" s="425">
        <f>C20/C19</f>
        <v>780</v>
      </c>
      <c r="D21" s="428" t="s">
        <v>1099</v>
      </c>
      <c r="F21" s="428" t="s">
        <v>1274</v>
      </c>
      <c r="G21" s="425">
        <f>G20/G19</f>
        <v>3950</v>
      </c>
      <c r="H21" s="428" t="s">
        <v>1099</v>
      </c>
      <c r="J21" s="428" t="s">
        <v>1274</v>
      </c>
      <c r="K21" s="425">
        <f>K20/K19</f>
        <v>10000</v>
      </c>
      <c r="L21" s="428" t="s">
        <v>1099</v>
      </c>
    </row>
    <row r="24" spans="2:12">
      <c r="B24" s="429" t="s">
        <v>1273</v>
      </c>
    </row>
    <row r="25" spans="2:12">
      <c r="B25" s="428" t="s">
        <v>1266</v>
      </c>
      <c r="F25" s="428" t="s">
        <v>1267</v>
      </c>
      <c r="J25" s="428" t="s">
        <v>1268</v>
      </c>
    </row>
    <row r="26" spans="2:12">
      <c r="B26" s="428" t="s">
        <v>1274</v>
      </c>
      <c r="C26" s="426">
        <v>780</v>
      </c>
      <c r="D26" s="428" t="s">
        <v>1099</v>
      </c>
      <c r="F26" s="428" t="s">
        <v>1274</v>
      </c>
      <c r="G26" s="426">
        <v>3950</v>
      </c>
      <c r="H26" s="428" t="s">
        <v>1099</v>
      </c>
      <c r="J26" s="428" t="s">
        <v>1274</v>
      </c>
      <c r="K26" s="426">
        <v>1000000</v>
      </c>
      <c r="L26" s="428" t="s">
        <v>1099</v>
      </c>
    </row>
    <row r="27" spans="2:12">
      <c r="B27" s="428" t="s">
        <v>1270</v>
      </c>
      <c r="C27" s="427">
        <v>390</v>
      </c>
      <c r="D27" s="428" t="s">
        <v>1264</v>
      </c>
      <c r="F27" s="428" t="s">
        <v>1270</v>
      </c>
      <c r="G27" s="427">
        <v>395</v>
      </c>
      <c r="H27" s="428" t="s">
        <v>1264</v>
      </c>
      <c r="J27" s="428" t="s">
        <v>1270</v>
      </c>
      <c r="K27" s="427">
        <v>400</v>
      </c>
      <c r="L27" s="428" t="s">
        <v>1264</v>
      </c>
    </row>
    <row r="28" spans="2:12">
      <c r="B28" s="428" t="s">
        <v>1265</v>
      </c>
      <c r="C28" s="425">
        <f>C27/C26</f>
        <v>0.5</v>
      </c>
      <c r="D28" s="428" t="s">
        <v>1269</v>
      </c>
      <c r="F28" s="428" t="s">
        <v>1265</v>
      </c>
      <c r="G28" s="425">
        <f>G27/G26</f>
        <v>0.1</v>
      </c>
      <c r="H28" s="428" t="s">
        <v>1269</v>
      </c>
      <c r="J28" s="428" t="s">
        <v>1265</v>
      </c>
      <c r="K28" s="425">
        <f>K27/K26</f>
        <v>4.0000000000000002E-4</v>
      </c>
      <c r="L28" s="428" t="s">
        <v>1269</v>
      </c>
    </row>
  </sheetData>
  <mergeCells count="1">
    <mergeCell ref="A1:C1"/>
  </mergeCells>
  <phoneticPr fontId="42"/>
  <hyperlinks>
    <hyperlink ref="A1:C1" location="目次!A1" display="　目次　" xr:uid="{00000000-0004-0000-4C00-000000000000}"/>
  </hyperlinks>
  <pageMargins left="0.69930555555555596" right="0.69930555555555596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D776-18AD-40CC-9E15-4073CC7A12F8}">
  <dimension ref="A1:P19"/>
  <sheetViews>
    <sheetView zoomScale="85" zoomScaleNormal="85" workbookViewId="0">
      <selection sqref="A1:C1"/>
    </sheetView>
  </sheetViews>
  <sheetFormatPr defaultColWidth="9" defaultRowHeight="13.5"/>
  <cols>
    <col min="1" max="1" width="4.125" style="452" customWidth="1"/>
    <col min="2" max="3" width="9" style="452"/>
    <col min="4" max="4" width="9.75" style="452" customWidth="1"/>
    <col min="5" max="16384" width="9" style="452"/>
  </cols>
  <sheetData>
    <row r="1" spans="1:16">
      <c r="A1" s="686" t="s">
        <v>61</v>
      </c>
      <c r="B1" s="686"/>
      <c r="C1" s="686"/>
    </row>
    <row r="2" spans="1:16">
      <c r="B2" s="453"/>
      <c r="C2" s="452" t="s">
        <v>364</v>
      </c>
      <c r="F2" s="455"/>
    </row>
    <row r="3" spans="1:16">
      <c r="B3" s="36"/>
      <c r="C3" s="452" t="s">
        <v>395</v>
      </c>
      <c r="F3" s="455"/>
      <c r="H3" s="455"/>
    </row>
    <row r="4" spans="1:16">
      <c r="B4" s="35"/>
      <c r="C4" s="452" t="s">
        <v>404</v>
      </c>
      <c r="F4" s="455"/>
      <c r="H4" s="455"/>
    </row>
    <row r="6" spans="1:16" ht="24">
      <c r="B6" s="2" t="s">
        <v>1323</v>
      </c>
    </row>
    <row r="7" spans="1:16">
      <c r="K7" s="458" t="s">
        <v>1326</v>
      </c>
      <c r="L7" s="186"/>
      <c r="M7" s="186"/>
      <c r="N7" s="186"/>
      <c r="O7" s="186"/>
      <c r="P7" s="53"/>
    </row>
    <row r="8" spans="1:16">
      <c r="K8" s="459" t="s">
        <v>1239</v>
      </c>
      <c r="L8" s="454">
        <v>120</v>
      </c>
      <c r="M8" s="407" t="s">
        <v>1099</v>
      </c>
      <c r="N8" s="460" t="s">
        <v>1324</v>
      </c>
      <c r="O8" s="63"/>
      <c r="P8" s="55"/>
    </row>
    <row r="9" spans="1:16">
      <c r="K9" s="459" t="s">
        <v>1240</v>
      </c>
      <c r="L9" s="454">
        <v>820</v>
      </c>
      <c r="M9" s="407" t="s">
        <v>1099</v>
      </c>
      <c r="N9" s="63"/>
      <c r="O9" s="63"/>
      <c r="P9" s="55"/>
    </row>
    <row r="10" spans="1:16">
      <c r="K10" s="54"/>
      <c r="L10" s="63"/>
      <c r="M10" s="63"/>
      <c r="N10" s="63"/>
      <c r="O10" s="63"/>
      <c r="P10" s="55"/>
    </row>
    <row r="11" spans="1:16">
      <c r="K11" s="459" t="s">
        <v>1063</v>
      </c>
      <c r="L11" s="461">
        <f>1.25*(1+L9/L8)</f>
        <v>9.7916666666666661</v>
      </c>
      <c r="M11" s="407" t="s">
        <v>1064</v>
      </c>
      <c r="N11" s="63"/>
      <c r="O11" s="63"/>
      <c r="P11" s="55"/>
    </row>
    <row r="12" spans="1:16">
      <c r="K12" s="58"/>
      <c r="L12" s="180"/>
      <c r="M12" s="180"/>
      <c r="N12" s="180"/>
      <c r="O12" s="180"/>
      <c r="P12" s="60"/>
    </row>
    <row r="14" spans="1:16">
      <c r="K14" s="458" t="s">
        <v>1325</v>
      </c>
      <c r="L14" s="186"/>
      <c r="M14" s="186"/>
      <c r="N14" s="186"/>
      <c r="O14" s="186"/>
      <c r="P14" s="53"/>
    </row>
    <row r="15" spans="1:16">
      <c r="K15" s="459" t="s">
        <v>1239</v>
      </c>
      <c r="L15" s="454">
        <v>120</v>
      </c>
      <c r="M15" s="407" t="s">
        <v>1099</v>
      </c>
      <c r="N15" s="460" t="s">
        <v>1324</v>
      </c>
      <c r="O15" s="63"/>
      <c r="P15" s="55"/>
    </row>
    <row r="16" spans="1:16">
      <c r="K16" s="459" t="s">
        <v>1063</v>
      </c>
      <c r="L16" s="454">
        <v>10</v>
      </c>
      <c r="M16" s="407" t="s">
        <v>1064</v>
      </c>
      <c r="N16" s="63"/>
      <c r="O16" s="63"/>
      <c r="P16" s="55"/>
    </row>
    <row r="17" spans="11:16">
      <c r="K17" s="54"/>
      <c r="L17" s="63"/>
      <c r="M17" s="63"/>
      <c r="N17" s="63"/>
      <c r="O17" s="63"/>
      <c r="P17" s="55"/>
    </row>
    <row r="18" spans="11:16">
      <c r="K18" s="462" t="s">
        <v>1240</v>
      </c>
      <c r="L18" s="461">
        <f>(L16/1.25-1)*L15</f>
        <v>840</v>
      </c>
      <c r="M18" s="407" t="s">
        <v>1099</v>
      </c>
      <c r="N18" s="63"/>
      <c r="O18" s="63"/>
      <c r="P18" s="55"/>
    </row>
    <row r="19" spans="11:16">
      <c r="K19" s="58"/>
      <c r="L19" s="180"/>
      <c r="M19" s="180"/>
      <c r="N19" s="180"/>
      <c r="O19" s="180"/>
      <c r="P19" s="60"/>
    </row>
  </sheetData>
  <mergeCells count="1">
    <mergeCell ref="A1:C1"/>
  </mergeCells>
  <phoneticPr fontId="42"/>
  <hyperlinks>
    <hyperlink ref="A1:C1" location="目次!A1" display="　目次　" xr:uid="{4A395597-3F42-4E6D-9525-6B7B5932FF93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47B2-E72B-43BB-BA8C-3B10CCC7A8B1}">
  <dimension ref="A1:Y28"/>
  <sheetViews>
    <sheetView workbookViewId="0">
      <selection sqref="A1:D1"/>
    </sheetView>
  </sheetViews>
  <sheetFormatPr defaultColWidth="3.75" defaultRowHeight="13.5"/>
  <cols>
    <col min="1" max="1" width="3.75" style="469"/>
    <col min="2" max="2" width="3.875" style="469" customWidth="1"/>
    <col min="3" max="16384" width="3.75" style="469"/>
  </cols>
  <sheetData>
    <row r="1" spans="1:9">
      <c r="A1" s="686" t="s">
        <v>61</v>
      </c>
      <c r="B1" s="686"/>
      <c r="C1" s="686"/>
      <c r="D1" s="686"/>
    </row>
    <row r="2" spans="1:9">
      <c r="B2" s="470"/>
      <c r="C2" s="470"/>
      <c r="D2" s="469" t="s">
        <v>364</v>
      </c>
      <c r="G2" s="471"/>
    </row>
    <row r="3" spans="1:9">
      <c r="B3" s="36"/>
      <c r="C3" s="36"/>
      <c r="D3" s="469" t="s">
        <v>395</v>
      </c>
      <c r="G3" s="471"/>
      <c r="I3" s="471"/>
    </row>
    <row r="4" spans="1:9">
      <c r="B4" s="35"/>
      <c r="C4" s="35"/>
      <c r="D4" s="469" t="s">
        <v>404</v>
      </c>
      <c r="G4" s="471"/>
      <c r="I4" s="471"/>
    </row>
    <row r="6" spans="1:9" ht="24">
      <c r="B6" s="2" t="s">
        <v>1346</v>
      </c>
    </row>
    <row r="25" spans="3:25">
      <c r="C25" s="873" t="s">
        <v>1239</v>
      </c>
      <c r="D25" s="873"/>
      <c r="E25" s="873"/>
      <c r="F25" s="709">
        <v>3010</v>
      </c>
      <c r="G25" s="709"/>
      <c r="H25" s="709"/>
      <c r="I25" s="471" t="s">
        <v>1099</v>
      </c>
      <c r="K25" s="873" t="s">
        <v>1239</v>
      </c>
      <c r="L25" s="873"/>
      <c r="M25" s="873"/>
      <c r="N25" s="709">
        <v>3010</v>
      </c>
      <c r="O25" s="709"/>
      <c r="P25" s="709"/>
      <c r="Q25" s="471" t="s">
        <v>1099</v>
      </c>
      <c r="S25" s="873" t="s">
        <v>1239</v>
      </c>
      <c r="T25" s="873"/>
      <c r="U25" s="873"/>
      <c r="V25" s="709">
        <v>3010</v>
      </c>
      <c r="W25" s="709"/>
      <c r="X25" s="709"/>
      <c r="Y25" s="471" t="s">
        <v>1099</v>
      </c>
    </row>
    <row r="26" spans="3:25">
      <c r="C26" s="873" t="s">
        <v>1240</v>
      </c>
      <c r="D26" s="873"/>
      <c r="E26" s="873"/>
      <c r="F26" s="876">
        <v>1000</v>
      </c>
      <c r="G26" s="709"/>
      <c r="H26" s="709"/>
      <c r="I26" s="471" t="s">
        <v>1099</v>
      </c>
      <c r="K26" s="873" t="s">
        <v>1240</v>
      </c>
      <c r="L26" s="873"/>
      <c r="M26" s="873"/>
      <c r="N26" s="709">
        <v>560</v>
      </c>
      <c r="O26" s="709"/>
      <c r="P26" s="709"/>
      <c r="Q26" s="471" t="s">
        <v>1099</v>
      </c>
      <c r="S26" s="873" t="s">
        <v>1240</v>
      </c>
      <c r="T26" s="873"/>
      <c r="U26" s="873"/>
      <c r="V26" s="709">
        <v>2700</v>
      </c>
      <c r="W26" s="709"/>
      <c r="X26" s="709"/>
      <c r="Y26" s="471" t="s">
        <v>1099</v>
      </c>
    </row>
    <row r="27" spans="3:25">
      <c r="C27" s="791"/>
      <c r="D27" s="791"/>
      <c r="E27" s="791"/>
      <c r="F27" s="710"/>
      <c r="G27" s="710"/>
      <c r="H27" s="710"/>
      <c r="K27" s="791"/>
      <c r="L27" s="791"/>
      <c r="M27" s="791"/>
      <c r="N27" s="710"/>
      <c r="O27" s="710"/>
      <c r="P27" s="710"/>
      <c r="S27" s="791"/>
      <c r="T27" s="791"/>
      <c r="U27" s="791"/>
      <c r="V27" s="710"/>
      <c r="W27" s="710"/>
      <c r="X27" s="710"/>
    </row>
    <row r="28" spans="3:25">
      <c r="C28" s="873" t="s">
        <v>1063</v>
      </c>
      <c r="D28" s="873"/>
      <c r="E28" s="873"/>
      <c r="F28" s="875">
        <f>2.5*(F25+F26)/F26</f>
        <v>10.025</v>
      </c>
      <c r="G28" s="875"/>
      <c r="H28" s="875"/>
      <c r="I28" s="471" t="s">
        <v>1064</v>
      </c>
      <c r="K28" s="873" t="s">
        <v>1063</v>
      </c>
      <c r="L28" s="873"/>
      <c r="M28" s="873"/>
      <c r="N28" s="875">
        <f>2.5*(N25+N26)/N26</f>
        <v>15.9375</v>
      </c>
      <c r="O28" s="875"/>
      <c r="P28" s="875"/>
      <c r="Q28" s="471" t="s">
        <v>1064</v>
      </c>
      <c r="S28" s="873" t="s">
        <v>1063</v>
      </c>
      <c r="T28" s="873"/>
      <c r="U28" s="873"/>
      <c r="V28" s="875">
        <f>2.5*(V25+V26)/V26</f>
        <v>5.2870370370370372</v>
      </c>
      <c r="W28" s="875"/>
      <c r="X28" s="875"/>
      <c r="Y28" s="471" t="s">
        <v>1064</v>
      </c>
    </row>
  </sheetData>
  <mergeCells count="25">
    <mergeCell ref="K28:M28"/>
    <mergeCell ref="N28:P28"/>
    <mergeCell ref="S25:U25"/>
    <mergeCell ref="V25:X25"/>
    <mergeCell ref="S26:U26"/>
    <mergeCell ref="V26:X26"/>
    <mergeCell ref="S27:U27"/>
    <mergeCell ref="V27:X27"/>
    <mergeCell ref="S28:U28"/>
    <mergeCell ref="V28:X28"/>
    <mergeCell ref="K25:M25"/>
    <mergeCell ref="N25:P25"/>
    <mergeCell ref="K26:M26"/>
    <mergeCell ref="N26:P26"/>
    <mergeCell ref="K27:M27"/>
    <mergeCell ref="N27:P27"/>
    <mergeCell ref="F25:H25"/>
    <mergeCell ref="F26:H26"/>
    <mergeCell ref="F27:H27"/>
    <mergeCell ref="F28:H28"/>
    <mergeCell ref="A1:D1"/>
    <mergeCell ref="C25:E25"/>
    <mergeCell ref="C26:E26"/>
    <mergeCell ref="C27:E27"/>
    <mergeCell ref="C28:E28"/>
  </mergeCells>
  <phoneticPr fontId="42"/>
  <hyperlinks>
    <hyperlink ref="A1:D1" location="目次!A1" display="　目次　" xr:uid="{AE66C929-F645-4CCB-B228-48A513418DED}"/>
  </hyperlinks>
  <pageMargins left="0.69930555555555596" right="0.69930555555555596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54CC2-6D41-4DF3-B376-B7F1E7B904C5}">
  <dimension ref="A1:K27"/>
  <sheetViews>
    <sheetView workbookViewId="0">
      <selection sqref="A1:C1"/>
    </sheetView>
  </sheetViews>
  <sheetFormatPr defaultColWidth="3.375" defaultRowHeight="13.5"/>
  <cols>
    <col min="1" max="16384" width="3.375" style="449"/>
  </cols>
  <sheetData>
    <row r="1" spans="1:8">
      <c r="A1" s="686" t="s">
        <v>61</v>
      </c>
      <c r="B1" s="686"/>
      <c r="C1" s="686"/>
    </row>
    <row r="2" spans="1:8">
      <c r="B2" s="450"/>
      <c r="C2" s="449" t="s">
        <v>364</v>
      </c>
      <c r="F2" s="451"/>
    </row>
    <row r="3" spans="1:8">
      <c r="B3" s="36"/>
      <c r="C3" s="449" t="s">
        <v>395</v>
      </c>
      <c r="F3" s="451"/>
      <c r="H3" s="451"/>
    </row>
    <row r="4" spans="1:8">
      <c r="B4" s="35"/>
      <c r="C4" s="449" t="s">
        <v>404</v>
      </c>
      <c r="F4" s="451"/>
      <c r="H4" s="451"/>
    </row>
    <row r="7" spans="1:8" ht="25.5">
      <c r="B7" s="31" t="s">
        <v>1320</v>
      </c>
    </row>
    <row r="25" spans="4:11">
      <c r="D25" s="707" t="s">
        <v>1317</v>
      </c>
      <c r="E25" s="707"/>
      <c r="F25" s="707"/>
      <c r="G25" s="707"/>
      <c r="H25" s="709">
        <v>1000000</v>
      </c>
      <c r="I25" s="709"/>
      <c r="J25" s="709"/>
      <c r="K25" s="451" t="s">
        <v>1099</v>
      </c>
    </row>
    <row r="26" spans="4:11">
      <c r="D26" s="710"/>
      <c r="E26" s="710"/>
      <c r="F26" s="710"/>
      <c r="G26" s="710"/>
      <c r="H26" s="710"/>
      <c r="I26" s="710"/>
      <c r="J26" s="710"/>
    </row>
    <row r="27" spans="4:11">
      <c r="D27" s="707" t="s">
        <v>1318</v>
      </c>
      <c r="E27" s="707"/>
      <c r="F27" s="707"/>
      <c r="G27" s="707"/>
      <c r="H27" s="708">
        <f>(10000000*(10000/H25))/1000000</f>
        <v>0.1</v>
      </c>
      <c r="I27" s="708"/>
      <c r="J27" s="708"/>
      <c r="K27" s="451" t="s">
        <v>1319</v>
      </c>
    </row>
  </sheetData>
  <mergeCells count="7">
    <mergeCell ref="A1:C1"/>
    <mergeCell ref="H25:J25"/>
    <mergeCell ref="H26:J26"/>
    <mergeCell ref="H27:J27"/>
    <mergeCell ref="D25:G25"/>
    <mergeCell ref="D26:G26"/>
    <mergeCell ref="D27:G27"/>
  </mergeCells>
  <phoneticPr fontId="42"/>
  <hyperlinks>
    <hyperlink ref="A1:C1" location="目次!A1" display="　目次　" xr:uid="{EA53C80E-7F09-44A7-AA48-DCF853CEDA01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CE229-47E3-4640-B662-FBE0EEC8C7E0}">
  <dimension ref="A1:L26"/>
  <sheetViews>
    <sheetView workbookViewId="0">
      <selection sqref="A1:C1"/>
    </sheetView>
  </sheetViews>
  <sheetFormatPr defaultColWidth="3.375" defaultRowHeight="13.5"/>
  <cols>
    <col min="1" max="16384" width="3.375" style="452"/>
  </cols>
  <sheetData>
    <row r="1" spans="1:8">
      <c r="A1" s="686" t="s">
        <v>61</v>
      </c>
      <c r="B1" s="686"/>
      <c r="C1" s="686"/>
    </row>
    <row r="2" spans="1:8">
      <c r="B2" s="453"/>
      <c r="C2" s="452" t="s">
        <v>364</v>
      </c>
      <c r="F2" s="455"/>
    </row>
    <row r="3" spans="1:8">
      <c r="B3" s="36"/>
      <c r="C3" s="452" t="s">
        <v>395</v>
      </c>
      <c r="F3" s="455"/>
      <c r="H3" s="455"/>
    </row>
    <row r="4" spans="1:8">
      <c r="B4" s="35"/>
      <c r="C4" s="452" t="s">
        <v>404</v>
      </c>
      <c r="F4" s="455"/>
      <c r="H4" s="455"/>
    </row>
    <row r="6" spans="1:8" ht="25.5">
      <c r="A6" s="456"/>
      <c r="B6" s="31" t="s">
        <v>1327</v>
      </c>
      <c r="C6" s="456"/>
      <c r="D6" s="456"/>
      <c r="E6" s="456"/>
      <c r="F6" s="456"/>
      <c r="G6" s="456"/>
      <c r="H6" s="456"/>
    </row>
    <row r="23" spans="4:12">
      <c r="D23" s="467"/>
      <c r="E23" s="465" t="s">
        <v>364</v>
      </c>
      <c r="F23" s="464"/>
      <c r="G23" s="464"/>
      <c r="H23" s="464"/>
      <c r="I23" s="464"/>
      <c r="J23" s="464"/>
      <c r="K23" s="464"/>
      <c r="L23" s="464"/>
    </row>
    <row r="24" spans="4:12">
      <c r="D24" s="468"/>
      <c r="E24" s="465" t="s">
        <v>395</v>
      </c>
      <c r="F24" s="878" t="s">
        <v>1328</v>
      </c>
      <c r="G24" s="878"/>
      <c r="H24" s="878"/>
      <c r="I24" s="879">
        <v>10000</v>
      </c>
      <c r="J24" s="879"/>
      <c r="K24" s="879"/>
      <c r="L24" s="466" t="s">
        <v>91</v>
      </c>
    </row>
    <row r="25" spans="4:12">
      <c r="D25" s="456"/>
      <c r="E25" s="456"/>
      <c r="F25" s="456"/>
      <c r="G25" s="456"/>
      <c r="H25" s="456"/>
      <c r="I25" s="456"/>
      <c r="J25" s="456"/>
      <c r="K25" s="456"/>
      <c r="L25" s="456"/>
    </row>
    <row r="26" spans="4:12">
      <c r="D26" s="464"/>
      <c r="E26" s="464"/>
      <c r="F26" s="878" t="s">
        <v>1318</v>
      </c>
      <c r="G26" s="878"/>
      <c r="H26" s="878"/>
      <c r="I26" s="877">
        <f>10000000*(10000/I24)/1000</f>
        <v>10000</v>
      </c>
      <c r="J26" s="877"/>
      <c r="K26" s="877"/>
      <c r="L26" s="466" t="s">
        <v>211</v>
      </c>
    </row>
  </sheetData>
  <mergeCells count="5">
    <mergeCell ref="I26:K26"/>
    <mergeCell ref="F24:H24"/>
    <mergeCell ref="F26:H26"/>
    <mergeCell ref="I24:K24"/>
    <mergeCell ref="A1:C1"/>
  </mergeCells>
  <phoneticPr fontId="42"/>
  <hyperlinks>
    <hyperlink ref="A1:C1" location="目次!A1" display="　目次　" xr:uid="{8DE3520A-C14D-4097-B695-7EFC97913473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K53"/>
  <sheetViews>
    <sheetView workbookViewId="0">
      <selection sqref="A1:D1"/>
    </sheetView>
  </sheetViews>
  <sheetFormatPr defaultColWidth="3.375" defaultRowHeight="13.5"/>
  <cols>
    <col min="1" max="2" width="3.375" style="434"/>
    <col min="3" max="3" width="3.375" style="437"/>
    <col min="4" max="16384" width="3.375" style="434"/>
  </cols>
  <sheetData>
    <row r="1" spans="1:46">
      <c r="A1" s="686" t="s">
        <v>61</v>
      </c>
      <c r="B1" s="686"/>
      <c r="C1" s="686"/>
      <c r="D1" s="686"/>
    </row>
    <row r="2" spans="1:46">
      <c r="B2" s="435"/>
      <c r="C2" s="438"/>
      <c r="D2" s="434" t="s">
        <v>364</v>
      </c>
      <c r="G2" s="436"/>
    </row>
    <row r="3" spans="1:46">
      <c r="B3" s="36"/>
      <c r="C3" s="36"/>
      <c r="D3" s="434" t="s">
        <v>395</v>
      </c>
      <c r="G3" s="436"/>
      <c r="I3" s="436"/>
    </row>
    <row r="4" spans="1:46">
      <c r="B4" s="35"/>
      <c r="C4" s="35"/>
      <c r="D4" s="434" t="s">
        <v>404</v>
      </c>
      <c r="G4" s="436"/>
      <c r="I4" s="436"/>
    </row>
    <row r="6" spans="1:46" s="437" customFormat="1" ht="30.75">
      <c r="B6" s="441" t="s">
        <v>1282</v>
      </c>
      <c r="C6" s="441"/>
    </row>
    <row r="8" spans="1:46" s="437" customFormat="1">
      <c r="B8" s="439" t="s">
        <v>1290</v>
      </c>
      <c r="Y8" s="439" t="s">
        <v>1291</v>
      </c>
      <c r="AT8" s="439" t="s">
        <v>1295</v>
      </c>
    </row>
    <row r="9" spans="1:46" s="437" customFormat="1"/>
    <row r="10" spans="1:46" s="437" customFormat="1"/>
    <row r="11" spans="1:46" s="437" customFormat="1"/>
    <row r="12" spans="1:46" s="437" customFormat="1"/>
    <row r="13" spans="1:46" s="437" customFormat="1"/>
    <row r="14" spans="1:46" s="437" customFormat="1"/>
    <row r="15" spans="1:46" s="437" customFormat="1"/>
    <row r="16" spans="1:46" s="437" customFormat="1"/>
    <row r="17" spans="2:63" s="437" customFormat="1"/>
    <row r="18" spans="2:63" s="437" customFormat="1"/>
    <row r="19" spans="2:63" s="437" customFormat="1"/>
    <row r="20" spans="2:63" s="437" customFormat="1"/>
    <row r="21" spans="2:63" s="437" customFormat="1"/>
    <row r="22" spans="2:63" s="437" customFormat="1"/>
    <row r="23" spans="2:63" s="437" customFormat="1"/>
    <row r="24" spans="2:63" s="437" customFormat="1"/>
    <row r="25" spans="2:63">
      <c r="AU25" s="437"/>
      <c r="AV25" s="437"/>
      <c r="AW25" s="437"/>
      <c r="AX25" s="437"/>
      <c r="AY25" s="437"/>
      <c r="AZ25" s="437"/>
      <c r="BA25" s="437"/>
      <c r="BB25" s="437"/>
      <c r="BC25" s="437"/>
      <c r="BD25" s="437"/>
      <c r="BE25" s="437"/>
      <c r="BF25" s="437"/>
      <c r="BG25" s="437"/>
      <c r="BH25" s="437"/>
      <c r="BI25" s="437"/>
      <c r="BJ25" s="437"/>
      <c r="BK25" s="437"/>
    </row>
    <row r="27" spans="2:63">
      <c r="AV27" s="707" t="s">
        <v>1296</v>
      </c>
      <c r="AW27" s="707"/>
      <c r="AX27" s="707"/>
      <c r="AY27" s="710">
        <v>20</v>
      </c>
      <c r="AZ27" s="710"/>
      <c r="BA27" s="710"/>
      <c r="BB27" s="439" t="s">
        <v>1297</v>
      </c>
    </row>
    <row r="28" spans="2:63">
      <c r="AV28" s="710"/>
      <c r="AW28" s="710"/>
      <c r="AX28" s="710"/>
      <c r="AY28" s="707" t="s">
        <v>1300</v>
      </c>
      <c r="AZ28" s="710"/>
      <c r="BA28" s="710"/>
    </row>
    <row r="29" spans="2:63">
      <c r="B29" s="439" t="s">
        <v>1283</v>
      </c>
      <c r="C29" s="439"/>
      <c r="AV29" s="707" t="s">
        <v>1298</v>
      </c>
      <c r="AW29" s="710"/>
      <c r="AX29" s="710"/>
      <c r="AY29" s="710">
        <f>40/(AY27)</f>
        <v>2</v>
      </c>
      <c r="AZ29" s="710"/>
      <c r="BA29" s="710"/>
      <c r="BB29" s="439" t="s">
        <v>1299</v>
      </c>
    </row>
    <row r="30" spans="2:63">
      <c r="AV30" s="710"/>
      <c r="AW30" s="710"/>
      <c r="AX30" s="710"/>
      <c r="AY30" s="710"/>
      <c r="AZ30" s="710"/>
      <c r="BA30" s="710"/>
    </row>
    <row r="31" spans="2:63">
      <c r="C31" s="707" t="s">
        <v>1284</v>
      </c>
      <c r="D31" s="707"/>
      <c r="E31" s="707"/>
      <c r="F31" s="709">
        <v>100000</v>
      </c>
      <c r="G31" s="709"/>
      <c r="H31" s="709"/>
      <c r="I31" s="709"/>
      <c r="J31" s="439" t="s">
        <v>1286</v>
      </c>
      <c r="Z31" s="707" t="s">
        <v>1293</v>
      </c>
      <c r="AA31" s="707"/>
      <c r="AB31" s="707"/>
      <c r="AC31" s="709">
        <v>499000</v>
      </c>
      <c r="AD31" s="709"/>
      <c r="AE31" s="709"/>
      <c r="AF31" s="439" t="s">
        <v>1286</v>
      </c>
    </row>
    <row r="32" spans="2:63">
      <c r="C32" s="707" t="s">
        <v>1285</v>
      </c>
      <c r="D32" s="707"/>
      <c r="E32" s="707"/>
      <c r="F32" s="709">
        <v>499000</v>
      </c>
      <c r="G32" s="709"/>
      <c r="H32" s="709"/>
      <c r="I32" s="709"/>
      <c r="J32" s="439" t="s">
        <v>1286</v>
      </c>
      <c r="Z32" s="707" t="s">
        <v>1294</v>
      </c>
      <c r="AA32" s="707"/>
      <c r="AB32" s="707"/>
      <c r="AC32" s="709">
        <v>36000</v>
      </c>
      <c r="AD32" s="709"/>
      <c r="AE32" s="709"/>
      <c r="AF32" s="439" t="s">
        <v>1286</v>
      </c>
    </row>
    <row r="33" spans="3:32">
      <c r="C33" s="710"/>
      <c r="D33" s="710"/>
      <c r="E33" s="710"/>
      <c r="F33" s="710"/>
      <c r="G33" s="710"/>
      <c r="H33" s="710"/>
      <c r="I33" s="710"/>
      <c r="J33" s="439"/>
      <c r="Z33" s="710"/>
      <c r="AA33" s="710"/>
      <c r="AB33" s="710"/>
      <c r="AC33" s="710"/>
      <c r="AD33" s="710"/>
      <c r="AE33" s="710"/>
    </row>
    <row r="34" spans="3:32">
      <c r="C34" s="707" t="s">
        <v>1288</v>
      </c>
      <c r="D34" s="710"/>
      <c r="E34" s="710"/>
      <c r="F34" s="708">
        <f>2.1*(1+F32/F31)</f>
        <v>12.579000000000001</v>
      </c>
      <c r="G34" s="708"/>
      <c r="H34" s="708"/>
      <c r="I34" s="708"/>
      <c r="J34" s="439" t="s">
        <v>1287</v>
      </c>
      <c r="Z34" s="707" t="s">
        <v>1292</v>
      </c>
      <c r="AA34" s="710"/>
      <c r="AB34" s="710"/>
      <c r="AC34" s="708">
        <f>1.2*(1+AC31/AC32)</f>
        <v>17.833333333333332</v>
      </c>
      <c r="AD34" s="708"/>
      <c r="AE34" s="708"/>
      <c r="AF34" s="439" t="s">
        <v>1287</v>
      </c>
    </row>
    <row r="35" spans="3:32">
      <c r="C35" s="710"/>
      <c r="D35" s="710"/>
      <c r="E35" s="710"/>
      <c r="F35" s="710"/>
      <c r="G35" s="710"/>
      <c r="H35" s="710"/>
      <c r="I35" s="710"/>
    </row>
    <row r="48" spans="3:32">
      <c r="C48" s="707" t="s">
        <v>1301</v>
      </c>
      <c r="D48" s="707"/>
      <c r="E48" s="707"/>
      <c r="F48" s="834">
        <v>6</v>
      </c>
      <c r="G48" s="834"/>
      <c r="H48" s="834"/>
      <c r="I48" s="834"/>
      <c r="J48" s="439" t="s">
        <v>1302</v>
      </c>
    </row>
    <row r="49" spans="3:10">
      <c r="C49" s="707" t="s">
        <v>1303</v>
      </c>
      <c r="D49" s="710"/>
      <c r="E49" s="710"/>
      <c r="F49" s="834">
        <v>1</v>
      </c>
      <c r="G49" s="834"/>
      <c r="H49" s="834"/>
      <c r="I49" s="834"/>
      <c r="J49" s="439" t="s">
        <v>1304</v>
      </c>
    </row>
    <row r="50" spans="3:10">
      <c r="C50" s="707" t="s">
        <v>1284</v>
      </c>
      <c r="D50" s="707"/>
      <c r="E50" s="707"/>
      <c r="F50" s="709">
        <v>100000</v>
      </c>
      <c r="G50" s="709"/>
      <c r="H50" s="709"/>
      <c r="I50" s="709"/>
      <c r="J50" s="439" t="s">
        <v>1286</v>
      </c>
    </row>
    <row r="51" spans="3:10">
      <c r="C51" s="707" t="s">
        <v>1285</v>
      </c>
      <c r="D51" s="707"/>
      <c r="E51" s="707"/>
      <c r="F51" s="709">
        <v>100000</v>
      </c>
      <c r="G51" s="709"/>
      <c r="H51" s="709"/>
      <c r="I51" s="709"/>
      <c r="J51" s="439" t="s">
        <v>1286</v>
      </c>
    </row>
    <row r="52" spans="3:10">
      <c r="C52" s="710"/>
      <c r="D52" s="710"/>
      <c r="E52" s="710"/>
      <c r="F52" s="710"/>
      <c r="G52" s="710"/>
      <c r="H52" s="710"/>
      <c r="I52" s="710"/>
      <c r="J52" s="439"/>
    </row>
    <row r="53" spans="3:10">
      <c r="C53" s="844" t="s">
        <v>1305</v>
      </c>
      <c r="D53" s="880"/>
      <c r="E53" s="880"/>
      <c r="F53" s="708">
        <f>(F48*F49)/(0.5*(1+F51/F50))</f>
        <v>6</v>
      </c>
      <c r="G53" s="708"/>
      <c r="H53" s="708"/>
      <c r="I53" s="708"/>
      <c r="J53" s="439" t="s">
        <v>1306</v>
      </c>
    </row>
  </sheetData>
  <mergeCells count="39">
    <mergeCell ref="C53:E53"/>
    <mergeCell ref="F53:I53"/>
    <mergeCell ref="F52:I52"/>
    <mergeCell ref="C52:E52"/>
    <mergeCell ref="C48:E48"/>
    <mergeCell ref="C49:E49"/>
    <mergeCell ref="F48:I48"/>
    <mergeCell ref="F49:I49"/>
    <mergeCell ref="C50:E50"/>
    <mergeCell ref="F50:I50"/>
    <mergeCell ref="C51:E51"/>
    <mergeCell ref="F51:I51"/>
    <mergeCell ref="AV27:AX27"/>
    <mergeCell ref="AV28:AX28"/>
    <mergeCell ref="AV29:AX29"/>
    <mergeCell ref="AV30:AX30"/>
    <mergeCell ref="AY27:BA27"/>
    <mergeCell ref="AY28:BA28"/>
    <mergeCell ref="AY29:BA29"/>
    <mergeCell ref="AY30:BA30"/>
    <mergeCell ref="Z31:AB31"/>
    <mergeCell ref="Z32:AB32"/>
    <mergeCell ref="Z33:AB33"/>
    <mergeCell ref="Z34:AB34"/>
    <mergeCell ref="AC31:AE31"/>
    <mergeCell ref="AC32:AE32"/>
    <mergeCell ref="AC33:AE33"/>
    <mergeCell ref="AC34:AE34"/>
    <mergeCell ref="A1:D1"/>
    <mergeCell ref="F31:I31"/>
    <mergeCell ref="F32:I32"/>
    <mergeCell ref="F33:I33"/>
    <mergeCell ref="F34:I34"/>
    <mergeCell ref="F35:I35"/>
    <mergeCell ref="C31:E31"/>
    <mergeCell ref="C32:E32"/>
    <mergeCell ref="C33:E33"/>
    <mergeCell ref="C34:E34"/>
    <mergeCell ref="C35:E35"/>
  </mergeCells>
  <phoneticPr fontId="42"/>
  <hyperlinks>
    <hyperlink ref="A1:D1" location="目次!A1" display="　目次　" xr:uid="{00000000-0004-0000-4D00-000000000000}"/>
  </hyperlinks>
  <pageMargins left="0.69930555555555596" right="0.69930555555555596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DA7A-BB3B-4062-9565-4296B8DA4035}">
  <dimension ref="A1:I14"/>
  <sheetViews>
    <sheetView workbookViewId="0">
      <selection sqref="A1:D1"/>
    </sheetView>
  </sheetViews>
  <sheetFormatPr defaultColWidth="3.75" defaultRowHeight="13.5"/>
  <cols>
    <col min="1" max="5" width="3.75" style="499"/>
    <col min="6" max="6" width="4.5" style="499" bestFit="1" customWidth="1"/>
    <col min="7" max="16384" width="3.75" style="499"/>
  </cols>
  <sheetData>
    <row r="1" spans="1:9">
      <c r="A1" s="686" t="s">
        <v>61</v>
      </c>
      <c r="B1" s="686"/>
      <c r="C1" s="686"/>
      <c r="D1" s="686"/>
    </row>
    <row r="2" spans="1:9">
      <c r="B2" s="498"/>
      <c r="C2" s="498"/>
      <c r="D2" s="499" t="s">
        <v>364</v>
      </c>
      <c r="G2" s="497"/>
    </row>
    <row r="3" spans="1:9">
      <c r="B3" s="36"/>
      <c r="C3" s="36"/>
      <c r="D3" s="499" t="s">
        <v>395</v>
      </c>
      <c r="G3" s="497"/>
      <c r="I3" s="497"/>
    </row>
    <row r="4" spans="1:9">
      <c r="B4" s="35"/>
      <c r="C4" s="35"/>
      <c r="D4" s="499" t="s">
        <v>404</v>
      </c>
      <c r="G4" s="497"/>
      <c r="I4" s="497"/>
    </row>
    <row r="8" spans="1:9">
      <c r="D8" s="707" t="s">
        <v>1471</v>
      </c>
      <c r="E8" s="707"/>
      <c r="F8" s="710">
        <v>100</v>
      </c>
      <c r="G8" s="710"/>
      <c r="H8" s="497" t="s">
        <v>1472</v>
      </c>
    </row>
    <row r="9" spans="1:9">
      <c r="D9" s="707" t="s">
        <v>913</v>
      </c>
      <c r="E9" s="707"/>
      <c r="F9" s="707">
        <v>100000</v>
      </c>
      <c r="G9" s="707"/>
      <c r="H9" s="497" t="s">
        <v>914</v>
      </c>
    </row>
    <row r="10" spans="1:9">
      <c r="D10" s="710"/>
      <c r="E10" s="710"/>
      <c r="F10" s="710"/>
      <c r="G10" s="710"/>
    </row>
    <row r="11" spans="1:9">
      <c r="D11" s="710"/>
      <c r="E11" s="710"/>
      <c r="F11" s="710"/>
      <c r="G11" s="710"/>
    </row>
    <row r="12" spans="1:9">
      <c r="D12" s="710"/>
      <c r="E12" s="710"/>
      <c r="F12" s="710"/>
      <c r="G12" s="710"/>
    </row>
    <row r="13" spans="1:9">
      <c r="D13" s="710"/>
      <c r="E13" s="710"/>
      <c r="F13" s="710"/>
      <c r="G13" s="710"/>
    </row>
    <row r="14" spans="1:9">
      <c r="D14" s="710"/>
      <c r="E14" s="710"/>
      <c r="F14" s="710"/>
      <c r="G14" s="710"/>
    </row>
  </sheetData>
  <mergeCells count="15">
    <mergeCell ref="A1:D1"/>
    <mergeCell ref="F8:G8"/>
    <mergeCell ref="F9:G9"/>
    <mergeCell ref="F10:G10"/>
    <mergeCell ref="F11:G11"/>
    <mergeCell ref="D8:E8"/>
    <mergeCell ref="F13:G13"/>
    <mergeCell ref="F14:G14"/>
    <mergeCell ref="D9:E9"/>
    <mergeCell ref="D10:E10"/>
    <mergeCell ref="D11:E11"/>
    <mergeCell ref="D12:E12"/>
    <mergeCell ref="D13:E13"/>
    <mergeCell ref="D14:E14"/>
    <mergeCell ref="F12:G12"/>
  </mergeCells>
  <phoneticPr fontId="42"/>
  <hyperlinks>
    <hyperlink ref="A1:D1" location="目次!A1" display="　目次　" xr:uid="{06A03A8C-7692-4C86-B9AE-A613E050CFC9}"/>
  </hyperlinks>
  <pageMargins left="0.69930555555555596" right="0.69930555555555596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3FE6-D196-4834-950C-D6B1EF8485BB}">
  <dimension ref="A1:AD26"/>
  <sheetViews>
    <sheetView workbookViewId="0">
      <selection sqref="A1:D1"/>
    </sheetView>
  </sheetViews>
  <sheetFormatPr defaultColWidth="3.75" defaultRowHeight="13.5"/>
  <cols>
    <col min="1" max="12" width="3.75" style="515"/>
    <col min="13" max="13" width="3.75" style="570"/>
    <col min="14" max="17" width="3.75" style="515"/>
    <col min="18" max="18" width="3.75" style="563"/>
    <col min="19" max="19" width="3.75" style="572"/>
    <col min="20" max="20" width="3.75" style="563"/>
    <col min="21" max="23" width="3.75" style="515"/>
    <col min="24" max="24" width="3.75" style="570"/>
    <col min="25" max="28" width="3.75" style="515"/>
    <col min="29" max="29" width="3.75" style="572"/>
    <col min="30" max="16384" width="3.75" style="515"/>
  </cols>
  <sheetData>
    <row r="1" spans="1:26">
      <c r="A1" s="686" t="s">
        <v>61</v>
      </c>
      <c r="B1" s="686"/>
      <c r="C1" s="686"/>
      <c r="D1" s="686"/>
    </row>
    <row r="2" spans="1:26">
      <c r="B2" s="516"/>
      <c r="C2" s="516"/>
      <c r="D2" s="515" t="s">
        <v>364</v>
      </c>
      <c r="H2" s="514"/>
      <c r="P2" s="571" t="s">
        <v>1604</v>
      </c>
    </row>
    <row r="3" spans="1:26">
      <c r="B3" s="36"/>
      <c r="C3" s="36"/>
      <c r="D3" s="515" t="s">
        <v>395</v>
      </c>
      <c r="H3" s="514"/>
      <c r="J3" s="514"/>
      <c r="Q3" s="571" t="s">
        <v>1606</v>
      </c>
      <c r="T3" s="571" t="s">
        <v>1605</v>
      </c>
    </row>
    <row r="4" spans="1:26">
      <c r="B4" s="35"/>
      <c r="C4" s="35"/>
      <c r="D4" s="562" t="s">
        <v>1587</v>
      </c>
      <c r="H4" s="514"/>
      <c r="J4" s="514"/>
      <c r="P4" s="571" t="s">
        <v>1602</v>
      </c>
    </row>
    <row r="5" spans="1:26">
      <c r="Q5" s="571" t="s">
        <v>1601</v>
      </c>
    </row>
    <row r="6" spans="1:26">
      <c r="B6" s="514" t="s">
        <v>1479</v>
      </c>
      <c r="Q6" s="571" t="s">
        <v>1603</v>
      </c>
    </row>
    <row r="9" spans="1:26">
      <c r="B9" s="707" t="s">
        <v>1480</v>
      </c>
      <c r="C9" s="707"/>
      <c r="D9" s="707"/>
      <c r="E9" s="709">
        <v>-3</v>
      </c>
      <c r="F9" s="709"/>
      <c r="G9" s="709"/>
      <c r="H9" s="514" t="s">
        <v>1481</v>
      </c>
    </row>
    <row r="11" spans="1:26">
      <c r="B11" s="602" t="s">
        <v>1482</v>
      </c>
      <c r="C11" s="602"/>
      <c r="D11" s="602"/>
      <c r="E11" s="708">
        <f>10^(E9/20)</f>
        <v>0.70794578438413791</v>
      </c>
      <c r="F11" s="708"/>
      <c r="G11" s="708"/>
      <c r="H11" s="514" t="s">
        <v>952</v>
      </c>
      <c r="I11" s="562" t="s">
        <v>1581</v>
      </c>
      <c r="J11" s="707" t="s">
        <v>1584</v>
      </c>
      <c r="K11" s="707"/>
      <c r="L11" s="708">
        <f>E11*W11</f>
        <v>0.54865798289770684</v>
      </c>
      <c r="M11" s="708"/>
      <c r="N11" s="708"/>
      <c r="O11" s="562" t="s">
        <v>1580</v>
      </c>
      <c r="Q11" s="707" t="s">
        <v>1611</v>
      </c>
      <c r="R11" s="707"/>
      <c r="S11" s="707"/>
      <c r="T11" s="707"/>
      <c r="U11" s="707"/>
      <c r="V11" s="707"/>
      <c r="W11" s="834">
        <v>0.77500000000000002</v>
      </c>
      <c r="X11" s="834"/>
      <c r="Y11" s="834"/>
      <c r="Z11" s="562" t="s">
        <v>1580</v>
      </c>
    </row>
    <row r="12" spans="1:26">
      <c r="B12" s="602" t="s">
        <v>1483</v>
      </c>
      <c r="C12" s="602"/>
      <c r="D12" s="602"/>
      <c r="E12" s="708">
        <f>10^(E9/10)</f>
        <v>0.50118723362727224</v>
      </c>
      <c r="F12" s="708"/>
      <c r="G12" s="708"/>
      <c r="H12" s="602" t="s">
        <v>952</v>
      </c>
      <c r="I12" s="602" t="s">
        <v>1685</v>
      </c>
      <c r="J12" s="707" t="s">
        <v>1585</v>
      </c>
      <c r="K12" s="707"/>
      <c r="L12" s="708">
        <f>W12*E11</f>
        <v>1.415891568768276E-5</v>
      </c>
      <c r="M12" s="708"/>
      <c r="N12" s="708"/>
      <c r="O12" s="562" t="s">
        <v>1586</v>
      </c>
      <c r="Q12" s="707" t="s">
        <v>1610</v>
      </c>
      <c r="R12" s="707"/>
      <c r="S12" s="707"/>
      <c r="T12" s="707"/>
      <c r="U12" s="710"/>
      <c r="V12" s="710"/>
      <c r="W12" s="834">
        <v>2.0000000000000002E-5</v>
      </c>
      <c r="X12" s="834"/>
      <c r="Y12" s="834"/>
      <c r="Z12" s="562" t="s">
        <v>1586</v>
      </c>
    </row>
    <row r="13" spans="1:26">
      <c r="B13" s="562"/>
      <c r="H13" s="562"/>
      <c r="J13" s="602" t="s">
        <v>1682</v>
      </c>
      <c r="L13" s="708">
        <f>E12*W13</f>
        <v>5.011872336272722E-4</v>
      </c>
      <c r="M13" s="708"/>
      <c r="N13" s="708"/>
      <c r="O13" s="602" t="s">
        <v>1683</v>
      </c>
      <c r="Q13" s="562" t="s">
        <v>1684</v>
      </c>
      <c r="R13" s="562"/>
      <c r="S13" s="571"/>
      <c r="T13" s="562"/>
      <c r="U13" s="563"/>
      <c r="W13" s="834">
        <v>1E-3</v>
      </c>
      <c r="X13" s="834"/>
      <c r="Y13" s="834"/>
      <c r="Z13" s="602" t="s">
        <v>1683</v>
      </c>
    </row>
    <row r="14" spans="1:26">
      <c r="Q14" s="562"/>
      <c r="R14" s="562"/>
      <c r="S14" s="571"/>
      <c r="T14" s="562"/>
      <c r="U14" s="563"/>
    </row>
    <row r="15" spans="1:26">
      <c r="Q15" s="3" t="s">
        <v>1597</v>
      </c>
    </row>
    <row r="16" spans="1:26">
      <c r="Q16" s="873" t="s">
        <v>1598</v>
      </c>
      <c r="R16" s="873"/>
      <c r="S16" s="873"/>
      <c r="T16" s="873"/>
      <c r="U16" s="873"/>
      <c r="V16" s="873"/>
      <c r="W16" s="842">
        <v>-60</v>
      </c>
      <c r="X16" s="842"/>
      <c r="Y16" s="842"/>
      <c r="Z16" s="562" t="s">
        <v>1588</v>
      </c>
    </row>
    <row r="17" spans="17:30">
      <c r="Q17" s="881" t="s">
        <v>1592</v>
      </c>
      <c r="R17" s="881"/>
      <c r="S17" s="881"/>
      <c r="T17" s="881"/>
      <c r="U17" s="881"/>
      <c r="V17" s="881"/>
      <c r="W17" s="708">
        <f>10^(W16/20)</f>
        <v>1E-3</v>
      </c>
      <c r="X17" s="708"/>
      <c r="Y17" s="708"/>
      <c r="Z17" s="562" t="s">
        <v>1596</v>
      </c>
      <c r="AC17" s="571" t="s">
        <v>1608</v>
      </c>
      <c r="AD17" s="571" t="s">
        <v>1607</v>
      </c>
    </row>
    <row r="18" spans="17:30">
      <c r="Q18" s="881" t="s">
        <v>1591</v>
      </c>
      <c r="R18" s="881"/>
      <c r="S18" s="881"/>
      <c r="T18" s="881"/>
      <c r="U18" s="881"/>
      <c r="V18" s="881"/>
      <c r="W18" s="882">
        <v>142</v>
      </c>
      <c r="X18" s="882"/>
      <c r="Y18" s="882"/>
      <c r="Z18" s="562" t="s">
        <v>1588</v>
      </c>
      <c r="AD18" s="571" t="s">
        <v>1609</v>
      </c>
    </row>
    <row r="19" spans="17:30">
      <c r="Q19" s="873" t="s">
        <v>1593</v>
      </c>
      <c r="R19" s="873"/>
      <c r="S19" s="873"/>
      <c r="T19" s="873"/>
      <c r="U19" s="873"/>
      <c r="V19" s="873"/>
      <c r="W19" s="708">
        <f>10^(W18/20)</f>
        <v>12589254.117941668</v>
      </c>
      <c r="X19" s="708"/>
      <c r="Y19" s="708"/>
      <c r="Z19" s="562" t="s">
        <v>1583</v>
      </c>
    </row>
    <row r="20" spans="17:30">
      <c r="Q20" s="873" t="s">
        <v>1594</v>
      </c>
      <c r="R20" s="791"/>
      <c r="S20" s="791"/>
      <c r="T20" s="791"/>
      <c r="U20" s="791"/>
      <c r="V20" s="791"/>
      <c r="W20" s="779">
        <f>W12*W19</f>
        <v>251.78508235883339</v>
      </c>
      <c r="X20" s="779"/>
      <c r="Y20" s="779"/>
      <c r="Z20" s="562" t="s">
        <v>1586</v>
      </c>
    </row>
    <row r="21" spans="17:30">
      <c r="Q21" s="881" t="s">
        <v>1595</v>
      </c>
      <c r="R21" s="881"/>
      <c r="S21" s="881"/>
      <c r="T21" s="881"/>
      <c r="U21" s="881"/>
      <c r="V21" s="881"/>
      <c r="W21" s="779">
        <f>W20*W17</f>
        <v>0.2517850823588334</v>
      </c>
      <c r="X21" s="779"/>
      <c r="Y21" s="779"/>
      <c r="Z21" s="562" t="s">
        <v>1064</v>
      </c>
    </row>
    <row r="22" spans="17:30">
      <c r="Q22" s="566"/>
      <c r="R22" s="566"/>
      <c r="S22" s="573"/>
      <c r="T22" s="566"/>
      <c r="U22" s="566"/>
      <c r="V22" s="566"/>
    </row>
    <row r="23" spans="17:30">
      <c r="Q23" s="873" t="s">
        <v>1599</v>
      </c>
      <c r="R23" s="873"/>
      <c r="S23" s="873"/>
      <c r="T23" s="873"/>
      <c r="U23" s="873"/>
      <c r="V23" s="873"/>
      <c r="W23" s="876">
        <v>10</v>
      </c>
      <c r="X23" s="876"/>
      <c r="Y23" s="709"/>
      <c r="Z23" s="564" t="s">
        <v>1600</v>
      </c>
    </row>
    <row r="24" spans="17:30">
      <c r="Q24" s="873" t="s">
        <v>1589</v>
      </c>
      <c r="R24" s="873"/>
      <c r="S24" s="873"/>
      <c r="T24" s="873"/>
      <c r="U24" s="873"/>
      <c r="V24" s="873"/>
      <c r="W24" s="708">
        <f>10^(W23/20)</f>
        <v>3.1622776601683795</v>
      </c>
      <c r="X24" s="708"/>
      <c r="Y24" s="708"/>
      <c r="Z24" s="564" t="s">
        <v>1583</v>
      </c>
    </row>
    <row r="25" spans="17:30">
      <c r="Q25" s="881" t="s">
        <v>1585</v>
      </c>
      <c r="R25" s="881"/>
      <c r="S25" s="881"/>
      <c r="T25" s="881"/>
      <c r="U25" s="881"/>
      <c r="V25" s="881"/>
      <c r="W25" s="779">
        <f>W12*W24</f>
        <v>6.3245553203367591E-5</v>
      </c>
      <c r="X25" s="779"/>
      <c r="Y25" s="779"/>
      <c r="Z25" s="564" t="s">
        <v>1586</v>
      </c>
    </row>
    <row r="26" spans="17:30">
      <c r="Q26" s="881" t="s">
        <v>1590</v>
      </c>
      <c r="R26" s="881"/>
      <c r="S26" s="881"/>
      <c r="T26" s="881"/>
      <c r="U26" s="881"/>
      <c r="V26" s="881"/>
      <c r="W26" s="779">
        <f>W25*W17</f>
        <v>6.3245553203367597E-8</v>
      </c>
      <c r="X26" s="779"/>
      <c r="Y26" s="779"/>
      <c r="Z26" s="564" t="s">
        <v>1580</v>
      </c>
    </row>
  </sheetData>
  <mergeCells count="35">
    <mergeCell ref="W26:Y26"/>
    <mergeCell ref="Q25:V25"/>
    <mergeCell ref="Q26:V26"/>
    <mergeCell ref="Q19:V19"/>
    <mergeCell ref="W23:Y23"/>
    <mergeCell ref="W24:Y24"/>
    <mergeCell ref="Q23:V23"/>
    <mergeCell ref="Q24:V24"/>
    <mergeCell ref="W25:Y25"/>
    <mergeCell ref="W19:Y19"/>
    <mergeCell ref="W20:Y20"/>
    <mergeCell ref="Q20:V20"/>
    <mergeCell ref="Q21:V21"/>
    <mergeCell ref="W21:Y21"/>
    <mergeCell ref="Q17:V17"/>
    <mergeCell ref="Q18:V18"/>
    <mergeCell ref="W17:Y17"/>
    <mergeCell ref="W18:Y18"/>
    <mergeCell ref="W16:Y16"/>
    <mergeCell ref="Q16:V16"/>
    <mergeCell ref="L13:N13"/>
    <mergeCell ref="W13:Y13"/>
    <mergeCell ref="A1:D1"/>
    <mergeCell ref="B9:D9"/>
    <mergeCell ref="E9:G9"/>
    <mergeCell ref="E11:G11"/>
    <mergeCell ref="E12:G12"/>
    <mergeCell ref="L11:N11"/>
    <mergeCell ref="L12:N12"/>
    <mergeCell ref="W11:Y11"/>
    <mergeCell ref="J11:K11"/>
    <mergeCell ref="J12:K12"/>
    <mergeCell ref="Q11:V11"/>
    <mergeCell ref="Q12:V12"/>
    <mergeCell ref="W12:Y12"/>
  </mergeCells>
  <phoneticPr fontId="42"/>
  <hyperlinks>
    <hyperlink ref="A1:D1" location="目次!A1" display="　目次　" xr:uid="{D1EEEAFF-3112-47ED-9A7D-2BCD2AF4A10C}"/>
  </hyperlinks>
  <pageMargins left="0.69930555555555596" right="0.69930555555555596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61A0B-582B-451B-82FB-E7A4327E946E}">
  <dimension ref="B1:AB55"/>
  <sheetViews>
    <sheetView zoomScaleNormal="100" workbookViewId="0">
      <selection activeCell="B1" sqref="B1:E1"/>
    </sheetView>
  </sheetViews>
  <sheetFormatPr defaultColWidth="3.75" defaultRowHeight="13.5"/>
  <cols>
    <col min="1" max="16384" width="3.75" style="575"/>
  </cols>
  <sheetData>
    <row r="1" spans="2:18">
      <c r="B1" s="686" t="s">
        <v>61</v>
      </c>
      <c r="C1" s="686"/>
      <c r="D1" s="686"/>
      <c r="E1" s="686"/>
    </row>
    <row r="2" spans="2:18">
      <c r="B2" s="577"/>
      <c r="C2" s="577"/>
      <c r="D2" s="575" t="s">
        <v>364</v>
      </c>
      <c r="I2" s="574"/>
    </row>
    <row r="3" spans="2:18">
      <c r="B3" s="36"/>
      <c r="C3" s="36"/>
      <c r="D3" s="575" t="s">
        <v>395</v>
      </c>
      <c r="I3" s="574"/>
      <c r="K3" s="574"/>
    </row>
    <row r="4" spans="2:18">
      <c r="B4" s="581"/>
      <c r="C4" s="581"/>
      <c r="D4" s="574" t="s">
        <v>1587</v>
      </c>
      <c r="I4" s="574"/>
      <c r="K4" s="574"/>
    </row>
    <row r="6" spans="2:18" s="586" customFormat="1" ht="25.5">
      <c r="B6" s="586" t="s">
        <v>1633</v>
      </c>
    </row>
    <row r="7" spans="2:18">
      <c r="B7" s="574"/>
    </row>
    <row r="8" spans="2:18">
      <c r="B8" s="574" t="s">
        <v>1636</v>
      </c>
      <c r="K8" s="574" t="s">
        <v>1635</v>
      </c>
    </row>
    <row r="9" spans="2:18">
      <c r="B9" s="574"/>
    </row>
    <row r="10" spans="2:18">
      <c r="B10" s="574"/>
      <c r="R10" s="574"/>
    </row>
    <row r="11" spans="2:18">
      <c r="B11" s="574"/>
      <c r="R11" s="574"/>
    </row>
    <row r="12" spans="2:18">
      <c r="B12" s="574"/>
      <c r="R12" s="574"/>
    </row>
    <row r="13" spans="2:18">
      <c r="B13" s="574"/>
      <c r="R13" s="574"/>
    </row>
    <row r="14" spans="2:18">
      <c r="B14" s="574"/>
      <c r="R14" s="574"/>
    </row>
    <row r="15" spans="2:18">
      <c r="B15" s="574"/>
      <c r="R15" s="574"/>
    </row>
    <row r="16" spans="2:18">
      <c r="B16" s="574"/>
      <c r="R16" s="574"/>
    </row>
    <row r="17" spans="2:28">
      <c r="B17" s="574" t="s">
        <v>1637</v>
      </c>
      <c r="K17" s="574" t="s">
        <v>1634</v>
      </c>
      <c r="R17" s="574"/>
    </row>
    <row r="18" spans="2:28">
      <c r="B18" s="574"/>
      <c r="R18" s="574"/>
    </row>
    <row r="19" spans="2:28">
      <c r="B19" s="574"/>
      <c r="R19" s="574"/>
    </row>
    <row r="20" spans="2:28">
      <c r="B20" s="574"/>
      <c r="R20" s="574"/>
    </row>
    <row r="21" spans="2:28">
      <c r="B21" s="574"/>
      <c r="R21" s="574"/>
    </row>
    <row r="22" spans="2:28">
      <c r="B22" s="574"/>
      <c r="R22" s="574"/>
    </row>
    <row r="23" spans="2:28">
      <c r="B23" s="574"/>
      <c r="R23" s="574"/>
    </row>
    <row r="24" spans="2:28">
      <c r="B24" s="574" t="s">
        <v>1604</v>
      </c>
      <c r="R24" s="574"/>
    </row>
    <row r="25" spans="2:28">
      <c r="C25" s="574" t="s">
        <v>1606</v>
      </c>
      <c r="F25" s="574" t="s">
        <v>1605</v>
      </c>
      <c r="R25" s="574"/>
    </row>
    <row r="26" spans="2:28">
      <c r="C26" s="574"/>
    </row>
    <row r="27" spans="2:28">
      <c r="B27" s="574" t="s">
        <v>1638</v>
      </c>
      <c r="S27" s="574" t="s">
        <v>1639</v>
      </c>
    </row>
    <row r="28" spans="2:28">
      <c r="B28" s="883" t="s">
        <v>1615</v>
      </c>
      <c r="C28" s="883"/>
      <c r="D28" s="883"/>
      <c r="E28" s="883"/>
      <c r="F28" s="883"/>
      <c r="G28" s="883"/>
      <c r="H28" s="883"/>
      <c r="I28" s="883"/>
      <c r="J28" s="883"/>
      <c r="K28" s="834">
        <v>0.77500000000000002</v>
      </c>
      <c r="L28" s="834"/>
      <c r="M28" s="834"/>
      <c r="N28" s="574" t="s">
        <v>1064</v>
      </c>
      <c r="T28" s="574" t="s">
        <v>1601</v>
      </c>
    </row>
    <row r="29" spans="2:28">
      <c r="B29" s="883" t="s">
        <v>1616</v>
      </c>
      <c r="C29" s="883"/>
      <c r="D29" s="883"/>
      <c r="E29" s="883"/>
      <c r="F29" s="883"/>
      <c r="G29" s="883"/>
      <c r="H29" s="883"/>
      <c r="I29" s="883"/>
      <c r="J29" s="883"/>
      <c r="K29" s="834">
        <v>2.0000000000000002E-5</v>
      </c>
      <c r="L29" s="834"/>
      <c r="M29" s="834"/>
      <c r="N29" s="574" t="s">
        <v>1586</v>
      </c>
      <c r="T29" s="574" t="s">
        <v>1603</v>
      </c>
    </row>
    <row r="30" spans="2:28">
      <c r="B30" s="883" t="s">
        <v>1617</v>
      </c>
      <c r="C30" s="883"/>
      <c r="D30" s="883"/>
      <c r="E30" s="883"/>
      <c r="F30" s="883"/>
      <c r="G30" s="883"/>
      <c r="H30" s="883"/>
      <c r="I30" s="883"/>
      <c r="J30" s="883"/>
      <c r="K30" s="834">
        <v>1E-3</v>
      </c>
      <c r="L30" s="834"/>
      <c r="M30" s="834"/>
      <c r="N30" s="574" t="s">
        <v>1331</v>
      </c>
    </row>
    <row r="31" spans="2:28">
      <c r="B31" s="883" t="s">
        <v>1614</v>
      </c>
      <c r="C31" s="883"/>
      <c r="D31" s="883"/>
      <c r="E31" s="883"/>
      <c r="F31" s="883"/>
      <c r="G31" s="883"/>
      <c r="H31" s="883"/>
      <c r="I31" s="883"/>
      <c r="J31" s="883"/>
      <c r="K31" s="834">
        <v>1</v>
      </c>
      <c r="L31" s="834"/>
      <c r="M31" s="834"/>
      <c r="N31" s="574" t="s">
        <v>1613</v>
      </c>
      <c r="AB31" s="579" t="s">
        <v>1640</v>
      </c>
    </row>
    <row r="33" spans="2:20" s="569" customFormat="1"/>
    <row r="34" spans="2:20">
      <c r="B34" s="3" t="s">
        <v>1625</v>
      </c>
    </row>
    <row r="35" spans="2:20">
      <c r="C35" s="873" t="s">
        <v>1480</v>
      </c>
      <c r="D35" s="873"/>
      <c r="E35" s="873"/>
      <c r="F35" s="873"/>
      <c r="G35" s="709">
        <v>20</v>
      </c>
      <c r="H35" s="709"/>
      <c r="I35" s="709"/>
      <c r="J35" s="709"/>
      <c r="K35" s="574" t="s">
        <v>1481</v>
      </c>
    </row>
    <row r="36" spans="2:20">
      <c r="C36" s="873" t="s">
        <v>1624</v>
      </c>
      <c r="D36" s="873"/>
      <c r="E36" s="873"/>
      <c r="F36" s="873"/>
      <c r="G36" s="708">
        <f>10^(G35/20)</f>
        <v>10</v>
      </c>
      <c r="H36" s="708"/>
      <c r="I36" s="708"/>
      <c r="J36" s="708"/>
      <c r="K36" s="574" t="s">
        <v>952</v>
      </c>
    </row>
    <row r="37" spans="2:20">
      <c r="C37" s="873" t="s">
        <v>1483</v>
      </c>
      <c r="D37" s="873"/>
      <c r="E37" s="873"/>
      <c r="F37" s="873"/>
      <c r="G37" s="708">
        <f>10^(G35/10)</f>
        <v>100</v>
      </c>
      <c r="H37" s="708"/>
      <c r="I37" s="708"/>
      <c r="J37" s="708"/>
      <c r="K37" s="574" t="s">
        <v>952</v>
      </c>
    </row>
    <row r="38" spans="2:20">
      <c r="C38" s="873" t="s">
        <v>1171</v>
      </c>
      <c r="D38" s="873"/>
      <c r="E38" s="873"/>
      <c r="F38" s="873"/>
      <c r="G38" s="708">
        <f>G36*K28</f>
        <v>7.75</v>
      </c>
      <c r="H38" s="708"/>
      <c r="I38" s="708"/>
      <c r="J38" s="708"/>
      <c r="K38" s="574" t="s">
        <v>1064</v>
      </c>
    </row>
    <row r="39" spans="2:20">
      <c r="C39" s="873" t="s">
        <v>1585</v>
      </c>
      <c r="D39" s="873"/>
      <c r="E39" s="873"/>
      <c r="F39" s="873"/>
      <c r="G39" s="708">
        <f>K29*G36</f>
        <v>2.0000000000000001E-4</v>
      </c>
      <c r="H39" s="708"/>
      <c r="I39" s="708"/>
      <c r="J39" s="708"/>
      <c r="K39" s="574" t="s">
        <v>1586</v>
      </c>
    </row>
    <row r="40" spans="2:20">
      <c r="C40" s="873" t="s">
        <v>1330</v>
      </c>
      <c r="D40" s="873"/>
      <c r="E40" s="873"/>
      <c r="F40" s="873"/>
      <c r="G40" s="708">
        <f>K30*G37</f>
        <v>0.1</v>
      </c>
      <c r="H40" s="708"/>
      <c r="I40" s="708"/>
      <c r="J40" s="708"/>
      <c r="K40" s="574" t="s">
        <v>1331</v>
      </c>
    </row>
    <row r="42" spans="2:20">
      <c r="B42" s="584" t="s">
        <v>1632</v>
      </c>
      <c r="C42" s="368"/>
      <c r="E42" s="368"/>
      <c r="F42" s="884">
        <v>-42</v>
      </c>
      <c r="G42" s="884"/>
      <c r="H42" s="584" t="s">
        <v>1626</v>
      </c>
      <c r="I42" s="584"/>
    </row>
    <row r="43" spans="2:20" ht="14.25" thickBot="1">
      <c r="C43" s="887" t="s">
        <v>1619</v>
      </c>
      <c r="D43" s="887"/>
      <c r="E43" s="887"/>
      <c r="F43" s="887"/>
      <c r="G43" s="887"/>
      <c r="H43" s="887"/>
      <c r="I43" s="887"/>
      <c r="J43" s="887"/>
      <c r="K43" s="708">
        <f>10^(F42/20)*K31</f>
        <v>7.9432823472428121E-3</v>
      </c>
      <c r="L43" s="708"/>
      <c r="M43" s="708"/>
      <c r="N43" s="708"/>
      <c r="O43" s="576" t="s">
        <v>1613</v>
      </c>
    </row>
    <row r="44" spans="2:20" ht="14.25" thickTop="1">
      <c r="B44" s="63"/>
      <c r="C44" s="585" t="s">
        <v>1629</v>
      </c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</row>
    <row r="45" spans="2:20">
      <c r="C45" s="63"/>
      <c r="D45" s="885" t="s">
        <v>1622</v>
      </c>
      <c r="E45" s="885"/>
      <c r="F45" s="885"/>
      <c r="G45" s="885"/>
      <c r="H45" s="885"/>
      <c r="I45" s="885"/>
      <c r="J45" s="885"/>
      <c r="K45" s="836">
        <v>1</v>
      </c>
      <c r="L45" s="836"/>
      <c r="M45" s="836"/>
      <c r="N45" s="836"/>
      <c r="O45" s="408" t="s">
        <v>1586</v>
      </c>
      <c r="P45" s="63"/>
      <c r="Q45" s="63"/>
    </row>
    <row r="46" spans="2:20" ht="14.25" thickBot="1">
      <c r="C46" s="63"/>
      <c r="D46" s="887" t="s">
        <v>1621</v>
      </c>
      <c r="E46" s="887"/>
      <c r="F46" s="887"/>
      <c r="G46" s="887"/>
      <c r="H46" s="887"/>
      <c r="I46" s="887"/>
      <c r="J46" s="887"/>
      <c r="K46" s="708">
        <f>K45*K43</f>
        <v>7.9432823472428121E-3</v>
      </c>
      <c r="L46" s="708"/>
      <c r="M46" s="708"/>
      <c r="N46" s="708"/>
      <c r="O46" s="574" t="s">
        <v>1064</v>
      </c>
    </row>
    <row r="47" spans="2:20" ht="14.25" thickTop="1">
      <c r="B47" s="63"/>
      <c r="C47" s="585" t="s">
        <v>1631</v>
      </c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583"/>
      <c r="P47" s="583"/>
      <c r="Q47" s="578"/>
      <c r="R47" s="578"/>
      <c r="S47" s="578"/>
      <c r="T47" s="578"/>
    </row>
    <row r="48" spans="2:20">
      <c r="B48" s="63"/>
      <c r="D48" s="885" t="s">
        <v>1623</v>
      </c>
      <c r="E48" s="885"/>
      <c r="F48" s="885"/>
      <c r="G48" s="885"/>
      <c r="H48" s="885"/>
      <c r="I48" s="885"/>
      <c r="J48" s="885"/>
      <c r="K48" s="836">
        <v>50</v>
      </c>
      <c r="L48" s="836"/>
      <c r="M48" s="836"/>
      <c r="N48" s="836"/>
      <c r="O48" s="407" t="s">
        <v>1618</v>
      </c>
      <c r="P48" s="63"/>
      <c r="Q48" s="63"/>
    </row>
    <row r="49" spans="2:16">
      <c r="B49" s="63"/>
      <c r="D49" s="883" t="s">
        <v>1628</v>
      </c>
      <c r="E49" s="883"/>
      <c r="F49" s="883"/>
      <c r="G49" s="883"/>
      <c r="H49" s="883"/>
      <c r="I49" s="883"/>
      <c r="J49" s="883"/>
      <c r="K49" s="708">
        <f>10^(K48/20)</f>
        <v>316.22776601683825</v>
      </c>
      <c r="L49" s="708"/>
      <c r="M49" s="708"/>
      <c r="N49" s="708"/>
      <c r="O49" s="574" t="s">
        <v>952</v>
      </c>
    </row>
    <row r="50" spans="2:16">
      <c r="D50" s="883" t="s">
        <v>1627</v>
      </c>
      <c r="E50" s="883"/>
      <c r="F50" s="883"/>
      <c r="G50" s="883"/>
      <c r="H50" s="883"/>
      <c r="I50" s="883"/>
      <c r="J50" s="883"/>
      <c r="K50" s="708">
        <f>K49*K29</f>
        <v>6.3245553203367657E-3</v>
      </c>
      <c r="L50" s="708"/>
      <c r="M50" s="708"/>
      <c r="N50" s="708"/>
      <c r="O50" s="574" t="s">
        <v>1586</v>
      </c>
    </row>
    <row r="51" spans="2:16" ht="14.25" thickBot="1">
      <c r="D51" s="887" t="s">
        <v>1621</v>
      </c>
      <c r="E51" s="887"/>
      <c r="F51" s="887"/>
      <c r="G51" s="887"/>
      <c r="H51" s="887"/>
      <c r="I51" s="887"/>
      <c r="J51" s="887"/>
      <c r="K51" s="708">
        <f>K50*K43</f>
        <v>5.0237728630191637E-5</v>
      </c>
      <c r="L51" s="708"/>
      <c r="M51" s="708"/>
      <c r="N51" s="708"/>
      <c r="O51" s="574" t="s">
        <v>1064</v>
      </c>
    </row>
    <row r="52" spans="2:16" ht="14.25" thickTop="1">
      <c r="C52" s="585" t="s">
        <v>1630</v>
      </c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583"/>
      <c r="P52" s="583"/>
    </row>
    <row r="53" spans="2:16">
      <c r="D53" s="885" t="s">
        <v>1621</v>
      </c>
      <c r="E53" s="885"/>
      <c r="F53" s="885"/>
      <c r="G53" s="885"/>
      <c r="H53" s="885"/>
      <c r="I53" s="885"/>
      <c r="J53" s="885"/>
      <c r="K53" s="836">
        <v>4.0000000000000003E-5</v>
      </c>
      <c r="L53" s="836"/>
      <c r="M53" s="836"/>
      <c r="N53" s="836"/>
      <c r="O53" s="407" t="s">
        <v>1064</v>
      </c>
      <c r="P53" s="63"/>
    </row>
    <row r="54" spans="2:16">
      <c r="D54" s="886" t="s">
        <v>1620</v>
      </c>
      <c r="E54" s="886"/>
      <c r="F54" s="886"/>
      <c r="G54" s="886"/>
      <c r="H54" s="886"/>
      <c r="I54" s="886"/>
      <c r="J54" s="886"/>
      <c r="K54" s="708">
        <f>K53/K43</f>
        <v>5.0357016471766708E-3</v>
      </c>
      <c r="L54" s="708"/>
      <c r="M54" s="708"/>
      <c r="N54" s="708"/>
      <c r="O54" s="580" t="s">
        <v>1586</v>
      </c>
    </row>
    <row r="55" spans="2:16">
      <c r="D55" s="886" t="s">
        <v>1623</v>
      </c>
      <c r="E55" s="886"/>
      <c r="F55" s="886"/>
      <c r="G55" s="886"/>
      <c r="H55" s="886"/>
      <c r="I55" s="886"/>
      <c r="J55" s="886"/>
      <c r="K55" s="708">
        <f>20*LOG(K54/K29)</f>
        <v>48.020599913279625</v>
      </c>
      <c r="L55" s="708"/>
      <c r="M55" s="708"/>
      <c r="N55" s="708"/>
      <c r="O55" s="580" t="s">
        <v>1618</v>
      </c>
    </row>
  </sheetData>
  <mergeCells count="42">
    <mergeCell ref="D50:J50"/>
    <mergeCell ref="D51:J51"/>
    <mergeCell ref="C37:F37"/>
    <mergeCell ref="C38:F38"/>
    <mergeCell ref="C39:F39"/>
    <mergeCell ref="D45:J45"/>
    <mergeCell ref="D46:J46"/>
    <mergeCell ref="C40:F40"/>
    <mergeCell ref="C43:J43"/>
    <mergeCell ref="G38:J38"/>
    <mergeCell ref="G39:J39"/>
    <mergeCell ref="G40:J40"/>
    <mergeCell ref="K55:N55"/>
    <mergeCell ref="F42:G42"/>
    <mergeCell ref="K50:N50"/>
    <mergeCell ref="K51:N51"/>
    <mergeCell ref="K53:N53"/>
    <mergeCell ref="K54:N54"/>
    <mergeCell ref="K43:N43"/>
    <mergeCell ref="K45:N45"/>
    <mergeCell ref="K46:N46"/>
    <mergeCell ref="K48:N48"/>
    <mergeCell ref="K49:N49"/>
    <mergeCell ref="D53:J53"/>
    <mergeCell ref="D54:J54"/>
    <mergeCell ref="D55:J55"/>
    <mergeCell ref="D48:J48"/>
    <mergeCell ref="D49:J49"/>
    <mergeCell ref="K28:M28"/>
    <mergeCell ref="K30:M30"/>
    <mergeCell ref="K31:M31"/>
    <mergeCell ref="K29:M29"/>
    <mergeCell ref="G37:J37"/>
    <mergeCell ref="B1:E1"/>
    <mergeCell ref="G35:J35"/>
    <mergeCell ref="G36:J36"/>
    <mergeCell ref="B28:J28"/>
    <mergeCell ref="B30:J30"/>
    <mergeCell ref="B31:J31"/>
    <mergeCell ref="B29:J29"/>
    <mergeCell ref="C35:F35"/>
    <mergeCell ref="C36:F36"/>
  </mergeCells>
  <phoneticPr fontId="42"/>
  <hyperlinks>
    <hyperlink ref="B1:E1" location="目次!A1" display="　目次　" xr:uid="{14E28F9D-D310-47CD-8140-9C448E94CD8B}"/>
    <hyperlink ref="AB31" r:id="rId1" xr:uid="{92956217-4EA9-49A1-A895-E7C8418EF163}"/>
  </hyperlinks>
  <pageMargins left="0.69930555555555596" right="0.69930555555555596" top="0.75" bottom="0.75" header="0.3" footer="0.3"/>
  <pageSetup paperSize="9" orientation="portrait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5B6B2-21C0-4EAB-9776-79C49BAE6C34}">
  <dimension ref="A1:I18"/>
  <sheetViews>
    <sheetView workbookViewId="0">
      <selection sqref="A1:D1"/>
    </sheetView>
  </sheetViews>
  <sheetFormatPr defaultColWidth="3.75" defaultRowHeight="13.5"/>
  <cols>
    <col min="1" max="16384" width="3.75" style="519"/>
  </cols>
  <sheetData>
    <row r="1" spans="1:9">
      <c r="A1" s="686" t="s">
        <v>61</v>
      </c>
      <c r="B1" s="686"/>
      <c r="C1" s="686"/>
      <c r="D1" s="686"/>
    </row>
    <row r="2" spans="1:9">
      <c r="B2" s="518"/>
      <c r="C2" s="518"/>
      <c r="D2" s="519" t="s">
        <v>364</v>
      </c>
      <c r="G2" s="517"/>
    </row>
    <row r="3" spans="1:9">
      <c r="B3" s="36"/>
      <c r="C3" s="36"/>
      <c r="D3" s="519" t="s">
        <v>395</v>
      </c>
      <c r="G3" s="517"/>
      <c r="I3" s="517"/>
    </row>
    <row r="4" spans="1:9">
      <c r="B4" s="35"/>
      <c r="C4" s="35"/>
      <c r="D4" s="519" t="s">
        <v>404</v>
      </c>
      <c r="G4" s="517"/>
      <c r="I4" s="517"/>
    </row>
    <row r="6" spans="1:9" ht="18.75">
      <c r="B6" s="524" t="s">
        <v>1489</v>
      </c>
    </row>
    <row r="11" spans="1:9">
      <c r="B11" s="873" t="s">
        <v>1486</v>
      </c>
      <c r="C11" s="873"/>
      <c r="D11" s="873"/>
      <c r="E11" s="882">
        <v>9.8066499999999994</v>
      </c>
      <c r="F11" s="882"/>
      <c r="G11" s="882"/>
      <c r="H11" s="517" t="s">
        <v>1487</v>
      </c>
    </row>
    <row r="13" spans="1:9">
      <c r="B13" s="873" t="s">
        <v>1485</v>
      </c>
      <c r="C13" s="873"/>
      <c r="D13" s="873"/>
      <c r="E13" s="709">
        <v>160</v>
      </c>
      <c r="F13" s="709"/>
      <c r="G13" s="709"/>
      <c r="H13" s="517" t="s">
        <v>1487</v>
      </c>
    </row>
    <row r="14" spans="1:9">
      <c r="B14" s="873" t="s">
        <v>1693</v>
      </c>
      <c r="C14" s="791"/>
      <c r="D14" s="791"/>
      <c r="E14" s="708">
        <f>E13/E11</f>
        <v>16.315459407646852</v>
      </c>
      <c r="F14" s="708"/>
      <c r="G14" s="708"/>
      <c r="H14" s="517" t="s">
        <v>1145</v>
      </c>
    </row>
    <row r="15" spans="1:9">
      <c r="B15" s="710"/>
      <c r="C15" s="710"/>
      <c r="D15" s="710"/>
      <c r="E15" s="710"/>
      <c r="F15" s="710"/>
      <c r="G15" s="710"/>
    </row>
    <row r="17" spans="2:8">
      <c r="B17" s="873" t="s">
        <v>1693</v>
      </c>
      <c r="C17" s="791"/>
      <c r="D17" s="791"/>
      <c r="E17" s="709">
        <v>3.0591486400000001</v>
      </c>
      <c r="F17" s="709"/>
      <c r="G17" s="709"/>
      <c r="H17" s="517" t="s">
        <v>1145</v>
      </c>
    </row>
    <row r="18" spans="2:8">
      <c r="B18" s="873" t="s">
        <v>1485</v>
      </c>
      <c r="C18" s="791"/>
      <c r="D18" s="791"/>
      <c r="E18" s="708">
        <f>E11*E17</f>
        <v>30.000000010455999</v>
      </c>
      <c r="F18" s="708"/>
      <c r="G18" s="708"/>
      <c r="H18" s="517" t="s">
        <v>1488</v>
      </c>
    </row>
  </sheetData>
  <mergeCells count="13">
    <mergeCell ref="B17:D17"/>
    <mergeCell ref="E17:G17"/>
    <mergeCell ref="B18:D18"/>
    <mergeCell ref="E18:G18"/>
    <mergeCell ref="A1:D1"/>
    <mergeCell ref="B13:D13"/>
    <mergeCell ref="B14:D14"/>
    <mergeCell ref="B15:D15"/>
    <mergeCell ref="E13:G13"/>
    <mergeCell ref="E14:G14"/>
    <mergeCell ref="E15:G15"/>
    <mergeCell ref="B11:D11"/>
    <mergeCell ref="E11:G11"/>
  </mergeCells>
  <phoneticPr fontId="42"/>
  <hyperlinks>
    <hyperlink ref="A1:D1" location="目次!A1" display="　目次　" xr:uid="{F3AED8F3-8DE5-4868-8ECA-47AAB42BB762}"/>
  </hyperlinks>
  <pageMargins left="0.69930555555555596" right="0.69930555555555596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39F9-BE49-4FCC-95FA-237C0DCE9ADE}">
  <dimension ref="A1:I12"/>
  <sheetViews>
    <sheetView workbookViewId="0">
      <selection sqref="A1:D1"/>
    </sheetView>
  </sheetViews>
  <sheetFormatPr defaultColWidth="3.75" defaultRowHeight="13.5"/>
  <cols>
    <col min="1" max="16384" width="3.75" style="521"/>
  </cols>
  <sheetData>
    <row r="1" spans="1:9">
      <c r="A1" s="686" t="s">
        <v>61</v>
      </c>
      <c r="B1" s="686"/>
      <c r="C1" s="686"/>
      <c r="D1" s="686"/>
    </row>
    <row r="2" spans="1:9">
      <c r="B2" s="522"/>
      <c r="C2" s="522"/>
      <c r="D2" s="521" t="s">
        <v>364</v>
      </c>
      <c r="G2" s="520"/>
    </row>
    <row r="3" spans="1:9">
      <c r="B3" s="36"/>
      <c r="C3" s="36"/>
      <c r="D3" s="521" t="s">
        <v>395</v>
      </c>
      <c r="G3" s="520"/>
      <c r="I3" s="520"/>
    </row>
    <row r="4" spans="1:9">
      <c r="B4" s="523"/>
      <c r="C4" s="523"/>
      <c r="D4" s="521" t="s">
        <v>404</v>
      </c>
      <c r="G4" s="520"/>
      <c r="I4" s="520"/>
    </row>
    <row r="8" spans="1:9">
      <c r="B8" s="707" t="s">
        <v>1495</v>
      </c>
      <c r="C8" s="707"/>
      <c r="D8" s="707"/>
      <c r="E8" s="707"/>
      <c r="F8" s="709">
        <v>0.02</v>
      </c>
      <c r="G8" s="709"/>
      <c r="H8" s="709"/>
      <c r="I8" s="520" t="s">
        <v>1494</v>
      </c>
    </row>
    <row r="9" spans="1:9">
      <c r="B9" s="707" t="s">
        <v>1491</v>
      </c>
      <c r="C9" s="707"/>
      <c r="D9" s="707"/>
      <c r="E9" s="707"/>
      <c r="F9" s="709">
        <v>8</v>
      </c>
      <c r="G9" s="709"/>
      <c r="H9" s="709"/>
      <c r="I9" s="520" t="s">
        <v>1492</v>
      </c>
    </row>
    <row r="10" spans="1:9">
      <c r="B10" s="710"/>
      <c r="C10" s="710"/>
      <c r="D10" s="710"/>
      <c r="E10" s="710"/>
      <c r="F10" s="710"/>
      <c r="G10" s="710"/>
      <c r="H10" s="710"/>
    </row>
    <row r="11" spans="1:9">
      <c r="B11" s="707" t="s">
        <v>1496</v>
      </c>
      <c r="C11" s="710"/>
      <c r="D11" s="710"/>
      <c r="E11" s="710"/>
      <c r="F11" s="708">
        <f>F8*F9</f>
        <v>0.16</v>
      </c>
      <c r="G11" s="708"/>
      <c r="H11" s="708"/>
      <c r="I11" s="520" t="s">
        <v>1493</v>
      </c>
    </row>
    <row r="12" spans="1:9">
      <c r="B12" s="707" t="s">
        <v>913</v>
      </c>
      <c r="C12" s="710"/>
      <c r="D12" s="710"/>
      <c r="E12" s="710"/>
      <c r="F12" s="708">
        <f>1/(F11*10^-3)</f>
        <v>6249.9999999999991</v>
      </c>
      <c r="G12" s="708"/>
      <c r="H12" s="708"/>
      <c r="I12" s="520" t="s">
        <v>914</v>
      </c>
    </row>
  </sheetData>
  <mergeCells count="11">
    <mergeCell ref="A1:D1"/>
    <mergeCell ref="F8:H8"/>
    <mergeCell ref="F9:H9"/>
    <mergeCell ref="F10:H10"/>
    <mergeCell ref="F12:H12"/>
    <mergeCell ref="B8:E8"/>
    <mergeCell ref="B9:E9"/>
    <mergeCell ref="B10:E10"/>
    <mergeCell ref="B12:E12"/>
    <mergeCell ref="B11:E11"/>
    <mergeCell ref="F11:H11"/>
  </mergeCells>
  <phoneticPr fontId="42"/>
  <hyperlinks>
    <hyperlink ref="A1:D1" location="目次!A1" display="　目次　" xr:uid="{A7805A98-2C1D-4CDE-9F47-179EE0428F43}"/>
  </hyperlinks>
  <pageMargins left="0.69930555555555596" right="0.69930555555555596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B24B7-0B3B-4BF8-A0DA-B04608A83325}">
  <dimension ref="A1:W14"/>
  <sheetViews>
    <sheetView zoomScale="130" zoomScaleNormal="130" workbookViewId="0">
      <selection sqref="A1:D1"/>
    </sheetView>
  </sheetViews>
  <sheetFormatPr defaultColWidth="3.75" defaultRowHeight="13.5"/>
  <cols>
    <col min="1" max="5" width="3.75" style="527"/>
    <col min="6" max="6" width="3.75" style="527" customWidth="1"/>
    <col min="7" max="16384" width="3.75" style="527"/>
  </cols>
  <sheetData>
    <row r="1" spans="1:23">
      <c r="A1" s="686" t="s">
        <v>61</v>
      </c>
      <c r="B1" s="686"/>
      <c r="C1" s="686"/>
      <c r="D1" s="686"/>
      <c r="E1" s="525"/>
    </row>
    <row r="2" spans="1:23">
      <c r="B2" s="528"/>
      <c r="C2" s="528"/>
      <c r="D2" s="527" t="s">
        <v>364</v>
      </c>
      <c r="H2" s="526"/>
    </row>
    <row r="3" spans="1:23">
      <c r="B3" s="36"/>
      <c r="C3" s="36"/>
      <c r="D3" s="527" t="s">
        <v>395</v>
      </c>
      <c r="H3" s="526"/>
      <c r="J3" s="526"/>
    </row>
    <row r="4" spans="1:23">
      <c r="B4" s="529"/>
      <c r="C4" s="529"/>
      <c r="D4" s="527" t="s">
        <v>404</v>
      </c>
      <c r="H4" s="526"/>
      <c r="J4" s="526"/>
    </row>
    <row r="6" spans="1:23">
      <c r="B6" s="526" t="s">
        <v>1500</v>
      </c>
    </row>
    <row r="7" spans="1:23">
      <c r="P7" s="707" t="s">
        <v>1510</v>
      </c>
      <c r="Q7" s="710"/>
      <c r="R7" s="710"/>
      <c r="S7" s="710"/>
      <c r="T7" s="709">
        <v>7</v>
      </c>
      <c r="U7" s="709"/>
      <c r="V7" s="709"/>
      <c r="W7" s="526" t="s">
        <v>1142</v>
      </c>
    </row>
    <row r="8" spans="1:23">
      <c r="B8" s="707" t="s">
        <v>1501</v>
      </c>
      <c r="C8" s="707"/>
      <c r="D8" s="707"/>
      <c r="E8" s="707"/>
      <c r="F8" s="707"/>
      <c r="G8" s="709">
        <v>48000000</v>
      </c>
      <c r="H8" s="709"/>
      <c r="I8" s="709"/>
      <c r="J8" s="526" t="s">
        <v>1503</v>
      </c>
      <c r="P8" s="707" t="s">
        <v>1505</v>
      </c>
      <c r="Q8" s="710"/>
      <c r="R8" s="710"/>
      <c r="S8" s="710"/>
      <c r="T8" s="888">
        <f>16^(T7/4)</f>
        <v>127.99999999999997</v>
      </c>
      <c r="U8" s="888"/>
      <c r="V8" s="888"/>
    </row>
    <row r="9" spans="1:23">
      <c r="B9" s="707" t="s">
        <v>1504</v>
      </c>
      <c r="C9" s="710"/>
      <c r="D9" s="710"/>
      <c r="E9" s="710"/>
      <c r="F9" s="710"/>
      <c r="G9" s="709">
        <v>16</v>
      </c>
      <c r="H9" s="709"/>
      <c r="I9" s="709"/>
      <c r="J9" s="526" t="s">
        <v>1142</v>
      </c>
    </row>
    <row r="10" spans="1:23">
      <c r="B10" s="707" t="s">
        <v>1502</v>
      </c>
      <c r="C10" s="707"/>
      <c r="D10" s="707"/>
      <c r="E10" s="707"/>
      <c r="F10" s="707"/>
      <c r="G10" s="709">
        <v>0.01</v>
      </c>
      <c r="H10" s="709"/>
      <c r="I10" s="709"/>
      <c r="J10" s="526" t="s">
        <v>1161</v>
      </c>
    </row>
    <row r="11" spans="1:23">
      <c r="B11" s="707" t="s">
        <v>1505</v>
      </c>
      <c r="C11" s="710"/>
      <c r="D11" s="710"/>
      <c r="E11" s="710"/>
      <c r="F11" s="710"/>
      <c r="G11" s="888">
        <f>16^(G9/4)</f>
        <v>65536</v>
      </c>
      <c r="H11" s="888"/>
      <c r="I11" s="888"/>
      <c r="J11" s="526"/>
    </row>
    <row r="12" spans="1:23">
      <c r="B12" s="844" t="s">
        <v>1506</v>
      </c>
      <c r="C12" s="844"/>
      <c r="D12" s="844"/>
      <c r="E12" s="844"/>
      <c r="F12" s="844"/>
      <c r="G12" s="888">
        <f>G8/G11</f>
        <v>732.421875</v>
      </c>
      <c r="H12" s="888"/>
      <c r="I12" s="888"/>
      <c r="J12" s="526" t="s">
        <v>1507</v>
      </c>
    </row>
    <row r="13" spans="1:23">
      <c r="B13" s="844" t="s">
        <v>1508</v>
      </c>
      <c r="C13" s="844"/>
      <c r="D13" s="844"/>
      <c r="E13" s="844"/>
      <c r="F13" s="844"/>
      <c r="G13" s="708">
        <f>G12*G10</f>
        <v>7.32421875</v>
      </c>
      <c r="H13" s="708"/>
      <c r="I13" s="708"/>
      <c r="J13" s="526" t="s">
        <v>1509</v>
      </c>
    </row>
    <row r="14" spans="1:23">
      <c r="B14" s="526"/>
    </row>
  </sheetData>
  <mergeCells count="17">
    <mergeCell ref="B13:F13"/>
    <mergeCell ref="G13:I13"/>
    <mergeCell ref="P7:S7"/>
    <mergeCell ref="T7:V7"/>
    <mergeCell ref="P8:S8"/>
    <mergeCell ref="T8:V8"/>
    <mergeCell ref="B12:F12"/>
    <mergeCell ref="G8:I8"/>
    <mergeCell ref="G9:I9"/>
    <mergeCell ref="G10:I10"/>
    <mergeCell ref="G11:I11"/>
    <mergeCell ref="G12:I12"/>
    <mergeCell ref="A1:D1"/>
    <mergeCell ref="B8:F8"/>
    <mergeCell ref="B9:F9"/>
    <mergeCell ref="B10:F10"/>
    <mergeCell ref="B11:F11"/>
  </mergeCells>
  <phoneticPr fontId="42"/>
  <hyperlinks>
    <hyperlink ref="A1:D1" location="目次!A1" display="　目次　" xr:uid="{109C0F24-3FB6-4231-99F4-AC77BE2C5377}"/>
  </hyperlinks>
  <pageMargins left="0.69930555555555596" right="0.69930555555555596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C11F-0BB1-4473-81F3-2132C1D20006}">
  <dimension ref="A1:AD94"/>
  <sheetViews>
    <sheetView zoomScale="85" zoomScaleNormal="85" workbookViewId="0">
      <selection sqref="A1:F1"/>
    </sheetView>
  </sheetViews>
  <sheetFormatPr defaultColWidth="3.75" defaultRowHeight="13.5"/>
  <cols>
    <col min="1" max="3" width="3.75" style="532"/>
    <col min="4" max="5" width="3.75" style="550"/>
    <col min="6" max="16384" width="3.75" style="532"/>
  </cols>
  <sheetData>
    <row r="1" spans="1:23">
      <c r="A1" s="686" t="s">
        <v>61</v>
      </c>
      <c r="B1" s="686"/>
      <c r="C1" s="686"/>
      <c r="D1" s="686"/>
      <c r="E1" s="686"/>
      <c r="F1" s="686"/>
    </row>
    <row r="2" spans="1:23">
      <c r="B2" s="531"/>
      <c r="C2" s="531"/>
      <c r="D2" s="552"/>
      <c r="E2" s="552"/>
      <c r="F2" s="532" t="s">
        <v>364</v>
      </c>
      <c r="I2" s="530"/>
    </row>
    <row r="3" spans="1:23">
      <c r="B3" s="36"/>
      <c r="C3" s="36"/>
      <c r="D3" s="551"/>
      <c r="E3" s="551"/>
      <c r="F3" s="532" t="s">
        <v>395</v>
      </c>
      <c r="I3" s="530"/>
      <c r="K3" s="530"/>
    </row>
    <row r="4" spans="1:23">
      <c r="B4" s="533"/>
      <c r="C4" s="533"/>
      <c r="D4" s="553"/>
      <c r="E4" s="553"/>
      <c r="F4" s="532" t="s">
        <v>404</v>
      </c>
      <c r="I4" s="530"/>
      <c r="K4" s="530"/>
    </row>
    <row r="6" spans="1:23" ht="21">
      <c r="B6" s="22" t="s">
        <v>1515</v>
      </c>
    </row>
    <row r="7" spans="1:23">
      <c r="D7" s="532"/>
      <c r="E7" s="532"/>
    </row>
    <row r="8" spans="1:23">
      <c r="B8" s="889" t="s">
        <v>1142</v>
      </c>
      <c r="C8" s="889"/>
      <c r="D8" s="537">
        <v>7</v>
      </c>
      <c r="E8" s="537">
        <v>6</v>
      </c>
      <c r="F8" s="537">
        <v>5</v>
      </c>
      <c r="G8" s="537">
        <v>4</v>
      </c>
      <c r="H8" s="537">
        <v>3</v>
      </c>
      <c r="I8" s="537">
        <v>2</v>
      </c>
      <c r="J8" s="537">
        <v>1</v>
      </c>
      <c r="K8" s="537">
        <v>0</v>
      </c>
      <c r="N8" s="889" t="s">
        <v>1142</v>
      </c>
      <c r="O8" s="889"/>
      <c r="P8" s="537">
        <v>7</v>
      </c>
      <c r="Q8" s="537">
        <v>6</v>
      </c>
      <c r="R8" s="537">
        <v>5</v>
      </c>
      <c r="S8" s="537">
        <v>4</v>
      </c>
      <c r="T8" s="537">
        <v>3</v>
      </c>
      <c r="U8" s="537">
        <v>2</v>
      </c>
      <c r="V8" s="537">
        <v>1</v>
      </c>
      <c r="W8" s="537">
        <v>0</v>
      </c>
    </row>
    <row r="9" spans="1:23">
      <c r="B9" s="889" t="s">
        <v>1511</v>
      </c>
      <c r="C9" s="889"/>
      <c r="D9" s="33">
        <v>1</v>
      </c>
      <c r="E9" s="33">
        <v>1</v>
      </c>
      <c r="F9" s="33">
        <v>1</v>
      </c>
      <c r="G9" s="33">
        <v>1</v>
      </c>
      <c r="H9" s="33">
        <v>1</v>
      </c>
      <c r="I9" s="33">
        <v>1</v>
      </c>
      <c r="J9" s="33">
        <v>1</v>
      </c>
      <c r="K9" s="33">
        <v>1</v>
      </c>
      <c r="N9" s="889" t="s">
        <v>1511</v>
      </c>
      <c r="O9" s="889"/>
      <c r="P9" s="33">
        <v>0</v>
      </c>
      <c r="Q9" s="33">
        <v>1</v>
      </c>
      <c r="R9" s="33">
        <v>1</v>
      </c>
      <c r="S9" s="33">
        <v>1</v>
      </c>
      <c r="T9" s="33">
        <v>1</v>
      </c>
      <c r="U9" s="33">
        <v>1</v>
      </c>
      <c r="V9" s="33">
        <v>1</v>
      </c>
      <c r="W9" s="33">
        <v>1</v>
      </c>
    </row>
    <row r="10" spans="1:23">
      <c r="B10" s="889" t="s">
        <v>1513</v>
      </c>
      <c r="C10" s="889"/>
      <c r="D10" s="824">
        <f>K9+J9*2+I9*4+H9*8+G9*16+F9*32+E9*64+D9*128</f>
        <v>255</v>
      </c>
      <c r="E10" s="824"/>
      <c r="F10" s="824"/>
      <c r="G10" s="824"/>
      <c r="H10" s="824"/>
      <c r="I10" s="824"/>
      <c r="J10" s="824"/>
      <c r="K10" s="824"/>
      <c r="N10" s="889" t="s">
        <v>1513</v>
      </c>
      <c r="O10" s="889"/>
      <c r="P10" s="824">
        <f>W9+V9*2+U9*4+T9*8+S9*16+R9*32+Q9*64+P9*128</f>
        <v>127</v>
      </c>
      <c r="Q10" s="824"/>
      <c r="R10" s="824"/>
      <c r="S10" s="824"/>
      <c r="T10" s="824"/>
      <c r="U10" s="824"/>
      <c r="V10" s="824"/>
      <c r="W10" s="824"/>
    </row>
    <row r="11" spans="1:23">
      <c r="B11" s="889" t="s">
        <v>1512</v>
      </c>
      <c r="C11" s="889"/>
      <c r="D11" s="824" t="str">
        <f>DEC2HEX(D10)</f>
        <v>FF</v>
      </c>
      <c r="E11" s="824"/>
      <c r="F11" s="824"/>
      <c r="G11" s="824"/>
      <c r="H11" s="824"/>
      <c r="I11" s="824"/>
      <c r="J11" s="824"/>
      <c r="K11" s="824"/>
      <c r="N11" s="889" t="s">
        <v>1512</v>
      </c>
      <c r="O11" s="889"/>
      <c r="P11" s="824" t="str">
        <f>DEC2HEX(P10)</f>
        <v>7F</v>
      </c>
      <c r="Q11" s="824"/>
      <c r="R11" s="824"/>
      <c r="S11" s="824"/>
      <c r="T11" s="824"/>
      <c r="U11" s="824"/>
      <c r="V11" s="824"/>
      <c r="W11" s="824"/>
    </row>
    <row r="12" spans="1:23">
      <c r="D12" s="532"/>
      <c r="E12" s="532"/>
    </row>
    <row r="13" spans="1:23">
      <c r="D13" s="532"/>
      <c r="E13" s="532"/>
    </row>
    <row r="14" spans="1:23">
      <c r="D14" s="532"/>
      <c r="E14" s="532"/>
    </row>
    <row r="15" spans="1:23">
      <c r="B15" s="889" t="s">
        <v>1142</v>
      </c>
      <c r="C15" s="889"/>
      <c r="D15" s="537">
        <v>7</v>
      </c>
      <c r="E15" s="537">
        <v>6</v>
      </c>
      <c r="F15" s="537">
        <v>5</v>
      </c>
      <c r="G15" s="537">
        <v>4</v>
      </c>
      <c r="H15" s="537">
        <v>3</v>
      </c>
      <c r="I15" s="537">
        <v>2</v>
      </c>
      <c r="J15" s="537">
        <v>1</v>
      </c>
      <c r="K15" s="537">
        <v>0</v>
      </c>
      <c r="N15" s="889" t="s">
        <v>1142</v>
      </c>
      <c r="O15" s="889"/>
      <c r="P15" s="537">
        <v>7</v>
      </c>
      <c r="Q15" s="537">
        <v>6</v>
      </c>
      <c r="R15" s="537">
        <v>5</v>
      </c>
      <c r="S15" s="537">
        <v>4</v>
      </c>
      <c r="T15" s="537">
        <v>3</v>
      </c>
      <c r="U15" s="537">
        <v>2</v>
      </c>
      <c r="V15" s="537">
        <v>1</v>
      </c>
      <c r="W15" s="537">
        <v>0</v>
      </c>
    </row>
    <row r="16" spans="1:23">
      <c r="B16" s="889" t="s">
        <v>1511</v>
      </c>
      <c r="C16" s="889"/>
      <c r="D16" s="33">
        <v>1</v>
      </c>
      <c r="E16" s="33">
        <v>1</v>
      </c>
      <c r="F16" s="33">
        <v>1</v>
      </c>
      <c r="G16" s="33">
        <v>1</v>
      </c>
      <c r="H16" s="33">
        <v>1</v>
      </c>
      <c r="I16" s="33">
        <v>1</v>
      </c>
      <c r="J16" s="33">
        <v>1</v>
      </c>
      <c r="K16" s="33">
        <v>1</v>
      </c>
      <c r="N16" s="889" t="s">
        <v>1511</v>
      </c>
      <c r="O16" s="889"/>
      <c r="P16" s="33">
        <v>1</v>
      </c>
      <c r="Q16" s="33">
        <v>1</v>
      </c>
      <c r="R16" s="33">
        <v>1</v>
      </c>
      <c r="S16" s="33">
        <v>1</v>
      </c>
      <c r="T16" s="33">
        <v>1</v>
      </c>
      <c r="U16" s="33">
        <v>1</v>
      </c>
      <c r="V16" s="33">
        <v>1</v>
      </c>
      <c r="W16" s="33">
        <v>1</v>
      </c>
    </row>
    <row r="17" spans="2:23">
      <c r="B17" s="889" t="s">
        <v>1513</v>
      </c>
      <c r="C17" s="889"/>
      <c r="D17" s="824">
        <f>K16+J16*2+I16*4+H16*8+G16*16+F16*32+E16*64+D16*128</f>
        <v>255</v>
      </c>
      <c r="E17" s="824"/>
      <c r="F17" s="824"/>
      <c r="G17" s="824"/>
      <c r="H17" s="824"/>
      <c r="I17" s="824"/>
      <c r="J17" s="824"/>
      <c r="K17" s="824"/>
      <c r="N17" s="889" t="s">
        <v>1513</v>
      </c>
      <c r="O17" s="889"/>
      <c r="P17" s="824">
        <f>W16+V16*2+U16*4+T16*8+S16*16+R16*32+Q16*64+P16*128</f>
        <v>255</v>
      </c>
      <c r="Q17" s="824"/>
      <c r="R17" s="824"/>
      <c r="S17" s="824"/>
      <c r="T17" s="824"/>
      <c r="U17" s="824"/>
      <c r="V17" s="824"/>
      <c r="W17" s="824"/>
    </row>
    <row r="18" spans="2:23">
      <c r="B18" s="889" t="s">
        <v>1512</v>
      </c>
      <c r="C18" s="889"/>
      <c r="D18" s="824" t="str">
        <f>DEC2HEX(D17)</f>
        <v>FF</v>
      </c>
      <c r="E18" s="824"/>
      <c r="F18" s="824"/>
      <c r="G18" s="824"/>
      <c r="H18" s="824"/>
      <c r="I18" s="824"/>
      <c r="J18" s="824"/>
      <c r="K18" s="824"/>
      <c r="N18" s="889" t="s">
        <v>1512</v>
      </c>
      <c r="O18" s="889"/>
      <c r="P18" s="824" t="str">
        <f>DEC2HEX(P17)</f>
        <v>FF</v>
      </c>
      <c r="Q18" s="824"/>
      <c r="R18" s="824"/>
      <c r="S18" s="824"/>
      <c r="T18" s="824"/>
      <c r="U18" s="824"/>
      <c r="V18" s="824"/>
      <c r="W18" s="824"/>
    </row>
    <row r="19" spans="2:23">
      <c r="D19" s="532"/>
      <c r="E19" s="532"/>
    </row>
    <row r="20" spans="2:23">
      <c r="D20" s="532"/>
      <c r="E20" s="532"/>
    </row>
    <row r="21" spans="2:23">
      <c r="D21" s="532"/>
      <c r="E21" s="532"/>
    </row>
    <row r="22" spans="2:23">
      <c r="D22" s="532"/>
      <c r="E22" s="532"/>
    </row>
    <row r="23" spans="2:23">
      <c r="B23" s="889" t="s">
        <v>1142</v>
      </c>
      <c r="C23" s="889"/>
      <c r="D23" s="537">
        <v>15</v>
      </c>
      <c r="E23" s="537">
        <v>14</v>
      </c>
      <c r="F23" s="537">
        <v>13</v>
      </c>
      <c r="G23" s="537">
        <v>12</v>
      </c>
      <c r="H23" s="537">
        <v>11</v>
      </c>
      <c r="I23" s="537">
        <v>10</v>
      </c>
      <c r="J23" s="537">
        <v>9</v>
      </c>
      <c r="K23" s="537">
        <v>8</v>
      </c>
      <c r="L23" s="537">
        <v>7</v>
      </c>
      <c r="M23" s="537">
        <v>6</v>
      </c>
      <c r="N23" s="537">
        <v>5</v>
      </c>
      <c r="O23" s="537">
        <v>4</v>
      </c>
      <c r="P23" s="537">
        <v>3</v>
      </c>
      <c r="Q23" s="537">
        <v>2</v>
      </c>
      <c r="R23" s="537">
        <v>1</v>
      </c>
      <c r="S23" s="537">
        <v>0</v>
      </c>
    </row>
    <row r="24" spans="2:23">
      <c r="B24" s="889" t="s">
        <v>1511</v>
      </c>
      <c r="C24" s="889"/>
      <c r="D24" s="33">
        <v>0</v>
      </c>
      <c r="E24" s="33">
        <v>0</v>
      </c>
      <c r="F24" s="33">
        <v>0</v>
      </c>
      <c r="G24" s="33">
        <v>1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</row>
    <row r="25" spans="2:23">
      <c r="B25" s="889" t="s">
        <v>1513</v>
      </c>
      <c r="C25" s="889"/>
      <c r="D25" s="824">
        <f>S24+R24*2^1+Q24*2^2+P24*2^3+O24*2^4+N24*2^5+M24*2^6+L24*2^7+K24*2^8+J24*2^9+I24*2^10+H24*2^11+G24*2^12+F24*2^13+E24*2^14+D24*2^15</f>
        <v>4096</v>
      </c>
      <c r="E25" s="824"/>
      <c r="F25" s="824"/>
      <c r="G25" s="824"/>
      <c r="H25" s="824"/>
      <c r="I25" s="824"/>
      <c r="J25" s="824"/>
      <c r="K25" s="824"/>
      <c r="L25" s="824"/>
      <c r="M25" s="824"/>
      <c r="N25" s="824"/>
      <c r="O25" s="824"/>
      <c r="P25" s="824"/>
      <c r="Q25" s="824"/>
      <c r="R25" s="824"/>
      <c r="S25" s="824"/>
    </row>
    <row r="26" spans="2:23">
      <c r="B26" s="889" t="s">
        <v>1512</v>
      </c>
      <c r="C26" s="889"/>
      <c r="D26" s="824" t="str">
        <f>DEC2HEX(D25)</f>
        <v>1000</v>
      </c>
      <c r="E26" s="824"/>
      <c r="F26" s="824"/>
      <c r="G26" s="824"/>
      <c r="H26" s="824"/>
      <c r="I26" s="824"/>
      <c r="J26" s="824"/>
      <c r="K26" s="824"/>
      <c r="L26" s="824"/>
      <c r="M26" s="824"/>
      <c r="N26" s="824"/>
      <c r="O26" s="824"/>
      <c r="P26" s="824"/>
      <c r="Q26" s="824"/>
      <c r="R26" s="824"/>
      <c r="S26" s="824"/>
    </row>
    <row r="27" spans="2:23">
      <c r="D27" s="532"/>
      <c r="E27" s="532"/>
    </row>
    <row r="30" spans="2:23" s="543" customFormat="1">
      <c r="B30" s="544" t="s">
        <v>1517</v>
      </c>
      <c r="D30" s="554"/>
      <c r="E30" s="554"/>
    </row>
    <row r="31" spans="2:23" s="536" customFormat="1">
      <c r="B31" s="535" t="s">
        <v>1519</v>
      </c>
      <c r="D31" s="550"/>
      <c r="E31" s="550"/>
    </row>
    <row r="32" spans="2:23">
      <c r="B32" s="535" t="s">
        <v>1518</v>
      </c>
    </row>
    <row r="33" spans="2:30">
      <c r="B33" s="889" t="s">
        <v>1142</v>
      </c>
      <c r="C33" s="889" t="s">
        <v>1511</v>
      </c>
      <c r="D33" s="891"/>
      <c r="E33" s="893"/>
      <c r="F33" s="891" t="s">
        <v>1520</v>
      </c>
      <c r="G33" s="892"/>
      <c r="H33" s="892"/>
      <c r="I33" s="892"/>
      <c r="J33" s="892"/>
      <c r="K33" s="892"/>
      <c r="L33" s="892"/>
      <c r="M33" s="892"/>
      <c r="N33" s="892"/>
      <c r="O33" s="892"/>
      <c r="P33" s="892"/>
      <c r="Q33" s="892"/>
      <c r="R33" s="892"/>
      <c r="S33" s="892"/>
      <c r="T33" s="892"/>
      <c r="U33" s="892"/>
      <c r="V33" s="892"/>
      <c r="W33" s="892"/>
      <c r="X33" s="892"/>
      <c r="Y33" s="892"/>
      <c r="Z33" s="893"/>
      <c r="AA33" s="890" t="s">
        <v>1513</v>
      </c>
      <c r="AB33" s="890"/>
      <c r="AC33" s="890" t="s">
        <v>1512</v>
      </c>
      <c r="AD33" s="890"/>
    </row>
    <row r="34" spans="2:30">
      <c r="B34" s="889"/>
      <c r="C34" s="889"/>
      <c r="D34" s="894"/>
      <c r="E34" s="896"/>
      <c r="F34" s="894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6"/>
      <c r="AA34" s="890"/>
      <c r="AB34" s="890"/>
      <c r="AC34" s="890"/>
      <c r="AD34" s="890"/>
    </row>
    <row r="35" spans="2:30">
      <c r="B35" s="537">
        <v>15</v>
      </c>
      <c r="C35" s="545">
        <v>0</v>
      </c>
      <c r="D35" s="915"/>
      <c r="E35" s="916"/>
      <c r="F35" s="912" t="s">
        <v>1521</v>
      </c>
      <c r="G35" s="913"/>
      <c r="H35" s="913"/>
      <c r="I35" s="913"/>
      <c r="J35" s="913"/>
      <c r="K35" s="913"/>
      <c r="L35" s="913"/>
      <c r="M35" s="913"/>
      <c r="N35" s="913"/>
      <c r="O35" s="913"/>
      <c r="P35" s="913"/>
      <c r="Q35" s="913"/>
      <c r="R35" s="913"/>
      <c r="S35" s="913"/>
      <c r="T35" s="913"/>
      <c r="U35" s="913"/>
      <c r="V35" s="913"/>
      <c r="W35" s="913"/>
      <c r="X35" s="913"/>
      <c r="Y35" s="913"/>
      <c r="Z35" s="914"/>
      <c r="AA35" s="824">
        <f>C50+C49*2^1+C48*2^2+C47*2^3+C46*2^4+C45*2^5+C44*2^6+C43*2^7+C42*2^8+C41*2^9+C40*2^10+C39*2^11+C38*2^12+C37*2^13+C36*2^14+C35*2^15</f>
        <v>16</v>
      </c>
      <c r="AB35" s="824"/>
      <c r="AC35" s="824" t="str">
        <f>DEC2HEX(AA35)</f>
        <v>10</v>
      </c>
      <c r="AD35" s="824"/>
    </row>
    <row r="36" spans="2:30">
      <c r="B36" s="537">
        <v>14</v>
      </c>
      <c r="C36" s="545">
        <v>0</v>
      </c>
      <c r="D36" s="915"/>
      <c r="E36" s="916"/>
      <c r="F36" s="906"/>
      <c r="G36" s="907"/>
      <c r="H36" s="907"/>
      <c r="I36" s="907"/>
      <c r="J36" s="907"/>
      <c r="K36" s="907"/>
      <c r="L36" s="907"/>
      <c r="M36" s="907"/>
      <c r="N36" s="907"/>
      <c r="O36" s="907"/>
      <c r="P36" s="907"/>
      <c r="Q36" s="907"/>
      <c r="R36" s="907"/>
      <c r="S36" s="907"/>
      <c r="T36" s="907"/>
      <c r="U36" s="907"/>
      <c r="V36" s="907"/>
      <c r="W36" s="907"/>
      <c r="X36" s="907"/>
      <c r="Y36" s="907"/>
      <c r="Z36" s="908"/>
      <c r="AA36" s="824"/>
      <c r="AB36" s="824"/>
      <c r="AC36" s="824"/>
      <c r="AD36" s="824"/>
    </row>
    <row r="37" spans="2:30">
      <c r="B37" s="537">
        <v>13</v>
      </c>
      <c r="C37" s="545">
        <v>0</v>
      </c>
      <c r="D37" s="915"/>
      <c r="E37" s="916"/>
      <c r="F37" s="906"/>
      <c r="G37" s="907"/>
      <c r="H37" s="907"/>
      <c r="I37" s="907"/>
      <c r="J37" s="907"/>
      <c r="K37" s="907"/>
      <c r="L37" s="907"/>
      <c r="M37" s="907"/>
      <c r="N37" s="907"/>
      <c r="O37" s="907"/>
      <c r="P37" s="907"/>
      <c r="Q37" s="907"/>
      <c r="R37" s="907"/>
      <c r="S37" s="907"/>
      <c r="T37" s="907"/>
      <c r="U37" s="907"/>
      <c r="V37" s="907"/>
      <c r="W37" s="907"/>
      <c r="X37" s="907"/>
      <c r="Y37" s="907"/>
      <c r="Z37" s="908"/>
      <c r="AA37" s="824"/>
      <c r="AB37" s="824"/>
      <c r="AC37" s="824"/>
      <c r="AD37" s="824"/>
    </row>
    <row r="38" spans="2:30">
      <c r="B38" s="537">
        <v>12</v>
      </c>
      <c r="C38" s="545">
        <v>0</v>
      </c>
      <c r="D38" s="915"/>
      <c r="E38" s="916"/>
      <c r="F38" s="906"/>
      <c r="G38" s="907"/>
      <c r="H38" s="907"/>
      <c r="I38" s="907"/>
      <c r="J38" s="907"/>
      <c r="K38" s="907"/>
      <c r="L38" s="907"/>
      <c r="M38" s="907"/>
      <c r="N38" s="907"/>
      <c r="O38" s="907"/>
      <c r="P38" s="907"/>
      <c r="Q38" s="907"/>
      <c r="R38" s="907"/>
      <c r="S38" s="907"/>
      <c r="T38" s="907"/>
      <c r="U38" s="907"/>
      <c r="V38" s="907"/>
      <c r="W38" s="907"/>
      <c r="X38" s="907"/>
      <c r="Y38" s="907"/>
      <c r="Z38" s="908"/>
      <c r="AA38" s="824"/>
      <c r="AB38" s="824"/>
      <c r="AC38" s="824"/>
      <c r="AD38" s="824"/>
    </row>
    <row r="39" spans="2:30">
      <c r="B39" s="537">
        <v>11</v>
      </c>
      <c r="C39" s="545">
        <v>0</v>
      </c>
      <c r="D39" s="915"/>
      <c r="E39" s="916"/>
      <c r="F39" s="906"/>
      <c r="G39" s="907"/>
      <c r="H39" s="907"/>
      <c r="I39" s="907"/>
      <c r="J39" s="907"/>
      <c r="K39" s="907"/>
      <c r="L39" s="907"/>
      <c r="M39" s="907"/>
      <c r="N39" s="907"/>
      <c r="O39" s="907"/>
      <c r="P39" s="907"/>
      <c r="Q39" s="907"/>
      <c r="R39" s="907"/>
      <c r="S39" s="907"/>
      <c r="T39" s="907"/>
      <c r="U39" s="907"/>
      <c r="V39" s="907"/>
      <c r="W39" s="907"/>
      <c r="X39" s="907"/>
      <c r="Y39" s="907"/>
      <c r="Z39" s="908"/>
      <c r="AA39" s="824"/>
      <c r="AB39" s="824"/>
      <c r="AC39" s="824"/>
      <c r="AD39" s="824"/>
    </row>
    <row r="40" spans="2:30">
      <c r="B40" s="537">
        <v>10</v>
      </c>
      <c r="C40" s="545">
        <v>0</v>
      </c>
      <c r="D40" s="915"/>
      <c r="E40" s="916"/>
      <c r="F40" s="906"/>
      <c r="G40" s="907"/>
      <c r="H40" s="907"/>
      <c r="I40" s="907"/>
      <c r="J40" s="907"/>
      <c r="K40" s="907"/>
      <c r="L40" s="907"/>
      <c r="M40" s="907"/>
      <c r="N40" s="907"/>
      <c r="O40" s="907"/>
      <c r="P40" s="907"/>
      <c r="Q40" s="907"/>
      <c r="R40" s="907"/>
      <c r="S40" s="907"/>
      <c r="T40" s="907"/>
      <c r="U40" s="907"/>
      <c r="V40" s="907"/>
      <c r="W40" s="907"/>
      <c r="X40" s="907"/>
      <c r="Y40" s="907"/>
      <c r="Z40" s="908"/>
      <c r="AA40" s="824"/>
      <c r="AB40" s="824"/>
      <c r="AC40" s="824"/>
      <c r="AD40" s="824"/>
    </row>
    <row r="41" spans="2:30">
      <c r="B41" s="537">
        <v>9</v>
      </c>
      <c r="C41" s="545">
        <v>0</v>
      </c>
      <c r="D41" s="915"/>
      <c r="E41" s="916"/>
      <c r="F41" s="906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8"/>
      <c r="AA41" s="824"/>
      <c r="AB41" s="824"/>
      <c r="AC41" s="824"/>
      <c r="AD41" s="824"/>
    </row>
    <row r="42" spans="2:30">
      <c r="B42" s="537">
        <v>8</v>
      </c>
      <c r="C42" s="545">
        <v>0</v>
      </c>
      <c r="D42" s="915"/>
      <c r="E42" s="916"/>
      <c r="F42" s="906"/>
      <c r="G42" s="907"/>
      <c r="H42" s="907"/>
      <c r="I42" s="907"/>
      <c r="J42" s="907"/>
      <c r="K42" s="907"/>
      <c r="L42" s="907"/>
      <c r="M42" s="907"/>
      <c r="N42" s="907"/>
      <c r="O42" s="907"/>
      <c r="P42" s="907"/>
      <c r="Q42" s="907"/>
      <c r="R42" s="907"/>
      <c r="S42" s="907"/>
      <c r="T42" s="907"/>
      <c r="U42" s="907"/>
      <c r="V42" s="907"/>
      <c r="W42" s="907"/>
      <c r="X42" s="907"/>
      <c r="Y42" s="907"/>
      <c r="Z42" s="908"/>
      <c r="AA42" s="824"/>
      <c r="AB42" s="824"/>
      <c r="AC42" s="824"/>
      <c r="AD42" s="824"/>
    </row>
    <row r="43" spans="2:30">
      <c r="B43" s="537">
        <v>7</v>
      </c>
      <c r="C43" s="545">
        <v>0</v>
      </c>
      <c r="D43" s="915"/>
      <c r="E43" s="916"/>
      <c r="F43" s="906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7"/>
      <c r="S43" s="907"/>
      <c r="T43" s="907"/>
      <c r="U43" s="907"/>
      <c r="V43" s="907"/>
      <c r="W43" s="907"/>
      <c r="X43" s="907"/>
      <c r="Y43" s="907"/>
      <c r="Z43" s="908"/>
      <c r="AA43" s="824"/>
      <c r="AB43" s="824"/>
      <c r="AC43" s="824"/>
      <c r="AD43" s="824"/>
    </row>
    <row r="44" spans="2:30">
      <c r="B44" s="537">
        <v>6</v>
      </c>
      <c r="C44" s="545">
        <v>0</v>
      </c>
      <c r="D44" s="915"/>
      <c r="E44" s="916"/>
      <c r="F44" s="906"/>
      <c r="G44" s="907"/>
      <c r="H44" s="907"/>
      <c r="I44" s="907"/>
      <c r="J44" s="907"/>
      <c r="K44" s="907"/>
      <c r="L44" s="907"/>
      <c r="M44" s="907"/>
      <c r="N44" s="907"/>
      <c r="O44" s="907"/>
      <c r="P44" s="907"/>
      <c r="Q44" s="907"/>
      <c r="R44" s="907"/>
      <c r="S44" s="907"/>
      <c r="T44" s="907"/>
      <c r="U44" s="907"/>
      <c r="V44" s="907"/>
      <c r="W44" s="907"/>
      <c r="X44" s="907"/>
      <c r="Y44" s="907"/>
      <c r="Z44" s="908"/>
      <c r="AA44" s="824"/>
      <c r="AB44" s="824"/>
      <c r="AC44" s="824"/>
      <c r="AD44" s="824"/>
    </row>
    <row r="45" spans="2:30">
      <c r="B45" s="537">
        <v>5</v>
      </c>
      <c r="C45" s="545">
        <v>0</v>
      </c>
      <c r="D45" s="915"/>
      <c r="E45" s="916"/>
      <c r="F45" s="906"/>
      <c r="G45" s="907"/>
      <c r="H45" s="907"/>
      <c r="I45" s="907"/>
      <c r="J45" s="907"/>
      <c r="K45" s="907"/>
      <c r="L45" s="907"/>
      <c r="M45" s="907"/>
      <c r="N45" s="907"/>
      <c r="O45" s="907"/>
      <c r="P45" s="907"/>
      <c r="Q45" s="907"/>
      <c r="R45" s="907"/>
      <c r="S45" s="907"/>
      <c r="T45" s="907"/>
      <c r="U45" s="907"/>
      <c r="V45" s="907"/>
      <c r="W45" s="907"/>
      <c r="X45" s="907"/>
      <c r="Y45" s="907"/>
      <c r="Z45" s="908"/>
      <c r="AA45" s="824"/>
      <c r="AB45" s="824"/>
      <c r="AC45" s="824"/>
      <c r="AD45" s="824"/>
    </row>
    <row r="46" spans="2:30" ht="73.5" customHeight="1">
      <c r="B46" s="537">
        <v>4</v>
      </c>
      <c r="C46" s="33">
        <v>1</v>
      </c>
      <c r="D46" s="915" t="str">
        <f>DEC2HEX(16*C46)</f>
        <v>10</v>
      </c>
      <c r="E46" s="916"/>
      <c r="F46" s="909" t="s">
        <v>1524</v>
      </c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1"/>
      <c r="AA46" s="824"/>
      <c r="AB46" s="824"/>
      <c r="AC46" s="824"/>
      <c r="AD46" s="824"/>
    </row>
    <row r="47" spans="2:30" ht="63.75" customHeight="1">
      <c r="B47" s="537">
        <v>3</v>
      </c>
      <c r="C47" s="33">
        <v>0</v>
      </c>
      <c r="D47" s="915" t="str">
        <f>DEC2HEX(8*C47)</f>
        <v>0</v>
      </c>
      <c r="E47" s="916"/>
      <c r="F47" s="909" t="s">
        <v>1523</v>
      </c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1"/>
      <c r="AA47" s="824"/>
      <c r="AB47" s="824"/>
      <c r="AC47" s="824"/>
      <c r="AD47" s="824"/>
    </row>
    <row r="48" spans="2:30" ht="50.25" customHeight="1">
      <c r="B48" s="537">
        <v>2</v>
      </c>
      <c r="C48" s="33">
        <v>0</v>
      </c>
      <c r="D48" s="915">
        <f>4*C48</f>
        <v>0</v>
      </c>
      <c r="E48" s="916"/>
      <c r="F48" s="897" t="s">
        <v>1522</v>
      </c>
      <c r="G48" s="898"/>
      <c r="H48" s="898"/>
      <c r="I48" s="898"/>
      <c r="J48" s="898"/>
      <c r="K48" s="898"/>
      <c r="L48" s="898"/>
      <c r="M48" s="898"/>
      <c r="N48" s="898"/>
      <c r="O48" s="898"/>
      <c r="P48" s="898"/>
      <c r="Q48" s="898"/>
      <c r="R48" s="898"/>
      <c r="S48" s="898"/>
      <c r="T48" s="898"/>
      <c r="U48" s="898"/>
      <c r="V48" s="898"/>
      <c r="W48" s="898"/>
      <c r="X48" s="898"/>
      <c r="Y48" s="898"/>
      <c r="Z48" s="899"/>
      <c r="AA48" s="824"/>
      <c r="AB48" s="824"/>
      <c r="AC48" s="824"/>
      <c r="AD48" s="824"/>
    </row>
    <row r="49" spans="2:30" ht="50.25" customHeight="1">
      <c r="B49" s="537">
        <v>1</v>
      </c>
      <c r="C49" s="33">
        <v>0</v>
      </c>
      <c r="D49" s="915">
        <f>2*B49</f>
        <v>2</v>
      </c>
      <c r="E49" s="916"/>
      <c r="F49" s="900"/>
      <c r="G49" s="901"/>
      <c r="H49" s="901"/>
      <c r="I49" s="901"/>
      <c r="J49" s="901"/>
      <c r="K49" s="901"/>
      <c r="L49" s="901"/>
      <c r="M49" s="901"/>
      <c r="N49" s="901"/>
      <c r="O49" s="901"/>
      <c r="P49" s="901"/>
      <c r="Q49" s="901"/>
      <c r="R49" s="901"/>
      <c r="S49" s="901"/>
      <c r="T49" s="901"/>
      <c r="U49" s="901"/>
      <c r="V49" s="901"/>
      <c r="W49" s="901"/>
      <c r="X49" s="901"/>
      <c r="Y49" s="901"/>
      <c r="Z49" s="902"/>
      <c r="AA49" s="824"/>
      <c r="AB49" s="824"/>
      <c r="AC49" s="824"/>
      <c r="AD49" s="824"/>
    </row>
    <row r="50" spans="2:30" ht="50.25" customHeight="1">
      <c r="B50" s="537">
        <v>0</v>
      </c>
      <c r="C50" s="33">
        <v>0</v>
      </c>
      <c r="D50" s="915">
        <f>1*C50</f>
        <v>0</v>
      </c>
      <c r="E50" s="916"/>
      <c r="F50" s="903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5"/>
      <c r="AA50" s="824"/>
      <c r="AB50" s="824"/>
      <c r="AC50" s="824"/>
      <c r="AD50" s="824"/>
    </row>
    <row r="51" spans="2:30">
      <c r="F51" s="536"/>
      <c r="G51" s="536"/>
      <c r="H51" s="536"/>
      <c r="I51" s="536"/>
      <c r="J51" s="536"/>
      <c r="K51" s="536"/>
      <c r="L51" s="536"/>
      <c r="M51" s="536"/>
      <c r="N51" s="536"/>
      <c r="O51" s="536"/>
      <c r="P51" s="536"/>
      <c r="Q51" s="536"/>
      <c r="R51" s="536"/>
      <c r="S51" s="536"/>
      <c r="T51" s="536"/>
      <c r="U51" s="536"/>
      <c r="V51" s="536"/>
      <c r="W51" s="536"/>
      <c r="X51" s="536"/>
      <c r="Y51" s="536"/>
      <c r="Z51" s="536"/>
    </row>
    <row r="52" spans="2:30">
      <c r="F52" s="536"/>
      <c r="G52" s="536"/>
      <c r="H52" s="536"/>
      <c r="I52" s="536"/>
      <c r="J52" s="536"/>
      <c r="K52" s="536"/>
      <c r="L52" s="536"/>
      <c r="M52" s="536"/>
      <c r="N52" s="536"/>
      <c r="O52" s="536"/>
      <c r="P52" s="536"/>
      <c r="Q52" s="536"/>
      <c r="R52" s="536"/>
      <c r="S52" s="536"/>
      <c r="T52" s="536"/>
      <c r="U52" s="536"/>
      <c r="V52" s="536"/>
      <c r="W52" s="536"/>
      <c r="X52" s="536"/>
      <c r="Y52" s="536"/>
      <c r="Z52" s="536"/>
    </row>
    <row r="53" spans="2:30" s="536" customFormat="1">
      <c r="B53" s="535" t="s">
        <v>1525</v>
      </c>
      <c r="D53" s="550"/>
      <c r="E53" s="550"/>
    </row>
    <row r="54" spans="2:30" s="536" customFormat="1">
      <c r="B54" s="535" t="s">
        <v>1526</v>
      </c>
      <c r="D54" s="550"/>
      <c r="E54" s="550"/>
    </row>
    <row r="55" spans="2:30" s="536" customFormat="1">
      <c r="B55" s="889" t="s">
        <v>1142</v>
      </c>
      <c r="C55" s="889" t="s">
        <v>1511</v>
      </c>
      <c r="D55" s="950"/>
      <c r="E55" s="951"/>
      <c r="F55" s="891" t="s">
        <v>1520</v>
      </c>
      <c r="G55" s="892"/>
      <c r="H55" s="892"/>
      <c r="I55" s="892"/>
      <c r="J55" s="892"/>
      <c r="K55" s="892"/>
      <c r="L55" s="892"/>
      <c r="M55" s="892"/>
      <c r="N55" s="892"/>
      <c r="O55" s="892"/>
      <c r="P55" s="892"/>
      <c r="Q55" s="892"/>
      <c r="R55" s="892"/>
      <c r="S55" s="892"/>
      <c r="T55" s="892"/>
      <c r="U55" s="892"/>
      <c r="V55" s="892"/>
      <c r="W55" s="892"/>
      <c r="X55" s="892"/>
      <c r="Y55" s="892"/>
      <c r="Z55" s="893"/>
      <c r="AA55" s="890" t="s">
        <v>1513</v>
      </c>
      <c r="AB55" s="890"/>
      <c r="AC55" s="890" t="s">
        <v>1512</v>
      </c>
      <c r="AD55" s="890"/>
    </row>
    <row r="56" spans="2:30" s="536" customFormat="1">
      <c r="B56" s="889"/>
      <c r="C56" s="889"/>
      <c r="D56" s="950"/>
      <c r="E56" s="951"/>
      <c r="F56" s="894"/>
      <c r="G56" s="895"/>
      <c r="H56" s="895"/>
      <c r="I56" s="895"/>
      <c r="J56" s="895"/>
      <c r="K56" s="895"/>
      <c r="L56" s="895"/>
      <c r="M56" s="895"/>
      <c r="N56" s="895"/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6"/>
      <c r="AA56" s="890"/>
      <c r="AB56" s="890"/>
      <c r="AC56" s="890"/>
      <c r="AD56" s="890"/>
    </row>
    <row r="57" spans="2:30" s="536" customFormat="1">
      <c r="B57" s="537">
        <v>15</v>
      </c>
      <c r="C57" s="546">
        <v>0</v>
      </c>
      <c r="D57" s="938"/>
      <c r="E57" s="939"/>
      <c r="F57" s="929" t="s">
        <v>1536</v>
      </c>
      <c r="G57" s="930"/>
      <c r="H57" s="930"/>
      <c r="I57" s="930"/>
      <c r="J57" s="930"/>
      <c r="K57" s="930"/>
      <c r="L57" s="930"/>
      <c r="M57" s="930"/>
      <c r="N57" s="930"/>
      <c r="O57" s="930"/>
      <c r="P57" s="930"/>
      <c r="Q57" s="930"/>
      <c r="R57" s="930"/>
      <c r="S57" s="930"/>
      <c r="T57" s="930"/>
      <c r="U57" s="930"/>
      <c r="V57" s="930"/>
      <c r="W57" s="930"/>
      <c r="X57" s="930"/>
      <c r="Y57" s="930"/>
      <c r="Z57" s="931"/>
      <c r="AA57" s="824">
        <f>C72+C71*2^1+C70*2^2+C69*2^3+C68*2^4+C67*2^5+C66*2^6+C65*2^7+C64*2^8+C63*2^9+C62*2^10+C61*2^11+C60*2^12+C59*2^13+C58*2^14+C57*2^15</f>
        <v>257</v>
      </c>
      <c r="AB57" s="824"/>
      <c r="AC57" s="824" t="str">
        <f>DEC2HEX(AA57)</f>
        <v>101</v>
      </c>
      <c r="AD57" s="824"/>
    </row>
    <row r="58" spans="2:30" s="536" customFormat="1">
      <c r="B58" s="537">
        <v>14</v>
      </c>
      <c r="C58" s="546">
        <v>0</v>
      </c>
      <c r="D58" s="938"/>
      <c r="E58" s="939"/>
      <c r="F58" s="932"/>
      <c r="G58" s="933"/>
      <c r="H58" s="933"/>
      <c r="I58" s="933"/>
      <c r="J58" s="933"/>
      <c r="K58" s="933"/>
      <c r="L58" s="933"/>
      <c r="M58" s="933"/>
      <c r="N58" s="933"/>
      <c r="O58" s="933"/>
      <c r="P58" s="933"/>
      <c r="Q58" s="933"/>
      <c r="R58" s="933"/>
      <c r="S58" s="933"/>
      <c r="T58" s="933"/>
      <c r="U58" s="933"/>
      <c r="V58" s="933"/>
      <c r="W58" s="933"/>
      <c r="X58" s="933"/>
      <c r="Y58" s="933"/>
      <c r="Z58" s="934"/>
      <c r="AA58" s="824"/>
      <c r="AB58" s="824"/>
      <c r="AC58" s="824"/>
      <c r="AD58" s="824"/>
    </row>
    <row r="59" spans="2:30" s="536" customFormat="1">
      <c r="B59" s="537">
        <v>13</v>
      </c>
      <c r="C59" s="546">
        <v>0</v>
      </c>
      <c r="D59" s="938"/>
      <c r="E59" s="939"/>
      <c r="F59" s="935"/>
      <c r="G59" s="936"/>
      <c r="H59" s="936"/>
      <c r="I59" s="936"/>
      <c r="J59" s="936"/>
      <c r="K59" s="936"/>
      <c r="L59" s="936"/>
      <c r="M59" s="936"/>
      <c r="N59" s="936"/>
      <c r="O59" s="936"/>
      <c r="P59" s="936"/>
      <c r="Q59" s="936"/>
      <c r="R59" s="936"/>
      <c r="S59" s="936"/>
      <c r="T59" s="936"/>
      <c r="U59" s="936"/>
      <c r="V59" s="936"/>
      <c r="W59" s="936"/>
      <c r="X59" s="936"/>
      <c r="Y59" s="936"/>
      <c r="Z59" s="937"/>
      <c r="AA59" s="824"/>
      <c r="AB59" s="824"/>
      <c r="AC59" s="824"/>
      <c r="AD59" s="824"/>
    </row>
    <row r="60" spans="2:30" s="536" customFormat="1" ht="51" customHeight="1">
      <c r="B60" s="537">
        <v>12</v>
      </c>
      <c r="C60" s="33">
        <v>0</v>
      </c>
      <c r="D60" s="938" t="str">
        <f>DEC2HEX(4096*C60)</f>
        <v>0</v>
      </c>
      <c r="E60" s="939"/>
      <c r="F60" s="928" t="s">
        <v>1534</v>
      </c>
      <c r="G60" s="820"/>
      <c r="H60" s="820"/>
      <c r="I60" s="820"/>
      <c r="J60" s="820"/>
      <c r="K60" s="820"/>
      <c r="L60" s="820"/>
      <c r="M60" s="820"/>
      <c r="N60" s="820"/>
      <c r="O60" s="820"/>
      <c r="P60" s="820"/>
      <c r="Q60" s="820"/>
      <c r="R60" s="820"/>
      <c r="S60" s="820"/>
      <c r="T60" s="820"/>
      <c r="U60" s="820"/>
      <c r="V60" s="820"/>
      <c r="W60" s="820"/>
      <c r="X60" s="820"/>
      <c r="Y60" s="820"/>
      <c r="Z60" s="821"/>
      <c r="AA60" s="824"/>
      <c r="AB60" s="824"/>
      <c r="AC60" s="824"/>
      <c r="AD60" s="824"/>
    </row>
    <row r="61" spans="2:30" s="536" customFormat="1" ht="41.25" customHeight="1">
      <c r="B61" s="537">
        <v>11</v>
      </c>
      <c r="C61" s="33">
        <v>0</v>
      </c>
      <c r="D61" s="952" t="str">
        <f>DEC2HEX(1024*C62+2048*C61)</f>
        <v>0</v>
      </c>
      <c r="E61" s="953"/>
      <c r="F61" s="920" t="s">
        <v>1533</v>
      </c>
      <c r="G61" s="921"/>
      <c r="H61" s="921"/>
      <c r="I61" s="921"/>
      <c r="J61" s="921"/>
      <c r="K61" s="921"/>
      <c r="L61" s="921"/>
      <c r="M61" s="921"/>
      <c r="N61" s="921"/>
      <c r="O61" s="921"/>
      <c r="P61" s="921"/>
      <c r="Q61" s="921"/>
      <c r="R61" s="921"/>
      <c r="S61" s="921"/>
      <c r="T61" s="921"/>
      <c r="U61" s="921"/>
      <c r="V61" s="921"/>
      <c r="W61" s="921"/>
      <c r="X61" s="921"/>
      <c r="Y61" s="921"/>
      <c r="Z61" s="922"/>
      <c r="AA61" s="824"/>
      <c r="AB61" s="824"/>
      <c r="AC61" s="824"/>
      <c r="AD61" s="824"/>
    </row>
    <row r="62" spans="2:30" s="536" customFormat="1" ht="41.25" customHeight="1">
      <c r="B62" s="537">
        <v>10</v>
      </c>
      <c r="C62" s="33">
        <v>0</v>
      </c>
      <c r="D62" s="956"/>
      <c r="E62" s="957"/>
      <c r="F62" s="925"/>
      <c r="G62" s="926"/>
      <c r="H62" s="926"/>
      <c r="I62" s="926"/>
      <c r="J62" s="926"/>
      <c r="K62" s="926"/>
      <c r="L62" s="926"/>
      <c r="M62" s="926"/>
      <c r="N62" s="926"/>
      <c r="O62" s="926"/>
      <c r="P62" s="926"/>
      <c r="Q62" s="926"/>
      <c r="R62" s="926"/>
      <c r="S62" s="926"/>
      <c r="T62" s="926"/>
      <c r="U62" s="926"/>
      <c r="V62" s="926"/>
      <c r="W62" s="926"/>
      <c r="X62" s="926"/>
      <c r="Y62" s="926"/>
      <c r="Z62" s="927"/>
      <c r="AA62" s="824"/>
      <c r="AB62" s="824"/>
      <c r="AC62" s="824"/>
      <c r="AD62" s="824"/>
    </row>
    <row r="63" spans="2:30" s="536" customFormat="1" ht="42.75" customHeight="1">
      <c r="B63" s="537">
        <v>9</v>
      </c>
      <c r="C63" s="33">
        <v>0</v>
      </c>
      <c r="D63" s="952" t="str">
        <f>DEC2HEX(128*C65+256*C64+512*C63)</f>
        <v>100</v>
      </c>
      <c r="E63" s="953"/>
      <c r="F63" s="920" t="s">
        <v>1531</v>
      </c>
      <c r="G63" s="921"/>
      <c r="H63" s="921"/>
      <c r="I63" s="921"/>
      <c r="J63" s="921"/>
      <c r="K63" s="921"/>
      <c r="L63" s="921"/>
      <c r="M63" s="921"/>
      <c r="N63" s="921"/>
      <c r="O63" s="921"/>
      <c r="P63" s="921"/>
      <c r="Q63" s="921"/>
      <c r="R63" s="921"/>
      <c r="S63" s="921"/>
      <c r="T63" s="921"/>
      <c r="U63" s="921"/>
      <c r="V63" s="921"/>
      <c r="W63" s="921"/>
      <c r="X63" s="921"/>
      <c r="Y63" s="921"/>
      <c r="Z63" s="922"/>
      <c r="AA63" s="824"/>
      <c r="AB63" s="824"/>
      <c r="AC63" s="824"/>
      <c r="AD63" s="824"/>
    </row>
    <row r="64" spans="2:30" s="536" customFormat="1" ht="42.75" customHeight="1">
      <c r="B64" s="537">
        <v>8</v>
      </c>
      <c r="C64" s="33">
        <v>1</v>
      </c>
      <c r="D64" s="954"/>
      <c r="E64" s="955"/>
      <c r="F64" s="923"/>
      <c r="G64" s="838"/>
      <c r="H64" s="838"/>
      <c r="I64" s="838"/>
      <c r="J64" s="838"/>
      <c r="K64" s="838"/>
      <c r="L64" s="838"/>
      <c r="M64" s="838"/>
      <c r="N64" s="838"/>
      <c r="O64" s="838"/>
      <c r="P64" s="838"/>
      <c r="Q64" s="838"/>
      <c r="R64" s="838"/>
      <c r="S64" s="838"/>
      <c r="T64" s="838"/>
      <c r="U64" s="838"/>
      <c r="V64" s="838"/>
      <c r="W64" s="838"/>
      <c r="X64" s="838"/>
      <c r="Y64" s="838"/>
      <c r="Z64" s="924"/>
      <c r="AA64" s="824"/>
      <c r="AB64" s="824"/>
      <c r="AC64" s="824"/>
      <c r="AD64" s="824"/>
    </row>
    <row r="65" spans="2:30" s="536" customFormat="1" ht="42.75" customHeight="1">
      <c r="B65" s="537">
        <v>7</v>
      </c>
      <c r="C65" s="33">
        <v>0</v>
      </c>
      <c r="D65" s="956"/>
      <c r="E65" s="957"/>
      <c r="F65" s="925"/>
      <c r="G65" s="926"/>
      <c r="H65" s="926"/>
      <c r="I65" s="926"/>
      <c r="J65" s="926"/>
      <c r="K65" s="926"/>
      <c r="L65" s="926"/>
      <c r="M65" s="926"/>
      <c r="N65" s="926"/>
      <c r="O65" s="926"/>
      <c r="P65" s="926"/>
      <c r="Q65" s="926"/>
      <c r="R65" s="926"/>
      <c r="S65" s="926"/>
      <c r="T65" s="926"/>
      <c r="U65" s="926"/>
      <c r="V65" s="926"/>
      <c r="W65" s="926"/>
      <c r="X65" s="926"/>
      <c r="Y65" s="926"/>
      <c r="Z65" s="927"/>
      <c r="AA65" s="824"/>
      <c r="AB65" s="824"/>
      <c r="AC65" s="824"/>
      <c r="AD65" s="824"/>
    </row>
    <row r="66" spans="2:30" s="536" customFormat="1" ht="42.75" customHeight="1">
      <c r="B66" s="537">
        <v>6</v>
      </c>
      <c r="C66" s="33">
        <v>0</v>
      </c>
      <c r="D66" s="952" t="str">
        <f>DEC2HEX(16*C68+32*C67+64*C66)</f>
        <v>0</v>
      </c>
      <c r="E66" s="953"/>
      <c r="F66" s="920" t="s">
        <v>1532</v>
      </c>
      <c r="G66" s="921"/>
      <c r="H66" s="921"/>
      <c r="I66" s="921"/>
      <c r="J66" s="921"/>
      <c r="K66" s="921"/>
      <c r="L66" s="921"/>
      <c r="M66" s="921"/>
      <c r="N66" s="921"/>
      <c r="O66" s="921"/>
      <c r="P66" s="921"/>
      <c r="Q66" s="921"/>
      <c r="R66" s="921"/>
      <c r="S66" s="921"/>
      <c r="T66" s="921"/>
      <c r="U66" s="921"/>
      <c r="V66" s="921"/>
      <c r="W66" s="921"/>
      <c r="X66" s="921"/>
      <c r="Y66" s="921"/>
      <c r="Z66" s="922"/>
      <c r="AA66" s="824"/>
      <c r="AB66" s="824"/>
      <c r="AC66" s="824"/>
      <c r="AD66" s="824"/>
    </row>
    <row r="67" spans="2:30" s="536" customFormat="1" ht="42.75" customHeight="1">
      <c r="B67" s="537">
        <v>5</v>
      </c>
      <c r="C67" s="33">
        <v>0</v>
      </c>
      <c r="D67" s="954"/>
      <c r="E67" s="955"/>
      <c r="F67" s="923"/>
      <c r="G67" s="838"/>
      <c r="H67" s="838"/>
      <c r="I67" s="838"/>
      <c r="J67" s="838"/>
      <c r="K67" s="838"/>
      <c r="L67" s="838"/>
      <c r="M67" s="838"/>
      <c r="N67" s="838"/>
      <c r="O67" s="838"/>
      <c r="P67" s="838"/>
      <c r="Q67" s="838"/>
      <c r="R67" s="838"/>
      <c r="S67" s="838"/>
      <c r="T67" s="838"/>
      <c r="U67" s="838"/>
      <c r="V67" s="838"/>
      <c r="W67" s="838"/>
      <c r="X67" s="838"/>
      <c r="Y67" s="838"/>
      <c r="Z67" s="924"/>
      <c r="AA67" s="824"/>
      <c r="AB67" s="824"/>
      <c r="AC67" s="824"/>
      <c r="AD67" s="824"/>
    </row>
    <row r="68" spans="2:30" s="536" customFormat="1" ht="42.75" customHeight="1">
      <c r="B68" s="537">
        <v>4</v>
      </c>
      <c r="C68" s="33">
        <v>0</v>
      </c>
      <c r="D68" s="956"/>
      <c r="E68" s="957"/>
      <c r="F68" s="925"/>
      <c r="G68" s="926"/>
      <c r="H68" s="926"/>
      <c r="I68" s="926"/>
      <c r="J68" s="926"/>
      <c r="K68" s="926"/>
      <c r="L68" s="926"/>
      <c r="M68" s="926"/>
      <c r="N68" s="926"/>
      <c r="O68" s="926"/>
      <c r="P68" s="926"/>
      <c r="Q68" s="926"/>
      <c r="R68" s="926"/>
      <c r="S68" s="926"/>
      <c r="T68" s="926"/>
      <c r="U68" s="926"/>
      <c r="V68" s="926"/>
      <c r="W68" s="926"/>
      <c r="X68" s="926"/>
      <c r="Y68" s="926"/>
      <c r="Z68" s="927"/>
      <c r="AA68" s="824"/>
      <c r="AB68" s="824"/>
      <c r="AC68" s="824"/>
      <c r="AD68" s="824"/>
    </row>
    <row r="69" spans="2:30" s="536" customFormat="1" ht="57.75" customHeight="1">
      <c r="B69" s="537">
        <v>3</v>
      </c>
      <c r="C69" s="33">
        <v>0</v>
      </c>
      <c r="D69" s="938" t="str">
        <f>DEC2HEX(8*C69)</f>
        <v>0</v>
      </c>
      <c r="E69" s="939"/>
      <c r="F69" s="909" t="s">
        <v>1530</v>
      </c>
      <c r="G69" s="910"/>
      <c r="H69" s="910"/>
      <c r="I69" s="910"/>
      <c r="J69" s="910"/>
      <c r="K69" s="910"/>
      <c r="L69" s="910"/>
      <c r="M69" s="910"/>
      <c r="N69" s="910"/>
      <c r="O69" s="910"/>
      <c r="P69" s="910"/>
      <c r="Q69" s="910"/>
      <c r="R69" s="910"/>
      <c r="S69" s="910"/>
      <c r="T69" s="910"/>
      <c r="U69" s="910"/>
      <c r="V69" s="910"/>
      <c r="W69" s="910"/>
      <c r="X69" s="910"/>
      <c r="Y69" s="910"/>
      <c r="Z69" s="911"/>
      <c r="AA69" s="824"/>
      <c r="AB69" s="824"/>
      <c r="AC69" s="824"/>
      <c r="AD69" s="824"/>
    </row>
    <row r="70" spans="2:30" s="536" customFormat="1" ht="54.75" customHeight="1">
      <c r="B70" s="537">
        <v>2</v>
      </c>
      <c r="C70" s="33">
        <v>0</v>
      </c>
      <c r="D70" s="938" t="str">
        <f>DEC2HEX(4*C70)</f>
        <v>0</v>
      </c>
      <c r="E70" s="939"/>
      <c r="F70" s="909" t="s">
        <v>1529</v>
      </c>
      <c r="G70" s="910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  <c r="X70" s="910"/>
      <c r="Y70" s="910"/>
      <c r="Z70" s="911"/>
      <c r="AA70" s="824"/>
      <c r="AB70" s="824"/>
      <c r="AC70" s="824"/>
      <c r="AD70" s="824"/>
    </row>
    <row r="71" spans="2:30" s="536" customFormat="1" ht="42.75" customHeight="1">
      <c r="B71" s="537">
        <v>1</v>
      </c>
      <c r="C71" s="546">
        <v>0</v>
      </c>
      <c r="D71" s="938"/>
      <c r="E71" s="939"/>
      <c r="F71" s="917" t="s">
        <v>1528</v>
      </c>
      <c r="G71" s="918"/>
      <c r="H71" s="918"/>
      <c r="I71" s="918"/>
      <c r="J71" s="918"/>
      <c r="K71" s="918"/>
      <c r="L71" s="918"/>
      <c r="M71" s="918"/>
      <c r="N71" s="918"/>
      <c r="O71" s="918"/>
      <c r="P71" s="918"/>
      <c r="Q71" s="918"/>
      <c r="R71" s="918"/>
      <c r="S71" s="918"/>
      <c r="T71" s="918"/>
      <c r="U71" s="918"/>
      <c r="V71" s="918"/>
      <c r="W71" s="918"/>
      <c r="X71" s="918"/>
      <c r="Y71" s="918"/>
      <c r="Z71" s="919"/>
      <c r="AA71" s="824"/>
      <c r="AB71" s="824"/>
      <c r="AC71" s="824"/>
      <c r="AD71" s="824"/>
    </row>
    <row r="72" spans="2:30" s="536" customFormat="1" ht="60" customHeight="1">
      <c r="B72" s="537">
        <v>0</v>
      </c>
      <c r="C72" s="33">
        <v>1</v>
      </c>
      <c r="D72" s="938" t="str">
        <f>DEC2HEX(1*C72)</f>
        <v>1</v>
      </c>
      <c r="E72" s="939"/>
      <c r="F72" s="909" t="s">
        <v>1527</v>
      </c>
      <c r="G72" s="910"/>
      <c r="H72" s="910"/>
      <c r="I72" s="910"/>
      <c r="J72" s="910"/>
      <c r="K72" s="910"/>
      <c r="L72" s="910"/>
      <c r="M72" s="910"/>
      <c r="N72" s="910"/>
      <c r="O72" s="910"/>
      <c r="P72" s="910"/>
      <c r="Q72" s="910"/>
      <c r="R72" s="910"/>
      <c r="S72" s="910"/>
      <c r="T72" s="910"/>
      <c r="U72" s="910"/>
      <c r="V72" s="910"/>
      <c r="W72" s="910"/>
      <c r="X72" s="910"/>
      <c r="Y72" s="910"/>
      <c r="Z72" s="911"/>
      <c r="AA72" s="824"/>
      <c r="AB72" s="824"/>
      <c r="AC72" s="824"/>
      <c r="AD72" s="824"/>
    </row>
    <row r="73" spans="2:30">
      <c r="B73" s="536"/>
      <c r="L73" s="536"/>
      <c r="M73" s="536"/>
      <c r="N73" s="536"/>
    </row>
    <row r="74" spans="2:30">
      <c r="B74" s="536"/>
    </row>
    <row r="75" spans="2:30">
      <c r="B75" s="535" t="s">
        <v>1537</v>
      </c>
      <c r="C75" s="536"/>
      <c r="F75" s="536"/>
      <c r="G75" s="536"/>
      <c r="H75" s="536"/>
      <c r="I75" s="536"/>
      <c r="J75" s="536"/>
      <c r="K75" s="536"/>
      <c r="L75" s="536"/>
      <c r="M75" s="536"/>
      <c r="N75" s="536"/>
      <c r="O75" s="536"/>
      <c r="P75" s="536"/>
      <c r="Q75" s="536"/>
      <c r="R75" s="536"/>
      <c r="S75" s="536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</row>
    <row r="76" spans="2:30">
      <c r="B76" s="535" t="s">
        <v>1538</v>
      </c>
      <c r="C76" s="536"/>
      <c r="F76" s="536"/>
      <c r="G76" s="536"/>
      <c r="H76" s="536"/>
      <c r="I76" s="536"/>
      <c r="J76" s="536"/>
      <c r="K76" s="536"/>
      <c r="L76" s="536"/>
      <c r="M76" s="536"/>
      <c r="N76" s="536"/>
      <c r="O76" s="536"/>
      <c r="P76" s="536"/>
      <c r="Q76" s="536"/>
      <c r="R76" s="536"/>
      <c r="S76" s="536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</row>
    <row r="77" spans="2:30">
      <c r="B77" s="889" t="s">
        <v>1142</v>
      </c>
      <c r="C77" s="889" t="s">
        <v>1511</v>
      </c>
      <c r="D77" s="891"/>
      <c r="E77" s="893"/>
      <c r="F77" s="891" t="s">
        <v>1520</v>
      </c>
      <c r="G77" s="892"/>
      <c r="H77" s="892"/>
      <c r="I77" s="892"/>
      <c r="J77" s="892"/>
      <c r="K77" s="892"/>
      <c r="L77" s="892"/>
      <c r="M77" s="892"/>
      <c r="N77" s="892"/>
      <c r="O77" s="892"/>
      <c r="P77" s="892"/>
      <c r="Q77" s="892"/>
      <c r="R77" s="892"/>
      <c r="S77" s="892"/>
      <c r="T77" s="892"/>
      <c r="U77" s="892"/>
      <c r="V77" s="892"/>
      <c r="W77" s="892"/>
      <c r="X77" s="892"/>
      <c r="Y77" s="892"/>
      <c r="Z77" s="893"/>
      <c r="AA77" s="890" t="s">
        <v>1513</v>
      </c>
      <c r="AB77" s="890"/>
      <c r="AC77" s="890" t="s">
        <v>1512</v>
      </c>
      <c r="AD77" s="890"/>
    </row>
    <row r="78" spans="2:30">
      <c r="B78" s="889"/>
      <c r="C78" s="889"/>
      <c r="D78" s="894"/>
      <c r="E78" s="896"/>
      <c r="F78" s="894"/>
      <c r="G78" s="895"/>
      <c r="H78" s="895"/>
      <c r="I78" s="895"/>
      <c r="J78" s="895"/>
      <c r="K78" s="895"/>
      <c r="L78" s="895"/>
      <c r="M78" s="895"/>
      <c r="N78" s="895"/>
      <c r="O78" s="895"/>
      <c r="P78" s="895"/>
      <c r="Q78" s="895"/>
      <c r="R78" s="895"/>
      <c r="S78" s="895"/>
      <c r="T78" s="895"/>
      <c r="U78" s="895"/>
      <c r="V78" s="895"/>
      <c r="W78" s="895"/>
      <c r="X78" s="895"/>
      <c r="Y78" s="895"/>
      <c r="Z78" s="896"/>
      <c r="AA78" s="890"/>
      <c r="AB78" s="890"/>
      <c r="AC78" s="890"/>
      <c r="AD78" s="890"/>
    </row>
    <row r="79" spans="2:30">
      <c r="B79" s="537">
        <v>15</v>
      </c>
      <c r="C79" s="546">
        <v>0</v>
      </c>
      <c r="D79" s="938"/>
      <c r="E79" s="939"/>
      <c r="F79" s="940" t="s">
        <v>1535</v>
      </c>
      <c r="G79" s="941"/>
      <c r="H79" s="941"/>
      <c r="I79" s="941"/>
      <c r="J79" s="941"/>
      <c r="K79" s="941"/>
      <c r="L79" s="941"/>
      <c r="M79" s="941"/>
      <c r="N79" s="941"/>
      <c r="O79" s="941"/>
      <c r="P79" s="941"/>
      <c r="Q79" s="941"/>
      <c r="R79" s="941"/>
      <c r="S79" s="941"/>
      <c r="T79" s="941"/>
      <c r="U79" s="941"/>
      <c r="V79" s="941"/>
      <c r="W79" s="941"/>
      <c r="X79" s="941"/>
      <c r="Y79" s="941"/>
      <c r="Z79" s="942"/>
      <c r="AA79" s="824">
        <f>C94+C93*2^1+C92*2^2+C91*2^3+C90*2^4+C89*2^5+C88*2^6+C87*2^7+C86*2^8+C85*2^9+C84*2^10+C83*2^11+C82*2^12+C81*2^13+C80*2^14+C79*2^15</f>
        <v>2</v>
      </c>
      <c r="AB79" s="824"/>
      <c r="AC79" s="824" t="str">
        <f>DEC2HEX(AA79)</f>
        <v>2</v>
      </c>
      <c r="AD79" s="824"/>
    </row>
    <row r="80" spans="2:30">
      <c r="B80" s="537">
        <v>14</v>
      </c>
      <c r="C80" s="546">
        <v>0</v>
      </c>
      <c r="D80" s="938"/>
      <c r="E80" s="939"/>
      <c r="F80" s="943"/>
      <c r="G80" s="944"/>
      <c r="H80" s="944"/>
      <c r="I80" s="944"/>
      <c r="J80" s="944"/>
      <c r="K80" s="944"/>
      <c r="L80" s="944"/>
      <c r="M80" s="944"/>
      <c r="N80" s="944"/>
      <c r="O80" s="944"/>
      <c r="P80" s="944"/>
      <c r="Q80" s="944"/>
      <c r="R80" s="944"/>
      <c r="S80" s="944"/>
      <c r="T80" s="944"/>
      <c r="U80" s="944"/>
      <c r="V80" s="944"/>
      <c r="W80" s="944"/>
      <c r="X80" s="944"/>
      <c r="Y80" s="944"/>
      <c r="Z80" s="945"/>
      <c r="AA80" s="824"/>
      <c r="AB80" s="824"/>
      <c r="AC80" s="824"/>
      <c r="AD80" s="824"/>
    </row>
    <row r="81" spans="2:30">
      <c r="B81" s="537">
        <v>13</v>
      </c>
      <c r="C81" s="546">
        <v>0</v>
      </c>
      <c r="D81" s="938"/>
      <c r="E81" s="939"/>
      <c r="F81" s="943"/>
      <c r="G81" s="944"/>
      <c r="H81" s="944"/>
      <c r="I81" s="944"/>
      <c r="J81" s="944"/>
      <c r="K81" s="944"/>
      <c r="L81" s="944"/>
      <c r="M81" s="944"/>
      <c r="N81" s="944"/>
      <c r="O81" s="944"/>
      <c r="P81" s="944"/>
      <c r="Q81" s="944"/>
      <c r="R81" s="944"/>
      <c r="S81" s="944"/>
      <c r="T81" s="944"/>
      <c r="U81" s="944"/>
      <c r="V81" s="944"/>
      <c r="W81" s="944"/>
      <c r="X81" s="944"/>
      <c r="Y81" s="944"/>
      <c r="Z81" s="945"/>
      <c r="AA81" s="824"/>
      <c r="AB81" s="824"/>
      <c r="AC81" s="824"/>
      <c r="AD81" s="824"/>
    </row>
    <row r="82" spans="2:30">
      <c r="B82" s="537">
        <v>12</v>
      </c>
      <c r="C82" s="546">
        <v>0</v>
      </c>
      <c r="D82" s="938"/>
      <c r="E82" s="939"/>
      <c r="F82" s="943"/>
      <c r="G82" s="944"/>
      <c r="H82" s="944"/>
      <c r="I82" s="944"/>
      <c r="J82" s="944"/>
      <c r="K82" s="944"/>
      <c r="L82" s="944"/>
      <c r="M82" s="944"/>
      <c r="N82" s="944"/>
      <c r="O82" s="944"/>
      <c r="P82" s="944"/>
      <c r="Q82" s="944"/>
      <c r="R82" s="944"/>
      <c r="S82" s="944"/>
      <c r="T82" s="944"/>
      <c r="U82" s="944"/>
      <c r="V82" s="944"/>
      <c r="W82" s="944"/>
      <c r="X82" s="944"/>
      <c r="Y82" s="944"/>
      <c r="Z82" s="945"/>
      <c r="AA82" s="824"/>
      <c r="AB82" s="824"/>
      <c r="AC82" s="824"/>
      <c r="AD82" s="824"/>
    </row>
    <row r="83" spans="2:30">
      <c r="B83" s="537">
        <v>11</v>
      </c>
      <c r="C83" s="546">
        <v>0</v>
      </c>
      <c r="D83" s="938"/>
      <c r="E83" s="939"/>
      <c r="F83" s="943"/>
      <c r="G83" s="944"/>
      <c r="H83" s="944"/>
      <c r="I83" s="944"/>
      <c r="J83" s="944"/>
      <c r="K83" s="944"/>
      <c r="L83" s="944"/>
      <c r="M83" s="944"/>
      <c r="N83" s="944"/>
      <c r="O83" s="944"/>
      <c r="P83" s="944"/>
      <c r="Q83" s="944"/>
      <c r="R83" s="944"/>
      <c r="S83" s="944"/>
      <c r="T83" s="944"/>
      <c r="U83" s="944"/>
      <c r="V83" s="944"/>
      <c r="W83" s="944"/>
      <c r="X83" s="944"/>
      <c r="Y83" s="944"/>
      <c r="Z83" s="945"/>
      <c r="AA83" s="824"/>
      <c r="AB83" s="824"/>
      <c r="AC83" s="824"/>
      <c r="AD83" s="824"/>
    </row>
    <row r="84" spans="2:30">
      <c r="B84" s="537">
        <v>10</v>
      </c>
      <c r="C84" s="546">
        <v>0</v>
      </c>
      <c r="D84" s="938"/>
      <c r="E84" s="939"/>
      <c r="F84" s="943"/>
      <c r="G84" s="944"/>
      <c r="H84" s="944"/>
      <c r="I84" s="944"/>
      <c r="J84" s="944"/>
      <c r="K84" s="944"/>
      <c r="L84" s="944"/>
      <c r="M84" s="944"/>
      <c r="N84" s="944"/>
      <c r="O84" s="944"/>
      <c r="P84" s="944"/>
      <c r="Q84" s="944"/>
      <c r="R84" s="944"/>
      <c r="S84" s="944"/>
      <c r="T84" s="944"/>
      <c r="U84" s="944"/>
      <c r="V84" s="944"/>
      <c r="W84" s="944"/>
      <c r="X84" s="944"/>
      <c r="Y84" s="944"/>
      <c r="Z84" s="945"/>
      <c r="AA84" s="824"/>
      <c r="AB84" s="824"/>
      <c r="AC84" s="824"/>
      <c r="AD84" s="824"/>
    </row>
    <row r="85" spans="2:30">
      <c r="B85" s="537">
        <v>9</v>
      </c>
      <c r="C85" s="546">
        <v>0</v>
      </c>
      <c r="D85" s="938"/>
      <c r="E85" s="939"/>
      <c r="F85" s="943"/>
      <c r="G85" s="944"/>
      <c r="H85" s="944"/>
      <c r="I85" s="944"/>
      <c r="J85" s="944"/>
      <c r="K85" s="944"/>
      <c r="L85" s="944"/>
      <c r="M85" s="944"/>
      <c r="N85" s="944"/>
      <c r="O85" s="944"/>
      <c r="P85" s="944"/>
      <c r="Q85" s="944"/>
      <c r="R85" s="944"/>
      <c r="S85" s="944"/>
      <c r="T85" s="944"/>
      <c r="U85" s="944"/>
      <c r="V85" s="944"/>
      <c r="W85" s="944"/>
      <c r="X85" s="944"/>
      <c r="Y85" s="944"/>
      <c r="Z85" s="945"/>
      <c r="AA85" s="824"/>
      <c r="AB85" s="824"/>
      <c r="AC85" s="824"/>
      <c r="AD85" s="824"/>
    </row>
    <row r="86" spans="2:30">
      <c r="B86" s="537">
        <v>8</v>
      </c>
      <c r="C86" s="546">
        <v>0</v>
      </c>
      <c r="D86" s="938"/>
      <c r="E86" s="939"/>
      <c r="F86" s="943"/>
      <c r="G86" s="944"/>
      <c r="H86" s="944"/>
      <c r="I86" s="944"/>
      <c r="J86" s="944"/>
      <c r="K86" s="944"/>
      <c r="L86" s="944"/>
      <c r="M86" s="944"/>
      <c r="N86" s="944"/>
      <c r="O86" s="944"/>
      <c r="P86" s="944"/>
      <c r="Q86" s="944"/>
      <c r="R86" s="944"/>
      <c r="S86" s="944"/>
      <c r="T86" s="944"/>
      <c r="U86" s="944"/>
      <c r="V86" s="944"/>
      <c r="W86" s="944"/>
      <c r="X86" s="944"/>
      <c r="Y86" s="944"/>
      <c r="Z86" s="945"/>
      <c r="AA86" s="824"/>
      <c r="AB86" s="824"/>
      <c r="AC86" s="824"/>
      <c r="AD86" s="824"/>
    </row>
    <row r="87" spans="2:30">
      <c r="B87" s="537">
        <v>7</v>
      </c>
      <c r="C87" s="546">
        <v>0</v>
      </c>
      <c r="D87" s="938"/>
      <c r="E87" s="939"/>
      <c r="F87" s="943"/>
      <c r="G87" s="944"/>
      <c r="H87" s="944"/>
      <c r="I87" s="944"/>
      <c r="J87" s="944"/>
      <c r="K87" s="944"/>
      <c r="L87" s="944"/>
      <c r="M87" s="944"/>
      <c r="N87" s="944"/>
      <c r="O87" s="944"/>
      <c r="P87" s="944"/>
      <c r="Q87" s="944"/>
      <c r="R87" s="944"/>
      <c r="S87" s="944"/>
      <c r="T87" s="944"/>
      <c r="U87" s="944"/>
      <c r="V87" s="944"/>
      <c r="W87" s="944"/>
      <c r="X87" s="944"/>
      <c r="Y87" s="944"/>
      <c r="Z87" s="945"/>
      <c r="AA87" s="824"/>
      <c r="AB87" s="824"/>
      <c r="AC87" s="824"/>
      <c r="AD87" s="824"/>
    </row>
    <row r="88" spans="2:30">
      <c r="B88" s="537">
        <v>6</v>
      </c>
      <c r="C88" s="546">
        <v>0</v>
      </c>
      <c r="D88" s="938"/>
      <c r="E88" s="939"/>
      <c r="F88" s="943"/>
      <c r="G88" s="944"/>
      <c r="H88" s="944"/>
      <c r="I88" s="944"/>
      <c r="J88" s="944"/>
      <c r="K88" s="944"/>
      <c r="L88" s="944"/>
      <c r="M88" s="944"/>
      <c r="N88" s="944"/>
      <c r="O88" s="944"/>
      <c r="P88" s="944"/>
      <c r="Q88" s="944"/>
      <c r="R88" s="944"/>
      <c r="S88" s="944"/>
      <c r="T88" s="944"/>
      <c r="U88" s="944"/>
      <c r="V88" s="944"/>
      <c r="W88" s="944"/>
      <c r="X88" s="944"/>
      <c r="Y88" s="944"/>
      <c r="Z88" s="945"/>
      <c r="AA88" s="824"/>
      <c r="AB88" s="824"/>
      <c r="AC88" s="824"/>
      <c r="AD88" s="824"/>
    </row>
    <row r="89" spans="2:30">
      <c r="B89" s="537">
        <v>5</v>
      </c>
      <c r="C89" s="546">
        <v>0</v>
      </c>
      <c r="D89" s="938"/>
      <c r="E89" s="939"/>
      <c r="F89" s="943"/>
      <c r="G89" s="944"/>
      <c r="H89" s="944"/>
      <c r="I89" s="944"/>
      <c r="J89" s="944"/>
      <c r="K89" s="944"/>
      <c r="L89" s="944"/>
      <c r="M89" s="944"/>
      <c r="N89" s="944"/>
      <c r="O89" s="944"/>
      <c r="P89" s="944"/>
      <c r="Q89" s="944"/>
      <c r="R89" s="944"/>
      <c r="S89" s="944"/>
      <c r="T89" s="944"/>
      <c r="U89" s="944"/>
      <c r="V89" s="944"/>
      <c r="W89" s="944"/>
      <c r="X89" s="944"/>
      <c r="Y89" s="944"/>
      <c r="Z89" s="945"/>
      <c r="AA89" s="824"/>
      <c r="AB89" s="824"/>
      <c r="AC89" s="824"/>
      <c r="AD89" s="824"/>
    </row>
    <row r="90" spans="2:30">
      <c r="B90" s="537">
        <v>4</v>
      </c>
      <c r="C90" s="546">
        <v>0</v>
      </c>
      <c r="D90" s="938"/>
      <c r="E90" s="939"/>
      <c r="F90" s="943"/>
      <c r="G90" s="944"/>
      <c r="H90" s="944"/>
      <c r="I90" s="944"/>
      <c r="J90" s="944"/>
      <c r="K90" s="944"/>
      <c r="L90" s="944"/>
      <c r="M90" s="944"/>
      <c r="N90" s="944"/>
      <c r="O90" s="944"/>
      <c r="P90" s="944"/>
      <c r="Q90" s="944"/>
      <c r="R90" s="944"/>
      <c r="S90" s="944"/>
      <c r="T90" s="944"/>
      <c r="U90" s="944"/>
      <c r="V90" s="944"/>
      <c r="W90" s="944"/>
      <c r="X90" s="944"/>
      <c r="Y90" s="944"/>
      <c r="Z90" s="945"/>
      <c r="AA90" s="824"/>
      <c r="AB90" s="824"/>
      <c r="AC90" s="824"/>
      <c r="AD90" s="824"/>
    </row>
    <row r="91" spans="2:30">
      <c r="B91" s="537">
        <v>3</v>
      </c>
      <c r="C91" s="546">
        <v>0</v>
      </c>
      <c r="D91" s="938"/>
      <c r="E91" s="939"/>
      <c r="F91" s="946"/>
      <c r="G91" s="947"/>
      <c r="H91" s="947"/>
      <c r="I91" s="947"/>
      <c r="J91" s="947"/>
      <c r="K91" s="947"/>
      <c r="L91" s="947"/>
      <c r="M91" s="947"/>
      <c r="N91" s="947"/>
      <c r="O91" s="947"/>
      <c r="P91" s="947"/>
      <c r="Q91" s="947"/>
      <c r="R91" s="947"/>
      <c r="S91" s="947"/>
      <c r="T91" s="947"/>
      <c r="U91" s="947"/>
      <c r="V91" s="947"/>
      <c r="W91" s="947"/>
      <c r="X91" s="947"/>
      <c r="Y91" s="947"/>
      <c r="Z91" s="948"/>
      <c r="AA91" s="824"/>
      <c r="AB91" s="824"/>
      <c r="AC91" s="824"/>
      <c r="AD91" s="824"/>
    </row>
    <row r="92" spans="2:30" ht="54.75" customHeight="1">
      <c r="B92" s="537">
        <v>2</v>
      </c>
      <c r="C92" s="33">
        <v>0</v>
      </c>
      <c r="D92" s="949" t="str">
        <f>DEC2HEX(4*C92)</f>
        <v>0</v>
      </c>
      <c r="E92" s="939"/>
      <c r="F92" s="909" t="s">
        <v>1541</v>
      </c>
      <c r="G92" s="910"/>
      <c r="H92" s="910"/>
      <c r="I92" s="910"/>
      <c r="J92" s="910"/>
      <c r="K92" s="910"/>
      <c r="L92" s="910"/>
      <c r="M92" s="910"/>
      <c r="N92" s="910"/>
      <c r="O92" s="910"/>
      <c r="P92" s="910"/>
      <c r="Q92" s="910"/>
      <c r="R92" s="910"/>
      <c r="S92" s="910"/>
      <c r="T92" s="910"/>
      <c r="U92" s="910"/>
      <c r="V92" s="910"/>
      <c r="W92" s="910"/>
      <c r="X92" s="910"/>
      <c r="Y92" s="910"/>
      <c r="Z92" s="911"/>
      <c r="AA92" s="824"/>
      <c r="AB92" s="824"/>
      <c r="AC92" s="824"/>
      <c r="AD92" s="824"/>
    </row>
    <row r="93" spans="2:30" ht="53.25" customHeight="1">
      <c r="B93" s="537">
        <v>1</v>
      </c>
      <c r="C93" s="33">
        <v>1</v>
      </c>
      <c r="D93" s="938" t="str">
        <f>DEC2HEX(2*C93)</f>
        <v>2</v>
      </c>
      <c r="E93" s="939"/>
      <c r="F93" s="909" t="s">
        <v>1540</v>
      </c>
      <c r="G93" s="910"/>
      <c r="H93" s="910"/>
      <c r="I93" s="910"/>
      <c r="J93" s="910"/>
      <c r="K93" s="910"/>
      <c r="L93" s="910"/>
      <c r="M93" s="910"/>
      <c r="N93" s="910"/>
      <c r="O93" s="910"/>
      <c r="P93" s="910"/>
      <c r="Q93" s="910"/>
      <c r="R93" s="910"/>
      <c r="S93" s="910"/>
      <c r="T93" s="910"/>
      <c r="U93" s="910"/>
      <c r="V93" s="910"/>
      <c r="W93" s="910"/>
      <c r="X93" s="910"/>
      <c r="Y93" s="910"/>
      <c r="Z93" s="911"/>
      <c r="AA93" s="824"/>
      <c r="AB93" s="824"/>
      <c r="AC93" s="824"/>
      <c r="AD93" s="824"/>
    </row>
    <row r="94" spans="2:30" ht="50.25" customHeight="1">
      <c r="B94" s="537">
        <v>0</v>
      </c>
      <c r="C94" s="33">
        <v>0</v>
      </c>
      <c r="D94" s="938" t="str">
        <f>DEC2HEX(1*C94)</f>
        <v>0</v>
      </c>
      <c r="E94" s="939"/>
      <c r="F94" s="909" t="s">
        <v>1539</v>
      </c>
      <c r="G94" s="910"/>
      <c r="H94" s="910"/>
      <c r="I94" s="910"/>
      <c r="J94" s="910"/>
      <c r="K94" s="910"/>
      <c r="L94" s="910"/>
      <c r="M94" s="910"/>
      <c r="N94" s="910"/>
      <c r="O94" s="910"/>
      <c r="P94" s="910"/>
      <c r="Q94" s="910"/>
      <c r="R94" s="910"/>
      <c r="S94" s="910"/>
      <c r="T94" s="910"/>
      <c r="U94" s="910"/>
      <c r="V94" s="910"/>
      <c r="W94" s="910"/>
      <c r="X94" s="910"/>
      <c r="Y94" s="910"/>
      <c r="Z94" s="911"/>
      <c r="AA94" s="824"/>
      <c r="AB94" s="824"/>
      <c r="AC94" s="824"/>
      <c r="AD94" s="824"/>
    </row>
  </sheetData>
  <mergeCells count="125">
    <mergeCell ref="D85:E85"/>
    <mergeCell ref="D86:E86"/>
    <mergeCell ref="D87:E87"/>
    <mergeCell ref="D88:E88"/>
    <mergeCell ref="D72:E72"/>
    <mergeCell ref="D55:E56"/>
    <mergeCell ref="D33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63:E65"/>
    <mergeCell ref="D61:E62"/>
    <mergeCell ref="D66:E68"/>
    <mergeCell ref="D46:E46"/>
    <mergeCell ref="D47:E47"/>
    <mergeCell ref="D48:E48"/>
    <mergeCell ref="AC79:AD94"/>
    <mergeCell ref="B77:B78"/>
    <mergeCell ref="C77:C78"/>
    <mergeCell ref="F77:Z78"/>
    <mergeCell ref="AA77:AB78"/>
    <mergeCell ref="AC77:AD78"/>
    <mergeCell ref="F92:Z92"/>
    <mergeCell ref="F93:Z93"/>
    <mergeCell ref="F94:Z94"/>
    <mergeCell ref="F79:Z91"/>
    <mergeCell ref="AA79:AB94"/>
    <mergeCell ref="D79:E79"/>
    <mergeCell ref="D80:E80"/>
    <mergeCell ref="D81:E81"/>
    <mergeCell ref="D82:E82"/>
    <mergeCell ref="D83:E83"/>
    <mergeCell ref="D94:E94"/>
    <mergeCell ref="D77:E78"/>
    <mergeCell ref="D89:E89"/>
    <mergeCell ref="D90:E90"/>
    <mergeCell ref="D91:E91"/>
    <mergeCell ref="D92:E92"/>
    <mergeCell ref="D93:E93"/>
    <mergeCell ref="D84:E84"/>
    <mergeCell ref="AC57:AD72"/>
    <mergeCell ref="B55:B56"/>
    <mergeCell ref="C55:C56"/>
    <mergeCell ref="AA55:AB56"/>
    <mergeCell ref="AC55:AD56"/>
    <mergeCell ref="F69:Z69"/>
    <mergeCell ref="F70:Z70"/>
    <mergeCell ref="F71:Z71"/>
    <mergeCell ref="F72:Z72"/>
    <mergeCell ref="AA57:AB72"/>
    <mergeCell ref="F66:Z68"/>
    <mergeCell ref="F63:Z65"/>
    <mergeCell ref="F60:Z60"/>
    <mergeCell ref="F61:Z62"/>
    <mergeCell ref="F57:Z59"/>
    <mergeCell ref="F55:Z56"/>
    <mergeCell ref="D57:E57"/>
    <mergeCell ref="D58:E58"/>
    <mergeCell ref="D59:E59"/>
    <mergeCell ref="D60:E60"/>
    <mergeCell ref="D69:E69"/>
    <mergeCell ref="D70:E70"/>
    <mergeCell ref="D71:E71"/>
    <mergeCell ref="AC33:AD34"/>
    <mergeCell ref="AC35:AD50"/>
    <mergeCell ref="B33:B34"/>
    <mergeCell ref="C33:C34"/>
    <mergeCell ref="AA35:AB50"/>
    <mergeCell ref="AA33:AB34"/>
    <mergeCell ref="F33:Z34"/>
    <mergeCell ref="F48:Z50"/>
    <mergeCell ref="F43:Z43"/>
    <mergeCell ref="F44:Z44"/>
    <mergeCell ref="F45:Z45"/>
    <mergeCell ref="F46:Z46"/>
    <mergeCell ref="F47:Z47"/>
    <mergeCell ref="F35:Z35"/>
    <mergeCell ref="F36:Z36"/>
    <mergeCell ref="F37:Z37"/>
    <mergeCell ref="F38:Z38"/>
    <mergeCell ref="F39:Z39"/>
    <mergeCell ref="F40:Z40"/>
    <mergeCell ref="F41:Z41"/>
    <mergeCell ref="F42:Z42"/>
    <mergeCell ref="D49:E49"/>
    <mergeCell ref="D50:E50"/>
    <mergeCell ref="A1:F1"/>
    <mergeCell ref="B8:C8"/>
    <mergeCell ref="B9:C9"/>
    <mergeCell ref="N8:O8"/>
    <mergeCell ref="N9:O9"/>
    <mergeCell ref="B16:C16"/>
    <mergeCell ref="N15:O15"/>
    <mergeCell ref="N16:O16"/>
    <mergeCell ref="B10:C10"/>
    <mergeCell ref="B11:C11"/>
    <mergeCell ref="D10:K10"/>
    <mergeCell ref="D11:K11"/>
    <mergeCell ref="N10:O10"/>
    <mergeCell ref="B15:C15"/>
    <mergeCell ref="P10:W10"/>
    <mergeCell ref="N11:O11"/>
    <mergeCell ref="P11:W11"/>
    <mergeCell ref="N17:O17"/>
    <mergeCell ref="P17:W17"/>
    <mergeCell ref="B25:C25"/>
    <mergeCell ref="B26:C26"/>
    <mergeCell ref="D25:S25"/>
    <mergeCell ref="D26:S26"/>
    <mergeCell ref="B17:C17"/>
    <mergeCell ref="D17:K17"/>
    <mergeCell ref="B18:C18"/>
    <mergeCell ref="D18:K18"/>
    <mergeCell ref="B23:C23"/>
    <mergeCell ref="B24:C24"/>
    <mergeCell ref="N18:O18"/>
    <mergeCell ref="P18:W18"/>
  </mergeCells>
  <phoneticPr fontId="42"/>
  <hyperlinks>
    <hyperlink ref="A1:F1" location="目次!A1" display="　目次　" xr:uid="{F787669F-6AB7-4BF5-8602-795370DB9D6C}"/>
  </hyperlinks>
  <pageMargins left="0.69930555555555596" right="0.69930555555555596" top="0.75" bottom="0.75" header="0.3" footer="0.3"/>
  <pageSetup paperSize="9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1DDDD-EE46-4A37-AB7D-072177E91A11}">
  <dimension ref="A1:N28"/>
  <sheetViews>
    <sheetView workbookViewId="0">
      <selection sqref="A1:D1"/>
    </sheetView>
  </sheetViews>
  <sheetFormatPr defaultColWidth="3.75" defaultRowHeight="13.5"/>
  <cols>
    <col min="1" max="16384" width="3.75" style="540"/>
  </cols>
  <sheetData>
    <row r="1" spans="1:11">
      <c r="A1" s="686" t="s">
        <v>61</v>
      </c>
      <c r="B1" s="686"/>
      <c r="C1" s="686"/>
      <c r="D1" s="686"/>
    </row>
    <row r="2" spans="1:11">
      <c r="B2" s="539"/>
      <c r="C2" s="539"/>
      <c r="D2" s="540" t="s">
        <v>364</v>
      </c>
    </row>
    <row r="3" spans="1:11">
      <c r="B3" s="36"/>
      <c r="C3" s="36"/>
      <c r="D3" s="540" t="s">
        <v>395</v>
      </c>
      <c r="J3" s="538"/>
    </row>
    <row r="4" spans="1:11">
      <c r="B4" s="542"/>
      <c r="C4" s="542"/>
      <c r="D4" s="540" t="s">
        <v>404</v>
      </c>
      <c r="J4" s="538"/>
    </row>
    <row r="6" spans="1:11" ht="24">
      <c r="B6" s="2" t="s">
        <v>1551</v>
      </c>
    </row>
    <row r="9" spans="1:11">
      <c r="C9" s="873" t="s">
        <v>1548</v>
      </c>
      <c r="D9" s="791"/>
      <c r="E9" s="791"/>
      <c r="F9" s="791"/>
      <c r="G9" s="834">
        <v>273.14999999999998</v>
      </c>
      <c r="H9" s="834"/>
      <c r="I9" s="834"/>
      <c r="J9" s="834"/>
      <c r="K9" s="538" t="s">
        <v>1264</v>
      </c>
    </row>
    <row r="10" spans="1:11">
      <c r="C10" s="873" t="s">
        <v>1544</v>
      </c>
      <c r="D10" s="873"/>
      <c r="E10" s="873"/>
      <c r="F10" s="873"/>
      <c r="G10" s="709">
        <v>10000</v>
      </c>
      <c r="H10" s="709"/>
      <c r="I10" s="709"/>
      <c r="J10" s="709"/>
      <c r="K10" s="538" t="s">
        <v>1099</v>
      </c>
    </row>
    <row r="11" spans="1:11">
      <c r="C11" s="791" t="s">
        <v>1543</v>
      </c>
      <c r="D11" s="791"/>
      <c r="E11" s="791"/>
      <c r="F11" s="791"/>
      <c r="G11" s="709">
        <v>3435</v>
      </c>
      <c r="H11" s="709"/>
      <c r="I11" s="709"/>
      <c r="J11" s="709"/>
      <c r="K11" s="538" t="s">
        <v>1264</v>
      </c>
    </row>
    <row r="12" spans="1:11">
      <c r="C12" s="873" t="s">
        <v>1546</v>
      </c>
      <c r="D12" s="791"/>
      <c r="E12" s="791"/>
      <c r="F12" s="791"/>
      <c r="G12" s="709">
        <v>25</v>
      </c>
      <c r="H12" s="709"/>
      <c r="I12" s="709"/>
      <c r="J12" s="709"/>
      <c r="K12" s="538" t="s">
        <v>1545</v>
      </c>
    </row>
    <row r="13" spans="1:11" ht="14.25" thickBot="1">
      <c r="C13" s="873" t="s">
        <v>1547</v>
      </c>
      <c r="D13" s="791"/>
      <c r="E13" s="791"/>
      <c r="F13" s="791"/>
      <c r="G13" s="709">
        <v>22.1</v>
      </c>
      <c r="H13" s="709"/>
      <c r="I13" s="709"/>
      <c r="J13" s="709"/>
      <c r="K13" s="538" t="s">
        <v>1545</v>
      </c>
    </row>
    <row r="14" spans="1:11">
      <c r="C14" s="959" t="s">
        <v>1468</v>
      </c>
      <c r="D14" s="960"/>
      <c r="E14" s="960"/>
      <c r="F14" s="960"/>
      <c r="G14" s="958">
        <f>G10*EXP(G11*(1/(G13+G9)-1/(G12+G9)))</f>
        <v>11198.131543591498</v>
      </c>
      <c r="H14" s="958"/>
      <c r="I14" s="958"/>
      <c r="J14" s="958"/>
      <c r="K14" s="406" t="s">
        <v>1099</v>
      </c>
    </row>
    <row r="18" spans="4:14" ht="14.25">
      <c r="D18" s="175" t="s">
        <v>157</v>
      </c>
      <c r="E18" s="63"/>
      <c r="F18" s="63"/>
      <c r="G18" s="63"/>
      <c r="H18" s="63"/>
      <c r="I18" s="63"/>
      <c r="J18" s="63"/>
    </row>
    <row r="19" spans="4:14">
      <c r="D19" s="132" t="s">
        <v>158</v>
      </c>
      <c r="E19" s="132"/>
      <c r="F19" s="132"/>
      <c r="G19" s="701">
        <v>10000</v>
      </c>
      <c r="H19" s="701"/>
      <c r="I19" s="701"/>
      <c r="J19" s="132" t="s">
        <v>91</v>
      </c>
    </row>
    <row r="20" spans="4:14">
      <c r="D20" s="132" t="s">
        <v>159</v>
      </c>
      <c r="E20" s="132"/>
      <c r="F20" s="132"/>
      <c r="G20" s="701">
        <v>11200</v>
      </c>
      <c r="H20" s="701"/>
      <c r="I20" s="701"/>
      <c r="J20" s="132" t="s">
        <v>91</v>
      </c>
    </row>
    <row r="21" spans="4:14">
      <c r="D21" s="132" t="s">
        <v>160</v>
      </c>
      <c r="E21" s="132"/>
      <c r="F21" s="132"/>
      <c r="G21" s="701">
        <v>5</v>
      </c>
      <c r="H21" s="701"/>
      <c r="I21" s="701"/>
      <c r="J21" s="132" t="s">
        <v>65</v>
      </c>
    </row>
    <row r="22" spans="4:14">
      <c r="D22" s="63"/>
      <c r="E22" s="63"/>
      <c r="F22" s="63"/>
      <c r="G22" s="63"/>
      <c r="H22" s="63"/>
      <c r="I22" s="63"/>
      <c r="J22" s="63"/>
    </row>
    <row r="23" spans="4:14">
      <c r="D23" s="63"/>
      <c r="E23" s="63"/>
      <c r="F23" s="63"/>
      <c r="G23" s="63"/>
      <c r="H23" s="63"/>
      <c r="I23" s="63"/>
      <c r="J23" s="63"/>
      <c r="N23" s="541" t="s">
        <v>1549</v>
      </c>
    </row>
    <row r="24" spans="4:14">
      <c r="D24" s="176"/>
      <c r="E24" s="63"/>
      <c r="F24" s="63"/>
      <c r="G24" s="726" t="s">
        <v>161</v>
      </c>
      <c r="H24" s="726"/>
      <c r="I24" s="726"/>
      <c r="J24" s="726"/>
    </row>
    <row r="25" spans="4:14">
      <c r="D25" s="177"/>
      <c r="E25" s="63"/>
      <c r="F25" s="63"/>
      <c r="G25" s="697">
        <f>G20/(G19+G20)</f>
        <v>0.52830188679245282</v>
      </c>
      <c r="H25" s="697"/>
      <c r="I25" s="697"/>
      <c r="J25" s="548" t="s">
        <v>131</v>
      </c>
      <c r="N25" s="547" t="s">
        <v>1550</v>
      </c>
    </row>
    <row r="26" spans="4:14">
      <c r="D26" s="549"/>
      <c r="E26" s="177"/>
      <c r="F26" s="177"/>
      <c r="G26" s="179" t="s">
        <v>142</v>
      </c>
      <c r="H26" s="179"/>
      <c r="I26" s="133"/>
      <c r="J26" s="133"/>
    </row>
    <row r="27" spans="4:14">
      <c r="D27" s="63"/>
      <c r="E27" s="549"/>
      <c r="F27" s="549"/>
      <c r="G27" s="697">
        <f>G21*G25</f>
        <v>2.641509433962264</v>
      </c>
      <c r="H27" s="697"/>
      <c r="I27" s="697"/>
      <c r="J27" s="133" t="s">
        <v>65</v>
      </c>
    </row>
    <row r="28" spans="4:14">
      <c r="D28" s="63"/>
      <c r="E28" s="63"/>
      <c r="F28" s="63"/>
      <c r="G28" s="63"/>
      <c r="H28" s="63"/>
      <c r="I28" s="63"/>
      <c r="J28" s="63"/>
    </row>
  </sheetData>
  <mergeCells count="19">
    <mergeCell ref="C9:F9"/>
    <mergeCell ref="G9:J9"/>
    <mergeCell ref="A1:D1"/>
    <mergeCell ref="G10:J10"/>
    <mergeCell ref="G11:J11"/>
    <mergeCell ref="C10:F10"/>
    <mergeCell ref="C11:F11"/>
    <mergeCell ref="G27:I27"/>
    <mergeCell ref="C13:F13"/>
    <mergeCell ref="C12:F12"/>
    <mergeCell ref="G14:J14"/>
    <mergeCell ref="C14:F14"/>
    <mergeCell ref="G13:J13"/>
    <mergeCell ref="G12:J12"/>
    <mergeCell ref="G19:I19"/>
    <mergeCell ref="G20:I20"/>
    <mergeCell ref="G21:I21"/>
    <mergeCell ref="G24:J24"/>
    <mergeCell ref="G25:I25"/>
  </mergeCells>
  <phoneticPr fontId="42"/>
  <hyperlinks>
    <hyperlink ref="A1:D1" location="目次!A1" display="　目次　" xr:uid="{75F5A791-F22B-4C93-89E6-282DBDE1C6D5}"/>
    <hyperlink ref="N23" r:id="rId1" xr:uid="{4C55E833-D134-4D14-9FB3-0F14EEBC900C}"/>
    <hyperlink ref="N25" r:id="rId2" xr:uid="{6725C9FB-C23E-4B90-9F1D-302AB8A27AAE}"/>
  </hyperlinks>
  <pageMargins left="0.69930555555555596" right="0.69930555555555596" top="0.75" bottom="0.75" header="0.3" footer="0.3"/>
  <pageSetup paperSize="9" orientation="portrait" r:id="rId3"/>
  <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46F3-86E1-4025-BD00-8120F6EA1FA3}">
  <dimension ref="A1:Y54"/>
  <sheetViews>
    <sheetView workbookViewId="0">
      <selection sqref="A1:D1"/>
    </sheetView>
  </sheetViews>
  <sheetFormatPr defaultColWidth="3.75" defaultRowHeight="13.5"/>
  <cols>
    <col min="1" max="16384" width="3.75" style="557"/>
  </cols>
  <sheetData>
    <row r="1" spans="1:25">
      <c r="A1" s="686" t="s">
        <v>61</v>
      </c>
      <c r="B1" s="686"/>
      <c r="C1" s="686"/>
      <c r="D1" s="686"/>
    </row>
    <row r="2" spans="1:25">
      <c r="B2" s="556"/>
      <c r="C2" s="556"/>
      <c r="D2" s="557" t="s">
        <v>364</v>
      </c>
      <c r="G2" s="555"/>
    </row>
    <row r="3" spans="1:25">
      <c r="B3" s="36"/>
      <c r="C3" s="36"/>
      <c r="D3" s="557" t="s">
        <v>395</v>
      </c>
      <c r="G3" s="555"/>
      <c r="I3" s="555"/>
    </row>
    <row r="4" spans="1:25">
      <c r="B4" s="561"/>
      <c r="C4" s="561"/>
      <c r="D4" s="555" t="s">
        <v>1569</v>
      </c>
      <c r="G4" s="555"/>
      <c r="I4" s="555"/>
    </row>
    <row r="6" spans="1:25" s="22" customFormat="1" ht="21">
      <c r="B6" s="22" t="s">
        <v>1570</v>
      </c>
    </row>
    <row r="8" spans="1:25" s="569" customFormat="1">
      <c r="A8" s="568" t="s">
        <v>1555</v>
      </c>
    </row>
    <row r="9" spans="1:25">
      <c r="A9" s="555"/>
      <c r="B9" s="555" t="s">
        <v>1556</v>
      </c>
      <c r="E9" s="555" t="s">
        <v>1557</v>
      </c>
    </row>
    <row r="10" spans="1:25">
      <c r="A10" s="555"/>
      <c r="B10" s="555"/>
      <c r="E10" s="555" t="s">
        <v>1558</v>
      </c>
    </row>
    <row r="11" spans="1:25">
      <c r="A11" s="555"/>
      <c r="B11" s="555"/>
      <c r="E11" s="555" t="s">
        <v>1559</v>
      </c>
    </row>
    <row r="13" spans="1:25">
      <c r="B13" s="560" t="s">
        <v>1566</v>
      </c>
      <c r="C13" s="707" t="s">
        <v>1552</v>
      </c>
      <c r="D13" s="707"/>
      <c r="E13" s="707"/>
      <c r="F13" s="709">
        <v>1</v>
      </c>
      <c r="G13" s="709"/>
      <c r="H13" s="707" t="s">
        <v>915</v>
      </c>
      <c r="I13" s="707"/>
      <c r="J13" s="555"/>
      <c r="K13" s="560" t="s">
        <v>1563</v>
      </c>
      <c r="L13" s="707" t="s">
        <v>1553</v>
      </c>
      <c r="M13" s="707"/>
      <c r="N13" s="707"/>
      <c r="O13" s="709">
        <v>1</v>
      </c>
      <c r="P13" s="709"/>
      <c r="Q13" s="707" t="s">
        <v>1554</v>
      </c>
      <c r="R13" s="707"/>
      <c r="U13" s="707" t="s">
        <v>1560</v>
      </c>
      <c r="V13" s="707"/>
      <c r="W13" s="709">
        <v>0.5</v>
      </c>
      <c r="X13" s="709"/>
      <c r="Y13" s="555" t="s">
        <v>915</v>
      </c>
    </row>
    <row r="14" spans="1:25">
      <c r="B14" s="560" t="s">
        <v>1465</v>
      </c>
      <c r="C14" s="707" t="s">
        <v>1280</v>
      </c>
      <c r="D14" s="707"/>
      <c r="E14" s="707"/>
      <c r="F14" s="709">
        <v>1</v>
      </c>
      <c r="G14" s="709"/>
      <c r="H14" s="707" t="s">
        <v>1269</v>
      </c>
      <c r="I14" s="707"/>
      <c r="J14" s="555"/>
      <c r="K14" s="560" t="s">
        <v>1566</v>
      </c>
      <c r="L14" s="707" t="s">
        <v>1552</v>
      </c>
      <c r="M14" s="707"/>
      <c r="N14" s="707"/>
      <c r="O14" s="709">
        <v>1</v>
      </c>
      <c r="P14" s="709"/>
      <c r="Q14" s="707" t="s">
        <v>915</v>
      </c>
      <c r="R14" s="707"/>
      <c r="U14" s="707" t="s">
        <v>1561</v>
      </c>
      <c r="V14" s="707"/>
      <c r="W14" s="834">
        <v>3.14</v>
      </c>
      <c r="X14" s="834"/>
    </row>
    <row r="15" spans="1:25">
      <c r="B15" s="559"/>
      <c r="C15" s="710"/>
      <c r="D15" s="710"/>
      <c r="E15" s="710"/>
      <c r="F15" s="710"/>
      <c r="G15" s="710"/>
      <c r="H15" s="707"/>
      <c r="I15" s="707"/>
      <c r="J15" s="555"/>
      <c r="K15" s="559"/>
      <c r="L15" s="707"/>
      <c r="M15" s="707"/>
      <c r="N15" s="707"/>
      <c r="O15" s="710"/>
      <c r="P15" s="710"/>
      <c r="Q15" s="707"/>
      <c r="R15" s="707"/>
      <c r="U15" s="710"/>
      <c r="V15" s="710"/>
      <c r="W15" s="710"/>
      <c r="X15" s="710"/>
    </row>
    <row r="16" spans="1:25">
      <c r="B16" s="560" t="s">
        <v>1563</v>
      </c>
      <c r="C16" s="707" t="s">
        <v>1553</v>
      </c>
      <c r="D16" s="707"/>
      <c r="E16" s="707"/>
      <c r="F16" s="708">
        <f>F14/F13</f>
        <v>1</v>
      </c>
      <c r="G16" s="708"/>
      <c r="H16" s="707" t="s">
        <v>1554</v>
      </c>
      <c r="I16" s="707"/>
      <c r="J16" s="555"/>
      <c r="K16" s="560" t="s">
        <v>1465</v>
      </c>
      <c r="L16" s="707" t="s">
        <v>1280</v>
      </c>
      <c r="M16" s="707"/>
      <c r="N16" s="707"/>
      <c r="O16" s="708">
        <f>O13*O14</f>
        <v>1</v>
      </c>
      <c r="P16" s="708"/>
      <c r="Q16" s="707" t="s">
        <v>1269</v>
      </c>
      <c r="R16" s="707"/>
      <c r="U16" s="707" t="s">
        <v>1562</v>
      </c>
      <c r="V16" s="707"/>
      <c r="W16" s="708">
        <f>W13*W14</f>
        <v>1.57</v>
      </c>
      <c r="X16" s="708"/>
      <c r="Y16" s="555" t="s">
        <v>915</v>
      </c>
    </row>
    <row r="19" spans="1:18" s="569" customFormat="1">
      <c r="A19" s="568" t="s">
        <v>1573</v>
      </c>
    </row>
    <row r="21" spans="1:18">
      <c r="G21" s="555" t="s">
        <v>1557</v>
      </c>
    </row>
    <row r="22" spans="1:18">
      <c r="G22" s="555" t="s">
        <v>1564</v>
      </c>
    </row>
    <row r="23" spans="1:18">
      <c r="G23" s="555" t="s">
        <v>1565</v>
      </c>
    </row>
    <row r="25" spans="1:18">
      <c r="B25" s="560" t="s">
        <v>1465</v>
      </c>
      <c r="C25" s="707" t="s">
        <v>1280</v>
      </c>
      <c r="D25" s="707"/>
      <c r="E25" s="707"/>
      <c r="F25" s="707"/>
      <c r="G25" s="709">
        <v>6.28</v>
      </c>
      <c r="H25" s="709"/>
      <c r="I25" s="555" t="s">
        <v>1269</v>
      </c>
      <c r="K25" s="560" t="s">
        <v>1563</v>
      </c>
      <c r="L25" s="707" t="s">
        <v>1553</v>
      </c>
      <c r="M25" s="707"/>
      <c r="N25" s="707"/>
      <c r="O25" s="707"/>
      <c r="P25" s="709">
        <v>1</v>
      </c>
      <c r="Q25" s="709"/>
      <c r="R25" s="555" t="s">
        <v>1554</v>
      </c>
    </row>
    <row r="26" spans="1:18">
      <c r="B26" s="560" t="s">
        <v>1567</v>
      </c>
      <c r="C26" s="707" t="s">
        <v>1568</v>
      </c>
      <c r="D26" s="707"/>
      <c r="E26" s="707"/>
      <c r="F26" s="707"/>
      <c r="G26" s="709">
        <v>1</v>
      </c>
      <c r="H26" s="709"/>
      <c r="I26" s="555" t="s">
        <v>915</v>
      </c>
      <c r="K26" s="560" t="s">
        <v>1567</v>
      </c>
      <c r="L26" s="707" t="s">
        <v>1568</v>
      </c>
      <c r="M26" s="707"/>
      <c r="N26" s="707"/>
      <c r="O26" s="707"/>
      <c r="P26" s="709">
        <v>1</v>
      </c>
      <c r="Q26" s="709"/>
      <c r="R26" s="555" t="s">
        <v>915</v>
      </c>
    </row>
    <row r="27" spans="1:18">
      <c r="B27" s="560"/>
      <c r="C27" s="707" t="s">
        <v>1561</v>
      </c>
      <c r="D27" s="707"/>
      <c r="E27" s="707"/>
      <c r="F27" s="707"/>
      <c r="G27" s="834">
        <v>3.14</v>
      </c>
      <c r="H27" s="834"/>
      <c r="I27" s="555"/>
      <c r="K27" s="560"/>
      <c r="L27" s="707" t="s">
        <v>1561</v>
      </c>
      <c r="M27" s="707"/>
      <c r="N27" s="707"/>
      <c r="O27" s="707"/>
      <c r="P27" s="834">
        <v>3.14</v>
      </c>
      <c r="Q27" s="834"/>
      <c r="R27" s="555"/>
    </row>
    <row r="28" spans="1:18">
      <c r="B28" s="559"/>
      <c r="C28" s="710"/>
      <c r="D28" s="710"/>
      <c r="E28" s="710"/>
      <c r="F28" s="710"/>
      <c r="G28" s="710"/>
      <c r="H28" s="710"/>
      <c r="K28" s="559"/>
      <c r="L28" s="710"/>
      <c r="M28" s="710"/>
      <c r="N28" s="710"/>
      <c r="O28" s="710"/>
      <c r="P28" s="710"/>
      <c r="Q28" s="710"/>
    </row>
    <row r="29" spans="1:18">
      <c r="B29" s="560" t="s">
        <v>1563</v>
      </c>
      <c r="C29" s="707" t="s">
        <v>1553</v>
      </c>
      <c r="D29" s="707"/>
      <c r="E29" s="707"/>
      <c r="F29" s="707"/>
      <c r="G29" s="708">
        <f>G25/(G26*G27*2)</f>
        <v>1</v>
      </c>
      <c r="H29" s="708"/>
      <c r="I29" s="555" t="s">
        <v>1554</v>
      </c>
      <c r="K29" s="560" t="s">
        <v>1465</v>
      </c>
      <c r="L29" s="707" t="s">
        <v>1280</v>
      </c>
      <c r="M29" s="707"/>
      <c r="N29" s="707"/>
      <c r="O29" s="707"/>
      <c r="P29" s="708">
        <f>P25*P26*P27*2</f>
        <v>6.28</v>
      </c>
      <c r="Q29" s="708"/>
      <c r="R29" s="555" t="s">
        <v>1269</v>
      </c>
    </row>
    <row r="31" spans="1:18" s="569" customFormat="1">
      <c r="A31" s="568" t="s">
        <v>1574</v>
      </c>
    </row>
    <row r="33" spans="1:15">
      <c r="G33" s="555" t="s">
        <v>1557</v>
      </c>
    </row>
    <row r="34" spans="1:15">
      <c r="G34" s="555" t="s">
        <v>1571</v>
      </c>
    </row>
    <row r="35" spans="1:15">
      <c r="G35" s="555" t="s">
        <v>1565</v>
      </c>
    </row>
    <row r="37" spans="1:15">
      <c r="B37" s="560" t="s">
        <v>1465</v>
      </c>
      <c r="C37" s="707" t="s">
        <v>1280</v>
      </c>
      <c r="D37" s="707"/>
      <c r="E37" s="709">
        <v>1</v>
      </c>
      <c r="F37" s="709"/>
      <c r="G37" s="558" t="s">
        <v>1269</v>
      </c>
      <c r="J37" s="560" t="s">
        <v>1563</v>
      </c>
      <c r="K37" s="707" t="s">
        <v>1553</v>
      </c>
      <c r="L37" s="707"/>
      <c r="M37" s="709">
        <v>0.5</v>
      </c>
      <c r="N37" s="709"/>
      <c r="O37" s="555" t="s">
        <v>1554</v>
      </c>
    </row>
    <row r="38" spans="1:15">
      <c r="B38" s="560" t="s">
        <v>1567</v>
      </c>
      <c r="C38" s="707" t="s">
        <v>1572</v>
      </c>
      <c r="D38" s="707"/>
      <c r="E38" s="709">
        <v>1</v>
      </c>
      <c r="F38" s="709"/>
      <c r="G38" s="558" t="s">
        <v>915</v>
      </c>
      <c r="J38" s="560" t="s">
        <v>1567</v>
      </c>
      <c r="K38" s="707" t="s">
        <v>1572</v>
      </c>
      <c r="L38" s="707"/>
      <c r="M38" s="709">
        <v>1</v>
      </c>
      <c r="N38" s="709"/>
      <c r="O38" s="558" t="s">
        <v>915</v>
      </c>
    </row>
    <row r="39" spans="1:15">
      <c r="B39" s="559"/>
      <c r="C39" s="710"/>
      <c r="D39" s="710"/>
      <c r="E39" s="710"/>
      <c r="F39" s="710"/>
      <c r="J39" s="559"/>
      <c r="K39" s="710"/>
      <c r="L39" s="710"/>
      <c r="M39" s="710"/>
      <c r="N39" s="710"/>
    </row>
    <row r="40" spans="1:15">
      <c r="B40" s="560" t="s">
        <v>1563</v>
      </c>
      <c r="C40" s="707" t="s">
        <v>1553</v>
      </c>
      <c r="D40" s="707"/>
      <c r="E40" s="708">
        <f>E37/(2*E38)</f>
        <v>0.5</v>
      </c>
      <c r="F40" s="708"/>
      <c r="G40" s="558" t="s">
        <v>1554</v>
      </c>
      <c r="J40" s="560" t="s">
        <v>1465</v>
      </c>
      <c r="K40" s="707" t="s">
        <v>1280</v>
      </c>
      <c r="L40" s="707"/>
      <c r="M40" s="708">
        <f>M37*M38*2</f>
        <v>1</v>
      </c>
      <c r="N40" s="708"/>
      <c r="O40" s="555" t="s">
        <v>1269</v>
      </c>
    </row>
    <row r="43" spans="1:15" s="569" customFormat="1">
      <c r="A43" s="568" t="s">
        <v>1575</v>
      </c>
    </row>
    <row r="45" spans="1:15">
      <c r="G45" s="555" t="s">
        <v>1557</v>
      </c>
    </row>
    <row r="46" spans="1:15">
      <c r="G46" s="555" t="s">
        <v>1576</v>
      </c>
    </row>
    <row r="47" spans="1:15">
      <c r="G47" s="555" t="s">
        <v>1565</v>
      </c>
    </row>
    <row r="48" spans="1:15">
      <c r="G48" s="555" t="s">
        <v>1577</v>
      </c>
    </row>
    <row r="50" spans="2:15">
      <c r="B50" s="560" t="s">
        <v>1465</v>
      </c>
      <c r="C50" s="707" t="s">
        <v>1280</v>
      </c>
      <c r="D50" s="707"/>
      <c r="E50" s="709">
        <v>0.1</v>
      </c>
      <c r="F50" s="709"/>
      <c r="G50" s="558" t="s">
        <v>1269</v>
      </c>
      <c r="J50" s="560" t="s">
        <v>1563</v>
      </c>
      <c r="K50" s="711" t="s">
        <v>1553</v>
      </c>
      <c r="L50" s="711"/>
      <c r="M50" s="709">
        <v>1</v>
      </c>
      <c r="N50" s="709"/>
      <c r="O50" s="555" t="s">
        <v>1554</v>
      </c>
    </row>
    <row r="51" spans="2:15">
      <c r="B51" s="560" t="s">
        <v>1460</v>
      </c>
      <c r="C51" s="707" t="s">
        <v>1578</v>
      </c>
      <c r="D51" s="707"/>
      <c r="E51" s="709">
        <v>10</v>
      </c>
      <c r="F51" s="709"/>
      <c r="G51" s="558" t="s">
        <v>1579</v>
      </c>
      <c r="J51" s="560" t="s">
        <v>1460</v>
      </c>
      <c r="K51" s="707" t="s">
        <v>1578</v>
      </c>
      <c r="L51" s="707"/>
      <c r="M51" s="709">
        <v>10</v>
      </c>
      <c r="N51" s="709"/>
      <c r="O51" s="558" t="s">
        <v>1579</v>
      </c>
    </row>
    <row r="52" spans="2:15">
      <c r="B52" s="560" t="s">
        <v>1567</v>
      </c>
      <c r="C52" s="707" t="s">
        <v>1572</v>
      </c>
      <c r="D52" s="707"/>
      <c r="E52" s="709">
        <v>0.5</v>
      </c>
      <c r="F52" s="709"/>
      <c r="G52" s="558" t="s">
        <v>915</v>
      </c>
      <c r="J52" s="560" t="s">
        <v>1567</v>
      </c>
      <c r="K52" s="707" t="s">
        <v>1572</v>
      </c>
      <c r="L52" s="707"/>
      <c r="M52" s="709">
        <v>0.5</v>
      </c>
      <c r="N52" s="709"/>
      <c r="O52" s="558" t="s">
        <v>915</v>
      </c>
    </row>
    <row r="53" spans="2:15">
      <c r="B53" s="559"/>
      <c r="C53" s="710"/>
      <c r="D53" s="710"/>
      <c r="E53" s="710"/>
      <c r="F53" s="710"/>
      <c r="J53" s="559"/>
      <c r="K53" s="710"/>
      <c r="L53" s="710"/>
      <c r="M53" s="710"/>
      <c r="N53" s="710"/>
    </row>
    <row r="54" spans="2:15">
      <c r="B54" s="560" t="s">
        <v>1563</v>
      </c>
      <c r="C54" s="711" t="s">
        <v>1553</v>
      </c>
      <c r="D54" s="711"/>
      <c r="E54" s="708">
        <f>(E50*E51)/(E52*2)</f>
        <v>1</v>
      </c>
      <c r="F54" s="708"/>
      <c r="G54" s="558" t="s">
        <v>1554</v>
      </c>
      <c r="J54" s="560" t="s">
        <v>1465</v>
      </c>
      <c r="K54" s="707" t="s">
        <v>1280</v>
      </c>
      <c r="L54" s="707"/>
      <c r="M54" s="708">
        <f>(M50*M52*2)/M51</f>
        <v>0.1</v>
      </c>
      <c r="N54" s="708"/>
      <c r="O54" s="555" t="s">
        <v>1269</v>
      </c>
    </row>
  </sheetData>
  <mergeCells count="89">
    <mergeCell ref="A1:D1"/>
    <mergeCell ref="C13:E13"/>
    <mergeCell ref="C14:E14"/>
    <mergeCell ref="C15:E15"/>
    <mergeCell ref="C16:E16"/>
    <mergeCell ref="O13:P13"/>
    <mergeCell ref="Q13:R13"/>
    <mergeCell ref="L14:N14"/>
    <mergeCell ref="O14:P14"/>
    <mergeCell ref="Q14:R14"/>
    <mergeCell ref="L13:N13"/>
    <mergeCell ref="F14:G14"/>
    <mergeCell ref="F15:G15"/>
    <mergeCell ref="F16:G16"/>
    <mergeCell ref="L15:N15"/>
    <mergeCell ref="H13:I13"/>
    <mergeCell ref="H14:I14"/>
    <mergeCell ref="H15:I15"/>
    <mergeCell ref="H16:I16"/>
    <mergeCell ref="F13:G13"/>
    <mergeCell ref="O15:P15"/>
    <mergeCell ref="Q15:R15"/>
    <mergeCell ref="L16:N16"/>
    <mergeCell ref="O16:P16"/>
    <mergeCell ref="Q16:R16"/>
    <mergeCell ref="W13:X13"/>
    <mergeCell ref="W14:X14"/>
    <mergeCell ref="W15:X15"/>
    <mergeCell ref="W16:X16"/>
    <mergeCell ref="U13:V13"/>
    <mergeCell ref="U14:V14"/>
    <mergeCell ref="U15:V15"/>
    <mergeCell ref="U16:V16"/>
    <mergeCell ref="C25:F25"/>
    <mergeCell ref="C26:F26"/>
    <mergeCell ref="C28:F28"/>
    <mergeCell ref="C29:F29"/>
    <mergeCell ref="G25:H25"/>
    <mergeCell ref="G26:H26"/>
    <mergeCell ref="G28:H28"/>
    <mergeCell ref="G29:H29"/>
    <mergeCell ref="C27:F27"/>
    <mergeCell ref="G27:H27"/>
    <mergeCell ref="L28:O28"/>
    <mergeCell ref="P28:Q28"/>
    <mergeCell ref="L25:O25"/>
    <mergeCell ref="P29:Q29"/>
    <mergeCell ref="M37:N37"/>
    <mergeCell ref="L29:O29"/>
    <mergeCell ref="P25:Q25"/>
    <mergeCell ref="L26:O26"/>
    <mergeCell ref="P26:Q26"/>
    <mergeCell ref="L27:O27"/>
    <mergeCell ref="P27:Q27"/>
    <mergeCell ref="K39:L39"/>
    <mergeCell ref="M39:N39"/>
    <mergeCell ref="C39:D39"/>
    <mergeCell ref="C40:D40"/>
    <mergeCell ref="E37:F37"/>
    <mergeCell ref="E38:F38"/>
    <mergeCell ref="E39:F39"/>
    <mergeCell ref="E40:F40"/>
    <mergeCell ref="C38:D38"/>
    <mergeCell ref="C37:D37"/>
    <mergeCell ref="K37:L37"/>
    <mergeCell ref="M40:N40"/>
    <mergeCell ref="K40:L40"/>
    <mergeCell ref="K38:L38"/>
    <mergeCell ref="M38:N38"/>
    <mergeCell ref="C52:D52"/>
    <mergeCell ref="C53:D53"/>
    <mergeCell ref="C54:D54"/>
    <mergeCell ref="E50:F50"/>
    <mergeCell ref="E51:F51"/>
    <mergeCell ref="E52:F52"/>
    <mergeCell ref="E53:F53"/>
    <mergeCell ref="E54:F54"/>
    <mergeCell ref="C51:D51"/>
    <mergeCell ref="C50:D50"/>
    <mergeCell ref="M52:N52"/>
    <mergeCell ref="K53:L53"/>
    <mergeCell ref="M53:N53"/>
    <mergeCell ref="K50:L50"/>
    <mergeCell ref="M54:N54"/>
    <mergeCell ref="K54:L54"/>
    <mergeCell ref="K51:L51"/>
    <mergeCell ref="M51:N51"/>
    <mergeCell ref="K52:L52"/>
    <mergeCell ref="M50:N50"/>
  </mergeCells>
  <phoneticPr fontId="42"/>
  <hyperlinks>
    <hyperlink ref="A1:D1" location="目次!A1" display="　目次　" xr:uid="{836D689C-1A54-4018-9E41-D3C2451A696A}"/>
  </hyperlinks>
  <pageMargins left="0.69930555555555596" right="0.69930555555555596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878C1-5C52-4F31-83B5-2E3482A3D47D}">
  <dimension ref="A1:I10"/>
  <sheetViews>
    <sheetView workbookViewId="0">
      <selection sqref="A1:D1"/>
    </sheetView>
  </sheetViews>
  <sheetFormatPr defaultColWidth="3.75" defaultRowHeight="13.5"/>
  <cols>
    <col min="1" max="16384" width="3.75" style="563"/>
  </cols>
  <sheetData>
    <row r="1" spans="1:9">
      <c r="A1" s="686" t="s">
        <v>61</v>
      </c>
      <c r="B1" s="686"/>
      <c r="C1" s="686"/>
      <c r="D1" s="686"/>
    </row>
    <row r="2" spans="1:9">
      <c r="B2" s="565"/>
      <c r="C2" s="565"/>
      <c r="D2" s="563" t="s">
        <v>364</v>
      </c>
      <c r="G2" s="562"/>
    </row>
    <row r="3" spans="1:9">
      <c r="B3" s="36"/>
      <c r="C3" s="36"/>
      <c r="D3" s="563" t="s">
        <v>395</v>
      </c>
      <c r="G3" s="562"/>
      <c r="I3" s="562"/>
    </row>
    <row r="4" spans="1:9">
      <c r="B4" s="567"/>
      <c r="C4" s="567"/>
      <c r="D4" s="563" t="s">
        <v>404</v>
      </c>
      <c r="G4" s="562"/>
      <c r="I4" s="562"/>
    </row>
    <row r="9" spans="1:9">
      <c r="C9" s="562" t="s">
        <v>1582</v>
      </c>
      <c r="H9" s="562" t="s">
        <v>1481</v>
      </c>
    </row>
    <row r="10" spans="1:9">
      <c r="C10" s="562" t="s">
        <v>1063</v>
      </c>
      <c r="H10" s="562" t="s">
        <v>1064</v>
      </c>
    </row>
  </sheetData>
  <mergeCells count="1">
    <mergeCell ref="A1:D1"/>
  </mergeCells>
  <phoneticPr fontId="42"/>
  <hyperlinks>
    <hyperlink ref="A1:D1" location="目次!A1" display="　目次　" xr:uid="{BA8A7786-CB6B-42FC-AC51-CC42B343A0BD}"/>
  </hyperlinks>
  <pageMargins left="0.69930555555555596" right="0.69930555555555596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84675-1154-4F97-BEAE-3CEED9A97F2F}">
  <dimension ref="A1:AK39"/>
  <sheetViews>
    <sheetView workbookViewId="0">
      <selection sqref="A1:E1"/>
    </sheetView>
  </sheetViews>
  <sheetFormatPr defaultColWidth="3.75" defaultRowHeight="13.5"/>
  <cols>
    <col min="1" max="12" width="3.75" style="589"/>
    <col min="13" max="13" width="3.75" style="589" customWidth="1"/>
    <col min="14" max="16384" width="3.75" style="589"/>
  </cols>
  <sheetData>
    <row r="1" spans="1:36">
      <c r="A1" s="686" t="s">
        <v>61</v>
      </c>
      <c r="B1" s="686"/>
      <c r="C1" s="686"/>
      <c r="D1" s="686"/>
      <c r="E1" s="686"/>
    </row>
    <row r="2" spans="1:36">
      <c r="B2" s="588"/>
      <c r="C2" s="588"/>
      <c r="D2" s="588"/>
      <c r="E2" s="589" t="s">
        <v>364</v>
      </c>
      <c r="H2" s="587"/>
    </row>
    <row r="3" spans="1:36">
      <c r="B3" s="36"/>
      <c r="C3" s="36"/>
      <c r="D3" s="36"/>
      <c r="E3" s="589" t="s">
        <v>395</v>
      </c>
      <c r="H3" s="587"/>
      <c r="J3" s="587"/>
    </row>
    <row r="4" spans="1:36">
      <c r="B4" s="591"/>
      <c r="C4" s="591"/>
      <c r="D4" s="591"/>
      <c r="E4" s="589" t="s">
        <v>404</v>
      </c>
      <c r="H4" s="587"/>
      <c r="J4" s="587"/>
    </row>
    <row r="6" spans="1:36">
      <c r="F6" s="707" t="s">
        <v>1021</v>
      </c>
      <c r="G6" s="707"/>
      <c r="H6" s="707"/>
      <c r="I6" s="707"/>
      <c r="J6" s="709">
        <v>5</v>
      </c>
      <c r="K6" s="709"/>
      <c r="L6" s="709"/>
      <c r="M6" s="587" t="s">
        <v>1064</v>
      </c>
    </row>
    <row r="7" spans="1:36">
      <c r="F7" s="707" t="s">
        <v>1054</v>
      </c>
      <c r="G7" s="707"/>
      <c r="H7" s="707"/>
      <c r="I7" s="707"/>
      <c r="J7" s="709">
        <v>1000</v>
      </c>
      <c r="K7" s="709"/>
      <c r="L7" s="709"/>
      <c r="M7" s="587" t="s">
        <v>1185</v>
      </c>
    </row>
    <row r="8" spans="1:36">
      <c r="F8" s="707" t="s">
        <v>1661</v>
      </c>
      <c r="G8" s="707"/>
      <c r="H8" s="707"/>
      <c r="I8" s="707"/>
      <c r="J8" s="875">
        <f>J6*J7</f>
        <v>5000</v>
      </c>
      <c r="K8" s="875"/>
      <c r="L8" s="875"/>
      <c r="M8" s="587" t="s">
        <v>1663</v>
      </c>
    </row>
    <row r="9" spans="1:36">
      <c r="F9" s="707" t="s">
        <v>1658</v>
      </c>
      <c r="G9" s="710"/>
      <c r="H9" s="710"/>
      <c r="I9" s="710"/>
      <c r="J9" s="709">
        <v>3.3</v>
      </c>
      <c r="K9" s="709"/>
      <c r="L9" s="709"/>
      <c r="M9" s="587" t="s">
        <v>1064</v>
      </c>
    </row>
    <row r="10" spans="1:36">
      <c r="F10" s="844" t="s">
        <v>1659</v>
      </c>
      <c r="G10" s="844"/>
      <c r="H10" s="844"/>
      <c r="I10" s="844"/>
      <c r="J10" s="709">
        <v>90</v>
      </c>
      <c r="K10" s="709"/>
      <c r="L10" s="709"/>
      <c r="M10" s="587" t="s">
        <v>1067</v>
      </c>
      <c r="N10" s="587" t="s">
        <v>1660</v>
      </c>
    </row>
    <row r="11" spans="1:36">
      <c r="F11" s="710"/>
      <c r="G11" s="710"/>
      <c r="H11" s="710"/>
      <c r="I11" s="710"/>
      <c r="J11" s="710"/>
      <c r="K11" s="710"/>
      <c r="L11" s="710"/>
    </row>
    <row r="12" spans="1:36">
      <c r="F12" s="710"/>
      <c r="G12" s="710"/>
      <c r="H12" s="710"/>
      <c r="I12" s="710"/>
      <c r="J12" s="710"/>
      <c r="K12" s="710"/>
      <c r="L12" s="710"/>
    </row>
    <row r="15" spans="1:36">
      <c r="C15" s="710"/>
      <c r="D15" s="710"/>
      <c r="E15" s="710"/>
      <c r="F15" s="707" t="s">
        <v>1650</v>
      </c>
      <c r="G15" s="707"/>
      <c r="H15" s="707"/>
      <c r="I15" s="707"/>
      <c r="J15" s="587" t="s">
        <v>1641</v>
      </c>
      <c r="O15" s="710"/>
      <c r="P15" s="710"/>
      <c r="Q15" s="710"/>
      <c r="R15" s="707" t="s">
        <v>1649</v>
      </c>
      <c r="S15" s="707"/>
      <c r="T15" s="707"/>
      <c r="U15" s="707"/>
      <c r="V15" s="587" t="s">
        <v>1641</v>
      </c>
      <c r="AA15" s="710"/>
      <c r="AB15" s="710"/>
      <c r="AC15" s="710"/>
      <c r="AD15" s="707" t="s">
        <v>1648</v>
      </c>
      <c r="AE15" s="707"/>
      <c r="AF15" s="707"/>
      <c r="AG15" s="707"/>
      <c r="AH15" s="587" t="s">
        <v>1641</v>
      </c>
    </row>
    <row r="16" spans="1:36">
      <c r="C16" s="873" t="s">
        <v>1643</v>
      </c>
      <c r="D16" s="873"/>
      <c r="E16" s="873"/>
      <c r="F16" s="964" t="s">
        <v>1647</v>
      </c>
      <c r="G16" s="962"/>
      <c r="H16" s="962"/>
      <c r="I16" s="962"/>
      <c r="J16" s="963" t="s">
        <v>1644</v>
      </c>
      <c r="K16" s="834"/>
      <c r="L16" s="834"/>
      <c r="O16" s="873" t="s">
        <v>1643</v>
      </c>
      <c r="P16" s="873"/>
      <c r="Q16" s="873"/>
      <c r="R16" s="964" t="s">
        <v>1651</v>
      </c>
      <c r="S16" s="962"/>
      <c r="T16" s="962"/>
      <c r="U16" s="962"/>
      <c r="V16" s="963" t="s">
        <v>1644</v>
      </c>
      <c r="W16" s="834"/>
      <c r="X16" s="834"/>
      <c r="AA16" s="873" t="s">
        <v>1643</v>
      </c>
      <c r="AB16" s="873"/>
      <c r="AC16" s="873"/>
      <c r="AD16" s="964" t="s">
        <v>1652</v>
      </c>
      <c r="AE16" s="962"/>
      <c r="AF16" s="962"/>
      <c r="AG16" s="962"/>
      <c r="AH16" s="963" t="s">
        <v>1644</v>
      </c>
      <c r="AI16" s="834"/>
      <c r="AJ16" s="834"/>
    </row>
    <row r="17" spans="3:37">
      <c r="C17" s="873" t="s">
        <v>1646</v>
      </c>
      <c r="D17" s="873"/>
      <c r="E17" s="873"/>
      <c r="F17" s="962"/>
      <c r="G17" s="962"/>
      <c r="H17" s="962"/>
      <c r="I17" s="962"/>
      <c r="J17" s="963">
        <v>90</v>
      </c>
      <c r="K17" s="963"/>
      <c r="L17" s="963"/>
      <c r="M17" s="587" t="s">
        <v>1067</v>
      </c>
      <c r="O17" s="873" t="s">
        <v>1646</v>
      </c>
      <c r="P17" s="873"/>
      <c r="Q17" s="873"/>
      <c r="R17" s="962"/>
      <c r="S17" s="962"/>
      <c r="T17" s="962"/>
      <c r="U17" s="962"/>
      <c r="V17" s="963">
        <v>5</v>
      </c>
      <c r="W17" s="963"/>
      <c r="X17" s="963"/>
      <c r="Y17" s="587" t="s">
        <v>1067</v>
      </c>
      <c r="AA17" s="873" t="s">
        <v>1646</v>
      </c>
      <c r="AB17" s="873"/>
      <c r="AC17" s="873"/>
      <c r="AD17" s="962"/>
      <c r="AE17" s="962"/>
      <c r="AF17" s="962"/>
      <c r="AG17" s="962"/>
      <c r="AH17" s="963">
        <v>5</v>
      </c>
      <c r="AI17" s="963"/>
      <c r="AJ17" s="963"/>
      <c r="AK17" s="587" t="s">
        <v>1067</v>
      </c>
    </row>
    <row r="18" spans="3:37">
      <c r="C18" s="710">
        <v>1</v>
      </c>
      <c r="D18" s="710"/>
      <c r="E18" s="710"/>
      <c r="F18" s="964" t="s">
        <v>1645</v>
      </c>
      <c r="G18" s="962"/>
      <c r="H18" s="962"/>
      <c r="I18" s="962"/>
      <c r="J18" s="709">
        <v>0</v>
      </c>
      <c r="K18" s="709"/>
      <c r="L18" s="709"/>
      <c r="M18" s="587" t="s">
        <v>1122</v>
      </c>
      <c r="O18" s="710">
        <v>1</v>
      </c>
      <c r="P18" s="710"/>
      <c r="Q18" s="710"/>
      <c r="R18" s="964" t="s">
        <v>1645</v>
      </c>
      <c r="S18" s="962"/>
      <c r="T18" s="962"/>
      <c r="U18" s="962"/>
      <c r="V18" s="709"/>
      <c r="W18" s="709"/>
      <c r="X18" s="709"/>
      <c r="Y18" s="587" t="s">
        <v>1122</v>
      </c>
      <c r="AA18" s="710">
        <v>1</v>
      </c>
      <c r="AB18" s="710"/>
      <c r="AC18" s="710"/>
      <c r="AD18" s="964" t="s">
        <v>1645</v>
      </c>
      <c r="AE18" s="962"/>
      <c r="AF18" s="962"/>
      <c r="AG18" s="962"/>
      <c r="AH18" s="709"/>
      <c r="AI18" s="709"/>
      <c r="AJ18" s="709"/>
      <c r="AK18" s="587" t="s">
        <v>1122</v>
      </c>
    </row>
    <row r="19" spans="3:37">
      <c r="C19" s="707">
        <v>2</v>
      </c>
      <c r="D19" s="707"/>
      <c r="E19" s="707"/>
      <c r="F19" s="964" t="s">
        <v>1656</v>
      </c>
      <c r="G19" s="962"/>
      <c r="H19" s="962"/>
      <c r="I19" s="962"/>
      <c r="J19" s="709">
        <v>0</v>
      </c>
      <c r="K19" s="709"/>
      <c r="L19" s="709"/>
      <c r="M19" s="587" t="s">
        <v>1122</v>
      </c>
      <c r="O19" s="707">
        <v>2</v>
      </c>
      <c r="P19" s="707"/>
      <c r="Q19" s="707"/>
      <c r="R19" s="964" t="s">
        <v>1656</v>
      </c>
      <c r="S19" s="962"/>
      <c r="T19" s="962"/>
      <c r="U19" s="962"/>
      <c r="V19" s="709">
        <v>9.5</v>
      </c>
      <c r="W19" s="709"/>
      <c r="X19" s="709"/>
      <c r="Y19" s="587" t="s">
        <v>1122</v>
      </c>
      <c r="AA19" s="707">
        <v>2</v>
      </c>
      <c r="AB19" s="707"/>
      <c r="AC19" s="707"/>
      <c r="AD19" s="964" t="s">
        <v>1656</v>
      </c>
      <c r="AE19" s="962"/>
      <c r="AF19" s="962"/>
      <c r="AG19" s="962"/>
      <c r="AH19" s="709">
        <v>9.5</v>
      </c>
      <c r="AI19" s="709"/>
      <c r="AJ19" s="709"/>
      <c r="AK19" s="587" t="s">
        <v>1122</v>
      </c>
    </row>
    <row r="20" spans="3:37">
      <c r="C20" s="710">
        <v>3</v>
      </c>
      <c r="D20" s="710"/>
      <c r="E20" s="710"/>
      <c r="F20" s="964" t="s">
        <v>1657</v>
      </c>
      <c r="G20" s="962"/>
      <c r="H20" s="962"/>
      <c r="I20" s="962"/>
      <c r="J20" s="709">
        <v>0.1</v>
      </c>
      <c r="K20" s="709"/>
      <c r="L20" s="709"/>
      <c r="M20" s="587" t="s">
        <v>1122</v>
      </c>
      <c r="O20" s="710">
        <v>3</v>
      </c>
      <c r="P20" s="710"/>
      <c r="Q20" s="710"/>
      <c r="R20" s="964" t="s">
        <v>1657</v>
      </c>
      <c r="S20" s="962"/>
      <c r="T20" s="962"/>
      <c r="U20" s="962"/>
      <c r="V20" s="709"/>
      <c r="W20" s="709"/>
      <c r="X20" s="709"/>
      <c r="Y20" s="587" t="s">
        <v>1122</v>
      </c>
      <c r="AA20" s="710">
        <v>3</v>
      </c>
      <c r="AB20" s="710"/>
      <c r="AC20" s="710"/>
      <c r="AD20" s="964" t="s">
        <v>1657</v>
      </c>
      <c r="AE20" s="962"/>
      <c r="AF20" s="962"/>
      <c r="AG20" s="962"/>
      <c r="AH20" s="709"/>
      <c r="AI20" s="709"/>
      <c r="AJ20" s="709"/>
      <c r="AK20" s="587" t="s">
        <v>1122</v>
      </c>
    </row>
    <row r="21" spans="3:37">
      <c r="C21" s="707">
        <v>4</v>
      </c>
      <c r="D21" s="707"/>
      <c r="E21" s="707"/>
      <c r="F21" s="964" t="s">
        <v>1662</v>
      </c>
      <c r="G21" s="962"/>
      <c r="H21" s="962"/>
      <c r="I21" s="962"/>
      <c r="J21" s="709">
        <v>0.05</v>
      </c>
      <c r="K21" s="709"/>
      <c r="L21" s="709"/>
      <c r="M21" s="587" t="s">
        <v>1122</v>
      </c>
      <c r="O21" s="707">
        <v>4</v>
      </c>
      <c r="P21" s="707"/>
      <c r="Q21" s="707"/>
      <c r="R21" s="964" t="s">
        <v>1662</v>
      </c>
      <c r="S21" s="962"/>
      <c r="T21" s="962"/>
      <c r="U21" s="962"/>
      <c r="V21" s="709">
        <v>5</v>
      </c>
      <c r="W21" s="709"/>
      <c r="X21" s="709"/>
      <c r="Y21" s="587" t="s">
        <v>1122</v>
      </c>
      <c r="AA21" s="707">
        <v>4</v>
      </c>
      <c r="AB21" s="707"/>
      <c r="AC21" s="707"/>
      <c r="AD21" s="964" t="s">
        <v>1662</v>
      </c>
      <c r="AE21" s="962"/>
      <c r="AF21" s="962"/>
      <c r="AG21" s="962"/>
      <c r="AH21" s="709">
        <v>5</v>
      </c>
      <c r="AI21" s="709"/>
      <c r="AJ21" s="709"/>
      <c r="AK21" s="587" t="s">
        <v>1122</v>
      </c>
    </row>
    <row r="22" spans="3:37">
      <c r="C22" s="710">
        <v>5</v>
      </c>
      <c r="D22" s="710"/>
      <c r="E22" s="710"/>
      <c r="F22" s="962"/>
      <c r="G22" s="962"/>
      <c r="H22" s="962"/>
      <c r="I22" s="962"/>
      <c r="J22" s="709"/>
      <c r="K22" s="709"/>
      <c r="L22" s="709"/>
      <c r="M22" s="587" t="s">
        <v>1122</v>
      </c>
      <c r="O22" s="710">
        <v>5</v>
      </c>
      <c r="P22" s="710"/>
      <c r="Q22" s="710"/>
      <c r="R22" s="962"/>
      <c r="S22" s="962"/>
      <c r="T22" s="962"/>
      <c r="U22" s="962"/>
      <c r="V22" s="709"/>
      <c r="W22" s="709"/>
      <c r="X22" s="709"/>
      <c r="Y22" s="587" t="s">
        <v>1122</v>
      </c>
      <c r="AA22" s="710">
        <v>5</v>
      </c>
      <c r="AB22" s="710"/>
      <c r="AC22" s="710"/>
      <c r="AD22" s="962"/>
      <c r="AE22" s="962"/>
      <c r="AF22" s="962"/>
      <c r="AG22" s="962"/>
      <c r="AH22" s="709"/>
      <c r="AI22" s="709"/>
      <c r="AJ22" s="709"/>
      <c r="AK22" s="587" t="s">
        <v>1122</v>
      </c>
    </row>
    <row r="23" spans="3:37">
      <c r="C23" s="707">
        <v>6</v>
      </c>
      <c r="D23" s="707"/>
      <c r="E23" s="707"/>
      <c r="F23" s="962"/>
      <c r="G23" s="962"/>
      <c r="H23" s="962"/>
      <c r="I23" s="962"/>
      <c r="J23" s="709"/>
      <c r="K23" s="709"/>
      <c r="L23" s="709"/>
      <c r="M23" s="587" t="s">
        <v>1122</v>
      </c>
      <c r="O23" s="707">
        <v>6</v>
      </c>
      <c r="P23" s="707"/>
      <c r="Q23" s="707"/>
      <c r="R23" s="962"/>
      <c r="S23" s="962"/>
      <c r="T23" s="962"/>
      <c r="U23" s="962"/>
      <c r="V23" s="709"/>
      <c r="W23" s="709"/>
      <c r="X23" s="709"/>
      <c r="Y23" s="587" t="s">
        <v>1122</v>
      </c>
      <c r="AA23" s="707">
        <v>6</v>
      </c>
      <c r="AB23" s="707"/>
      <c r="AC23" s="707"/>
      <c r="AD23" s="962"/>
      <c r="AE23" s="962"/>
      <c r="AF23" s="962"/>
      <c r="AG23" s="962"/>
      <c r="AH23" s="709"/>
      <c r="AI23" s="709"/>
      <c r="AJ23" s="709"/>
      <c r="AK23" s="587" t="s">
        <v>1122</v>
      </c>
    </row>
    <row r="24" spans="3:37">
      <c r="C24" s="710">
        <v>7</v>
      </c>
      <c r="D24" s="710"/>
      <c r="E24" s="710"/>
      <c r="F24" s="962"/>
      <c r="G24" s="962"/>
      <c r="H24" s="962"/>
      <c r="I24" s="962"/>
      <c r="J24" s="709"/>
      <c r="K24" s="709"/>
      <c r="L24" s="709"/>
      <c r="M24" s="587" t="s">
        <v>1122</v>
      </c>
      <c r="O24" s="710">
        <v>7</v>
      </c>
      <c r="P24" s="710"/>
      <c r="Q24" s="710"/>
      <c r="R24" s="962"/>
      <c r="S24" s="962"/>
      <c r="T24" s="962"/>
      <c r="U24" s="962"/>
      <c r="V24" s="709"/>
      <c r="W24" s="709"/>
      <c r="X24" s="709"/>
      <c r="Y24" s="587" t="s">
        <v>1122</v>
      </c>
      <c r="AA24" s="710">
        <v>7</v>
      </c>
      <c r="AB24" s="710"/>
      <c r="AC24" s="710"/>
      <c r="AD24" s="962"/>
      <c r="AE24" s="962"/>
      <c r="AF24" s="962"/>
      <c r="AG24" s="962"/>
      <c r="AH24" s="709"/>
      <c r="AI24" s="709"/>
      <c r="AJ24" s="709"/>
      <c r="AK24" s="587" t="s">
        <v>1122</v>
      </c>
    </row>
    <row r="25" spans="3:37">
      <c r="C25" s="707">
        <v>8</v>
      </c>
      <c r="D25" s="707"/>
      <c r="E25" s="707"/>
      <c r="F25" s="962"/>
      <c r="G25" s="962"/>
      <c r="H25" s="962"/>
      <c r="I25" s="962"/>
      <c r="J25" s="709"/>
      <c r="K25" s="709"/>
      <c r="L25" s="709"/>
      <c r="M25" s="587" t="s">
        <v>1122</v>
      </c>
      <c r="O25" s="707">
        <v>8</v>
      </c>
      <c r="P25" s="707"/>
      <c r="Q25" s="707"/>
      <c r="R25" s="962"/>
      <c r="S25" s="962"/>
      <c r="T25" s="962"/>
      <c r="U25" s="962"/>
      <c r="V25" s="709"/>
      <c r="W25" s="709"/>
      <c r="X25" s="709"/>
      <c r="Y25" s="587" t="s">
        <v>1122</v>
      </c>
      <c r="AA25" s="707">
        <v>8</v>
      </c>
      <c r="AB25" s="707"/>
      <c r="AC25" s="707"/>
      <c r="AD25" s="962"/>
      <c r="AE25" s="962"/>
      <c r="AF25" s="962"/>
      <c r="AG25" s="962"/>
      <c r="AH25" s="709"/>
      <c r="AI25" s="709"/>
      <c r="AJ25" s="709"/>
      <c r="AK25" s="587" t="s">
        <v>1122</v>
      </c>
    </row>
    <row r="26" spans="3:37">
      <c r="C26" s="710">
        <v>9</v>
      </c>
      <c r="D26" s="710"/>
      <c r="E26" s="710"/>
      <c r="F26" s="962"/>
      <c r="G26" s="962"/>
      <c r="H26" s="962"/>
      <c r="I26" s="962"/>
      <c r="J26" s="709"/>
      <c r="K26" s="709"/>
      <c r="L26" s="709"/>
      <c r="M26" s="587" t="s">
        <v>1122</v>
      </c>
      <c r="O26" s="710">
        <v>9</v>
      </c>
      <c r="P26" s="710"/>
      <c r="Q26" s="710"/>
      <c r="R26" s="962"/>
      <c r="S26" s="962"/>
      <c r="T26" s="962"/>
      <c r="U26" s="962"/>
      <c r="V26" s="709"/>
      <c r="W26" s="709"/>
      <c r="X26" s="709"/>
      <c r="Y26" s="587" t="s">
        <v>1122</v>
      </c>
      <c r="AA26" s="710">
        <v>9</v>
      </c>
      <c r="AB26" s="710"/>
      <c r="AC26" s="710"/>
      <c r="AD26" s="962"/>
      <c r="AE26" s="962"/>
      <c r="AF26" s="962"/>
      <c r="AG26" s="962"/>
      <c r="AH26" s="709"/>
      <c r="AI26" s="709"/>
      <c r="AJ26" s="709"/>
      <c r="AK26" s="587" t="s">
        <v>1122</v>
      </c>
    </row>
    <row r="27" spans="3:37">
      <c r="C27" s="707">
        <v>10</v>
      </c>
      <c r="D27" s="707"/>
      <c r="E27" s="707"/>
      <c r="F27" s="962"/>
      <c r="G27" s="962"/>
      <c r="H27" s="962"/>
      <c r="I27" s="962"/>
      <c r="J27" s="709"/>
      <c r="K27" s="709"/>
      <c r="L27" s="709"/>
      <c r="M27" s="587" t="s">
        <v>1122</v>
      </c>
      <c r="O27" s="707">
        <v>10</v>
      </c>
      <c r="P27" s="707"/>
      <c r="Q27" s="707"/>
      <c r="R27" s="962"/>
      <c r="S27" s="962"/>
      <c r="T27" s="962"/>
      <c r="U27" s="962"/>
      <c r="V27" s="709"/>
      <c r="W27" s="709"/>
      <c r="X27" s="709"/>
      <c r="Y27" s="587" t="s">
        <v>1122</v>
      </c>
      <c r="AA27" s="707">
        <v>10</v>
      </c>
      <c r="AB27" s="707"/>
      <c r="AC27" s="707"/>
      <c r="AD27" s="962"/>
      <c r="AE27" s="962"/>
      <c r="AF27" s="962"/>
      <c r="AG27" s="962"/>
      <c r="AH27" s="709"/>
      <c r="AI27" s="709"/>
      <c r="AJ27" s="709"/>
      <c r="AK27" s="587" t="s">
        <v>1122</v>
      </c>
    </row>
    <row r="28" spans="3:37">
      <c r="C28" s="710">
        <v>11</v>
      </c>
      <c r="D28" s="710"/>
      <c r="E28" s="710"/>
      <c r="F28" s="962"/>
      <c r="G28" s="962"/>
      <c r="H28" s="962"/>
      <c r="I28" s="962"/>
      <c r="J28" s="709"/>
      <c r="K28" s="709"/>
      <c r="L28" s="709"/>
      <c r="M28" s="587" t="s">
        <v>1122</v>
      </c>
      <c r="O28" s="710">
        <v>11</v>
      </c>
      <c r="P28" s="710"/>
      <c r="Q28" s="710"/>
      <c r="R28" s="962"/>
      <c r="S28" s="962"/>
      <c r="T28" s="962"/>
      <c r="U28" s="962"/>
      <c r="V28" s="709"/>
      <c r="W28" s="709"/>
      <c r="X28" s="709"/>
      <c r="Y28" s="587" t="s">
        <v>1122</v>
      </c>
      <c r="AA28" s="710">
        <v>11</v>
      </c>
      <c r="AB28" s="710"/>
      <c r="AC28" s="710"/>
      <c r="AD28" s="962"/>
      <c r="AE28" s="962"/>
      <c r="AF28" s="962"/>
      <c r="AG28" s="962"/>
      <c r="AH28" s="709"/>
      <c r="AI28" s="709"/>
      <c r="AJ28" s="709"/>
      <c r="AK28" s="587" t="s">
        <v>1122</v>
      </c>
    </row>
    <row r="29" spans="3:37">
      <c r="C29" s="707">
        <v>12</v>
      </c>
      <c r="D29" s="707"/>
      <c r="E29" s="707"/>
      <c r="F29" s="962"/>
      <c r="G29" s="962"/>
      <c r="H29" s="962"/>
      <c r="I29" s="962"/>
      <c r="J29" s="709"/>
      <c r="K29" s="709"/>
      <c r="L29" s="709"/>
      <c r="M29" s="587" t="s">
        <v>1122</v>
      </c>
      <c r="O29" s="707">
        <v>12</v>
      </c>
      <c r="P29" s="707"/>
      <c r="Q29" s="707"/>
      <c r="R29" s="962"/>
      <c r="S29" s="962"/>
      <c r="T29" s="962"/>
      <c r="U29" s="962"/>
      <c r="V29" s="709"/>
      <c r="W29" s="709"/>
      <c r="X29" s="709"/>
      <c r="Y29" s="587" t="s">
        <v>1122</v>
      </c>
      <c r="AA29" s="707">
        <v>12</v>
      </c>
      <c r="AB29" s="707"/>
      <c r="AC29" s="707"/>
      <c r="AD29" s="962"/>
      <c r="AE29" s="962"/>
      <c r="AF29" s="962"/>
      <c r="AG29" s="962"/>
      <c r="AH29" s="709"/>
      <c r="AI29" s="709"/>
      <c r="AJ29" s="709"/>
      <c r="AK29" s="587" t="s">
        <v>1122</v>
      </c>
    </row>
    <row r="30" spans="3:37">
      <c r="C30" s="710">
        <v>13</v>
      </c>
      <c r="D30" s="710"/>
      <c r="E30" s="710"/>
      <c r="F30" s="962"/>
      <c r="G30" s="962"/>
      <c r="H30" s="962"/>
      <c r="I30" s="962"/>
      <c r="J30" s="709"/>
      <c r="K30" s="709"/>
      <c r="L30" s="709"/>
      <c r="M30" s="587" t="s">
        <v>1122</v>
      </c>
      <c r="O30" s="710">
        <v>13</v>
      </c>
      <c r="P30" s="710"/>
      <c r="Q30" s="710"/>
      <c r="R30" s="962"/>
      <c r="S30" s="962"/>
      <c r="T30" s="962"/>
      <c r="U30" s="962"/>
      <c r="V30" s="709"/>
      <c r="W30" s="709"/>
      <c r="X30" s="709"/>
      <c r="Y30" s="587" t="s">
        <v>1122</v>
      </c>
      <c r="AA30" s="710">
        <v>13</v>
      </c>
      <c r="AB30" s="710"/>
      <c r="AC30" s="710"/>
      <c r="AD30" s="962"/>
      <c r="AE30" s="962"/>
      <c r="AF30" s="962"/>
      <c r="AG30" s="962"/>
      <c r="AH30" s="709"/>
      <c r="AI30" s="709"/>
      <c r="AJ30" s="709"/>
      <c r="AK30" s="587" t="s">
        <v>1122</v>
      </c>
    </row>
    <row r="31" spans="3:37">
      <c r="C31" s="707">
        <v>14</v>
      </c>
      <c r="D31" s="707"/>
      <c r="E31" s="707"/>
      <c r="F31" s="962"/>
      <c r="G31" s="962"/>
      <c r="H31" s="962"/>
      <c r="I31" s="962"/>
      <c r="J31" s="709"/>
      <c r="K31" s="709"/>
      <c r="L31" s="709"/>
      <c r="M31" s="587" t="s">
        <v>1122</v>
      </c>
      <c r="O31" s="707">
        <v>14</v>
      </c>
      <c r="P31" s="707"/>
      <c r="Q31" s="707"/>
      <c r="R31" s="962"/>
      <c r="S31" s="962"/>
      <c r="T31" s="962"/>
      <c r="U31" s="962"/>
      <c r="V31" s="709"/>
      <c r="W31" s="709"/>
      <c r="X31" s="709"/>
      <c r="Y31" s="587" t="s">
        <v>1122</v>
      </c>
      <c r="AA31" s="707">
        <v>14</v>
      </c>
      <c r="AB31" s="707"/>
      <c r="AC31" s="707"/>
      <c r="AD31" s="962"/>
      <c r="AE31" s="962"/>
      <c r="AF31" s="962"/>
      <c r="AG31" s="962"/>
      <c r="AH31" s="709"/>
      <c r="AI31" s="709"/>
      <c r="AJ31" s="709"/>
      <c r="AK31" s="587" t="s">
        <v>1122</v>
      </c>
    </row>
    <row r="32" spans="3:37">
      <c r="C32" s="710">
        <v>15</v>
      </c>
      <c r="D32" s="710"/>
      <c r="E32" s="710"/>
      <c r="F32" s="962"/>
      <c r="G32" s="962"/>
      <c r="H32" s="962"/>
      <c r="I32" s="962"/>
      <c r="J32" s="709"/>
      <c r="K32" s="709"/>
      <c r="L32" s="709"/>
      <c r="M32" s="587" t="s">
        <v>1122</v>
      </c>
      <c r="O32" s="710">
        <v>15</v>
      </c>
      <c r="P32" s="710"/>
      <c r="Q32" s="710"/>
      <c r="R32" s="962"/>
      <c r="S32" s="962"/>
      <c r="T32" s="962"/>
      <c r="U32" s="962"/>
      <c r="V32" s="709"/>
      <c r="W32" s="709"/>
      <c r="X32" s="709"/>
      <c r="Y32" s="587" t="s">
        <v>1122</v>
      </c>
      <c r="AA32" s="710">
        <v>15</v>
      </c>
      <c r="AB32" s="710"/>
      <c r="AC32" s="710"/>
      <c r="AD32" s="962"/>
      <c r="AE32" s="962"/>
      <c r="AF32" s="962"/>
      <c r="AG32" s="962"/>
      <c r="AH32" s="709"/>
      <c r="AI32" s="709"/>
      <c r="AJ32" s="709"/>
      <c r="AK32" s="587" t="s">
        <v>1122</v>
      </c>
    </row>
    <row r="33" spans="3:37">
      <c r="C33" s="710"/>
      <c r="D33" s="710"/>
      <c r="E33" s="710"/>
      <c r="F33" s="707" t="s">
        <v>1642</v>
      </c>
      <c r="G33" s="710"/>
      <c r="H33" s="710"/>
      <c r="I33" s="710"/>
      <c r="J33" s="875"/>
      <c r="K33" s="875"/>
      <c r="L33" s="875"/>
      <c r="M33" s="587" t="s">
        <v>1122</v>
      </c>
      <c r="O33" s="710"/>
      <c r="P33" s="710"/>
      <c r="Q33" s="710"/>
      <c r="R33" s="707" t="s">
        <v>1642</v>
      </c>
      <c r="S33" s="710"/>
      <c r="T33" s="710"/>
      <c r="U33" s="710"/>
      <c r="V33" s="875"/>
      <c r="W33" s="875"/>
      <c r="X33" s="875"/>
      <c r="Y33" s="587" t="s">
        <v>1122</v>
      </c>
      <c r="AA33" s="710"/>
      <c r="AB33" s="710"/>
      <c r="AC33" s="710"/>
      <c r="AD33" s="707" t="s">
        <v>1642</v>
      </c>
      <c r="AE33" s="710"/>
      <c r="AF33" s="710"/>
      <c r="AG33" s="710"/>
      <c r="AH33" s="875"/>
      <c r="AI33" s="875"/>
      <c r="AJ33" s="875"/>
      <c r="AK33" s="587" t="s">
        <v>1122</v>
      </c>
    </row>
    <row r="37" spans="3:37">
      <c r="F37" s="707" t="s">
        <v>1653</v>
      </c>
      <c r="G37" s="707"/>
      <c r="H37" s="707"/>
      <c r="I37" s="707"/>
      <c r="J37" s="961"/>
      <c r="K37" s="961"/>
      <c r="L37" s="961"/>
      <c r="M37" s="961"/>
      <c r="N37" s="961"/>
      <c r="O37" s="587" t="s">
        <v>1654</v>
      </c>
    </row>
    <row r="38" spans="3:37">
      <c r="F38" s="707" t="s">
        <v>1655</v>
      </c>
      <c r="G38" s="707"/>
      <c r="H38" s="707"/>
      <c r="I38" s="707"/>
      <c r="J38" s="961"/>
      <c r="K38" s="961"/>
      <c r="L38" s="961"/>
      <c r="M38" s="961"/>
      <c r="N38" s="961"/>
      <c r="O38" s="587" t="s">
        <v>1203</v>
      </c>
    </row>
    <row r="39" spans="3:37">
      <c r="J39" s="590"/>
      <c r="K39" s="590"/>
      <c r="L39" s="590"/>
      <c r="M39" s="590"/>
      <c r="N39" s="590"/>
    </row>
  </sheetData>
  <mergeCells count="187">
    <mergeCell ref="A1:E1"/>
    <mergeCell ref="F18:I18"/>
    <mergeCell ref="F19:I19"/>
    <mergeCell ref="F20:I20"/>
    <mergeCell ref="F21:I21"/>
    <mergeCell ref="F22:I22"/>
    <mergeCell ref="C16:E16"/>
    <mergeCell ref="C18:E18"/>
    <mergeCell ref="C19:E19"/>
    <mergeCell ref="C20:E20"/>
    <mergeCell ref="F6:I6"/>
    <mergeCell ref="F7:I7"/>
    <mergeCell ref="F9:I9"/>
    <mergeCell ref="F12:I12"/>
    <mergeCell ref="F8:I8"/>
    <mergeCell ref="J25:L25"/>
    <mergeCell ref="J26:L26"/>
    <mergeCell ref="J27:L27"/>
    <mergeCell ref="J28:L28"/>
    <mergeCell ref="J16:L16"/>
    <mergeCell ref="J18:L18"/>
    <mergeCell ref="J19:L19"/>
    <mergeCell ref="J20:L20"/>
    <mergeCell ref="J21:L21"/>
    <mergeCell ref="J22:L22"/>
    <mergeCell ref="R32:U32"/>
    <mergeCell ref="V32:X32"/>
    <mergeCell ref="R15:U15"/>
    <mergeCell ref="R16:U16"/>
    <mergeCell ref="V16:X16"/>
    <mergeCell ref="R18:U18"/>
    <mergeCell ref="V18:X18"/>
    <mergeCell ref="R19:U19"/>
    <mergeCell ref="V19:X19"/>
    <mergeCell ref="R24:U24"/>
    <mergeCell ref="V24:X24"/>
    <mergeCell ref="R25:U25"/>
    <mergeCell ref="R33:U33"/>
    <mergeCell ref="V33:X33"/>
    <mergeCell ref="AD15:AG15"/>
    <mergeCell ref="AD16:AG16"/>
    <mergeCell ref="AD21:AG21"/>
    <mergeCell ref="AD25:AG25"/>
    <mergeCell ref="AD29:AG29"/>
    <mergeCell ref="AD33:AG33"/>
    <mergeCell ref="R29:U29"/>
    <mergeCell ref="V29:X29"/>
    <mergeCell ref="R30:U30"/>
    <mergeCell ref="V30:X30"/>
    <mergeCell ref="R31:U31"/>
    <mergeCell ref="V31:X31"/>
    <mergeCell ref="R26:U26"/>
    <mergeCell ref="V26:X26"/>
    <mergeCell ref="R27:U27"/>
    <mergeCell ref="V27:X27"/>
    <mergeCell ref="R28:U28"/>
    <mergeCell ref="V28:X28"/>
    <mergeCell ref="R23:U23"/>
    <mergeCell ref="V23:X23"/>
    <mergeCell ref="AD22:AG22"/>
    <mergeCell ref="AA15:AC15"/>
    <mergeCell ref="AH22:AJ22"/>
    <mergeCell ref="AD23:AG23"/>
    <mergeCell ref="AH23:AJ23"/>
    <mergeCell ref="AD24:AG24"/>
    <mergeCell ref="AH24:AJ24"/>
    <mergeCell ref="AH16:AJ16"/>
    <mergeCell ref="AD18:AG18"/>
    <mergeCell ref="AH18:AJ18"/>
    <mergeCell ref="AD19:AG19"/>
    <mergeCell ref="AH19:AJ19"/>
    <mergeCell ref="AD20:AG20"/>
    <mergeCell ref="AH20:AJ20"/>
    <mergeCell ref="AD17:AG17"/>
    <mergeCell ref="AH17:AJ17"/>
    <mergeCell ref="AH21:AJ21"/>
    <mergeCell ref="J6:L6"/>
    <mergeCell ref="J7:L7"/>
    <mergeCell ref="J9:L9"/>
    <mergeCell ref="J12:L12"/>
    <mergeCell ref="O16:Q16"/>
    <mergeCell ref="F15:I15"/>
    <mergeCell ref="F16:I16"/>
    <mergeCell ref="C31:E31"/>
    <mergeCell ref="C32:E32"/>
    <mergeCell ref="C21:E21"/>
    <mergeCell ref="C22:E22"/>
    <mergeCell ref="C23:E23"/>
    <mergeCell ref="C24:E24"/>
    <mergeCell ref="C25:E25"/>
    <mergeCell ref="C26:E26"/>
    <mergeCell ref="C15:E15"/>
    <mergeCell ref="O15:Q15"/>
    <mergeCell ref="O24:Q24"/>
    <mergeCell ref="O25:Q25"/>
    <mergeCell ref="O26:Q26"/>
    <mergeCell ref="O27:Q27"/>
    <mergeCell ref="O28:Q28"/>
    <mergeCell ref="O29:Q29"/>
    <mergeCell ref="O18:Q18"/>
    <mergeCell ref="AH33:AJ33"/>
    <mergeCell ref="AH29:AJ29"/>
    <mergeCell ref="AD30:AG30"/>
    <mergeCell ref="AH30:AJ30"/>
    <mergeCell ref="AD31:AG31"/>
    <mergeCell ref="AH31:AJ31"/>
    <mergeCell ref="AD32:AG32"/>
    <mergeCell ref="AH32:AJ32"/>
    <mergeCell ref="AH25:AJ25"/>
    <mergeCell ref="AD26:AG26"/>
    <mergeCell ref="AH26:AJ26"/>
    <mergeCell ref="AD27:AG27"/>
    <mergeCell ref="AH27:AJ27"/>
    <mergeCell ref="AD28:AG28"/>
    <mergeCell ref="AH28:AJ28"/>
    <mergeCell ref="C29:E29"/>
    <mergeCell ref="AA24:AC24"/>
    <mergeCell ref="AA25:AC25"/>
    <mergeCell ref="AA26:AC26"/>
    <mergeCell ref="AA27:AC27"/>
    <mergeCell ref="AA28:AC28"/>
    <mergeCell ref="AA29:AC29"/>
    <mergeCell ref="AA16:AC16"/>
    <mergeCell ref="AA18:AC18"/>
    <mergeCell ref="AA19:AC19"/>
    <mergeCell ref="AA20:AC20"/>
    <mergeCell ref="AA21:AC21"/>
    <mergeCell ref="AA22:AC22"/>
    <mergeCell ref="AA23:AC23"/>
    <mergeCell ref="V25:X25"/>
    <mergeCell ref="R20:U20"/>
    <mergeCell ref="V20:X20"/>
    <mergeCell ref="R21:U21"/>
    <mergeCell ref="V21:X21"/>
    <mergeCell ref="R22:U22"/>
    <mergeCell ref="V22:X22"/>
    <mergeCell ref="J29:L29"/>
    <mergeCell ref="F27:I27"/>
    <mergeCell ref="O19:Q19"/>
    <mergeCell ref="C33:E33"/>
    <mergeCell ref="O33:Q33"/>
    <mergeCell ref="AA33:AC33"/>
    <mergeCell ref="J17:L17"/>
    <mergeCell ref="F17:I17"/>
    <mergeCell ref="C17:E17"/>
    <mergeCell ref="O17:Q17"/>
    <mergeCell ref="R17:U17"/>
    <mergeCell ref="V17:X17"/>
    <mergeCell ref="AA17:AC17"/>
    <mergeCell ref="AA30:AC30"/>
    <mergeCell ref="AA31:AC31"/>
    <mergeCell ref="AA32:AC32"/>
    <mergeCell ref="O30:Q30"/>
    <mergeCell ref="O31:Q31"/>
    <mergeCell ref="O32:Q32"/>
    <mergeCell ref="O20:Q20"/>
    <mergeCell ref="O21:Q21"/>
    <mergeCell ref="O22:Q22"/>
    <mergeCell ref="O23:Q23"/>
    <mergeCell ref="C27:E27"/>
    <mergeCell ref="C28:E28"/>
    <mergeCell ref="F28:I28"/>
    <mergeCell ref="C30:E30"/>
    <mergeCell ref="J8:L8"/>
    <mergeCell ref="J37:N37"/>
    <mergeCell ref="J38:N38"/>
    <mergeCell ref="F11:I11"/>
    <mergeCell ref="J11:L11"/>
    <mergeCell ref="F10:I10"/>
    <mergeCell ref="J10:L10"/>
    <mergeCell ref="F37:I37"/>
    <mergeCell ref="F38:I38"/>
    <mergeCell ref="J31:L31"/>
    <mergeCell ref="J32:L32"/>
    <mergeCell ref="F33:I33"/>
    <mergeCell ref="J33:L33"/>
    <mergeCell ref="F29:I29"/>
    <mergeCell ref="F30:I30"/>
    <mergeCell ref="F31:I31"/>
    <mergeCell ref="F32:I32"/>
    <mergeCell ref="F23:I23"/>
    <mergeCell ref="F24:I24"/>
    <mergeCell ref="F25:I25"/>
    <mergeCell ref="F26:I26"/>
    <mergeCell ref="J30:L30"/>
    <mergeCell ref="J23:L23"/>
    <mergeCell ref="J24:L24"/>
  </mergeCells>
  <phoneticPr fontId="42"/>
  <hyperlinks>
    <hyperlink ref="A1:E1" location="目次!A1" display="　目次　" xr:uid="{ACF5B329-35A0-4F95-80E5-CAB3768B37AE}"/>
  </hyperlinks>
  <pageMargins left="0.69930555555555596" right="0.69930555555555596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D90D-744D-4554-9F62-2D3B1FEECE5D}">
  <dimension ref="A1:AB19"/>
  <sheetViews>
    <sheetView workbookViewId="0">
      <selection sqref="A1:D1"/>
    </sheetView>
  </sheetViews>
  <sheetFormatPr defaultColWidth="3.75" defaultRowHeight="13.5"/>
  <cols>
    <col min="1" max="16384" width="3.75" style="593"/>
  </cols>
  <sheetData>
    <row r="1" spans="1:28">
      <c r="A1" s="686" t="s">
        <v>61</v>
      </c>
      <c r="B1" s="686"/>
      <c r="C1" s="686"/>
      <c r="D1" s="686"/>
    </row>
    <row r="2" spans="1:28">
      <c r="B2" s="594"/>
      <c r="C2" s="594"/>
      <c r="D2" s="593" t="s">
        <v>364</v>
      </c>
      <c r="H2" s="592"/>
    </row>
    <row r="3" spans="1:28">
      <c r="B3" s="36"/>
      <c r="C3" s="36"/>
      <c r="D3" s="593" t="s">
        <v>395</v>
      </c>
      <c r="H3" s="592"/>
      <c r="J3" s="592"/>
    </row>
    <row r="4" spans="1:28">
      <c r="B4" s="595"/>
      <c r="C4" s="595"/>
      <c r="D4" s="593" t="s">
        <v>404</v>
      </c>
      <c r="H4" s="592"/>
      <c r="J4" s="592"/>
    </row>
    <row r="6" spans="1:28" ht="21">
      <c r="B6" s="22" t="s">
        <v>1665</v>
      </c>
      <c r="Q6" s="831" t="s">
        <v>1672</v>
      </c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</row>
    <row r="11" spans="1:28">
      <c r="B11" s="707" t="s">
        <v>1669</v>
      </c>
      <c r="C11" s="707"/>
      <c r="D11" s="707"/>
      <c r="E11" s="834">
        <v>0.22900000000000001</v>
      </c>
      <c r="F11" s="834"/>
      <c r="G11" s="834"/>
    </row>
    <row r="12" spans="1:28">
      <c r="B12" s="707" t="s">
        <v>1670</v>
      </c>
      <c r="C12" s="707"/>
      <c r="D12" s="707"/>
      <c r="E12" s="834">
        <v>0.58699999999999997</v>
      </c>
      <c r="F12" s="834"/>
      <c r="G12" s="834"/>
    </row>
    <row r="13" spans="1:28">
      <c r="B13" s="707" t="s">
        <v>1671</v>
      </c>
      <c r="C13" s="707"/>
      <c r="D13" s="707"/>
      <c r="E13" s="834">
        <v>0.114</v>
      </c>
      <c r="F13" s="834"/>
      <c r="G13" s="834"/>
    </row>
    <row r="14" spans="1:28">
      <c r="B14" s="710"/>
      <c r="C14" s="710"/>
      <c r="D14" s="710"/>
      <c r="E14" s="710"/>
      <c r="F14" s="710"/>
      <c r="G14" s="710"/>
    </row>
    <row r="15" spans="1:28">
      <c r="B15" s="707" t="s">
        <v>1666</v>
      </c>
      <c r="C15" s="707"/>
      <c r="D15" s="707"/>
      <c r="E15" s="709">
        <v>1</v>
      </c>
      <c r="F15" s="709"/>
      <c r="G15" s="709"/>
    </row>
    <row r="16" spans="1:28">
      <c r="B16" s="707" t="s">
        <v>1667</v>
      </c>
      <c r="C16" s="707"/>
      <c r="D16" s="707"/>
      <c r="E16" s="709">
        <v>1</v>
      </c>
      <c r="F16" s="709"/>
      <c r="G16" s="709"/>
    </row>
    <row r="17" spans="2:7">
      <c r="B17" s="707" t="s">
        <v>1668</v>
      </c>
      <c r="C17" s="707"/>
      <c r="D17" s="707"/>
      <c r="E17" s="709">
        <v>1</v>
      </c>
      <c r="F17" s="709"/>
      <c r="G17" s="709"/>
    </row>
    <row r="19" spans="2:7">
      <c r="B19" s="707" t="s">
        <v>1673</v>
      </c>
      <c r="C19" s="707"/>
      <c r="D19" s="707"/>
      <c r="E19" s="708">
        <f>E15*E11+E16*E12+E17*E13</f>
        <v>0.92999999999999994</v>
      </c>
      <c r="F19" s="708"/>
      <c r="G19" s="708"/>
    </row>
  </sheetData>
  <mergeCells count="18">
    <mergeCell ref="Q6:AB6"/>
    <mergeCell ref="E19:G19"/>
    <mergeCell ref="B19:D19"/>
    <mergeCell ref="B16:D16"/>
    <mergeCell ref="B17:D17"/>
    <mergeCell ref="E11:G11"/>
    <mergeCell ref="E12:G12"/>
    <mergeCell ref="E13:G13"/>
    <mergeCell ref="E14:G14"/>
    <mergeCell ref="E15:G15"/>
    <mergeCell ref="E16:G16"/>
    <mergeCell ref="E17:G17"/>
    <mergeCell ref="B15:D15"/>
    <mergeCell ref="A1:D1"/>
    <mergeCell ref="B11:D11"/>
    <mergeCell ref="B12:D12"/>
    <mergeCell ref="B13:D13"/>
    <mergeCell ref="B14:D14"/>
  </mergeCells>
  <phoneticPr fontId="42"/>
  <hyperlinks>
    <hyperlink ref="A1:D1" location="目次!A1" display="　目次　" xr:uid="{39098D32-87BB-441F-8F2D-D35AFCA24368}"/>
    <hyperlink ref="Q6" r:id="rId1" xr:uid="{5A4AB10B-B27A-4D2A-A7D8-5D4ECA76FAA9}"/>
  </hyperlinks>
  <pageMargins left="0.69930555555555596" right="0.69930555555555596" top="0.75" bottom="0.75" header="0.3" footer="0.3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5AF4-C52C-4E0D-A20C-ACE756F322DF}">
  <dimension ref="A1:I10"/>
  <sheetViews>
    <sheetView workbookViewId="0">
      <selection sqref="A1:D1"/>
    </sheetView>
  </sheetViews>
  <sheetFormatPr defaultColWidth="3.75" defaultRowHeight="13.5"/>
  <cols>
    <col min="1" max="16384" width="3.75" style="597"/>
  </cols>
  <sheetData>
    <row r="1" spans="1:9">
      <c r="A1" s="686" t="s">
        <v>61</v>
      </c>
      <c r="B1" s="686"/>
      <c r="C1" s="686"/>
      <c r="D1" s="686"/>
    </row>
    <row r="2" spans="1:9">
      <c r="B2" s="598"/>
      <c r="C2" s="598"/>
      <c r="D2" s="597" t="s">
        <v>364</v>
      </c>
      <c r="H2" s="600" t="s">
        <v>1675</v>
      </c>
      <c r="I2" s="599" t="s">
        <v>1676</v>
      </c>
    </row>
    <row r="3" spans="1:9">
      <c r="B3" s="36"/>
      <c r="C3" s="36"/>
      <c r="D3" s="597" t="s">
        <v>395</v>
      </c>
      <c r="G3" s="596"/>
      <c r="I3" s="596"/>
    </row>
    <row r="4" spans="1:9">
      <c r="B4" s="601"/>
      <c r="C4" s="601"/>
      <c r="D4" s="597" t="s">
        <v>404</v>
      </c>
      <c r="G4" s="596"/>
      <c r="I4" s="596"/>
    </row>
    <row r="6" spans="1:9" ht="21">
      <c r="B6" s="22" t="s">
        <v>1677</v>
      </c>
    </row>
    <row r="8" spans="1:9">
      <c r="B8" s="965" t="s">
        <v>1680</v>
      </c>
      <c r="C8" s="707"/>
      <c r="D8" s="707"/>
      <c r="E8" s="707"/>
      <c r="F8" s="776">
        <v>0.3</v>
      </c>
      <c r="G8" s="776"/>
      <c r="H8" s="596" t="s">
        <v>1679</v>
      </c>
    </row>
    <row r="9" spans="1:9">
      <c r="B9" s="707" t="s">
        <v>1218</v>
      </c>
      <c r="C9" s="707"/>
      <c r="D9" s="707"/>
      <c r="E9" s="707"/>
      <c r="F9" s="776">
        <v>80</v>
      </c>
      <c r="G9" s="776"/>
      <c r="H9" s="596" t="s">
        <v>1678</v>
      </c>
    </row>
    <row r="10" spans="1:9">
      <c r="B10" s="707" t="s">
        <v>1681</v>
      </c>
      <c r="C10" s="707"/>
      <c r="D10" s="707"/>
      <c r="E10" s="707"/>
      <c r="F10" s="778">
        <f>F8*F9</f>
        <v>24</v>
      </c>
      <c r="G10" s="778"/>
      <c r="H10" s="596" t="s">
        <v>953</v>
      </c>
    </row>
  </sheetData>
  <mergeCells count="7">
    <mergeCell ref="F8:G8"/>
    <mergeCell ref="F9:G9"/>
    <mergeCell ref="F10:G10"/>
    <mergeCell ref="A1:D1"/>
    <mergeCell ref="B8:E8"/>
    <mergeCell ref="B9:E9"/>
    <mergeCell ref="B10:E10"/>
  </mergeCells>
  <phoneticPr fontId="42"/>
  <hyperlinks>
    <hyperlink ref="A1:D1" location="目次!A1" display="　目次　" xr:uid="{7A1B5BA8-FAFB-4D5C-A131-4E3A9D04CB7F}"/>
    <hyperlink ref="I2" r:id="rId1" xr:uid="{EA33897D-748A-4C21-8A71-787E079A3FCA}"/>
  </hyperlinks>
  <pageMargins left="0.69930555555555596" right="0.69930555555555596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982A9-5907-490B-92D8-16E053E84FCC}">
  <dimension ref="A1:U11"/>
  <sheetViews>
    <sheetView workbookViewId="0">
      <selection sqref="A1:F1"/>
    </sheetView>
  </sheetViews>
  <sheetFormatPr defaultColWidth="3.75" defaultRowHeight="13.5"/>
  <cols>
    <col min="1" max="16384" width="3.75" style="604"/>
  </cols>
  <sheetData>
    <row r="1" spans="1:21">
      <c r="A1" s="686" t="s">
        <v>61</v>
      </c>
      <c r="B1" s="686"/>
      <c r="C1" s="686"/>
      <c r="D1" s="686"/>
      <c r="E1" s="686"/>
      <c r="F1" s="686"/>
      <c r="J1" s="685" t="s">
        <v>1995</v>
      </c>
      <c r="M1" s="686" t="s">
        <v>1996</v>
      </c>
      <c r="N1" s="686"/>
      <c r="O1" s="686"/>
      <c r="P1" s="686"/>
      <c r="Q1" s="686"/>
      <c r="R1" s="686"/>
      <c r="S1" s="686"/>
      <c r="T1" s="686"/>
      <c r="U1" s="686"/>
    </row>
    <row r="2" spans="1:21">
      <c r="B2" s="606"/>
      <c r="C2" s="606"/>
      <c r="D2" s="606"/>
      <c r="E2" s="606"/>
      <c r="F2" s="604" t="s">
        <v>364</v>
      </c>
      <c r="H2" s="603"/>
    </row>
    <row r="3" spans="1:21">
      <c r="B3" s="36"/>
      <c r="C3" s="36"/>
      <c r="D3" s="36"/>
      <c r="E3" s="36"/>
      <c r="F3" s="604" t="s">
        <v>395</v>
      </c>
      <c r="H3" s="603"/>
      <c r="J3" s="603"/>
      <c r="K3" s="603" t="s">
        <v>1689</v>
      </c>
    </row>
    <row r="4" spans="1:21">
      <c r="B4" s="607"/>
      <c r="C4" s="607"/>
      <c r="D4" s="607"/>
      <c r="E4" s="607"/>
      <c r="F4" s="604" t="s">
        <v>404</v>
      </c>
      <c r="H4" s="603"/>
      <c r="J4" s="603"/>
    </row>
    <row r="7" spans="1:21">
      <c r="B7" s="707" t="s">
        <v>1687</v>
      </c>
      <c r="C7" s="707"/>
      <c r="D7" s="707"/>
      <c r="E7" s="707"/>
      <c r="F7" s="707"/>
      <c r="G7" s="709">
        <v>5</v>
      </c>
      <c r="H7" s="709"/>
      <c r="I7" s="603" t="s">
        <v>1064</v>
      </c>
    </row>
    <row r="8" spans="1:21">
      <c r="B8" s="707" t="s">
        <v>1688</v>
      </c>
      <c r="C8" s="707"/>
      <c r="D8" s="707"/>
      <c r="E8" s="707"/>
      <c r="F8" s="707"/>
      <c r="G8" s="709">
        <v>0.4</v>
      </c>
      <c r="H8" s="709"/>
      <c r="I8" s="603" t="s">
        <v>1064</v>
      </c>
    </row>
    <row r="9" spans="1:21">
      <c r="B9" s="707" t="s">
        <v>1997</v>
      </c>
      <c r="C9" s="710"/>
      <c r="D9" s="710"/>
      <c r="E9" s="710"/>
      <c r="F9" s="710"/>
      <c r="G9" s="709">
        <v>3</v>
      </c>
      <c r="H9" s="709"/>
      <c r="I9" s="603" t="s">
        <v>1122</v>
      </c>
    </row>
    <row r="10" spans="1:21">
      <c r="B10" s="710"/>
      <c r="C10" s="710"/>
      <c r="D10" s="710"/>
      <c r="E10" s="710"/>
      <c r="F10" s="710"/>
      <c r="G10" s="710"/>
      <c r="H10" s="710"/>
    </row>
    <row r="11" spans="1:21">
      <c r="B11" s="844" t="s">
        <v>1690</v>
      </c>
      <c r="C11" s="880"/>
      <c r="D11" s="880"/>
      <c r="E11" s="880"/>
      <c r="F11" s="880"/>
      <c r="G11" s="708">
        <f>(G7-G8)/(G9*10^-3)</f>
        <v>1533.3333333333333</v>
      </c>
      <c r="H11" s="708"/>
      <c r="I11" s="605" t="s">
        <v>1099</v>
      </c>
    </row>
  </sheetData>
  <mergeCells count="12">
    <mergeCell ref="M1:U1"/>
    <mergeCell ref="G7:H7"/>
    <mergeCell ref="G8:H8"/>
    <mergeCell ref="G9:H9"/>
    <mergeCell ref="G10:H10"/>
    <mergeCell ref="G11:H11"/>
    <mergeCell ref="B11:F11"/>
    <mergeCell ref="A1:F1"/>
    <mergeCell ref="B7:F7"/>
    <mergeCell ref="B8:F8"/>
    <mergeCell ref="B9:F9"/>
    <mergeCell ref="B10:F10"/>
  </mergeCells>
  <phoneticPr fontId="42"/>
  <hyperlinks>
    <hyperlink ref="A1:F1" location="目次!A1" display="　目次　" xr:uid="{CD08B49B-6886-4BBC-B94D-B0C57E9B1A6E}"/>
    <hyperlink ref="M1" r:id="rId1" xr:uid="{07F78348-427D-4EEA-940B-72F5D0CEB17B}"/>
  </hyperlinks>
  <pageMargins left="0.69930555555555596" right="0.69930555555555596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61BB-8BB1-408E-9DCD-D976706067EC}">
  <dimension ref="A1:Q30"/>
  <sheetViews>
    <sheetView zoomScale="70" zoomScaleNormal="70" workbookViewId="0">
      <selection sqref="A1:E1"/>
    </sheetView>
  </sheetViews>
  <sheetFormatPr defaultColWidth="3.75" defaultRowHeight="13.5"/>
  <cols>
    <col min="1" max="16384" width="3.75" style="615"/>
  </cols>
  <sheetData>
    <row r="1" spans="1:11">
      <c r="A1" s="686" t="s">
        <v>61</v>
      </c>
      <c r="B1" s="686"/>
      <c r="C1" s="686"/>
      <c r="D1" s="686"/>
      <c r="E1" s="686"/>
      <c r="F1" s="613"/>
    </row>
    <row r="2" spans="1:11">
      <c r="B2" s="616"/>
      <c r="C2" s="616"/>
      <c r="D2" s="616"/>
      <c r="E2" s="615" t="s">
        <v>364</v>
      </c>
      <c r="I2" s="614"/>
    </row>
    <row r="3" spans="1:11">
      <c r="B3" s="36"/>
      <c r="C3" s="36"/>
      <c r="D3" s="36"/>
      <c r="E3" s="615" t="s">
        <v>395</v>
      </c>
      <c r="I3" s="614"/>
      <c r="K3" s="614"/>
    </row>
    <row r="4" spans="1:11">
      <c r="B4" s="617"/>
      <c r="C4" s="617"/>
      <c r="D4" s="617"/>
      <c r="E4" s="615" t="s">
        <v>404</v>
      </c>
      <c r="I4" s="614"/>
      <c r="K4" s="614"/>
    </row>
    <row r="6" spans="1:11" ht="25.5">
      <c r="B6" s="31" t="s">
        <v>1701</v>
      </c>
      <c r="C6" s="614"/>
    </row>
    <row r="10" spans="1:11">
      <c r="B10" s="707" t="s">
        <v>1239</v>
      </c>
      <c r="C10" s="707"/>
      <c r="D10" s="709">
        <v>1000</v>
      </c>
      <c r="E10" s="709"/>
      <c r="F10" s="614" t="s">
        <v>1099</v>
      </c>
    </row>
    <row r="11" spans="1:11">
      <c r="B11" s="707" t="s">
        <v>1240</v>
      </c>
      <c r="C11" s="707"/>
      <c r="D11" s="709">
        <v>10000</v>
      </c>
      <c r="E11" s="709"/>
      <c r="F11" s="614" t="s">
        <v>1099</v>
      </c>
    </row>
    <row r="12" spans="1:11">
      <c r="B12" s="707" t="s">
        <v>1702</v>
      </c>
      <c r="C12" s="707"/>
      <c r="D12" s="834">
        <f>D10</f>
        <v>1000</v>
      </c>
      <c r="E12" s="834"/>
      <c r="F12" s="614" t="s">
        <v>1099</v>
      </c>
    </row>
    <row r="13" spans="1:11">
      <c r="B13" s="707" t="s">
        <v>1703</v>
      </c>
      <c r="C13" s="707"/>
      <c r="D13" s="834">
        <f>D11</f>
        <v>10000</v>
      </c>
      <c r="E13" s="834"/>
      <c r="F13" s="614" t="s">
        <v>1099</v>
      </c>
    </row>
    <row r="14" spans="1:11">
      <c r="B14" s="707" t="s">
        <v>1705</v>
      </c>
      <c r="C14" s="707"/>
      <c r="D14" s="709">
        <v>1.5</v>
      </c>
      <c r="E14" s="709"/>
      <c r="F14" s="614" t="s">
        <v>1064</v>
      </c>
    </row>
    <row r="15" spans="1:11">
      <c r="B15" s="707" t="s">
        <v>1706</v>
      </c>
      <c r="C15" s="707"/>
      <c r="D15" s="709">
        <v>1.6</v>
      </c>
      <c r="E15" s="709"/>
      <c r="F15" s="614" t="s">
        <v>1064</v>
      </c>
    </row>
    <row r="16" spans="1:11">
      <c r="B16" s="710"/>
      <c r="C16" s="710"/>
      <c r="D16" s="710"/>
      <c r="E16" s="710"/>
    </row>
    <row r="17" spans="2:17">
      <c r="B17" s="711" t="s">
        <v>1704</v>
      </c>
      <c r="C17" s="711"/>
      <c r="D17" s="966">
        <f>(D11/D10)*(D15-D14)</f>
        <v>1.0000000000000009</v>
      </c>
      <c r="E17" s="708"/>
      <c r="F17" s="614" t="s">
        <v>1064</v>
      </c>
    </row>
    <row r="26" spans="2:17">
      <c r="Q26"/>
    </row>
    <row r="30" spans="2:17">
      <c r="B30" s="614" t="s">
        <v>1707</v>
      </c>
    </row>
  </sheetData>
  <mergeCells count="17">
    <mergeCell ref="D16:E16"/>
    <mergeCell ref="D17:E17"/>
    <mergeCell ref="B12:C12"/>
    <mergeCell ref="B13:C13"/>
    <mergeCell ref="B14:C14"/>
    <mergeCell ref="B15:C15"/>
    <mergeCell ref="B16:C16"/>
    <mergeCell ref="B17:C17"/>
    <mergeCell ref="A1:E1"/>
    <mergeCell ref="D10:E10"/>
    <mergeCell ref="D11:E11"/>
    <mergeCell ref="D14:E14"/>
    <mergeCell ref="D15:E15"/>
    <mergeCell ref="D12:E12"/>
    <mergeCell ref="D13:E13"/>
    <mergeCell ref="B10:C10"/>
    <mergeCell ref="B11:C11"/>
  </mergeCells>
  <phoneticPr fontId="42"/>
  <hyperlinks>
    <hyperlink ref="A1:E1" location="目次!A1" display="　目次　" xr:uid="{7967875C-1054-414B-AB8F-352DB6CF5AEC}"/>
  </hyperlinks>
  <pageMargins left="0.69930555555555596" right="0.69930555555555596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9176-024B-439E-9FC0-498E5FDC3FB2}">
  <dimension ref="A1:J12"/>
  <sheetViews>
    <sheetView workbookViewId="0">
      <selection sqref="A1:D1"/>
    </sheetView>
  </sheetViews>
  <sheetFormatPr defaultColWidth="3.75" defaultRowHeight="13.5"/>
  <cols>
    <col min="1" max="16384" width="3.75" style="611"/>
  </cols>
  <sheetData>
    <row r="1" spans="1:10">
      <c r="A1" s="686" t="s">
        <v>61</v>
      </c>
      <c r="B1" s="686"/>
      <c r="C1" s="686"/>
      <c r="D1" s="686"/>
      <c r="E1" s="608"/>
    </row>
    <row r="2" spans="1:10">
      <c r="B2" s="610"/>
      <c r="C2" s="610"/>
      <c r="D2" s="611" t="s">
        <v>364</v>
      </c>
      <c r="H2" s="609"/>
    </row>
    <row r="3" spans="1:10">
      <c r="B3" s="36"/>
      <c r="C3" s="36"/>
      <c r="D3" s="611" t="s">
        <v>395</v>
      </c>
      <c r="H3" s="609"/>
      <c r="J3" s="609"/>
    </row>
    <row r="4" spans="1:10">
      <c r="B4" s="612"/>
      <c r="C4" s="612"/>
      <c r="D4" s="611" t="s">
        <v>404</v>
      </c>
      <c r="H4" s="609"/>
      <c r="J4" s="609"/>
    </row>
    <row r="6" spans="1:10" ht="24">
      <c r="B6" s="2" t="s">
        <v>1695</v>
      </c>
    </row>
    <row r="9" spans="1:10">
      <c r="B9" s="707" t="s">
        <v>1696</v>
      </c>
      <c r="C9" s="707"/>
      <c r="D9" s="707"/>
      <c r="E9" s="707"/>
      <c r="F9" s="707"/>
      <c r="G9" s="707"/>
      <c r="H9" s="709">
        <v>10000</v>
      </c>
      <c r="I9" s="709"/>
      <c r="J9" s="609" t="s">
        <v>1699</v>
      </c>
    </row>
    <row r="10" spans="1:10">
      <c r="B10" s="707" t="s">
        <v>1697</v>
      </c>
      <c r="C10" s="707"/>
      <c r="D10" s="707"/>
      <c r="E10" s="707"/>
      <c r="F10" s="707"/>
      <c r="G10" s="707"/>
      <c r="H10" s="888">
        <f>H9/2</f>
        <v>5000</v>
      </c>
      <c r="I10" s="888"/>
      <c r="J10" s="609" t="s">
        <v>1699</v>
      </c>
    </row>
    <row r="11" spans="1:10">
      <c r="B11" s="707" t="s">
        <v>1698</v>
      </c>
      <c r="C11" s="707"/>
      <c r="D11" s="707"/>
      <c r="E11" s="707"/>
      <c r="F11" s="707"/>
      <c r="G11" s="707"/>
      <c r="H11" s="709">
        <v>7500</v>
      </c>
      <c r="I11" s="709"/>
      <c r="J11" s="609" t="s">
        <v>1699</v>
      </c>
    </row>
    <row r="12" spans="1:10">
      <c r="B12" s="707" t="s">
        <v>1700</v>
      </c>
      <c r="C12" s="707"/>
      <c r="D12" s="707"/>
      <c r="E12" s="707"/>
      <c r="F12" s="707"/>
      <c r="G12" s="707"/>
      <c r="H12" s="708">
        <f>IF(H10&gt;=H11, H11, H10-(H11-H10))</f>
        <v>2500</v>
      </c>
      <c r="I12" s="708"/>
      <c r="J12" s="609" t="s">
        <v>1699</v>
      </c>
    </row>
  </sheetData>
  <mergeCells count="9">
    <mergeCell ref="B12:G12"/>
    <mergeCell ref="H12:I12"/>
    <mergeCell ref="A1:D1"/>
    <mergeCell ref="B9:G9"/>
    <mergeCell ref="H9:I9"/>
    <mergeCell ref="B10:G10"/>
    <mergeCell ref="H10:I10"/>
    <mergeCell ref="B11:G11"/>
    <mergeCell ref="H11:I11"/>
  </mergeCells>
  <phoneticPr fontId="42"/>
  <hyperlinks>
    <hyperlink ref="A1:D1" location="目次!A1" display="　目次　" xr:uid="{0E29DBF8-F45C-451C-9EAC-90BC8070F6C0}"/>
  </hyperlinks>
  <pageMargins left="0.69930555555555596" right="0.69930555555555596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F0CC7-C771-47C5-A559-D7F4C5647998}">
  <dimension ref="A1:BO71"/>
  <sheetViews>
    <sheetView topLeftCell="A9" zoomScale="55" zoomScaleNormal="55" workbookViewId="0">
      <selection activeCell="X28" sqref="X28:AD28"/>
    </sheetView>
  </sheetViews>
  <sheetFormatPr defaultColWidth="3.25" defaultRowHeight="13.5"/>
  <cols>
    <col min="1" max="16384" width="3.25" style="620"/>
  </cols>
  <sheetData>
    <row r="1" spans="1:67">
      <c r="A1" s="686" t="s">
        <v>61</v>
      </c>
      <c r="B1" s="686"/>
      <c r="C1" s="686"/>
      <c r="D1" s="686"/>
      <c r="E1" s="618"/>
    </row>
    <row r="3" spans="1:67" ht="25.5">
      <c r="B3" s="31" t="s">
        <v>1713</v>
      </c>
    </row>
    <row r="5" spans="1:67" ht="14.25" thickBot="1">
      <c r="A5" s="628"/>
      <c r="B5" s="622"/>
      <c r="C5" s="622"/>
      <c r="D5" s="622"/>
      <c r="E5" s="622"/>
      <c r="F5" s="622"/>
      <c r="G5" s="622"/>
      <c r="H5" s="622"/>
      <c r="I5" s="622"/>
      <c r="J5" s="622"/>
      <c r="K5" s="622"/>
      <c r="L5" s="622"/>
      <c r="M5" s="622"/>
      <c r="N5" s="622"/>
      <c r="O5" s="622"/>
      <c r="P5" s="622"/>
      <c r="Q5" s="622"/>
      <c r="R5" s="622"/>
      <c r="S5" s="622"/>
      <c r="T5" s="622"/>
      <c r="U5" s="622"/>
      <c r="V5" s="622"/>
      <c r="W5" s="622"/>
      <c r="X5" s="622"/>
      <c r="Y5" s="622"/>
      <c r="Z5" s="622"/>
      <c r="AA5" s="622"/>
      <c r="AB5" s="622"/>
      <c r="AC5" s="622"/>
      <c r="AD5" s="622"/>
      <c r="AE5" s="622"/>
      <c r="AF5" s="622"/>
      <c r="AG5" s="622"/>
      <c r="AH5" s="622"/>
      <c r="AI5" s="622"/>
      <c r="AJ5" s="622"/>
      <c r="AK5" s="622"/>
      <c r="AL5" s="622"/>
      <c r="AM5" s="622"/>
      <c r="AN5" s="622"/>
      <c r="AO5" s="622"/>
      <c r="AP5" s="622"/>
      <c r="AQ5" s="622"/>
      <c r="AR5" s="622"/>
      <c r="AS5" s="622"/>
      <c r="AT5" s="622"/>
      <c r="AU5" s="622"/>
      <c r="AV5" s="622"/>
      <c r="AW5" s="622"/>
      <c r="AX5" s="622"/>
      <c r="AY5" s="622"/>
      <c r="AZ5" s="622"/>
      <c r="BA5" s="622"/>
      <c r="BB5" s="622"/>
      <c r="BC5" s="622"/>
      <c r="BD5" s="622"/>
      <c r="BE5" s="622"/>
      <c r="BF5" s="622"/>
      <c r="BG5" s="622"/>
      <c r="BH5" s="622"/>
      <c r="BI5" s="622"/>
      <c r="BJ5" s="622"/>
      <c r="BK5" s="622"/>
      <c r="BL5" s="622"/>
      <c r="BM5" s="622"/>
      <c r="BN5" s="622"/>
      <c r="BO5" s="622"/>
    </row>
    <row r="6" spans="1:67" ht="17.25">
      <c r="A6" s="628"/>
      <c r="B6" s="967"/>
      <c r="C6" s="968"/>
      <c r="D6" s="968"/>
      <c r="E6" s="968"/>
      <c r="F6" s="968"/>
      <c r="G6" s="968"/>
      <c r="H6" s="969"/>
      <c r="I6" s="967"/>
      <c r="J6" s="968"/>
      <c r="K6" s="968"/>
      <c r="L6" s="968"/>
      <c r="M6" s="968"/>
      <c r="N6" s="968"/>
      <c r="O6" s="969"/>
      <c r="P6" s="967"/>
      <c r="Q6" s="968"/>
      <c r="R6" s="968"/>
      <c r="S6" s="968"/>
      <c r="T6" s="968"/>
      <c r="U6" s="968"/>
      <c r="V6" s="969"/>
      <c r="W6" s="629"/>
      <c r="X6" s="1021"/>
      <c r="Y6" s="1022"/>
      <c r="Z6" s="1022"/>
      <c r="AA6" s="1022"/>
      <c r="AB6" s="1022"/>
      <c r="AC6" s="1022"/>
      <c r="AD6" s="1023"/>
      <c r="AE6" s="1021"/>
      <c r="AF6" s="1022"/>
      <c r="AG6" s="1022"/>
      <c r="AH6" s="1022"/>
      <c r="AI6" s="1022"/>
      <c r="AJ6" s="1022"/>
      <c r="AK6" s="1023"/>
      <c r="AL6" s="1021"/>
      <c r="AM6" s="1022"/>
      <c r="AN6" s="1022"/>
      <c r="AO6" s="1022"/>
      <c r="AP6" s="1022"/>
      <c r="AQ6" s="1022"/>
      <c r="AR6" s="1023"/>
      <c r="AS6" s="629"/>
      <c r="AT6" s="1012"/>
      <c r="AU6" s="1013"/>
      <c r="AV6" s="1013"/>
      <c r="AW6" s="1013"/>
      <c r="AX6" s="1013"/>
      <c r="AY6" s="1013"/>
      <c r="AZ6" s="1014"/>
      <c r="BA6" s="1012"/>
      <c r="BB6" s="1013"/>
      <c r="BC6" s="1013"/>
      <c r="BD6" s="1013"/>
      <c r="BE6" s="1013"/>
      <c r="BF6" s="1013"/>
      <c r="BG6" s="1014"/>
      <c r="BH6" s="1012"/>
      <c r="BI6" s="1013"/>
      <c r="BJ6" s="1013"/>
      <c r="BK6" s="1013"/>
      <c r="BL6" s="1013"/>
      <c r="BM6" s="1013"/>
      <c r="BN6" s="1014"/>
      <c r="BO6" s="622"/>
    </row>
    <row r="7" spans="1:67" ht="17.25">
      <c r="A7" s="622"/>
      <c r="B7" s="970"/>
      <c r="C7" s="971"/>
      <c r="D7" s="971"/>
      <c r="E7" s="971"/>
      <c r="F7" s="971"/>
      <c r="G7" s="971"/>
      <c r="H7" s="972"/>
      <c r="I7" s="970"/>
      <c r="J7" s="971"/>
      <c r="K7" s="971"/>
      <c r="L7" s="971"/>
      <c r="M7" s="971"/>
      <c r="N7" s="971"/>
      <c r="O7" s="972"/>
      <c r="P7" s="970"/>
      <c r="Q7" s="971"/>
      <c r="R7" s="971"/>
      <c r="S7" s="971"/>
      <c r="T7" s="971"/>
      <c r="U7" s="971"/>
      <c r="V7" s="972"/>
      <c r="W7" s="629"/>
      <c r="X7" s="1033"/>
      <c r="Y7" s="1034"/>
      <c r="Z7" s="1034"/>
      <c r="AA7" s="1034"/>
      <c r="AB7" s="1034"/>
      <c r="AC7" s="1034"/>
      <c r="AD7" s="1035"/>
      <c r="AE7" s="1033"/>
      <c r="AF7" s="1034"/>
      <c r="AG7" s="1034"/>
      <c r="AH7" s="1034"/>
      <c r="AI7" s="1034"/>
      <c r="AJ7" s="1034"/>
      <c r="AK7" s="1035"/>
      <c r="AL7" s="1033"/>
      <c r="AM7" s="1034"/>
      <c r="AN7" s="1034"/>
      <c r="AO7" s="1034"/>
      <c r="AP7" s="1034"/>
      <c r="AQ7" s="1034"/>
      <c r="AR7" s="1035"/>
      <c r="AS7" s="629"/>
      <c r="AT7" s="1015"/>
      <c r="AU7" s="1016"/>
      <c r="AV7" s="1016"/>
      <c r="AW7" s="1016"/>
      <c r="AX7" s="1016"/>
      <c r="AY7" s="1016"/>
      <c r="AZ7" s="1017"/>
      <c r="BA7" s="1015"/>
      <c r="BB7" s="1016"/>
      <c r="BC7" s="1016"/>
      <c r="BD7" s="1016"/>
      <c r="BE7" s="1016"/>
      <c r="BF7" s="1016"/>
      <c r="BG7" s="1017"/>
      <c r="BH7" s="1015"/>
      <c r="BI7" s="1016"/>
      <c r="BJ7" s="1016"/>
      <c r="BK7" s="1016"/>
      <c r="BL7" s="1016"/>
      <c r="BM7" s="1016"/>
      <c r="BN7" s="1017"/>
      <c r="BO7" s="622"/>
    </row>
    <row r="8" spans="1:67" ht="17.25">
      <c r="A8" s="622"/>
      <c r="B8" s="970"/>
      <c r="C8" s="971"/>
      <c r="D8" s="971"/>
      <c r="E8" s="971"/>
      <c r="F8" s="971"/>
      <c r="G8" s="971"/>
      <c r="H8" s="972"/>
      <c r="I8" s="970"/>
      <c r="J8" s="971"/>
      <c r="K8" s="971"/>
      <c r="L8" s="971"/>
      <c r="M8" s="971"/>
      <c r="N8" s="971"/>
      <c r="O8" s="972"/>
      <c r="P8" s="970"/>
      <c r="Q8" s="971"/>
      <c r="R8" s="971"/>
      <c r="S8" s="971"/>
      <c r="T8" s="971"/>
      <c r="U8" s="971"/>
      <c r="V8" s="972"/>
      <c r="W8" s="629"/>
      <c r="X8" s="1033"/>
      <c r="Y8" s="1034"/>
      <c r="Z8" s="1034"/>
      <c r="AA8" s="1034"/>
      <c r="AB8" s="1034"/>
      <c r="AC8" s="1034"/>
      <c r="AD8" s="1035"/>
      <c r="AE8" s="1033"/>
      <c r="AF8" s="1034"/>
      <c r="AG8" s="1034"/>
      <c r="AH8" s="1034"/>
      <c r="AI8" s="1034"/>
      <c r="AJ8" s="1034"/>
      <c r="AK8" s="1035"/>
      <c r="AL8" s="1033"/>
      <c r="AM8" s="1034"/>
      <c r="AN8" s="1034"/>
      <c r="AO8" s="1034"/>
      <c r="AP8" s="1034"/>
      <c r="AQ8" s="1034"/>
      <c r="AR8" s="1035"/>
      <c r="AS8" s="629"/>
      <c r="AT8" s="1015"/>
      <c r="AU8" s="1016"/>
      <c r="AV8" s="1016"/>
      <c r="AW8" s="1016"/>
      <c r="AX8" s="1016"/>
      <c r="AY8" s="1016"/>
      <c r="AZ8" s="1017"/>
      <c r="BA8" s="1015"/>
      <c r="BB8" s="1016"/>
      <c r="BC8" s="1016"/>
      <c r="BD8" s="1016"/>
      <c r="BE8" s="1016"/>
      <c r="BF8" s="1016"/>
      <c r="BG8" s="1017"/>
      <c r="BH8" s="1015"/>
      <c r="BI8" s="1016"/>
      <c r="BJ8" s="1016"/>
      <c r="BK8" s="1016"/>
      <c r="BL8" s="1016"/>
      <c r="BM8" s="1016"/>
      <c r="BN8" s="1017"/>
      <c r="BO8" s="622"/>
    </row>
    <row r="9" spans="1:67" ht="17.25">
      <c r="A9" s="622"/>
      <c r="B9" s="970"/>
      <c r="C9" s="971"/>
      <c r="D9" s="971"/>
      <c r="E9" s="971"/>
      <c r="F9" s="971"/>
      <c r="G9" s="971"/>
      <c r="H9" s="972"/>
      <c r="I9" s="970"/>
      <c r="J9" s="971"/>
      <c r="K9" s="971"/>
      <c r="L9" s="971"/>
      <c r="M9" s="971"/>
      <c r="N9" s="971"/>
      <c r="O9" s="972"/>
      <c r="P9" s="970"/>
      <c r="Q9" s="971"/>
      <c r="R9" s="971"/>
      <c r="S9" s="971"/>
      <c r="T9" s="971"/>
      <c r="U9" s="971"/>
      <c r="V9" s="972"/>
      <c r="W9" s="629"/>
      <c r="X9" s="1033"/>
      <c r="Y9" s="1034"/>
      <c r="Z9" s="1034"/>
      <c r="AA9" s="1034"/>
      <c r="AB9" s="1034"/>
      <c r="AC9" s="1034"/>
      <c r="AD9" s="1035"/>
      <c r="AE9" s="1033"/>
      <c r="AF9" s="1034"/>
      <c r="AG9" s="1034"/>
      <c r="AH9" s="1034"/>
      <c r="AI9" s="1034"/>
      <c r="AJ9" s="1034"/>
      <c r="AK9" s="1035"/>
      <c r="AL9" s="1033"/>
      <c r="AM9" s="1034"/>
      <c r="AN9" s="1034"/>
      <c r="AO9" s="1034"/>
      <c r="AP9" s="1034"/>
      <c r="AQ9" s="1034"/>
      <c r="AR9" s="1035"/>
      <c r="AS9" s="629"/>
      <c r="AT9" s="1015"/>
      <c r="AU9" s="1016"/>
      <c r="AV9" s="1016"/>
      <c r="AW9" s="1016"/>
      <c r="AX9" s="1016"/>
      <c r="AY9" s="1016"/>
      <c r="AZ9" s="1017"/>
      <c r="BA9" s="1015"/>
      <c r="BB9" s="1016"/>
      <c r="BC9" s="1016"/>
      <c r="BD9" s="1016"/>
      <c r="BE9" s="1016"/>
      <c r="BF9" s="1016"/>
      <c r="BG9" s="1017"/>
      <c r="BH9" s="1015"/>
      <c r="BI9" s="1016"/>
      <c r="BJ9" s="1016"/>
      <c r="BK9" s="1016"/>
      <c r="BL9" s="1016"/>
      <c r="BM9" s="1016"/>
      <c r="BN9" s="1017"/>
      <c r="BO9" s="622"/>
    </row>
    <row r="10" spans="1:67" ht="17.25">
      <c r="A10" s="622"/>
      <c r="B10" s="970"/>
      <c r="C10" s="971"/>
      <c r="D10" s="971"/>
      <c r="E10" s="971"/>
      <c r="F10" s="971"/>
      <c r="G10" s="971"/>
      <c r="H10" s="972"/>
      <c r="I10" s="970"/>
      <c r="J10" s="971"/>
      <c r="K10" s="971"/>
      <c r="L10" s="971"/>
      <c r="M10" s="971"/>
      <c r="N10" s="971"/>
      <c r="O10" s="972"/>
      <c r="P10" s="970"/>
      <c r="Q10" s="971"/>
      <c r="R10" s="971"/>
      <c r="S10" s="971"/>
      <c r="T10" s="971"/>
      <c r="U10" s="971"/>
      <c r="V10" s="972"/>
      <c r="W10" s="629"/>
      <c r="X10" s="1033"/>
      <c r="Y10" s="1034"/>
      <c r="Z10" s="1034"/>
      <c r="AA10" s="1034"/>
      <c r="AB10" s="1034"/>
      <c r="AC10" s="1034"/>
      <c r="AD10" s="1035"/>
      <c r="AE10" s="1033"/>
      <c r="AF10" s="1034"/>
      <c r="AG10" s="1034"/>
      <c r="AH10" s="1034"/>
      <c r="AI10" s="1034"/>
      <c r="AJ10" s="1034"/>
      <c r="AK10" s="1035"/>
      <c r="AL10" s="1033"/>
      <c r="AM10" s="1034"/>
      <c r="AN10" s="1034"/>
      <c r="AO10" s="1034"/>
      <c r="AP10" s="1034"/>
      <c r="AQ10" s="1034"/>
      <c r="AR10" s="1035"/>
      <c r="AS10" s="629"/>
      <c r="AT10" s="1015"/>
      <c r="AU10" s="1016"/>
      <c r="AV10" s="1016"/>
      <c r="AW10" s="1016"/>
      <c r="AX10" s="1016"/>
      <c r="AY10" s="1016"/>
      <c r="AZ10" s="1017"/>
      <c r="BA10" s="1015"/>
      <c r="BB10" s="1016"/>
      <c r="BC10" s="1016"/>
      <c r="BD10" s="1016"/>
      <c r="BE10" s="1016"/>
      <c r="BF10" s="1016"/>
      <c r="BG10" s="1017"/>
      <c r="BH10" s="1015"/>
      <c r="BI10" s="1016"/>
      <c r="BJ10" s="1016"/>
      <c r="BK10" s="1016"/>
      <c r="BL10" s="1016"/>
      <c r="BM10" s="1016"/>
      <c r="BN10" s="1017"/>
      <c r="BO10" s="622"/>
    </row>
    <row r="11" spans="1:67" ht="17.25">
      <c r="A11" s="622"/>
      <c r="B11" s="970"/>
      <c r="C11" s="971"/>
      <c r="D11" s="971"/>
      <c r="E11" s="971"/>
      <c r="F11" s="971"/>
      <c r="G11" s="971"/>
      <c r="H11" s="972"/>
      <c r="I11" s="970"/>
      <c r="J11" s="971"/>
      <c r="K11" s="971"/>
      <c r="L11" s="971"/>
      <c r="M11" s="971"/>
      <c r="N11" s="971"/>
      <c r="O11" s="972"/>
      <c r="P11" s="970"/>
      <c r="Q11" s="971"/>
      <c r="R11" s="971"/>
      <c r="S11" s="971"/>
      <c r="T11" s="971"/>
      <c r="U11" s="971"/>
      <c r="V11" s="972"/>
      <c r="W11" s="629"/>
      <c r="X11" s="1033"/>
      <c r="Y11" s="1034"/>
      <c r="Z11" s="1034"/>
      <c r="AA11" s="1034"/>
      <c r="AB11" s="1034"/>
      <c r="AC11" s="1034"/>
      <c r="AD11" s="1035"/>
      <c r="AE11" s="1033"/>
      <c r="AF11" s="1034"/>
      <c r="AG11" s="1034"/>
      <c r="AH11" s="1034"/>
      <c r="AI11" s="1034"/>
      <c r="AJ11" s="1034"/>
      <c r="AK11" s="1035"/>
      <c r="AL11" s="1033"/>
      <c r="AM11" s="1034"/>
      <c r="AN11" s="1034"/>
      <c r="AO11" s="1034"/>
      <c r="AP11" s="1034"/>
      <c r="AQ11" s="1034"/>
      <c r="AR11" s="1035"/>
      <c r="AS11" s="629"/>
      <c r="AT11" s="1015"/>
      <c r="AU11" s="1016"/>
      <c r="AV11" s="1016"/>
      <c r="AW11" s="1016"/>
      <c r="AX11" s="1016"/>
      <c r="AY11" s="1016"/>
      <c r="AZ11" s="1017"/>
      <c r="BA11" s="1015"/>
      <c r="BB11" s="1016"/>
      <c r="BC11" s="1016"/>
      <c r="BD11" s="1016"/>
      <c r="BE11" s="1016"/>
      <c r="BF11" s="1016"/>
      <c r="BG11" s="1017"/>
      <c r="BH11" s="1015"/>
      <c r="BI11" s="1016"/>
      <c r="BJ11" s="1016"/>
      <c r="BK11" s="1016"/>
      <c r="BL11" s="1016"/>
      <c r="BM11" s="1016"/>
      <c r="BN11" s="1017"/>
      <c r="BO11" s="622"/>
    </row>
    <row r="12" spans="1:67" ht="18" thickBot="1">
      <c r="A12" s="622"/>
      <c r="B12" s="973"/>
      <c r="C12" s="974"/>
      <c r="D12" s="974"/>
      <c r="E12" s="974"/>
      <c r="F12" s="974"/>
      <c r="G12" s="974"/>
      <c r="H12" s="975"/>
      <c r="I12" s="973"/>
      <c r="J12" s="974"/>
      <c r="K12" s="974"/>
      <c r="L12" s="974"/>
      <c r="M12" s="974"/>
      <c r="N12" s="974"/>
      <c r="O12" s="975"/>
      <c r="P12" s="973"/>
      <c r="Q12" s="974"/>
      <c r="R12" s="974"/>
      <c r="S12" s="974"/>
      <c r="T12" s="974"/>
      <c r="U12" s="974"/>
      <c r="V12" s="975"/>
      <c r="W12" s="629"/>
      <c r="X12" s="1036"/>
      <c r="Y12" s="1037"/>
      <c r="Z12" s="1037"/>
      <c r="AA12" s="1037"/>
      <c r="AB12" s="1037"/>
      <c r="AC12" s="1037"/>
      <c r="AD12" s="1038"/>
      <c r="AE12" s="1036"/>
      <c r="AF12" s="1037"/>
      <c r="AG12" s="1037"/>
      <c r="AH12" s="1037"/>
      <c r="AI12" s="1037"/>
      <c r="AJ12" s="1037"/>
      <c r="AK12" s="1038"/>
      <c r="AL12" s="1036"/>
      <c r="AM12" s="1037"/>
      <c r="AN12" s="1037"/>
      <c r="AO12" s="1037"/>
      <c r="AP12" s="1037"/>
      <c r="AQ12" s="1037"/>
      <c r="AR12" s="1038"/>
      <c r="AS12" s="629"/>
      <c r="AT12" s="1018"/>
      <c r="AU12" s="1019"/>
      <c r="AV12" s="1019"/>
      <c r="AW12" s="1019"/>
      <c r="AX12" s="1019"/>
      <c r="AY12" s="1019"/>
      <c r="AZ12" s="1020"/>
      <c r="BA12" s="1018"/>
      <c r="BB12" s="1019"/>
      <c r="BC12" s="1019"/>
      <c r="BD12" s="1019"/>
      <c r="BE12" s="1019"/>
      <c r="BF12" s="1019"/>
      <c r="BG12" s="1020"/>
      <c r="BH12" s="1018"/>
      <c r="BI12" s="1019"/>
      <c r="BJ12" s="1019"/>
      <c r="BK12" s="1019"/>
      <c r="BL12" s="1019"/>
      <c r="BM12" s="1019"/>
      <c r="BN12" s="1020"/>
      <c r="BO12" s="622"/>
    </row>
    <row r="13" spans="1:67" ht="17.25">
      <c r="A13" s="622"/>
      <c r="B13" s="967"/>
      <c r="C13" s="968"/>
      <c r="D13" s="968"/>
      <c r="E13" s="968"/>
      <c r="F13" s="968"/>
      <c r="G13" s="968"/>
      <c r="H13" s="969"/>
      <c r="I13" s="994" t="s">
        <v>1710</v>
      </c>
      <c r="J13" s="995"/>
      <c r="K13" s="995"/>
      <c r="L13" s="995"/>
      <c r="M13" s="995"/>
      <c r="N13" s="995"/>
      <c r="O13" s="996"/>
      <c r="P13" s="967"/>
      <c r="Q13" s="968"/>
      <c r="R13" s="968"/>
      <c r="S13" s="968"/>
      <c r="T13" s="968"/>
      <c r="U13" s="968"/>
      <c r="V13" s="969"/>
      <c r="W13" s="629"/>
      <c r="X13" s="1021"/>
      <c r="Y13" s="1022"/>
      <c r="Z13" s="1022"/>
      <c r="AA13" s="1022"/>
      <c r="AB13" s="1022"/>
      <c r="AC13" s="1022"/>
      <c r="AD13" s="1023"/>
      <c r="AE13" s="1024" t="s">
        <v>1710</v>
      </c>
      <c r="AF13" s="1025"/>
      <c r="AG13" s="1025"/>
      <c r="AH13" s="1025"/>
      <c r="AI13" s="1025"/>
      <c r="AJ13" s="1025"/>
      <c r="AK13" s="1026"/>
      <c r="AL13" s="1021"/>
      <c r="AM13" s="1022"/>
      <c r="AN13" s="1022"/>
      <c r="AO13" s="1022"/>
      <c r="AP13" s="1022"/>
      <c r="AQ13" s="1022"/>
      <c r="AR13" s="1023"/>
      <c r="AS13" s="629"/>
      <c r="AT13" s="1012"/>
      <c r="AU13" s="1013"/>
      <c r="AV13" s="1013"/>
      <c r="AW13" s="1013"/>
      <c r="AX13" s="1013"/>
      <c r="AY13" s="1013"/>
      <c r="AZ13" s="1014"/>
      <c r="BA13" s="1039" t="s">
        <v>1710</v>
      </c>
      <c r="BB13" s="1040"/>
      <c r="BC13" s="1040"/>
      <c r="BD13" s="1040"/>
      <c r="BE13" s="1040"/>
      <c r="BF13" s="1040"/>
      <c r="BG13" s="1041"/>
      <c r="BH13" s="1012"/>
      <c r="BI13" s="1013"/>
      <c r="BJ13" s="1013"/>
      <c r="BK13" s="1013"/>
      <c r="BL13" s="1013"/>
      <c r="BM13" s="1013"/>
      <c r="BN13" s="1014"/>
      <c r="BO13" s="622"/>
    </row>
    <row r="14" spans="1:67" ht="17.25">
      <c r="A14" s="622"/>
      <c r="B14" s="970"/>
      <c r="C14" s="971"/>
      <c r="D14" s="971"/>
      <c r="E14" s="971"/>
      <c r="F14" s="971"/>
      <c r="G14" s="971"/>
      <c r="H14" s="972"/>
      <c r="I14" s="997"/>
      <c r="J14" s="998"/>
      <c r="K14" s="998"/>
      <c r="L14" s="998"/>
      <c r="M14" s="998"/>
      <c r="N14" s="998"/>
      <c r="O14" s="999"/>
      <c r="P14" s="970"/>
      <c r="Q14" s="971"/>
      <c r="R14" s="971"/>
      <c r="S14" s="971"/>
      <c r="T14" s="971"/>
      <c r="U14" s="971"/>
      <c r="V14" s="972"/>
      <c r="W14" s="629"/>
      <c r="X14" s="1033"/>
      <c r="Y14" s="1034"/>
      <c r="Z14" s="1034"/>
      <c r="AA14" s="1034"/>
      <c r="AB14" s="1034"/>
      <c r="AC14" s="1034"/>
      <c r="AD14" s="1035"/>
      <c r="AE14" s="1027"/>
      <c r="AF14" s="1028"/>
      <c r="AG14" s="1028"/>
      <c r="AH14" s="1028"/>
      <c r="AI14" s="1028"/>
      <c r="AJ14" s="1028"/>
      <c r="AK14" s="1029"/>
      <c r="AL14" s="1033"/>
      <c r="AM14" s="1034"/>
      <c r="AN14" s="1034"/>
      <c r="AO14" s="1034"/>
      <c r="AP14" s="1034"/>
      <c r="AQ14" s="1034"/>
      <c r="AR14" s="1035"/>
      <c r="AS14" s="629"/>
      <c r="AT14" s="1015"/>
      <c r="AU14" s="1016"/>
      <c r="AV14" s="1016"/>
      <c r="AW14" s="1016"/>
      <c r="AX14" s="1016"/>
      <c r="AY14" s="1016"/>
      <c r="AZ14" s="1017"/>
      <c r="BA14" s="1042"/>
      <c r="BB14" s="1043"/>
      <c r="BC14" s="1043"/>
      <c r="BD14" s="1043"/>
      <c r="BE14" s="1043"/>
      <c r="BF14" s="1043"/>
      <c r="BG14" s="1044"/>
      <c r="BH14" s="1015"/>
      <c r="BI14" s="1016"/>
      <c r="BJ14" s="1016"/>
      <c r="BK14" s="1016"/>
      <c r="BL14" s="1016"/>
      <c r="BM14" s="1016"/>
      <c r="BN14" s="1017"/>
      <c r="BO14" s="622"/>
    </row>
    <row r="15" spans="1:67" ht="17.25">
      <c r="A15" s="622"/>
      <c r="B15" s="970"/>
      <c r="C15" s="971"/>
      <c r="D15" s="971"/>
      <c r="E15" s="971"/>
      <c r="F15" s="971"/>
      <c r="G15" s="971"/>
      <c r="H15" s="972"/>
      <c r="I15" s="997"/>
      <c r="J15" s="998"/>
      <c r="K15" s="998"/>
      <c r="L15" s="998"/>
      <c r="M15" s="998"/>
      <c r="N15" s="998"/>
      <c r="O15" s="999"/>
      <c r="P15" s="970"/>
      <c r="Q15" s="971"/>
      <c r="R15" s="971"/>
      <c r="S15" s="971"/>
      <c r="T15" s="971"/>
      <c r="U15" s="971"/>
      <c r="V15" s="972"/>
      <c r="W15" s="629"/>
      <c r="X15" s="1033"/>
      <c r="Y15" s="1034"/>
      <c r="Z15" s="1034"/>
      <c r="AA15" s="1034"/>
      <c r="AB15" s="1034"/>
      <c r="AC15" s="1034"/>
      <c r="AD15" s="1035"/>
      <c r="AE15" s="1027"/>
      <c r="AF15" s="1028"/>
      <c r="AG15" s="1028"/>
      <c r="AH15" s="1028"/>
      <c r="AI15" s="1028"/>
      <c r="AJ15" s="1028"/>
      <c r="AK15" s="1029"/>
      <c r="AL15" s="1033"/>
      <c r="AM15" s="1034"/>
      <c r="AN15" s="1034"/>
      <c r="AO15" s="1034"/>
      <c r="AP15" s="1034"/>
      <c r="AQ15" s="1034"/>
      <c r="AR15" s="1035"/>
      <c r="AS15" s="629"/>
      <c r="AT15" s="1015"/>
      <c r="AU15" s="1016"/>
      <c r="AV15" s="1016"/>
      <c r="AW15" s="1016"/>
      <c r="AX15" s="1016"/>
      <c r="AY15" s="1016"/>
      <c r="AZ15" s="1017"/>
      <c r="BA15" s="1042"/>
      <c r="BB15" s="1043"/>
      <c r="BC15" s="1043"/>
      <c r="BD15" s="1043"/>
      <c r="BE15" s="1043"/>
      <c r="BF15" s="1043"/>
      <c r="BG15" s="1044"/>
      <c r="BH15" s="1015"/>
      <c r="BI15" s="1016"/>
      <c r="BJ15" s="1016"/>
      <c r="BK15" s="1016"/>
      <c r="BL15" s="1016"/>
      <c r="BM15" s="1016"/>
      <c r="BN15" s="1017"/>
      <c r="BO15" s="622"/>
    </row>
    <row r="16" spans="1:67" ht="17.25">
      <c r="A16" s="622"/>
      <c r="B16" s="970"/>
      <c r="C16" s="971"/>
      <c r="D16" s="971"/>
      <c r="E16" s="971"/>
      <c r="F16" s="971"/>
      <c r="G16" s="971"/>
      <c r="H16" s="972"/>
      <c r="I16" s="997"/>
      <c r="J16" s="998"/>
      <c r="K16" s="998"/>
      <c r="L16" s="998"/>
      <c r="M16" s="998"/>
      <c r="N16" s="998"/>
      <c r="O16" s="999"/>
      <c r="P16" s="970"/>
      <c r="Q16" s="971"/>
      <c r="R16" s="971"/>
      <c r="S16" s="971"/>
      <c r="T16" s="971"/>
      <c r="U16" s="971"/>
      <c r="V16" s="972"/>
      <c r="W16" s="629"/>
      <c r="X16" s="1033"/>
      <c r="Y16" s="1034"/>
      <c r="Z16" s="1034"/>
      <c r="AA16" s="1034"/>
      <c r="AB16" s="1034"/>
      <c r="AC16" s="1034"/>
      <c r="AD16" s="1035"/>
      <c r="AE16" s="1027"/>
      <c r="AF16" s="1028"/>
      <c r="AG16" s="1028"/>
      <c r="AH16" s="1028"/>
      <c r="AI16" s="1028"/>
      <c r="AJ16" s="1028"/>
      <c r="AK16" s="1029"/>
      <c r="AL16" s="1033"/>
      <c r="AM16" s="1034"/>
      <c r="AN16" s="1034"/>
      <c r="AO16" s="1034"/>
      <c r="AP16" s="1034"/>
      <c r="AQ16" s="1034"/>
      <c r="AR16" s="1035"/>
      <c r="AS16" s="629"/>
      <c r="AT16" s="1015"/>
      <c r="AU16" s="1016"/>
      <c r="AV16" s="1016"/>
      <c r="AW16" s="1016"/>
      <c r="AX16" s="1016"/>
      <c r="AY16" s="1016"/>
      <c r="AZ16" s="1017"/>
      <c r="BA16" s="1042"/>
      <c r="BB16" s="1043"/>
      <c r="BC16" s="1043"/>
      <c r="BD16" s="1043"/>
      <c r="BE16" s="1043"/>
      <c r="BF16" s="1043"/>
      <c r="BG16" s="1044"/>
      <c r="BH16" s="1015"/>
      <c r="BI16" s="1016"/>
      <c r="BJ16" s="1016"/>
      <c r="BK16" s="1016"/>
      <c r="BL16" s="1016"/>
      <c r="BM16" s="1016"/>
      <c r="BN16" s="1017"/>
      <c r="BO16" s="622"/>
    </row>
    <row r="17" spans="1:67" ht="17.25">
      <c r="A17" s="622"/>
      <c r="B17" s="970"/>
      <c r="C17" s="971"/>
      <c r="D17" s="971"/>
      <c r="E17" s="971"/>
      <c r="F17" s="971"/>
      <c r="G17" s="971"/>
      <c r="H17" s="972"/>
      <c r="I17" s="997"/>
      <c r="J17" s="998"/>
      <c r="K17" s="998"/>
      <c r="L17" s="998"/>
      <c r="M17" s="998"/>
      <c r="N17" s="998"/>
      <c r="O17" s="999"/>
      <c r="P17" s="970"/>
      <c r="Q17" s="971"/>
      <c r="R17" s="971"/>
      <c r="S17" s="971"/>
      <c r="T17" s="971"/>
      <c r="U17" s="971"/>
      <c r="V17" s="972"/>
      <c r="W17" s="629"/>
      <c r="X17" s="1033"/>
      <c r="Y17" s="1034"/>
      <c r="Z17" s="1034"/>
      <c r="AA17" s="1034"/>
      <c r="AB17" s="1034"/>
      <c r="AC17" s="1034"/>
      <c r="AD17" s="1035"/>
      <c r="AE17" s="1027"/>
      <c r="AF17" s="1028"/>
      <c r="AG17" s="1028"/>
      <c r="AH17" s="1028"/>
      <c r="AI17" s="1028"/>
      <c r="AJ17" s="1028"/>
      <c r="AK17" s="1029"/>
      <c r="AL17" s="1033"/>
      <c r="AM17" s="1034"/>
      <c r="AN17" s="1034"/>
      <c r="AO17" s="1034"/>
      <c r="AP17" s="1034"/>
      <c r="AQ17" s="1034"/>
      <c r="AR17" s="1035"/>
      <c r="AS17" s="629"/>
      <c r="AT17" s="1015"/>
      <c r="AU17" s="1016"/>
      <c r="AV17" s="1016"/>
      <c r="AW17" s="1016"/>
      <c r="AX17" s="1016"/>
      <c r="AY17" s="1016"/>
      <c r="AZ17" s="1017"/>
      <c r="BA17" s="1042"/>
      <c r="BB17" s="1043"/>
      <c r="BC17" s="1043"/>
      <c r="BD17" s="1043"/>
      <c r="BE17" s="1043"/>
      <c r="BF17" s="1043"/>
      <c r="BG17" s="1044"/>
      <c r="BH17" s="1015"/>
      <c r="BI17" s="1016"/>
      <c r="BJ17" s="1016"/>
      <c r="BK17" s="1016"/>
      <c r="BL17" s="1016"/>
      <c r="BM17" s="1016"/>
      <c r="BN17" s="1017"/>
      <c r="BO17" s="622"/>
    </row>
    <row r="18" spans="1:67" ht="17.25">
      <c r="A18" s="622"/>
      <c r="B18" s="970"/>
      <c r="C18" s="971"/>
      <c r="D18" s="971"/>
      <c r="E18" s="971"/>
      <c r="F18" s="971"/>
      <c r="G18" s="971"/>
      <c r="H18" s="972"/>
      <c r="I18" s="997"/>
      <c r="J18" s="998"/>
      <c r="K18" s="998"/>
      <c r="L18" s="998"/>
      <c r="M18" s="998"/>
      <c r="N18" s="998"/>
      <c r="O18" s="999"/>
      <c r="P18" s="970"/>
      <c r="Q18" s="971"/>
      <c r="R18" s="971"/>
      <c r="S18" s="971"/>
      <c r="T18" s="971"/>
      <c r="U18" s="971"/>
      <c r="V18" s="972"/>
      <c r="W18" s="629"/>
      <c r="X18" s="1033"/>
      <c r="Y18" s="1034"/>
      <c r="Z18" s="1034"/>
      <c r="AA18" s="1034"/>
      <c r="AB18" s="1034"/>
      <c r="AC18" s="1034"/>
      <c r="AD18" s="1035"/>
      <c r="AE18" s="1027"/>
      <c r="AF18" s="1028"/>
      <c r="AG18" s="1028"/>
      <c r="AH18" s="1028"/>
      <c r="AI18" s="1028"/>
      <c r="AJ18" s="1028"/>
      <c r="AK18" s="1029"/>
      <c r="AL18" s="1033"/>
      <c r="AM18" s="1034"/>
      <c r="AN18" s="1034"/>
      <c r="AO18" s="1034"/>
      <c r="AP18" s="1034"/>
      <c r="AQ18" s="1034"/>
      <c r="AR18" s="1035"/>
      <c r="AS18" s="629"/>
      <c r="AT18" s="1015"/>
      <c r="AU18" s="1016"/>
      <c r="AV18" s="1016"/>
      <c r="AW18" s="1016"/>
      <c r="AX18" s="1016"/>
      <c r="AY18" s="1016"/>
      <c r="AZ18" s="1017"/>
      <c r="BA18" s="1042"/>
      <c r="BB18" s="1043"/>
      <c r="BC18" s="1043"/>
      <c r="BD18" s="1043"/>
      <c r="BE18" s="1043"/>
      <c r="BF18" s="1043"/>
      <c r="BG18" s="1044"/>
      <c r="BH18" s="1015"/>
      <c r="BI18" s="1016"/>
      <c r="BJ18" s="1016"/>
      <c r="BK18" s="1016"/>
      <c r="BL18" s="1016"/>
      <c r="BM18" s="1016"/>
      <c r="BN18" s="1017"/>
      <c r="BO18" s="622"/>
    </row>
    <row r="19" spans="1:67" ht="18" thickBot="1">
      <c r="A19" s="622"/>
      <c r="B19" s="973"/>
      <c r="C19" s="974"/>
      <c r="D19" s="974"/>
      <c r="E19" s="974"/>
      <c r="F19" s="974"/>
      <c r="G19" s="974"/>
      <c r="H19" s="975"/>
      <c r="I19" s="1000"/>
      <c r="J19" s="1001"/>
      <c r="K19" s="1001"/>
      <c r="L19" s="1001"/>
      <c r="M19" s="1001"/>
      <c r="N19" s="1001"/>
      <c r="O19" s="1002"/>
      <c r="P19" s="973"/>
      <c r="Q19" s="974"/>
      <c r="R19" s="974"/>
      <c r="S19" s="974"/>
      <c r="T19" s="974"/>
      <c r="U19" s="974"/>
      <c r="V19" s="975"/>
      <c r="W19" s="629"/>
      <c r="X19" s="1036"/>
      <c r="Y19" s="1037"/>
      <c r="Z19" s="1037"/>
      <c r="AA19" s="1037"/>
      <c r="AB19" s="1037"/>
      <c r="AC19" s="1037"/>
      <c r="AD19" s="1038"/>
      <c r="AE19" s="1030"/>
      <c r="AF19" s="1031"/>
      <c r="AG19" s="1031"/>
      <c r="AH19" s="1031"/>
      <c r="AI19" s="1031"/>
      <c r="AJ19" s="1031"/>
      <c r="AK19" s="1032"/>
      <c r="AL19" s="1036"/>
      <c r="AM19" s="1037"/>
      <c r="AN19" s="1037"/>
      <c r="AO19" s="1037"/>
      <c r="AP19" s="1037"/>
      <c r="AQ19" s="1037"/>
      <c r="AR19" s="1038"/>
      <c r="AS19" s="629"/>
      <c r="AT19" s="1018"/>
      <c r="AU19" s="1019"/>
      <c r="AV19" s="1019"/>
      <c r="AW19" s="1019"/>
      <c r="AX19" s="1019"/>
      <c r="AY19" s="1019"/>
      <c r="AZ19" s="1020"/>
      <c r="BA19" s="1045"/>
      <c r="BB19" s="1046"/>
      <c r="BC19" s="1046"/>
      <c r="BD19" s="1046"/>
      <c r="BE19" s="1046"/>
      <c r="BF19" s="1046"/>
      <c r="BG19" s="1047"/>
      <c r="BH19" s="1018"/>
      <c r="BI19" s="1019"/>
      <c r="BJ19" s="1019"/>
      <c r="BK19" s="1019"/>
      <c r="BL19" s="1019"/>
      <c r="BM19" s="1019"/>
      <c r="BN19" s="1020"/>
      <c r="BO19" s="622"/>
    </row>
    <row r="20" spans="1:67" ht="17.25">
      <c r="A20" s="622"/>
      <c r="B20" s="967"/>
      <c r="C20" s="968"/>
      <c r="D20" s="968"/>
      <c r="E20" s="968"/>
      <c r="F20" s="968"/>
      <c r="G20" s="968"/>
      <c r="H20" s="969"/>
      <c r="I20" s="967"/>
      <c r="J20" s="968"/>
      <c r="K20" s="968"/>
      <c r="L20" s="968"/>
      <c r="M20" s="968"/>
      <c r="N20" s="968"/>
      <c r="O20" s="969"/>
      <c r="P20" s="967"/>
      <c r="Q20" s="968"/>
      <c r="R20" s="968"/>
      <c r="S20" s="968"/>
      <c r="T20" s="968"/>
      <c r="U20" s="968"/>
      <c r="V20" s="969"/>
      <c r="W20" s="629"/>
      <c r="X20" s="1021"/>
      <c r="Y20" s="1022"/>
      <c r="Z20" s="1022"/>
      <c r="AA20" s="1022"/>
      <c r="AB20" s="1022"/>
      <c r="AC20" s="1022"/>
      <c r="AD20" s="1023"/>
      <c r="AE20" s="1021"/>
      <c r="AF20" s="1022"/>
      <c r="AG20" s="1022"/>
      <c r="AH20" s="1022"/>
      <c r="AI20" s="1022"/>
      <c r="AJ20" s="1022"/>
      <c r="AK20" s="1023"/>
      <c r="AL20" s="1021"/>
      <c r="AM20" s="1022"/>
      <c r="AN20" s="1022"/>
      <c r="AO20" s="1022"/>
      <c r="AP20" s="1022"/>
      <c r="AQ20" s="1022"/>
      <c r="AR20" s="1023"/>
      <c r="AS20" s="629"/>
      <c r="AT20" s="1012"/>
      <c r="AU20" s="1013"/>
      <c r="AV20" s="1013"/>
      <c r="AW20" s="1013"/>
      <c r="AX20" s="1013"/>
      <c r="AY20" s="1013"/>
      <c r="AZ20" s="1014"/>
      <c r="BA20" s="1012"/>
      <c r="BB20" s="1013"/>
      <c r="BC20" s="1013"/>
      <c r="BD20" s="1013"/>
      <c r="BE20" s="1013"/>
      <c r="BF20" s="1013"/>
      <c r="BG20" s="1014"/>
      <c r="BH20" s="1012"/>
      <c r="BI20" s="1013"/>
      <c r="BJ20" s="1013"/>
      <c r="BK20" s="1013"/>
      <c r="BL20" s="1013"/>
      <c r="BM20" s="1013"/>
      <c r="BN20" s="1014"/>
      <c r="BO20" s="622"/>
    </row>
    <row r="21" spans="1:67" ht="17.25">
      <c r="A21" s="622"/>
      <c r="B21" s="970"/>
      <c r="C21" s="971"/>
      <c r="D21" s="971"/>
      <c r="E21" s="971"/>
      <c r="F21" s="971"/>
      <c r="G21" s="971"/>
      <c r="H21" s="972"/>
      <c r="I21" s="970"/>
      <c r="J21" s="971"/>
      <c r="K21" s="971"/>
      <c r="L21" s="971"/>
      <c r="M21" s="971"/>
      <c r="N21" s="971"/>
      <c r="O21" s="972"/>
      <c r="P21" s="970"/>
      <c r="Q21" s="971"/>
      <c r="R21" s="971"/>
      <c r="S21" s="971"/>
      <c r="T21" s="971"/>
      <c r="U21" s="971"/>
      <c r="V21" s="972"/>
      <c r="W21" s="629"/>
      <c r="X21" s="1033"/>
      <c r="Y21" s="1034"/>
      <c r="Z21" s="1034"/>
      <c r="AA21" s="1034"/>
      <c r="AB21" s="1034"/>
      <c r="AC21" s="1034"/>
      <c r="AD21" s="1035"/>
      <c r="AE21" s="1033"/>
      <c r="AF21" s="1034"/>
      <c r="AG21" s="1034"/>
      <c r="AH21" s="1034"/>
      <c r="AI21" s="1034"/>
      <c r="AJ21" s="1034"/>
      <c r="AK21" s="1035"/>
      <c r="AL21" s="1033"/>
      <c r="AM21" s="1034"/>
      <c r="AN21" s="1034"/>
      <c r="AO21" s="1034"/>
      <c r="AP21" s="1034"/>
      <c r="AQ21" s="1034"/>
      <c r="AR21" s="1035"/>
      <c r="AS21" s="629"/>
      <c r="AT21" s="1015"/>
      <c r="AU21" s="1016"/>
      <c r="AV21" s="1016"/>
      <c r="AW21" s="1016"/>
      <c r="AX21" s="1016"/>
      <c r="AY21" s="1016"/>
      <c r="AZ21" s="1017"/>
      <c r="BA21" s="1015"/>
      <c r="BB21" s="1016"/>
      <c r="BC21" s="1016"/>
      <c r="BD21" s="1016"/>
      <c r="BE21" s="1016"/>
      <c r="BF21" s="1016"/>
      <c r="BG21" s="1017"/>
      <c r="BH21" s="1015"/>
      <c r="BI21" s="1016"/>
      <c r="BJ21" s="1016"/>
      <c r="BK21" s="1016"/>
      <c r="BL21" s="1016"/>
      <c r="BM21" s="1016"/>
      <c r="BN21" s="1017"/>
      <c r="BO21" s="622"/>
    </row>
    <row r="22" spans="1:67" ht="17.25">
      <c r="A22" s="622"/>
      <c r="B22" s="970"/>
      <c r="C22" s="971"/>
      <c r="D22" s="971"/>
      <c r="E22" s="971"/>
      <c r="F22" s="971"/>
      <c r="G22" s="971"/>
      <c r="H22" s="972"/>
      <c r="I22" s="970"/>
      <c r="J22" s="971"/>
      <c r="K22" s="971"/>
      <c r="L22" s="971"/>
      <c r="M22" s="971"/>
      <c r="N22" s="971"/>
      <c r="O22" s="972"/>
      <c r="P22" s="970"/>
      <c r="Q22" s="971"/>
      <c r="R22" s="971"/>
      <c r="S22" s="971"/>
      <c r="T22" s="971"/>
      <c r="U22" s="971"/>
      <c r="V22" s="972"/>
      <c r="W22" s="629"/>
      <c r="X22" s="1033"/>
      <c r="Y22" s="1034"/>
      <c r="Z22" s="1034"/>
      <c r="AA22" s="1034"/>
      <c r="AB22" s="1034"/>
      <c r="AC22" s="1034"/>
      <c r="AD22" s="1035"/>
      <c r="AE22" s="1033"/>
      <c r="AF22" s="1034"/>
      <c r="AG22" s="1034"/>
      <c r="AH22" s="1034"/>
      <c r="AI22" s="1034"/>
      <c r="AJ22" s="1034"/>
      <c r="AK22" s="1035"/>
      <c r="AL22" s="1033"/>
      <c r="AM22" s="1034"/>
      <c r="AN22" s="1034"/>
      <c r="AO22" s="1034"/>
      <c r="AP22" s="1034"/>
      <c r="AQ22" s="1034"/>
      <c r="AR22" s="1035"/>
      <c r="AS22" s="629"/>
      <c r="AT22" s="1015"/>
      <c r="AU22" s="1016"/>
      <c r="AV22" s="1016"/>
      <c r="AW22" s="1016"/>
      <c r="AX22" s="1016"/>
      <c r="AY22" s="1016"/>
      <c r="AZ22" s="1017"/>
      <c r="BA22" s="1015"/>
      <c r="BB22" s="1016"/>
      <c r="BC22" s="1016"/>
      <c r="BD22" s="1016"/>
      <c r="BE22" s="1016"/>
      <c r="BF22" s="1016"/>
      <c r="BG22" s="1017"/>
      <c r="BH22" s="1015"/>
      <c r="BI22" s="1016"/>
      <c r="BJ22" s="1016"/>
      <c r="BK22" s="1016"/>
      <c r="BL22" s="1016"/>
      <c r="BM22" s="1016"/>
      <c r="BN22" s="1017"/>
      <c r="BO22" s="622"/>
    </row>
    <row r="23" spans="1:67" ht="17.25">
      <c r="A23" s="622"/>
      <c r="B23" s="970"/>
      <c r="C23" s="971"/>
      <c r="D23" s="971"/>
      <c r="E23" s="971"/>
      <c r="F23" s="971"/>
      <c r="G23" s="971"/>
      <c r="H23" s="972"/>
      <c r="I23" s="970"/>
      <c r="J23" s="971"/>
      <c r="K23" s="971"/>
      <c r="L23" s="971"/>
      <c r="M23" s="971"/>
      <c r="N23" s="971"/>
      <c r="O23" s="972"/>
      <c r="P23" s="970"/>
      <c r="Q23" s="971"/>
      <c r="R23" s="971"/>
      <c r="S23" s="971"/>
      <c r="T23" s="971"/>
      <c r="U23" s="971"/>
      <c r="V23" s="972"/>
      <c r="W23" s="629"/>
      <c r="X23" s="1033"/>
      <c r="Y23" s="1034"/>
      <c r="Z23" s="1034"/>
      <c r="AA23" s="1034"/>
      <c r="AB23" s="1034"/>
      <c r="AC23" s="1034"/>
      <c r="AD23" s="1035"/>
      <c r="AE23" s="1033"/>
      <c r="AF23" s="1034"/>
      <c r="AG23" s="1034"/>
      <c r="AH23" s="1034"/>
      <c r="AI23" s="1034"/>
      <c r="AJ23" s="1034"/>
      <c r="AK23" s="1035"/>
      <c r="AL23" s="1033"/>
      <c r="AM23" s="1034"/>
      <c r="AN23" s="1034"/>
      <c r="AO23" s="1034"/>
      <c r="AP23" s="1034"/>
      <c r="AQ23" s="1034"/>
      <c r="AR23" s="1035"/>
      <c r="AS23" s="629"/>
      <c r="AT23" s="1015"/>
      <c r="AU23" s="1016"/>
      <c r="AV23" s="1016"/>
      <c r="AW23" s="1016"/>
      <c r="AX23" s="1016"/>
      <c r="AY23" s="1016"/>
      <c r="AZ23" s="1017"/>
      <c r="BA23" s="1015"/>
      <c r="BB23" s="1016"/>
      <c r="BC23" s="1016"/>
      <c r="BD23" s="1016"/>
      <c r="BE23" s="1016"/>
      <c r="BF23" s="1016"/>
      <c r="BG23" s="1017"/>
      <c r="BH23" s="1015"/>
      <c r="BI23" s="1016"/>
      <c r="BJ23" s="1016"/>
      <c r="BK23" s="1016"/>
      <c r="BL23" s="1016"/>
      <c r="BM23" s="1016"/>
      <c r="BN23" s="1017"/>
      <c r="BO23" s="622"/>
    </row>
    <row r="24" spans="1:67" ht="17.25">
      <c r="A24" s="622"/>
      <c r="B24" s="970"/>
      <c r="C24" s="971"/>
      <c r="D24" s="971"/>
      <c r="E24" s="971"/>
      <c r="F24" s="971"/>
      <c r="G24" s="971"/>
      <c r="H24" s="972"/>
      <c r="I24" s="970"/>
      <c r="J24" s="971"/>
      <c r="K24" s="971"/>
      <c r="L24" s="971"/>
      <c r="M24" s="971"/>
      <c r="N24" s="971"/>
      <c r="O24" s="972"/>
      <c r="P24" s="970"/>
      <c r="Q24" s="971"/>
      <c r="R24" s="971"/>
      <c r="S24" s="971"/>
      <c r="T24" s="971"/>
      <c r="U24" s="971"/>
      <c r="V24" s="972"/>
      <c r="W24" s="629"/>
      <c r="X24" s="1033"/>
      <c r="Y24" s="1034"/>
      <c r="Z24" s="1034"/>
      <c r="AA24" s="1034"/>
      <c r="AB24" s="1034"/>
      <c r="AC24" s="1034"/>
      <c r="AD24" s="1035"/>
      <c r="AE24" s="1033"/>
      <c r="AF24" s="1034"/>
      <c r="AG24" s="1034"/>
      <c r="AH24" s="1034"/>
      <c r="AI24" s="1034"/>
      <c r="AJ24" s="1034"/>
      <c r="AK24" s="1035"/>
      <c r="AL24" s="1033"/>
      <c r="AM24" s="1034"/>
      <c r="AN24" s="1034"/>
      <c r="AO24" s="1034"/>
      <c r="AP24" s="1034"/>
      <c r="AQ24" s="1034"/>
      <c r="AR24" s="1035"/>
      <c r="AS24" s="629"/>
      <c r="AT24" s="1015"/>
      <c r="AU24" s="1016"/>
      <c r="AV24" s="1016"/>
      <c r="AW24" s="1016"/>
      <c r="AX24" s="1016"/>
      <c r="AY24" s="1016"/>
      <c r="AZ24" s="1017"/>
      <c r="BA24" s="1015"/>
      <c r="BB24" s="1016"/>
      <c r="BC24" s="1016"/>
      <c r="BD24" s="1016"/>
      <c r="BE24" s="1016"/>
      <c r="BF24" s="1016"/>
      <c r="BG24" s="1017"/>
      <c r="BH24" s="1015"/>
      <c r="BI24" s="1016"/>
      <c r="BJ24" s="1016"/>
      <c r="BK24" s="1016"/>
      <c r="BL24" s="1016"/>
      <c r="BM24" s="1016"/>
      <c r="BN24" s="1017"/>
      <c r="BO24" s="622"/>
    </row>
    <row r="25" spans="1:67" ht="17.25">
      <c r="A25" s="622"/>
      <c r="B25" s="970"/>
      <c r="C25" s="971"/>
      <c r="D25" s="971"/>
      <c r="E25" s="971"/>
      <c r="F25" s="971"/>
      <c r="G25" s="971"/>
      <c r="H25" s="972"/>
      <c r="I25" s="970"/>
      <c r="J25" s="971"/>
      <c r="K25" s="971"/>
      <c r="L25" s="971"/>
      <c r="M25" s="971"/>
      <c r="N25" s="971"/>
      <c r="O25" s="972"/>
      <c r="P25" s="970"/>
      <c r="Q25" s="971"/>
      <c r="R25" s="971"/>
      <c r="S25" s="971"/>
      <c r="T25" s="971"/>
      <c r="U25" s="971"/>
      <c r="V25" s="972"/>
      <c r="W25" s="629"/>
      <c r="X25" s="1033"/>
      <c r="Y25" s="1034"/>
      <c r="Z25" s="1034"/>
      <c r="AA25" s="1034"/>
      <c r="AB25" s="1034"/>
      <c r="AC25" s="1034"/>
      <c r="AD25" s="1035"/>
      <c r="AE25" s="1033"/>
      <c r="AF25" s="1034"/>
      <c r="AG25" s="1034"/>
      <c r="AH25" s="1034"/>
      <c r="AI25" s="1034"/>
      <c r="AJ25" s="1034"/>
      <c r="AK25" s="1035"/>
      <c r="AL25" s="1033"/>
      <c r="AM25" s="1034"/>
      <c r="AN25" s="1034"/>
      <c r="AO25" s="1034"/>
      <c r="AP25" s="1034"/>
      <c r="AQ25" s="1034"/>
      <c r="AR25" s="1035"/>
      <c r="AS25" s="629"/>
      <c r="AT25" s="1015"/>
      <c r="AU25" s="1016"/>
      <c r="AV25" s="1016"/>
      <c r="AW25" s="1016"/>
      <c r="AX25" s="1016"/>
      <c r="AY25" s="1016"/>
      <c r="AZ25" s="1017"/>
      <c r="BA25" s="1015"/>
      <c r="BB25" s="1016"/>
      <c r="BC25" s="1016"/>
      <c r="BD25" s="1016"/>
      <c r="BE25" s="1016"/>
      <c r="BF25" s="1016"/>
      <c r="BG25" s="1017"/>
      <c r="BH25" s="1015"/>
      <c r="BI25" s="1016"/>
      <c r="BJ25" s="1016"/>
      <c r="BK25" s="1016"/>
      <c r="BL25" s="1016"/>
      <c r="BM25" s="1016"/>
      <c r="BN25" s="1017"/>
      <c r="BO25" s="622"/>
    </row>
    <row r="26" spans="1:67" ht="18" thickBot="1">
      <c r="A26" s="622"/>
      <c r="B26" s="973"/>
      <c r="C26" s="974"/>
      <c r="D26" s="974"/>
      <c r="E26" s="974"/>
      <c r="F26" s="974"/>
      <c r="G26" s="974"/>
      <c r="H26" s="975"/>
      <c r="I26" s="973"/>
      <c r="J26" s="974"/>
      <c r="K26" s="974"/>
      <c r="L26" s="974"/>
      <c r="M26" s="974"/>
      <c r="N26" s="974"/>
      <c r="O26" s="975"/>
      <c r="P26" s="973"/>
      <c r="Q26" s="974"/>
      <c r="R26" s="974"/>
      <c r="S26" s="974"/>
      <c r="T26" s="974"/>
      <c r="U26" s="974"/>
      <c r="V26" s="975"/>
      <c r="W26" s="629"/>
      <c r="X26" s="1036"/>
      <c r="Y26" s="1037"/>
      <c r="Z26" s="1037"/>
      <c r="AA26" s="1037"/>
      <c r="AB26" s="1037"/>
      <c r="AC26" s="1037"/>
      <c r="AD26" s="1038"/>
      <c r="AE26" s="1036"/>
      <c r="AF26" s="1037"/>
      <c r="AG26" s="1037"/>
      <c r="AH26" s="1037"/>
      <c r="AI26" s="1037"/>
      <c r="AJ26" s="1037"/>
      <c r="AK26" s="1038"/>
      <c r="AL26" s="1036"/>
      <c r="AM26" s="1037"/>
      <c r="AN26" s="1037"/>
      <c r="AO26" s="1037"/>
      <c r="AP26" s="1037"/>
      <c r="AQ26" s="1037"/>
      <c r="AR26" s="1038"/>
      <c r="AS26" s="629"/>
      <c r="AT26" s="1018"/>
      <c r="AU26" s="1019"/>
      <c r="AV26" s="1019"/>
      <c r="AW26" s="1019"/>
      <c r="AX26" s="1019"/>
      <c r="AY26" s="1019"/>
      <c r="AZ26" s="1020"/>
      <c r="BA26" s="1018"/>
      <c r="BB26" s="1019"/>
      <c r="BC26" s="1019"/>
      <c r="BD26" s="1019"/>
      <c r="BE26" s="1019"/>
      <c r="BF26" s="1019"/>
      <c r="BG26" s="1020"/>
      <c r="BH26" s="1018"/>
      <c r="BI26" s="1019"/>
      <c r="BJ26" s="1019"/>
      <c r="BK26" s="1019"/>
      <c r="BL26" s="1019"/>
      <c r="BM26" s="1019"/>
      <c r="BN26" s="1020"/>
      <c r="BO26" s="622"/>
    </row>
    <row r="27" spans="1:67" ht="18" thickBot="1">
      <c r="A27" s="622"/>
      <c r="B27" s="629"/>
      <c r="C27" s="629"/>
      <c r="D27" s="629"/>
      <c r="E27" s="629"/>
      <c r="F27" s="629"/>
      <c r="G27" s="629"/>
      <c r="H27" s="629"/>
      <c r="I27" s="629"/>
      <c r="J27" s="629"/>
      <c r="K27" s="629"/>
      <c r="L27" s="629"/>
      <c r="M27" s="629"/>
      <c r="N27" s="629"/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  <c r="AZ27" s="629"/>
      <c r="BA27" s="629"/>
      <c r="BB27" s="629"/>
      <c r="BC27" s="629"/>
      <c r="BD27" s="629"/>
      <c r="BE27" s="629"/>
      <c r="BF27" s="629"/>
      <c r="BG27" s="629"/>
      <c r="BH27" s="629"/>
      <c r="BI27" s="629"/>
      <c r="BJ27" s="629"/>
      <c r="BK27" s="629"/>
      <c r="BL27" s="629"/>
      <c r="BM27" s="629"/>
      <c r="BN27" s="629"/>
      <c r="BO27" s="622"/>
    </row>
    <row r="28" spans="1:67" ht="17.25">
      <c r="A28" s="622"/>
      <c r="B28" s="991"/>
      <c r="C28" s="992"/>
      <c r="D28" s="992"/>
      <c r="E28" s="992"/>
      <c r="F28" s="992"/>
      <c r="G28" s="992"/>
      <c r="H28" s="993"/>
      <c r="I28" s="991"/>
      <c r="J28" s="992"/>
      <c r="K28" s="992"/>
      <c r="L28" s="992"/>
      <c r="M28" s="992"/>
      <c r="N28" s="992"/>
      <c r="O28" s="993"/>
      <c r="P28" s="991"/>
      <c r="Q28" s="992"/>
      <c r="R28" s="992"/>
      <c r="S28" s="992"/>
      <c r="T28" s="992"/>
      <c r="U28" s="992"/>
      <c r="V28" s="993"/>
      <c r="W28" s="629"/>
      <c r="X28" s="1048" t="s">
        <v>1709</v>
      </c>
      <c r="Y28" s="1049"/>
      <c r="Z28" s="1049"/>
      <c r="AA28" s="1049"/>
      <c r="AB28" s="1049"/>
      <c r="AC28" s="1049"/>
      <c r="AD28" s="1050"/>
      <c r="AE28" s="1051" t="s">
        <v>1710</v>
      </c>
      <c r="AF28" s="1052"/>
      <c r="AG28" s="1052"/>
      <c r="AH28" s="1052"/>
      <c r="AI28" s="1052"/>
      <c r="AJ28" s="1052"/>
      <c r="AK28" s="1053"/>
      <c r="AL28" s="1093" t="s">
        <v>1710</v>
      </c>
      <c r="AM28" s="1094"/>
      <c r="AN28" s="1094"/>
      <c r="AO28" s="1094"/>
      <c r="AP28" s="1094"/>
      <c r="AQ28" s="1094"/>
      <c r="AR28" s="1095"/>
      <c r="AS28" s="629"/>
      <c r="AT28" s="1054"/>
      <c r="AU28" s="1055"/>
      <c r="AV28" s="1055"/>
      <c r="AW28" s="1055"/>
      <c r="AX28" s="1055"/>
      <c r="AY28" s="1055"/>
      <c r="AZ28" s="1056"/>
      <c r="BA28" s="1054"/>
      <c r="BB28" s="1055"/>
      <c r="BC28" s="1055"/>
      <c r="BD28" s="1055"/>
      <c r="BE28" s="1055"/>
      <c r="BF28" s="1055"/>
      <c r="BG28" s="1056"/>
      <c r="BH28" s="1054"/>
      <c r="BI28" s="1055"/>
      <c r="BJ28" s="1055"/>
      <c r="BK28" s="1055"/>
      <c r="BL28" s="1055"/>
      <c r="BM28" s="1055"/>
      <c r="BN28" s="1056"/>
      <c r="BO28" s="622"/>
    </row>
    <row r="29" spans="1:67" ht="17.25">
      <c r="A29" s="622"/>
      <c r="B29" s="985"/>
      <c r="C29" s="986"/>
      <c r="D29" s="986"/>
      <c r="E29" s="986"/>
      <c r="F29" s="986"/>
      <c r="G29" s="986"/>
      <c r="H29" s="987"/>
      <c r="I29" s="985"/>
      <c r="J29" s="986"/>
      <c r="K29" s="986"/>
      <c r="L29" s="986"/>
      <c r="M29" s="986"/>
      <c r="N29" s="986"/>
      <c r="O29" s="987"/>
      <c r="P29" s="985"/>
      <c r="Q29" s="986"/>
      <c r="R29" s="986"/>
      <c r="S29" s="986"/>
      <c r="T29" s="986"/>
      <c r="U29" s="986"/>
      <c r="V29" s="987"/>
      <c r="W29" s="629"/>
      <c r="X29" s="1057"/>
      <c r="Y29" s="1058"/>
      <c r="Z29" s="1058"/>
      <c r="AA29" s="1058"/>
      <c r="AB29" s="1058"/>
      <c r="AC29" s="1058"/>
      <c r="AD29" s="1059"/>
      <c r="AE29" s="1033"/>
      <c r="AF29" s="1034"/>
      <c r="AG29" s="1034"/>
      <c r="AH29" s="1034"/>
      <c r="AI29" s="1034"/>
      <c r="AJ29" s="1034"/>
      <c r="AK29" s="1035"/>
      <c r="AL29" s="1015"/>
      <c r="AM29" s="1016"/>
      <c r="AN29" s="1016"/>
      <c r="AO29" s="1016"/>
      <c r="AP29" s="1016"/>
      <c r="AQ29" s="1016"/>
      <c r="AR29" s="1017"/>
      <c r="AS29" s="629"/>
      <c r="AT29" s="1075"/>
      <c r="AU29" s="1076"/>
      <c r="AV29" s="1076"/>
      <c r="AW29" s="1076"/>
      <c r="AX29" s="1076"/>
      <c r="AY29" s="1076"/>
      <c r="AZ29" s="1077"/>
      <c r="BA29" s="1075"/>
      <c r="BB29" s="1076"/>
      <c r="BC29" s="1076"/>
      <c r="BD29" s="1076"/>
      <c r="BE29" s="1076"/>
      <c r="BF29" s="1076"/>
      <c r="BG29" s="1077"/>
      <c r="BH29" s="1075"/>
      <c r="BI29" s="1076"/>
      <c r="BJ29" s="1076"/>
      <c r="BK29" s="1076"/>
      <c r="BL29" s="1076"/>
      <c r="BM29" s="1076"/>
      <c r="BN29" s="1077"/>
      <c r="BO29" s="622"/>
    </row>
    <row r="30" spans="1:67" ht="17.25">
      <c r="A30" s="622"/>
      <c r="B30" s="985"/>
      <c r="C30" s="986"/>
      <c r="D30" s="986"/>
      <c r="E30" s="986"/>
      <c r="F30" s="986"/>
      <c r="G30" s="986"/>
      <c r="H30" s="987"/>
      <c r="I30" s="985"/>
      <c r="J30" s="986"/>
      <c r="K30" s="986"/>
      <c r="L30" s="986"/>
      <c r="M30" s="986"/>
      <c r="N30" s="986"/>
      <c r="O30" s="987"/>
      <c r="P30" s="985"/>
      <c r="Q30" s="986"/>
      <c r="R30" s="986"/>
      <c r="S30" s="986"/>
      <c r="T30" s="986"/>
      <c r="U30" s="986"/>
      <c r="V30" s="987"/>
      <c r="W30" s="629"/>
      <c r="X30" s="1057"/>
      <c r="Y30" s="1058"/>
      <c r="Z30" s="1058"/>
      <c r="AA30" s="1058"/>
      <c r="AB30" s="1058"/>
      <c r="AC30" s="1058"/>
      <c r="AD30" s="1059"/>
      <c r="AE30" s="1033"/>
      <c r="AF30" s="1034"/>
      <c r="AG30" s="1034"/>
      <c r="AH30" s="1034"/>
      <c r="AI30" s="1034"/>
      <c r="AJ30" s="1034"/>
      <c r="AK30" s="1035"/>
      <c r="AL30" s="1015"/>
      <c r="AM30" s="1016"/>
      <c r="AN30" s="1016"/>
      <c r="AO30" s="1016"/>
      <c r="AP30" s="1016"/>
      <c r="AQ30" s="1016"/>
      <c r="AR30" s="1017"/>
      <c r="AS30" s="629"/>
      <c r="AT30" s="1075"/>
      <c r="AU30" s="1076"/>
      <c r="AV30" s="1076"/>
      <c r="AW30" s="1076"/>
      <c r="AX30" s="1076"/>
      <c r="AY30" s="1076"/>
      <c r="AZ30" s="1077"/>
      <c r="BA30" s="1075"/>
      <c r="BB30" s="1076"/>
      <c r="BC30" s="1076"/>
      <c r="BD30" s="1076"/>
      <c r="BE30" s="1076"/>
      <c r="BF30" s="1076"/>
      <c r="BG30" s="1077"/>
      <c r="BH30" s="1075"/>
      <c r="BI30" s="1076"/>
      <c r="BJ30" s="1076"/>
      <c r="BK30" s="1076"/>
      <c r="BL30" s="1076"/>
      <c r="BM30" s="1076"/>
      <c r="BN30" s="1077"/>
      <c r="BO30" s="622"/>
    </row>
    <row r="31" spans="1:67" ht="17.25">
      <c r="A31" s="622"/>
      <c r="B31" s="985"/>
      <c r="C31" s="986"/>
      <c r="D31" s="986"/>
      <c r="E31" s="986"/>
      <c r="F31" s="986"/>
      <c r="G31" s="986"/>
      <c r="H31" s="987"/>
      <c r="I31" s="985"/>
      <c r="J31" s="986"/>
      <c r="K31" s="986"/>
      <c r="L31" s="986"/>
      <c r="M31" s="986"/>
      <c r="N31" s="986"/>
      <c r="O31" s="987"/>
      <c r="P31" s="985"/>
      <c r="Q31" s="986"/>
      <c r="R31" s="986"/>
      <c r="S31" s="986"/>
      <c r="T31" s="986"/>
      <c r="U31" s="986"/>
      <c r="V31" s="987"/>
      <c r="W31" s="629"/>
      <c r="X31" s="1057"/>
      <c r="Y31" s="1058"/>
      <c r="Z31" s="1058"/>
      <c r="AA31" s="1058"/>
      <c r="AB31" s="1058"/>
      <c r="AC31" s="1058"/>
      <c r="AD31" s="1059"/>
      <c r="AE31" s="1033"/>
      <c r="AF31" s="1034"/>
      <c r="AG31" s="1034"/>
      <c r="AH31" s="1034"/>
      <c r="AI31" s="1034"/>
      <c r="AJ31" s="1034"/>
      <c r="AK31" s="1035"/>
      <c r="AL31" s="1015"/>
      <c r="AM31" s="1016"/>
      <c r="AN31" s="1016"/>
      <c r="AO31" s="1016"/>
      <c r="AP31" s="1016"/>
      <c r="AQ31" s="1016"/>
      <c r="AR31" s="1017"/>
      <c r="AS31" s="629"/>
      <c r="AT31" s="1075"/>
      <c r="AU31" s="1076"/>
      <c r="AV31" s="1076"/>
      <c r="AW31" s="1076"/>
      <c r="AX31" s="1076"/>
      <c r="AY31" s="1076"/>
      <c r="AZ31" s="1077"/>
      <c r="BA31" s="1075"/>
      <c r="BB31" s="1076"/>
      <c r="BC31" s="1076"/>
      <c r="BD31" s="1076"/>
      <c r="BE31" s="1076"/>
      <c r="BF31" s="1076"/>
      <c r="BG31" s="1077"/>
      <c r="BH31" s="1075"/>
      <c r="BI31" s="1076"/>
      <c r="BJ31" s="1076"/>
      <c r="BK31" s="1076"/>
      <c r="BL31" s="1076"/>
      <c r="BM31" s="1076"/>
      <c r="BN31" s="1077"/>
      <c r="BO31" s="622"/>
    </row>
    <row r="32" spans="1:67" ht="17.25">
      <c r="A32" s="622"/>
      <c r="B32" s="985"/>
      <c r="C32" s="986"/>
      <c r="D32" s="986"/>
      <c r="E32" s="986"/>
      <c r="F32" s="986"/>
      <c r="G32" s="986"/>
      <c r="H32" s="987"/>
      <c r="I32" s="985"/>
      <c r="J32" s="986"/>
      <c r="K32" s="986"/>
      <c r="L32" s="986"/>
      <c r="M32" s="986"/>
      <c r="N32" s="986"/>
      <c r="O32" s="987"/>
      <c r="P32" s="985"/>
      <c r="Q32" s="986"/>
      <c r="R32" s="986"/>
      <c r="S32" s="986"/>
      <c r="T32" s="986"/>
      <c r="U32" s="986"/>
      <c r="V32" s="987"/>
      <c r="W32" s="629"/>
      <c r="X32" s="1057"/>
      <c r="Y32" s="1058"/>
      <c r="Z32" s="1058"/>
      <c r="AA32" s="1058"/>
      <c r="AB32" s="1058"/>
      <c r="AC32" s="1058"/>
      <c r="AD32" s="1059"/>
      <c r="AE32" s="1033"/>
      <c r="AF32" s="1034"/>
      <c r="AG32" s="1034"/>
      <c r="AH32" s="1034"/>
      <c r="AI32" s="1034"/>
      <c r="AJ32" s="1034"/>
      <c r="AK32" s="1035"/>
      <c r="AL32" s="1015"/>
      <c r="AM32" s="1016"/>
      <c r="AN32" s="1016"/>
      <c r="AO32" s="1016"/>
      <c r="AP32" s="1016"/>
      <c r="AQ32" s="1016"/>
      <c r="AR32" s="1017"/>
      <c r="AS32" s="629"/>
      <c r="AT32" s="1075"/>
      <c r="AU32" s="1076"/>
      <c r="AV32" s="1076"/>
      <c r="AW32" s="1076"/>
      <c r="AX32" s="1076"/>
      <c r="AY32" s="1076"/>
      <c r="AZ32" s="1077"/>
      <c r="BA32" s="1075"/>
      <c r="BB32" s="1076"/>
      <c r="BC32" s="1076"/>
      <c r="BD32" s="1076"/>
      <c r="BE32" s="1076"/>
      <c r="BF32" s="1076"/>
      <c r="BG32" s="1077"/>
      <c r="BH32" s="1075"/>
      <c r="BI32" s="1076"/>
      <c r="BJ32" s="1076"/>
      <c r="BK32" s="1076"/>
      <c r="BL32" s="1076"/>
      <c r="BM32" s="1076"/>
      <c r="BN32" s="1077"/>
      <c r="BO32" s="622"/>
    </row>
    <row r="33" spans="1:67" ht="17.25">
      <c r="A33" s="622"/>
      <c r="B33" s="985"/>
      <c r="C33" s="986"/>
      <c r="D33" s="986"/>
      <c r="E33" s="986"/>
      <c r="F33" s="986"/>
      <c r="G33" s="986"/>
      <c r="H33" s="987"/>
      <c r="I33" s="985"/>
      <c r="J33" s="986"/>
      <c r="K33" s="986"/>
      <c r="L33" s="986"/>
      <c r="M33" s="986"/>
      <c r="N33" s="986"/>
      <c r="O33" s="987"/>
      <c r="P33" s="985"/>
      <c r="Q33" s="986"/>
      <c r="R33" s="986"/>
      <c r="S33" s="986"/>
      <c r="T33" s="986"/>
      <c r="U33" s="986"/>
      <c r="V33" s="987"/>
      <c r="W33" s="629"/>
      <c r="X33" s="1057"/>
      <c r="Y33" s="1058"/>
      <c r="Z33" s="1058"/>
      <c r="AA33" s="1058"/>
      <c r="AB33" s="1058"/>
      <c r="AC33" s="1058"/>
      <c r="AD33" s="1059"/>
      <c r="AE33" s="1033"/>
      <c r="AF33" s="1034"/>
      <c r="AG33" s="1034"/>
      <c r="AH33" s="1034"/>
      <c r="AI33" s="1034"/>
      <c r="AJ33" s="1034"/>
      <c r="AK33" s="1035"/>
      <c r="AL33" s="1015"/>
      <c r="AM33" s="1016"/>
      <c r="AN33" s="1016"/>
      <c r="AO33" s="1016"/>
      <c r="AP33" s="1016"/>
      <c r="AQ33" s="1016"/>
      <c r="AR33" s="1017"/>
      <c r="AS33" s="629"/>
      <c r="AT33" s="1075"/>
      <c r="AU33" s="1076"/>
      <c r="AV33" s="1076"/>
      <c r="AW33" s="1076"/>
      <c r="AX33" s="1076"/>
      <c r="AY33" s="1076"/>
      <c r="AZ33" s="1077"/>
      <c r="BA33" s="1075"/>
      <c r="BB33" s="1076"/>
      <c r="BC33" s="1076"/>
      <c r="BD33" s="1076"/>
      <c r="BE33" s="1076"/>
      <c r="BF33" s="1076"/>
      <c r="BG33" s="1077"/>
      <c r="BH33" s="1075"/>
      <c r="BI33" s="1076"/>
      <c r="BJ33" s="1076"/>
      <c r="BK33" s="1076"/>
      <c r="BL33" s="1076"/>
      <c r="BM33" s="1076"/>
      <c r="BN33" s="1077"/>
      <c r="BO33" s="622"/>
    </row>
    <row r="34" spans="1:67" ht="18" thickBot="1">
      <c r="A34" s="622"/>
      <c r="B34" s="988"/>
      <c r="C34" s="989"/>
      <c r="D34" s="989"/>
      <c r="E34" s="989"/>
      <c r="F34" s="989"/>
      <c r="G34" s="989"/>
      <c r="H34" s="990"/>
      <c r="I34" s="988"/>
      <c r="J34" s="989"/>
      <c r="K34" s="989"/>
      <c r="L34" s="989"/>
      <c r="M34" s="989"/>
      <c r="N34" s="989"/>
      <c r="O34" s="990"/>
      <c r="P34" s="988"/>
      <c r="Q34" s="989"/>
      <c r="R34" s="989"/>
      <c r="S34" s="989"/>
      <c r="T34" s="989"/>
      <c r="U34" s="989"/>
      <c r="V34" s="990"/>
      <c r="W34" s="629"/>
      <c r="X34" s="1060"/>
      <c r="Y34" s="1061"/>
      <c r="Z34" s="1061"/>
      <c r="AA34" s="1061"/>
      <c r="AB34" s="1061"/>
      <c r="AC34" s="1061"/>
      <c r="AD34" s="1062"/>
      <c r="AE34" s="1036"/>
      <c r="AF34" s="1037"/>
      <c r="AG34" s="1037"/>
      <c r="AH34" s="1037"/>
      <c r="AI34" s="1037"/>
      <c r="AJ34" s="1037"/>
      <c r="AK34" s="1038"/>
      <c r="AL34" s="1018"/>
      <c r="AM34" s="1019"/>
      <c r="AN34" s="1019"/>
      <c r="AO34" s="1019"/>
      <c r="AP34" s="1019"/>
      <c r="AQ34" s="1019"/>
      <c r="AR34" s="1020"/>
      <c r="AS34" s="629"/>
      <c r="AT34" s="1078"/>
      <c r="AU34" s="1079"/>
      <c r="AV34" s="1079"/>
      <c r="AW34" s="1079"/>
      <c r="AX34" s="1079"/>
      <c r="AY34" s="1079"/>
      <c r="AZ34" s="1080"/>
      <c r="BA34" s="1078"/>
      <c r="BB34" s="1079"/>
      <c r="BC34" s="1079"/>
      <c r="BD34" s="1079"/>
      <c r="BE34" s="1079"/>
      <c r="BF34" s="1079"/>
      <c r="BG34" s="1080"/>
      <c r="BH34" s="1078"/>
      <c r="BI34" s="1079"/>
      <c r="BJ34" s="1079"/>
      <c r="BK34" s="1079"/>
      <c r="BL34" s="1079"/>
      <c r="BM34" s="1079"/>
      <c r="BN34" s="1080"/>
      <c r="BO34" s="622"/>
    </row>
    <row r="35" spans="1:67" ht="17.25">
      <c r="A35" s="622"/>
      <c r="B35" s="991"/>
      <c r="C35" s="992"/>
      <c r="D35" s="992"/>
      <c r="E35" s="992"/>
      <c r="F35" s="992"/>
      <c r="G35" s="992"/>
      <c r="H35" s="993"/>
      <c r="I35" s="1066" t="s">
        <v>1710</v>
      </c>
      <c r="J35" s="1067"/>
      <c r="K35" s="1067"/>
      <c r="L35" s="1067"/>
      <c r="M35" s="1067"/>
      <c r="N35" s="1067"/>
      <c r="O35" s="1068"/>
      <c r="P35" s="991"/>
      <c r="Q35" s="992"/>
      <c r="R35" s="992"/>
      <c r="S35" s="992"/>
      <c r="T35" s="992"/>
      <c r="U35" s="992"/>
      <c r="V35" s="993"/>
      <c r="W35" s="629"/>
      <c r="X35" s="1063" t="s">
        <v>1712</v>
      </c>
      <c r="Y35" s="1064"/>
      <c r="Z35" s="1064"/>
      <c r="AA35" s="1064"/>
      <c r="AB35" s="1064"/>
      <c r="AC35" s="1064"/>
      <c r="AD35" s="1065"/>
      <c r="AE35" s="1081"/>
      <c r="AF35" s="1082"/>
      <c r="AG35" s="1082"/>
      <c r="AH35" s="1082"/>
      <c r="AI35" s="1082"/>
      <c r="AJ35" s="1082"/>
      <c r="AK35" s="1083"/>
      <c r="AL35" s="1090" t="s">
        <v>1710</v>
      </c>
      <c r="AM35" s="1091"/>
      <c r="AN35" s="1091"/>
      <c r="AO35" s="1091"/>
      <c r="AP35" s="1091"/>
      <c r="AQ35" s="1091"/>
      <c r="AR35" s="1092"/>
      <c r="AS35" s="629"/>
      <c r="AT35" s="1054"/>
      <c r="AU35" s="1055"/>
      <c r="AV35" s="1055"/>
      <c r="AW35" s="1055"/>
      <c r="AX35" s="1055"/>
      <c r="AY35" s="1055"/>
      <c r="AZ35" s="1056"/>
      <c r="BA35" s="1096" t="s">
        <v>1710</v>
      </c>
      <c r="BB35" s="1097"/>
      <c r="BC35" s="1097"/>
      <c r="BD35" s="1097"/>
      <c r="BE35" s="1097"/>
      <c r="BF35" s="1097"/>
      <c r="BG35" s="1098"/>
      <c r="BH35" s="1054"/>
      <c r="BI35" s="1055"/>
      <c r="BJ35" s="1055"/>
      <c r="BK35" s="1055"/>
      <c r="BL35" s="1055"/>
      <c r="BM35" s="1055"/>
      <c r="BN35" s="1056"/>
      <c r="BO35" s="622"/>
    </row>
    <row r="36" spans="1:67" ht="17.25">
      <c r="A36" s="622"/>
      <c r="B36" s="985"/>
      <c r="C36" s="986"/>
      <c r="D36" s="986"/>
      <c r="E36" s="986"/>
      <c r="F36" s="986"/>
      <c r="G36" s="986"/>
      <c r="H36" s="987"/>
      <c r="I36" s="1069"/>
      <c r="J36" s="1070"/>
      <c r="K36" s="1070"/>
      <c r="L36" s="1070"/>
      <c r="M36" s="1070"/>
      <c r="N36" s="1070"/>
      <c r="O36" s="1071"/>
      <c r="P36" s="985"/>
      <c r="Q36" s="986"/>
      <c r="R36" s="986"/>
      <c r="S36" s="986"/>
      <c r="T36" s="986"/>
      <c r="U36" s="986"/>
      <c r="V36" s="987"/>
      <c r="W36" s="629"/>
      <c r="X36" s="985"/>
      <c r="Y36" s="986"/>
      <c r="Z36" s="986"/>
      <c r="AA36" s="986"/>
      <c r="AB36" s="986"/>
      <c r="AC36" s="986"/>
      <c r="AD36" s="987"/>
      <c r="AE36" s="1084"/>
      <c r="AF36" s="1085"/>
      <c r="AG36" s="1085"/>
      <c r="AH36" s="1085"/>
      <c r="AI36" s="1085"/>
      <c r="AJ36" s="1085"/>
      <c r="AK36" s="1086"/>
      <c r="AL36" s="1075"/>
      <c r="AM36" s="1076"/>
      <c r="AN36" s="1076"/>
      <c r="AO36" s="1076"/>
      <c r="AP36" s="1076"/>
      <c r="AQ36" s="1076"/>
      <c r="AR36" s="1077"/>
      <c r="AS36" s="629"/>
      <c r="AT36" s="1075"/>
      <c r="AU36" s="1076"/>
      <c r="AV36" s="1076"/>
      <c r="AW36" s="1076"/>
      <c r="AX36" s="1076"/>
      <c r="AY36" s="1076"/>
      <c r="AZ36" s="1077"/>
      <c r="BA36" s="1099"/>
      <c r="BB36" s="1100"/>
      <c r="BC36" s="1100"/>
      <c r="BD36" s="1100"/>
      <c r="BE36" s="1100"/>
      <c r="BF36" s="1100"/>
      <c r="BG36" s="1101"/>
      <c r="BH36" s="1075"/>
      <c r="BI36" s="1076"/>
      <c r="BJ36" s="1076"/>
      <c r="BK36" s="1076"/>
      <c r="BL36" s="1076"/>
      <c r="BM36" s="1076"/>
      <c r="BN36" s="1077"/>
      <c r="BO36" s="622"/>
    </row>
    <row r="37" spans="1:67" ht="17.25">
      <c r="A37" s="622"/>
      <c r="B37" s="985"/>
      <c r="C37" s="986"/>
      <c r="D37" s="986"/>
      <c r="E37" s="986"/>
      <c r="F37" s="986"/>
      <c r="G37" s="986"/>
      <c r="H37" s="987"/>
      <c r="I37" s="1069"/>
      <c r="J37" s="1070"/>
      <c r="K37" s="1070"/>
      <c r="L37" s="1070"/>
      <c r="M37" s="1070"/>
      <c r="N37" s="1070"/>
      <c r="O37" s="1071"/>
      <c r="P37" s="985"/>
      <c r="Q37" s="986"/>
      <c r="R37" s="986"/>
      <c r="S37" s="986"/>
      <c r="T37" s="986"/>
      <c r="U37" s="986"/>
      <c r="V37" s="987"/>
      <c r="W37" s="629"/>
      <c r="X37" s="985"/>
      <c r="Y37" s="986"/>
      <c r="Z37" s="986"/>
      <c r="AA37" s="986"/>
      <c r="AB37" s="986"/>
      <c r="AC37" s="986"/>
      <c r="AD37" s="987"/>
      <c r="AE37" s="1084"/>
      <c r="AF37" s="1085"/>
      <c r="AG37" s="1085"/>
      <c r="AH37" s="1085"/>
      <c r="AI37" s="1085"/>
      <c r="AJ37" s="1085"/>
      <c r="AK37" s="1086"/>
      <c r="AL37" s="1075"/>
      <c r="AM37" s="1076"/>
      <c r="AN37" s="1076"/>
      <c r="AO37" s="1076"/>
      <c r="AP37" s="1076"/>
      <c r="AQ37" s="1076"/>
      <c r="AR37" s="1077"/>
      <c r="AS37" s="629"/>
      <c r="AT37" s="1075"/>
      <c r="AU37" s="1076"/>
      <c r="AV37" s="1076"/>
      <c r="AW37" s="1076"/>
      <c r="AX37" s="1076"/>
      <c r="AY37" s="1076"/>
      <c r="AZ37" s="1077"/>
      <c r="BA37" s="1099"/>
      <c r="BB37" s="1100"/>
      <c r="BC37" s="1100"/>
      <c r="BD37" s="1100"/>
      <c r="BE37" s="1100"/>
      <c r="BF37" s="1100"/>
      <c r="BG37" s="1101"/>
      <c r="BH37" s="1075"/>
      <c r="BI37" s="1076"/>
      <c r="BJ37" s="1076"/>
      <c r="BK37" s="1076"/>
      <c r="BL37" s="1076"/>
      <c r="BM37" s="1076"/>
      <c r="BN37" s="1077"/>
      <c r="BO37" s="622"/>
    </row>
    <row r="38" spans="1:67" ht="17.25">
      <c r="A38" s="622"/>
      <c r="B38" s="985"/>
      <c r="C38" s="986"/>
      <c r="D38" s="986"/>
      <c r="E38" s="986"/>
      <c r="F38" s="986"/>
      <c r="G38" s="986"/>
      <c r="H38" s="987"/>
      <c r="I38" s="1069"/>
      <c r="J38" s="1070"/>
      <c r="K38" s="1070"/>
      <c r="L38" s="1070"/>
      <c r="M38" s="1070"/>
      <c r="N38" s="1070"/>
      <c r="O38" s="1071"/>
      <c r="P38" s="985"/>
      <c r="Q38" s="986"/>
      <c r="R38" s="986"/>
      <c r="S38" s="986"/>
      <c r="T38" s="986"/>
      <c r="U38" s="986"/>
      <c r="V38" s="987"/>
      <c r="W38" s="629"/>
      <c r="X38" s="985"/>
      <c r="Y38" s="986"/>
      <c r="Z38" s="986"/>
      <c r="AA38" s="986"/>
      <c r="AB38" s="986"/>
      <c r="AC38" s="986"/>
      <c r="AD38" s="987"/>
      <c r="AE38" s="1084"/>
      <c r="AF38" s="1085"/>
      <c r="AG38" s="1085"/>
      <c r="AH38" s="1085"/>
      <c r="AI38" s="1085"/>
      <c r="AJ38" s="1085"/>
      <c r="AK38" s="1086"/>
      <c r="AL38" s="1075"/>
      <c r="AM38" s="1076"/>
      <c r="AN38" s="1076"/>
      <c r="AO38" s="1076"/>
      <c r="AP38" s="1076"/>
      <c r="AQ38" s="1076"/>
      <c r="AR38" s="1077"/>
      <c r="AS38" s="629"/>
      <c r="AT38" s="1075"/>
      <c r="AU38" s="1076"/>
      <c r="AV38" s="1076"/>
      <c r="AW38" s="1076"/>
      <c r="AX38" s="1076"/>
      <c r="AY38" s="1076"/>
      <c r="AZ38" s="1077"/>
      <c r="BA38" s="1099"/>
      <c r="BB38" s="1100"/>
      <c r="BC38" s="1100"/>
      <c r="BD38" s="1100"/>
      <c r="BE38" s="1100"/>
      <c r="BF38" s="1100"/>
      <c r="BG38" s="1101"/>
      <c r="BH38" s="1075"/>
      <c r="BI38" s="1076"/>
      <c r="BJ38" s="1076"/>
      <c r="BK38" s="1076"/>
      <c r="BL38" s="1076"/>
      <c r="BM38" s="1076"/>
      <c r="BN38" s="1077"/>
      <c r="BO38" s="622"/>
    </row>
    <row r="39" spans="1:67" ht="17.25">
      <c r="A39" s="622"/>
      <c r="B39" s="985"/>
      <c r="C39" s="986"/>
      <c r="D39" s="986"/>
      <c r="E39" s="986"/>
      <c r="F39" s="986"/>
      <c r="G39" s="986"/>
      <c r="H39" s="987"/>
      <c r="I39" s="1069"/>
      <c r="J39" s="1070"/>
      <c r="K39" s="1070"/>
      <c r="L39" s="1070"/>
      <c r="M39" s="1070"/>
      <c r="N39" s="1070"/>
      <c r="O39" s="1071"/>
      <c r="P39" s="985"/>
      <c r="Q39" s="986"/>
      <c r="R39" s="986"/>
      <c r="S39" s="986"/>
      <c r="T39" s="986"/>
      <c r="U39" s="986"/>
      <c r="V39" s="987"/>
      <c r="W39" s="629"/>
      <c r="X39" s="985"/>
      <c r="Y39" s="986"/>
      <c r="Z39" s="986"/>
      <c r="AA39" s="986"/>
      <c r="AB39" s="986"/>
      <c r="AC39" s="986"/>
      <c r="AD39" s="987"/>
      <c r="AE39" s="1084"/>
      <c r="AF39" s="1085"/>
      <c r="AG39" s="1085"/>
      <c r="AH39" s="1085"/>
      <c r="AI39" s="1085"/>
      <c r="AJ39" s="1085"/>
      <c r="AK39" s="1086"/>
      <c r="AL39" s="1075"/>
      <c r="AM39" s="1076"/>
      <c r="AN39" s="1076"/>
      <c r="AO39" s="1076"/>
      <c r="AP39" s="1076"/>
      <c r="AQ39" s="1076"/>
      <c r="AR39" s="1077"/>
      <c r="AS39" s="629"/>
      <c r="AT39" s="1075"/>
      <c r="AU39" s="1076"/>
      <c r="AV39" s="1076"/>
      <c r="AW39" s="1076"/>
      <c r="AX39" s="1076"/>
      <c r="AY39" s="1076"/>
      <c r="AZ39" s="1077"/>
      <c r="BA39" s="1099"/>
      <c r="BB39" s="1100"/>
      <c r="BC39" s="1100"/>
      <c r="BD39" s="1100"/>
      <c r="BE39" s="1100"/>
      <c r="BF39" s="1100"/>
      <c r="BG39" s="1101"/>
      <c r="BH39" s="1075"/>
      <c r="BI39" s="1076"/>
      <c r="BJ39" s="1076"/>
      <c r="BK39" s="1076"/>
      <c r="BL39" s="1076"/>
      <c r="BM39" s="1076"/>
      <c r="BN39" s="1077"/>
      <c r="BO39" s="622"/>
    </row>
    <row r="40" spans="1:67" ht="17.25">
      <c r="A40" s="622"/>
      <c r="B40" s="985"/>
      <c r="C40" s="986"/>
      <c r="D40" s="986"/>
      <c r="E40" s="986"/>
      <c r="F40" s="986"/>
      <c r="G40" s="986"/>
      <c r="H40" s="987"/>
      <c r="I40" s="1069"/>
      <c r="J40" s="1070"/>
      <c r="K40" s="1070"/>
      <c r="L40" s="1070"/>
      <c r="M40" s="1070"/>
      <c r="N40" s="1070"/>
      <c r="O40" s="1071"/>
      <c r="P40" s="985"/>
      <c r="Q40" s="986"/>
      <c r="R40" s="986"/>
      <c r="S40" s="986"/>
      <c r="T40" s="986"/>
      <c r="U40" s="986"/>
      <c r="V40" s="987"/>
      <c r="W40" s="629"/>
      <c r="X40" s="985"/>
      <c r="Y40" s="986"/>
      <c r="Z40" s="986"/>
      <c r="AA40" s="986"/>
      <c r="AB40" s="986"/>
      <c r="AC40" s="986"/>
      <c r="AD40" s="987"/>
      <c r="AE40" s="1084"/>
      <c r="AF40" s="1085"/>
      <c r="AG40" s="1085"/>
      <c r="AH40" s="1085"/>
      <c r="AI40" s="1085"/>
      <c r="AJ40" s="1085"/>
      <c r="AK40" s="1086"/>
      <c r="AL40" s="1075"/>
      <c r="AM40" s="1076"/>
      <c r="AN40" s="1076"/>
      <c r="AO40" s="1076"/>
      <c r="AP40" s="1076"/>
      <c r="AQ40" s="1076"/>
      <c r="AR40" s="1077"/>
      <c r="AS40" s="629"/>
      <c r="AT40" s="1075"/>
      <c r="AU40" s="1076"/>
      <c r="AV40" s="1076"/>
      <c r="AW40" s="1076"/>
      <c r="AX40" s="1076"/>
      <c r="AY40" s="1076"/>
      <c r="AZ40" s="1077"/>
      <c r="BA40" s="1099"/>
      <c r="BB40" s="1100"/>
      <c r="BC40" s="1100"/>
      <c r="BD40" s="1100"/>
      <c r="BE40" s="1100"/>
      <c r="BF40" s="1100"/>
      <c r="BG40" s="1101"/>
      <c r="BH40" s="1075"/>
      <c r="BI40" s="1076"/>
      <c r="BJ40" s="1076"/>
      <c r="BK40" s="1076"/>
      <c r="BL40" s="1076"/>
      <c r="BM40" s="1076"/>
      <c r="BN40" s="1077"/>
      <c r="BO40" s="622"/>
    </row>
    <row r="41" spans="1:67" ht="18" thickBot="1">
      <c r="A41" s="622"/>
      <c r="B41" s="988"/>
      <c r="C41" s="989"/>
      <c r="D41" s="989"/>
      <c r="E41" s="989"/>
      <c r="F41" s="989"/>
      <c r="G41" s="989"/>
      <c r="H41" s="990"/>
      <c r="I41" s="1072"/>
      <c r="J41" s="1073"/>
      <c r="K41" s="1073"/>
      <c r="L41" s="1073"/>
      <c r="M41" s="1073"/>
      <c r="N41" s="1073"/>
      <c r="O41" s="1074"/>
      <c r="P41" s="988"/>
      <c r="Q41" s="989"/>
      <c r="R41" s="989"/>
      <c r="S41" s="989"/>
      <c r="T41" s="989"/>
      <c r="U41" s="989"/>
      <c r="V41" s="990"/>
      <c r="W41" s="629"/>
      <c r="X41" s="988"/>
      <c r="Y41" s="989"/>
      <c r="Z41" s="989"/>
      <c r="AA41" s="989"/>
      <c r="AB41" s="989"/>
      <c r="AC41" s="989"/>
      <c r="AD41" s="990"/>
      <c r="AE41" s="1087"/>
      <c r="AF41" s="1088"/>
      <c r="AG41" s="1088"/>
      <c r="AH41" s="1088"/>
      <c r="AI41" s="1088"/>
      <c r="AJ41" s="1088"/>
      <c r="AK41" s="1089"/>
      <c r="AL41" s="1078"/>
      <c r="AM41" s="1079"/>
      <c r="AN41" s="1079"/>
      <c r="AO41" s="1079"/>
      <c r="AP41" s="1079"/>
      <c r="AQ41" s="1079"/>
      <c r="AR41" s="1080"/>
      <c r="AS41" s="629"/>
      <c r="AT41" s="1078"/>
      <c r="AU41" s="1079"/>
      <c r="AV41" s="1079"/>
      <c r="AW41" s="1079"/>
      <c r="AX41" s="1079"/>
      <c r="AY41" s="1079"/>
      <c r="AZ41" s="1080"/>
      <c r="BA41" s="1102"/>
      <c r="BB41" s="1103"/>
      <c r="BC41" s="1103"/>
      <c r="BD41" s="1103"/>
      <c r="BE41" s="1103"/>
      <c r="BF41" s="1103"/>
      <c r="BG41" s="1104"/>
      <c r="BH41" s="1078"/>
      <c r="BI41" s="1079"/>
      <c r="BJ41" s="1079"/>
      <c r="BK41" s="1079"/>
      <c r="BL41" s="1079"/>
      <c r="BM41" s="1079"/>
      <c r="BN41" s="1080"/>
      <c r="BO41" s="622"/>
    </row>
    <row r="42" spans="1:67" ht="17.25">
      <c r="A42" s="622"/>
      <c r="B42" s="991"/>
      <c r="C42" s="992"/>
      <c r="D42" s="992"/>
      <c r="E42" s="992"/>
      <c r="F42" s="992"/>
      <c r="G42" s="992"/>
      <c r="H42" s="993"/>
      <c r="I42" s="991"/>
      <c r="J42" s="992"/>
      <c r="K42" s="992"/>
      <c r="L42" s="992"/>
      <c r="M42" s="992"/>
      <c r="N42" s="992"/>
      <c r="O42" s="993"/>
      <c r="P42" s="991"/>
      <c r="Q42" s="992"/>
      <c r="R42" s="992"/>
      <c r="S42" s="992"/>
      <c r="T42" s="992"/>
      <c r="U42" s="992"/>
      <c r="V42" s="993"/>
      <c r="W42" s="629"/>
      <c r="X42" s="1117" t="s">
        <v>1711</v>
      </c>
      <c r="Y42" s="1118"/>
      <c r="Z42" s="1118"/>
      <c r="AA42" s="1118"/>
      <c r="AB42" s="1118"/>
      <c r="AC42" s="1118"/>
      <c r="AD42" s="1119"/>
      <c r="AE42" s="1120" t="s">
        <v>1711</v>
      </c>
      <c r="AF42" s="1121"/>
      <c r="AG42" s="1121"/>
      <c r="AH42" s="1121"/>
      <c r="AI42" s="1121"/>
      <c r="AJ42" s="1121"/>
      <c r="AK42" s="1122"/>
      <c r="AL42" s="1123" t="s">
        <v>1710</v>
      </c>
      <c r="AM42" s="1124"/>
      <c r="AN42" s="1124"/>
      <c r="AO42" s="1124"/>
      <c r="AP42" s="1124"/>
      <c r="AQ42" s="1124"/>
      <c r="AR42" s="1125"/>
      <c r="AS42" s="629"/>
      <c r="AT42" s="1054"/>
      <c r="AU42" s="1055"/>
      <c r="AV42" s="1055"/>
      <c r="AW42" s="1055"/>
      <c r="AX42" s="1055"/>
      <c r="AY42" s="1055"/>
      <c r="AZ42" s="1056"/>
      <c r="BA42" s="1054"/>
      <c r="BB42" s="1055"/>
      <c r="BC42" s="1055"/>
      <c r="BD42" s="1055"/>
      <c r="BE42" s="1055"/>
      <c r="BF42" s="1055"/>
      <c r="BG42" s="1056"/>
      <c r="BH42" s="1054"/>
      <c r="BI42" s="1055"/>
      <c r="BJ42" s="1055"/>
      <c r="BK42" s="1055"/>
      <c r="BL42" s="1055"/>
      <c r="BM42" s="1055"/>
      <c r="BN42" s="1056"/>
      <c r="BO42" s="622"/>
    </row>
    <row r="43" spans="1:67" ht="17.25">
      <c r="A43" s="622"/>
      <c r="B43" s="985"/>
      <c r="C43" s="986"/>
      <c r="D43" s="986"/>
      <c r="E43" s="986"/>
      <c r="F43" s="986"/>
      <c r="G43" s="986"/>
      <c r="H43" s="987"/>
      <c r="I43" s="985"/>
      <c r="J43" s="986"/>
      <c r="K43" s="986"/>
      <c r="L43" s="986"/>
      <c r="M43" s="986"/>
      <c r="N43" s="986"/>
      <c r="O43" s="987"/>
      <c r="P43" s="985"/>
      <c r="Q43" s="986"/>
      <c r="R43" s="986"/>
      <c r="S43" s="986"/>
      <c r="T43" s="986"/>
      <c r="U43" s="986"/>
      <c r="V43" s="987"/>
      <c r="W43" s="629"/>
      <c r="X43" s="979"/>
      <c r="Y43" s="980"/>
      <c r="Z43" s="980"/>
      <c r="AA43" s="980"/>
      <c r="AB43" s="980"/>
      <c r="AC43" s="980"/>
      <c r="AD43" s="981"/>
      <c r="AE43" s="1105"/>
      <c r="AF43" s="1106"/>
      <c r="AG43" s="1106"/>
      <c r="AH43" s="1106"/>
      <c r="AI43" s="1106"/>
      <c r="AJ43" s="1106"/>
      <c r="AK43" s="1107"/>
      <c r="AL43" s="1111"/>
      <c r="AM43" s="1112"/>
      <c r="AN43" s="1112"/>
      <c r="AO43" s="1112"/>
      <c r="AP43" s="1112"/>
      <c r="AQ43" s="1112"/>
      <c r="AR43" s="1113"/>
      <c r="AS43" s="629"/>
      <c r="AT43" s="1075"/>
      <c r="AU43" s="1076"/>
      <c r="AV43" s="1076"/>
      <c r="AW43" s="1076"/>
      <c r="AX43" s="1076"/>
      <c r="AY43" s="1076"/>
      <c r="AZ43" s="1077"/>
      <c r="BA43" s="1075"/>
      <c r="BB43" s="1076"/>
      <c r="BC43" s="1076"/>
      <c r="BD43" s="1076"/>
      <c r="BE43" s="1076"/>
      <c r="BF43" s="1076"/>
      <c r="BG43" s="1077"/>
      <c r="BH43" s="1075"/>
      <c r="BI43" s="1076"/>
      <c r="BJ43" s="1076"/>
      <c r="BK43" s="1076"/>
      <c r="BL43" s="1076"/>
      <c r="BM43" s="1076"/>
      <c r="BN43" s="1077"/>
      <c r="BO43" s="622"/>
    </row>
    <row r="44" spans="1:67" ht="17.25">
      <c r="A44" s="622"/>
      <c r="B44" s="985"/>
      <c r="C44" s="986"/>
      <c r="D44" s="986"/>
      <c r="E44" s="986"/>
      <c r="F44" s="986"/>
      <c r="G44" s="986"/>
      <c r="H44" s="987"/>
      <c r="I44" s="985"/>
      <c r="J44" s="986"/>
      <c r="K44" s="986"/>
      <c r="L44" s="986"/>
      <c r="M44" s="986"/>
      <c r="N44" s="986"/>
      <c r="O44" s="987"/>
      <c r="P44" s="985"/>
      <c r="Q44" s="986"/>
      <c r="R44" s="986"/>
      <c r="S44" s="986"/>
      <c r="T44" s="986"/>
      <c r="U44" s="986"/>
      <c r="V44" s="987"/>
      <c r="W44" s="629"/>
      <c r="X44" s="979"/>
      <c r="Y44" s="980"/>
      <c r="Z44" s="980"/>
      <c r="AA44" s="980"/>
      <c r="AB44" s="980"/>
      <c r="AC44" s="980"/>
      <c r="AD44" s="981"/>
      <c r="AE44" s="1105"/>
      <c r="AF44" s="1106"/>
      <c r="AG44" s="1106"/>
      <c r="AH44" s="1106"/>
      <c r="AI44" s="1106"/>
      <c r="AJ44" s="1106"/>
      <c r="AK44" s="1107"/>
      <c r="AL44" s="1111"/>
      <c r="AM44" s="1112"/>
      <c r="AN44" s="1112"/>
      <c r="AO44" s="1112"/>
      <c r="AP44" s="1112"/>
      <c r="AQ44" s="1112"/>
      <c r="AR44" s="1113"/>
      <c r="AS44" s="629"/>
      <c r="AT44" s="1075"/>
      <c r="AU44" s="1076"/>
      <c r="AV44" s="1076"/>
      <c r="AW44" s="1076"/>
      <c r="AX44" s="1076"/>
      <c r="AY44" s="1076"/>
      <c r="AZ44" s="1077"/>
      <c r="BA44" s="1075"/>
      <c r="BB44" s="1076"/>
      <c r="BC44" s="1076"/>
      <c r="BD44" s="1076"/>
      <c r="BE44" s="1076"/>
      <c r="BF44" s="1076"/>
      <c r="BG44" s="1077"/>
      <c r="BH44" s="1075"/>
      <c r="BI44" s="1076"/>
      <c r="BJ44" s="1076"/>
      <c r="BK44" s="1076"/>
      <c r="BL44" s="1076"/>
      <c r="BM44" s="1076"/>
      <c r="BN44" s="1077"/>
      <c r="BO44" s="622"/>
    </row>
    <row r="45" spans="1:67" ht="17.25">
      <c r="A45" s="622"/>
      <c r="B45" s="985"/>
      <c r="C45" s="986"/>
      <c r="D45" s="986"/>
      <c r="E45" s="986"/>
      <c r="F45" s="986"/>
      <c r="G45" s="986"/>
      <c r="H45" s="987"/>
      <c r="I45" s="985"/>
      <c r="J45" s="986"/>
      <c r="K45" s="986"/>
      <c r="L45" s="986"/>
      <c r="M45" s="986"/>
      <c r="N45" s="986"/>
      <c r="O45" s="987"/>
      <c r="P45" s="985"/>
      <c r="Q45" s="986"/>
      <c r="R45" s="986"/>
      <c r="S45" s="986"/>
      <c r="T45" s="986"/>
      <c r="U45" s="986"/>
      <c r="V45" s="987"/>
      <c r="W45" s="629"/>
      <c r="X45" s="979"/>
      <c r="Y45" s="980"/>
      <c r="Z45" s="980"/>
      <c r="AA45" s="980"/>
      <c r="AB45" s="980"/>
      <c r="AC45" s="980"/>
      <c r="AD45" s="981"/>
      <c r="AE45" s="1105"/>
      <c r="AF45" s="1106"/>
      <c r="AG45" s="1106"/>
      <c r="AH45" s="1106"/>
      <c r="AI45" s="1106"/>
      <c r="AJ45" s="1106"/>
      <c r="AK45" s="1107"/>
      <c r="AL45" s="1111"/>
      <c r="AM45" s="1112"/>
      <c r="AN45" s="1112"/>
      <c r="AO45" s="1112"/>
      <c r="AP45" s="1112"/>
      <c r="AQ45" s="1112"/>
      <c r="AR45" s="1113"/>
      <c r="AS45" s="629"/>
      <c r="AT45" s="1075"/>
      <c r="AU45" s="1076"/>
      <c r="AV45" s="1076"/>
      <c r="AW45" s="1076"/>
      <c r="AX45" s="1076"/>
      <c r="AY45" s="1076"/>
      <c r="AZ45" s="1077"/>
      <c r="BA45" s="1075"/>
      <c r="BB45" s="1076"/>
      <c r="BC45" s="1076"/>
      <c r="BD45" s="1076"/>
      <c r="BE45" s="1076"/>
      <c r="BF45" s="1076"/>
      <c r="BG45" s="1077"/>
      <c r="BH45" s="1075"/>
      <c r="BI45" s="1076"/>
      <c r="BJ45" s="1076"/>
      <c r="BK45" s="1076"/>
      <c r="BL45" s="1076"/>
      <c r="BM45" s="1076"/>
      <c r="BN45" s="1077"/>
      <c r="BO45" s="622"/>
    </row>
    <row r="46" spans="1:67" ht="17.25">
      <c r="A46" s="622"/>
      <c r="B46" s="985"/>
      <c r="C46" s="986"/>
      <c r="D46" s="986"/>
      <c r="E46" s="986"/>
      <c r="F46" s="986"/>
      <c r="G46" s="986"/>
      <c r="H46" s="987"/>
      <c r="I46" s="985"/>
      <c r="J46" s="986"/>
      <c r="K46" s="986"/>
      <c r="L46" s="986"/>
      <c r="M46" s="986"/>
      <c r="N46" s="986"/>
      <c r="O46" s="987"/>
      <c r="P46" s="985"/>
      <c r="Q46" s="986"/>
      <c r="R46" s="986"/>
      <c r="S46" s="986"/>
      <c r="T46" s="986"/>
      <c r="U46" s="986"/>
      <c r="V46" s="987"/>
      <c r="W46" s="629"/>
      <c r="X46" s="979"/>
      <c r="Y46" s="980"/>
      <c r="Z46" s="980"/>
      <c r="AA46" s="980"/>
      <c r="AB46" s="980"/>
      <c r="AC46" s="980"/>
      <c r="AD46" s="981"/>
      <c r="AE46" s="1105"/>
      <c r="AF46" s="1106"/>
      <c r="AG46" s="1106"/>
      <c r="AH46" s="1106"/>
      <c r="AI46" s="1106"/>
      <c r="AJ46" s="1106"/>
      <c r="AK46" s="1107"/>
      <c r="AL46" s="1111"/>
      <c r="AM46" s="1112"/>
      <c r="AN46" s="1112"/>
      <c r="AO46" s="1112"/>
      <c r="AP46" s="1112"/>
      <c r="AQ46" s="1112"/>
      <c r="AR46" s="1113"/>
      <c r="AS46" s="629"/>
      <c r="AT46" s="1075"/>
      <c r="AU46" s="1076"/>
      <c r="AV46" s="1076"/>
      <c r="AW46" s="1076"/>
      <c r="AX46" s="1076"/>
      <c r="AY46" s="1076"/>
      <c r="AZ46" s="1077"/>
      <c r="BA46" s="1075"/>
      <c r="BB46" s="1076"/>
      <c r="BC46" s="1076"/>
      <c r="BD46" s="1076"/>
      <c r="BE46" s="1076"/>
      <c r="BF46" s="1076"/>
      <c r="BG46" s="1077"/>
      <c r="BH46" s="1075"/>
      <c r="BI46" s="1076"/>
      <c r="BJ46" s="1076"/>
      <c r="BK46" s="1076"/>
      <c r="BL46" s="1076"/>
      <c r="BM46" s="1076"/>
      <c r="BN46" s="1077"/>
      <c r="BO46" s="622"/>
    </row>
    <row r="47" spans="1:67" ht="17.25">
      <c r="A47" s="622"/>
      <c r="B47" s="985"/>
      <c r="C47" s="986"/>
      <c r="D47" s="986"/>
      <c r="E47" s="986"/>
      <c r="F47" s="986"/>
      <c r="G47" s="986"/>
      <c r="H47" s="987"/>
      <c r="I47" s="985"/>
      <c r="J47" s="986"/>
      <c r="K47" s="986"/>
      <c r="L47" s="986"/>
      <c r="M47" s="986"/>
      <c r="N47" s="986"/>
      <c r="O47" s="987"/>
      <c r="P47" s="985"/>
      <c r="Q47" s="986"/>
      <c r="R47" s="986"/>
      <c r="S47" s="986"/>
      <c r="T47" s="986"/>
      <c r="U47" s="986"/>
      <c r="V47" s="987"/>
      <c r="W47" s="629"/>
      <c r="X47" s="979"/>
      <c r="Y47" s="980"/>
      <c r="Z47" s="980"/>
      <c r="AA47" s="980"/>
      <c r="AB47" s="980"/>
      <c r="AC47" s="980"/>
      <c r="AD47" s="981"/>
      <c r="AE47" s="1105"/>
      <c r="AF47" s="1106"/>
      <c r="AG47" s="1106"/>
      <c r="AH47" s="1106"/>
      <c r="AI47" s="1106"/>
      <c r="AJ47" s="1106"/>
      <c r="AK47" s="1107"/>
      <c r="AL47" s="1111"/>
      <c r="AM47" s="1112"/>
      <c r="AN47" s="1112"/>
      <c r="AO47" s="1112"/>
      <c r="AP47" s="1112"/>
      <c r="AQ47" s="1112"/>
      <c r="AR47" s="1113"/>
      <c r="AS47" s="629"/>
      <c r="AT47" s="1075"/>
      <c r="AU47" s="1076"/>
      <c r="AV47" s="1076"/>
      <c r="AW47" s="1076"/>
      <c r="AX47" s="1076"/>
      <c r="AY47" s="1076"/>
      <c r="AZ47" s="1077"/>
      <c r="BA47" s="1075"/>
      <c r="BB47" s="1076"/>
      <c r="BC47" s="1076"/>
      <c r="BD47" s="1076"/>
      <c r="BE47" s="1076"/>
      <c r="BF47" s="1076"/>
      <c r="BG47" s="1077"/>
      <c r="BH47" s="1075"/>
      <c r="BI47" s="1076"/>
      <c r="BJ47" s="1076"/>
      <c r="BK47" s="1076"/>
      <c r="BL47" s="1076"/>
      <c r="BM47" s="1076"/>
      <c r="BN47" s="1077"/>
      <c r="BO47" s="622"/>
    </row>
    <row r="48" spans="1:67" ht="18" thickBot="1">
      <c r="A48" s="622"/>
      <c r="B48" s="988"/>
      <c r="C48" s="989"/>
      <c r="D48" s="989"/>
      <c r="E48" s="989"/>
      <c r="F48" s="989"/>
      <c r="G48" s="989"/>
      <c r="H48" s="990"/>
      <c r="I48" s="988"/>
      <c r="J48" s="989"/>
      <c r="K48" s="989"/>
      <c r="L48" s="989"/>
      <c r="M48" s="989"/>
      <c r="N48" s="989"/>
      <c r="O48" s="990"/>
      <c r="P48" s="988"/>
      <c r="Q48" s="989"/>
      <c r="R48" s="989"/>
      <c r="S48" s="989"/>
      <c r="T48" s="989"/>
      <c r="U48" s="989"/>
      <c r="V48" s="990"/>
      <c r="W48" s="629"/>
      <c r="X48" s="982"/>
      <c r="Y48" s="983"/>
      <c r="Z48" s="983"/>
      <c r="AA48" s="983"/>
      <c r="AB48" s="983"/>
      <c r="AC48" s="983"/>
      <c r="AD48" s="984"/>
      <c r="AE48" s="1108"/>
      <c r="AF48" s="1109"/>
      <c r="AG48" s="1109"/>
      <c r="AH48" s="1109"/>
      <c r="AI48" s="1109"/>
      <c r="AJ48" s="1109"/>
      <c r="AK48" s="1110"/>
      <c r="AL48" s="1114"/>
      <c r="AM48" s="1115"/>
      <c r="AN48" s="1115"/>
      <c r="AO48" s="1115"/>
      <c r="AP48" s="1115"/>
      <c r="AQ48" s="1115"/>
      <c r="AR48" s="1116"/>
      <c r="AS48" s="629"/>
      <c r="AT48" s="1078"/>
      <c r="AU48" s="1079"/>
      <c r="AV48" s="1079"/>
      <c r="AW48" s="1079"/>
      <c r="AX48" s="1079"/>
      <c r="AY48" s="1079"/>
      <c r="AZ48" s="1080"/>
      <c r="BA48" s="1078"/>
      <c r="BB48" s="1079"/>
      <c r="BC48" s="1079"/>
      <c r="BD48" s="1079"/>
      <c r="BE48" s="1079"/>
      <c r="BF48" s="1079"/>
      <c r="BG48" s="1080"/>
      <c r="BH48" s="1078"/>
      <c r="BI48" s="1079"/>
      <c r="BJ48" s="1079"/>
      <c r="BK48" s="1079"/>
      <c r="BL48" s="1079"/>
      <c r="BM48" s="1079"/>
      <c r="BN48" s="1080"/>
      <c r="BO48" s="622"/>
    </row>
    <row r="49" spans="1:67" ht="18" thickBot="1">
      <c r="A49" s="622"/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29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2"/>
    </row>
    <row r="50" spans="1:67" ht="17.25">
      <c r="A50" s="622"/>
      <c r="B50" s="976"/>
      <c r="C50" s="977"/>
      <c r="D50" s="977"/>
      <c r="E50" s="977"/>
      <c r="F50" s="977"/>
      <c r="G50" s="977"/>
      <c r="H50" s="978"/>
      <c r="I50" s="976"/>
      <c r="J50" s="977"/>
      <c r="K50" s="977"/>
      <c r="L50" s="977"/>
      <c r="M50" s="977"/>
      <c r="N50" s="977"/>
      <c r="O50" s="978"/>
      <c r="P50" s="976"/>
      <c r="Q50" s="977"/>
      <c r="R50" s="977"/>
      <c r="S50" s="977"/>
      <c r="T50" s="977"/>
      <c r="U50" s="977"/>
      <c r="V50" s="978"/>
      <c r="W50" s="629"/>
      <c r="X50" s="1126"/>
      <c r="Y50" s="1127"/>
      <c r="Z50" s="1127"/>
      <c r="AA50" s="1127"/>
      <c r="AB50" s="1127"/>
      <c r="AC50" s="1127"/>
      <c r="AD50" s="1128"/>
      <c r="AE50" s="1126"/>
      <c r="AF50" s="1127"/>
      <c r="AG50" s="1127"/>
      <c r="AH50" s="1127"/>
      <c r="AI50" s="1127"/>
      <c r="AJ50" s="1127"/>
      <c r="AK50" s="1128"/>
      <c r="AL50" s="1126"/>
      <c r="AM50" s="1127"/>
      <c r="AN50" s="1127"/>
      <c r="AO50" s="1127"/>
      <c r="AP50" s="1127"/>
      <c r="AQ50" s="1127"/>
      <c r="AR50" s="1128"/>
      <c r="AS50" s="629"/>
      <c r="AT50" s="1138"/>
      <c r="AU50" s="1139"/>
      <c r="AV50" s="1139"/>
      <c r="AW50" s="1139"/>
      <c r="AX50" s="1139"/>
      <c r="AY50" s="1139"/>
      <c r="AZ50" s="1140"/>
      <c r="BA50" s="1138"/>
      <c r="BB50" s="1139"/>
      <c r="BC50" s="1139"/>
      <c r="BD50" s="1139"/>
      <c r="BE50" s="1139"/>
      <c r="BF50" s="1139"/>
      <c r="BG50" s="1140"/>
      <c r="BH50" s="1138"/>
      <c r="BI50" s="1139"/>
      <c r="BJ50" s="1139"/>
      <c r="BK50" s="1139"/>
      <c r="BL50" s="1139"/>
      <c r="BM50" s="1139"/>
      <c r="BN50" s="1140"/>
      <c r="BO50" s="622"/>
    </row>
    <row r="51" spans="1:67" ht="17.25">
      <c r="A51" s="622"/>
      <c r="B51" s="979"/>
      <c r="C51" s="980"/>
      <c r="D51" s="980"/>
      <c r="E51" s="980"/>
      <c r="F51" s="980"/>
      <c r="G51" s="980"/>
      <c r="H51" s="981"/>
      <c r="I51" s="979"/>
      <c r="J51" s="980"/>
      <c r="K51" s="980"/>
      <c r="L51" s="980"/>
      <c r="M51" s="980"/>
      <c r="N51" s="980"/>
      <c r="O51" s="981"/>
      <c r="P51" s="979"/>
      <c r="Q51" s="980"/>
      <c r="R51" s="980"/>
      <c r="S51" s="980"/>
      <c r="T51" s="980"/>
      <c r="U51" s="980"/>
      <c r="V51" s="981"/>
      <c r="W51" s="629"/>
      <c r="X51" s="1105"/>
      <c r="Y51" s="1106"/>
      <c r="Z51" s="1106"/>
      <c r="AA51" s="1106"/>
      <c r="AB51" s="1106"/>
      <c r="AC51" s="1106"/>
      <c r="AD51" s="1107"/>
      <c r="AE51" s="1105"/>
      <c r="AF51" s="1106"/>
      <c r="AG51" s="1106"/>
      <c r="AH51" s="1106"/>
      <c r="AI51" s="1106"/>
      <c r="AJ51" s="1106"/>
      <c r="AK51" s="1107"/>
      <c r="AL51" s="1105"/>
      <c r="AM51" s="1106"/>
      <c r="AN51" s="1106"/>
      <c r="AO51" s="1106"/>
      <c r="AP51" s="1106"/>
      <c r="AQ51" s="1106"/>
      <c r="AR51" s="1107"/>
      <c r="AS51" s="629"/>
      <c r="AT51" s="1111"/>
      <c r="AU51" s="1112"/>
      <c r="AV51" s="1112"/>
      <c r="AW51" s="1112"/>
      <c r="AX51" s="1112"/>
      <c r="AY51" s="1112"/>
      <c r="AZ51" s="1113"/>
      <c r="BA51" s="1111"/>
      <c r="BB51" s="1112"/>
      <c r="BC51" s="1112"/>
      <c r="BD51" s="1112"/>
      <c r="BE51" s="1112"/>
      <c r="BF51" s="1112"/>
      <c r="BG51" s="1113"/>
      <c r="BH51" s="1111"/>
      <c r="BI51" s="1112"/>
      <c r="BJ51" s="1112"/>
      <c r="BK51" s="1112"/>
      <c r="BL51" s="1112"/>
      <c r="BM51" s="1112"/>
      <c r="BN51" s="1113"/>
      <c r="BO51" s="622"/>
    </row>
    <row r="52" spans="1:67" ht="17.25">
      <c r="A52" s="622"/>
      <c r="B52" s="979"/>
      <c r="C52" s="980"/>
      <c r="D52" s="980"/>
      <c r="E52" s="980"/>
      <c r="F52" s="980"/>
      <c r="G52" s="980"/>
      <c r="H52" s="981"/>
      <c r="I52" s="979"/>
      <c r="J52" s="980"/>
      <c r="K52" s="980"/>
      <c r="L52" s="980"/>
      <c r="M52" s="980"/>
      <c r="N52" s="980"/>
      <c r="O52" s="981"/>
      <c r="P52" s="979"/>
      <c r="Q52" s="980"/>
      <c r="R52" s="980"/>
      <c r="S52" s="980"/>
      <c r="T52" s="980"/>
      <c r="U52" s="980"/>
      <c r="V52" s="981"/>
      <c r="W52" s="629"/>
      <c r="X52" s="1105"/>
      <c r="Y52" s="1106"/>
      <c r="Z52" s="1106"/>
      <c r="AA52" s="1106"/>
      <c r="AB52" s="1106"/>
      <c r="AC52" s="1106"/>
      <c r="AD52" s="1107"/>
      <c r="AE52" s="1105"/>
      <c r="AF52" s="1106"/>
      <c r="AG52" s="1106"/>
      <c r="AH52" s="1106"/>
      <c r="AI52" s="1106"/>
      <c r="AJ52" s="1106"/>
      <c r="AK52" s="1107"/>
      <c r="AL52" s="1105"/>
      <c r="AM52" s="1106"/>
      <c r="AN52" s="1106"/>
      <c r="AO52" s="1106"/>
      <c r="AP52" s="1106"/>
      <c r="AQ52" s="1106"/>
      <c r="AR52" s="1107"/>
      <c r="AS52" s="629"/>
      <c r="AT52" s="1111"/>
      <c r="AU52" s="1112"/>
      <c r="AV52" s="1112"/>
      <c r="AW52" s="1112"/>
      <c r="AX52" s="1112"/>
      <c r="AY52" s="1112"/>
      <c r="AZ52" s="1113"/>
      <c r="BA52" s="1111"/>
      <c r="BB52" s="1112"/>
      <c r="BC52" s="1112"/>
      <c r="BD52" s="1112"/>
      <c r="BE52" s="1112"/>
      <c r="BF52" s="1112"/>
      <c r="BG52" s="1113"/>
      <c r="BH52" s="1111"/>
      <c r="BI52" s="1112"/>
      <c r="BJ52" s="1112"/>
      <c r="BK52" s="1112"/>
      <c r="BL52" s="1112"/>
      <c r="BM52" s="1112"/>
      <c r="BN52" s="1113"/>
      <c r="BO52" s="622"/>
    </row>
    <row r="53" spans="1:67" ht="17.25">
      <c r="A53" s="622"/>
      <c r="B53" s="979"/>
      <c r="C53" s="980"/>
      <c r="D53" s="980"/>
      <c r="E53" s="980"/>
      <c r="F53" s="980"/>
      <c r="G53" s="980"/>
      <c r="H53" s="981"/>
      <c r="I53" s="979"/>
      <c r="J53" s="980"/>
      <c r="K53" s="980"/>
      <c r="L53" s="980"/>
      <c r="M53" s="980"/>
      <c r="N53" s="980"/>
      <c r="O53" s="981"/>
      <c r="P53" s="979"/>
      <c r="Q53" s="980"/>
      <c r="R53" s="980"/>
      <c r="S53" s="980"/>
      <c r="T53" s="980"/>
      <c r="U53" s="980"/>
      <c r="V53" s="981"/>
      <c r="W53" s="629"/>
      <c r="X53" s="1105"/>
      <c r="Y53" s="1106"/>
      <c r="Z53" s="1106"/>
      <c r="AA53" s="1106"/>
      <c r="AB53" s="1106"/>
      <c r="AC53" s="1106"/>
      <c r="AD53" s="1107"/>
      <c r="AE53" s="1105"/>
      <c r="AF53" s="1106"/>
      <c r="AG53" s="1106"/>
      <c r="AH53" s="1106"/>
      <c r="AI53" s="1106"/>
      <c r="AJ53" s="1106"/>
      <c r="AK53" s="1107"/>
      <c r="AL53" s="1105"/>
      <c r="AM53" s="1106"/>
      <c r="AN53" s="1106"/>
      <c r="AO53" s="1106"/>
      <c r="AP53" s="1106"/>
      <c r="AQ53" s="1106"/>
      <c r="AR53" s="1107"/>
      <c r="AS53" s="629"/>
      <c r="AT53" s="1111"/>
      <c r="AU53" s="1112"/>
      <c r="AV53" s="1112"/>
      <c r="AW53" s="1112"/>
      <c r="AX53" s="1112"/>
      <c r="AY53" s="1112"/>
      <c r="AZ53" s="1113"/>
      <c r="BA53" s="1111"/>
      <c r="BB53" s="1112"/>
      <c r="BC53" s="1112"/>
      <c r="BD53" s="1112"/>
      <c r="BE53" s="1112"/>
      <c r="BF53" s="1112"/>
      <c r="BG53" s="1113"/>
      <c r="BH53" s="1111"/>
      <c r="BI53" s="1112"/>
      <c r="BJ53" s="1112"/>
      <c r="BK53" s="1112"/>
      <c r="BL53" s="1112"/>
      <c r="BM53" s="1112"/>
      <c r="BN53" s="1113"/>
      <c r="BO53" s="622"/>
    </row>
    <row r="54" spans="1:67" ht="17.25">
      <c r="A54" s="622"/>
      <c r="B54" s="979"/>
      <c r="C54" s="980"/>
      <c r="D54" s="980"/>
      <c r="E54" s="980"/>
      <c r="F54" s="980"/>
      <c r="G54" s="980"/>
      <c r="H54" s="981"/>
      <c r="I54" s="979"/>
      <c r="J54" s="980"/>
      <c r="K54" s="980"/>
      <c r="L54" s="980"/>
      <c r="M54" s="980"/>
      <c r="N54" s="980"/>
      <c r="O54" s="981"/>
      <c r="P54" s="979"/>
      <c r="Q54" s="980"/>
      <c r="R54" s="980"/>
      <c r="S54" s="980"/>
      <c r="T54" s="980"/>
      <c r="U54" s="980"/>
      <c r="V54" s="981"/>
      <c r="W54" s="629"/>
      <c r="X54" s="1105"/>
      <c r="Y54" s="1106"/>
      <c r="Z54" s="1106"/>
      <c r="AA54" s="1106"/>
      <c r="AB54" s="1106"/>
      <c r="AC54" s="1106"/>
      <c r="AD54" s="1107"/>
      <c r="AE54" s="1105"/>
      <c r="AF54" s="1106"/>
      <c r="AG54" s="1106"/>
      <c r="AH54" s="1106"/>
      <c r="AI54" s="1106"/>
      <c r="AJ54" s="1106"/>
      <c r="AK54" s="1107"/>
      <c r="AL54" s="1105"/>
      <c r="AM54" s="1106"/>
      <c r="AN54" s="1106"/>
      <c r="AO54" s="1106"/>
      <c r="AP54" s="1106"/>
      <c r="AQ54" s="1106"/>
      <c r="AR54" s="1107"/>
      <c r="AS54" s="629"/>
      <c r="AT54" s="1111"/>
      <c r="AU54" s="1112"/>
      <c r="AV54" s="1112"/>
      <c r="AW54" s="1112"/>
      <c r="AX54" s="1112"/>
      <c r="AY54" s="1112"/>
      <c r="AZ54" s="1113"/>
      <c r="BA54" s="1111"/>
      <c r="BB54" s="1112"/>
      <c r="BC54" s="1112"/>
      <c r="BD54" s="1112"/>
      <c r="BE54" s="1112"/>
      <c r="BF54" s="1112"/>
      <c r="BG54" s="1113"/>
      <c r="BH54" s="1111"/>
      <c r="BI54" s="1112"/>
      <c r="BJ54" s="1112"/>
      <c r="BK54" s="1112"/>
      <c r="BL54" s="1112"/>
      <c r="BM54" s="1112"/>
      <c r="BN54" s="1113"/>
      <c r="BO54" s="622"/>
    </row>
    <row r="55" spans="1:67" ht="17.25">
      <c r="A55" s="622"/>
      <c r="B55" s="979"/>
      <c r="C55" s="980"/>
      <c r="D55" s="980"/>
      <c r="E55" s="980"/>
      <c r="F55" s="980"/>
      <c r="G55" s="980"/>
      <c r="H55" s="981"/>
      <c r="I55" s="979"/>
      <c r="J55" s="980"/>
      <c r="K55" s="980"/>
      <c r="L55" s="980"/>
      <c r="M55" s="980"/>
      <c r="N55" s="980"/>
      <c r="O55" s="981"/>
      <c r="P55" s="979"/>
      <c r="Q55" s="980"/>
      <c r="R55" s="980"/>
      <c r="S55" s="980"/>
      <c r="T55" s="980"/>
      <c r="U55" s="980"/>
      <c r="V55" s="981"/>
      <c r="W55" s="629"/>
      <c r="X55" s="1105"/>
      <c r="Y55" s="1106"/>
      <c r="Z55" s="1106"/>
      <c r="AA55" s="1106"/>
      <c r="AB55" s="1106"/>
      <c r="AC55" s="1106"/>
      <c r="AD55" s="1107"/>
      <c r="AE55" s="1105"/>
      <c r="AF55" s="1106"/>
      <c r="AG55" s="1106"/>
      <c r="AH55" s="1106"/>
      <c r="AI55" s="1106"/>
      <c r="AJ55" s="1106"/>
      <c r="AK55" s="1107"/>
      <c r="AL55" s="1105"/>
      <c r="AM55" s="1106"/>
      <c r="AN55" s="1106"/>
      <c r="AO55" s="1106"/>
      <c r="AP55" s="1106"/>
      <c r="AQ55" s="1106"/>
      <c r="AR55" s="1107"/>
      <c r="AS55" s="629"/>
      <c r="AT55" s="1111"/>
      <c r="AU55" s="1112"/>
      <c r="AV55" s="1112"/>
      <c r="AW55" s="1112"/>
      <c r="AX55" s="1112"/>
      <c r="AY55" s="1112"/>
      <c r="AZ55" s="1113"/>
      <c r="BA55" s="1111"/>
      <c r="BB55" s="1112"/>
      <c r="BC55" s="1112"/>
      <c r="BD55" s="1112"/>
      <c r="BE55" s="1112"/>
      <c r="BF55" s="1112"/>
      <c r="BG55" s="1113"/>
      <c r="BH55" s="1111"/>
      <c r="BI55" s="1112"/>
      <c r="BJ55" s="1112"/>
      <c r="BK55" s="1112"/>
      <c r="BL55" s="1112"/>
      <c r="BM55" s="1112"/>
      <c r="BN55" s="1113"/>
      <c r="BO55" s="622"/>
    </row>
    <row r="56" spans="1:67" ht="18" thickBot="1">
      <c r="A56" s="622"/>
      <c r="B56" s="982"/>
      <c r="C56" s="983"/>
      <c r="D56" s="983"/>
      <c r="E56" s="983"/>
      <c r="F56" s="983"/>
      <c r="G56" s="983"/>
      <c r="H56" s="984"/>
      <c r="I56" s="982"/>
      <c r="J56" s="983"/>
      <c r="K56" s="983"/>
      <c r="L56" s="983"/>
      <c r="M56" s="983"/>
      <c r="N56" s="983"/>
      <c r="O56" s="984"/>
      <c r="P56" s="982"/>
      <c r="Q56" s="983"/>
      <c r="R56" s="983"/>
      <c r="S56" s="983"/>
      <c r="T56" s="983"/>
      <c r="U56" s="983"/>
      <c r="V56" s="984"/>
      <c r="W56" s="629"/>
      <c r="X56" s="1108"/>
      <c r="Y56" s="1109"/>
      <c r="Z56" s="1109"/>
      <c r="AA56" s="1109"/>
      <c r="AB56" s="1109"/>
      <c r="AC56" s="1109"/>
      <c r="AD56" s="1110"/>
      <c r="AE56" s="1108"/>
      <c r="AF56" s="1109"/>
      <c r="AG56" s="1109"/>
      <c r="AH56" s="1109"/>
      <c r="AI56" s="1109"/>
      <c r="AJ56" s="1109"/>
      <c r="AK56" s="1110"/>
      <c r="AL56" s="1108"/>
      <c r="AM56" s="1109"/>
      <c r="AN56" s="1109"/>
      <c r="AO56" s="1109"/>
      <c r="AP56" s="1109"/>
      <c r="AQ56" s="1109"/>
      <c r="AR56" s="1110"/>
      <c r="AS56" s="629"/>
      <c r="AT56" s="1114"/>
      <c r="AU56" s="1115"/>
      <c r="AV56" s="1115"/>
      <c r="AW56" s="1115"/>
      <c r="AX56" s="1115"/>
      <c r="AY56" s="1115"/>
      <c r="AZ56" s="1116"/>
      <c r="BA56" s="1114"/>
      <c r="BB56" s="1115"/>
      <c r="BC56" s="1115"/>
      <c r="BD56" s="1115"/>
      <c r="BE56" s="1115"/>
      <c r="BF56" s="1115"/>
      <c r="BG56" s="1116"/>
      <c r="BH56" s="1114"/>
      <c r="BI56" s="1115"/>
      <c r="BJ56" s="1115"/>
      <c r="BK56" s="1115"/>
      <c r="BL56" s="1115"/>
      <c r="BM56" s="1115"/>
      <c r="BN56" s="1116"/>
      <c r="BO56" s="622"/>
    </row>
    <row r="57" spans="1:67" ht="17.25">
      <c r="A57" s="622"/>
      <c r="B57" s="976"/>
      <c r="C57" s="977"/>
      <c r="D57" s="977"/>
      <c r="E57" s="977"/>
      <c r="F57" s="977"/>
      <c r="G57" s="977"/>
      <c r="H57" s="978"/>
      <c r="I57" s="1003" t="s">
        <v>1710</v>
      </c>
      <c r="J57" s="1004"/>
      <c r="K57" s="1004"/>
      <c r="L57" s="1004"/>
      <c r="M57" s="1004"/>
      <c r="N57" s="1004"/>
      <c r="O57" s="1005"/>
      <c r="P57" s="976"/>
      <c r="Q57" s="977"/>
      <c r="R57" s="977"/>
      <c r="S57" s="977"/>
      <c r="T57" s="977"/>
      <c r="U57" s="977"/>
      <c r="V57" s="978"/>
      <c r="W57" s="629"/>
      <c r="X57" s="1126"/>
      <c r="Y57" s="1127"/>
      <c r="Z57" s="1127"/>
      <c r="AA57" s="1127"/>
      <c r="AB57" s="1127"/>
      <c r="AC57" s="1127"/>
      <c r="AD57" s="1128"/>
      <c r="AE57" s="1129" t="s">
        <v>1710</v>
      </c>
      <c r="AF57" s="1130"/>
      <c r="AG57" s="1130"/>
      <c r="AH57" s="1130"/>
      <c r="AI57" s="1130"/>
      <c r="AJ57" s="1130"/>
      <c r="AK57" s="1131"/>
      <c r="AL57" s="1126"/>
      <c r="AM57" s="1127"/>
      <c r="AN57" s="1127"/>
      <c r="AO57" s="1127"/>
      <c r="AP57" s="1127"/>
      <c r="AQ57" s="1127"/>
      <c r="AR57" s="1128"/>
      <c r="AS57" s="629"/>
      <c r="AT57" s="1138"/>
      <c r="AU57" s="1139"/>
      <c r="AV57" s="1139"/>
      <c r="AW57" s="1139"/>
      <c r="AX57" s="1139"/>
      <c r="AY57" s="1139"/>
      <c r="AZ57" s="1140"/>
      <c r="BA57" s="1141" t="s">
        <v>1710</v>
      </c>
      <c r="BB57" s="1142"/>
      <c r="BC57" s="1142"/>
      <c r="BD57" s="1142"/>
      <c r="BE57" s="1142"/>
      <c r="BF57" s="1142"/>
      <c r="BG57" s="1143"/>
      <c r="BH57" s="1138"/>
      <c r="BI57" s="1139"/>
      <c r="BJ57" s="1139"/>
      <c r="BK57" s="1139"/>
      <c r="BL57" s="1139"/>
      <c r="BM57" s="1139"/>
      <c r="BN57" s="1140"/>
      <c r="BO57" s="622"/>
    </row>
    <row r="58" spans="1:67" ht="17.25">
      <c r="A58" s="622"/>
      <c r="B58" s="979"/>
      <c r="C58" s="980"/>
      <c r="D58" s="980"/>
      <c r="E58" s="980"/>
      <c r="F58" s="980"/>
      <c r="G58" s="980"/>
      <c r="H58" s="981"/>
      <c r="I58" s="1006"/>
      <c r="J58" s="1007"/>
      <c r="K58" s="1007"/>
      <c r="L58" s="1007"/>
      <c r="M58" s="1007"/>
      <c r="N58" s="1007"/>
      <c r="O58" s="1008"/>
      <c r="P58" s="979"/>
      <c r="Q58" s="980"/>
      <c r="R58" s="980"/>
      <c r="S58" s="980"/>
      <c r="T58" s="980"/>
      <c r="U58" s="980"/>
      <c r="V58" s="981"/>
      <c r="W58" s="629"/>
      <c r="X58" s="1105"/>
      <c r="Y58" s="1106"/>
      <c r="Z58" s="1106"/>
      <c r="AA58" s="1106"/>
      <c r="AB58" s="1106"/>
      <c r="AC58" s="1106"/>
      <c r="AD58" s="1107"/>
      <c r="AE58" s="1132"/>
      <c r="AF58" s="1133"/>
      <c r="AG58" s="1133"/>
      <c r="AH58" s="1133"/>
      <c r="AI58" s="1133"/>
      <c r="AJ58" s="1133"/>
      <c r="AK58" s="1134"/>
      <c r="AL58" s="1105"/>
      <c r="AM58" s="1106"/>
      <c r="AN58" s="1106"/>
      <c r="AO58" s="1106"/>
      <c r="AP58" s="1106"/>
      <c r="AQ58" s="1106"/>
      <c r="AR58" s="1107"/>
      <c r="AS58" s="629"/>
      <c r="AT58" s="1111"/>
      <c r="AU58" s="1112"/>
      <c r="AV58" s="1112"/>
      <c r="AW58" s="1112"/>
      <c r="AX58" s="1112"/>
      <c r="AY58" s="1112"/>
      <c r="AZ58" s="1113"/>
      <c r="BA58" s="1144"/>
      <c r="BB58" s="1145"/>
      <c r="BC58" s="1145"/>
      <c r="BD58" s="1145"/>
      <c r="BE58" s="1145"/>
      <c r="BF58" s="1145"/>
      <c r="BG58" s="1146"/>
      <c r="BH58" s="1111"/>
      <c r="BI58" s="1112"/>
      <c r="BJ58" s="1112"/>
      <c r="BK58" s="1112"/>
      <c r="BL58" s="1112"/>
      <c r="BM58" s="1112"/>
      <c r="BN58" s="1113"/>
      <c r="BO58" s="622"/>
    </row>
    <row r="59" spans="1:67" ht="17.25">
      <c r="A59" s="622"/>
      <c r="B59" s="979"/>
      <c r="C59" s="980"/>
      <c r="D59" s="980"/>
      <c r="E59" s="980"/>
      <c r="F59" s="980"/>
      <c r="G59" s="980"/>
      <c r="H59" s="981"/>
      <c r="I59" s="1006"/>
      <c r="J59" s="1007"/>
      <c r="K59" s="1007"/>
      <c r="L59" s="1007"/>
      <c r="M59" s="1007"/>
      <c r="N59" s="1007"/>
      <c r="O59" s="1008"/>
      <c r="P59" s="979"/>
      <c r="Q59" s="980"/>
      <c r="R59" s="980"/>
      <c r="S59" s="980"/>
      <c r="T59" s="980"/>
      <c r="U59" s="980"/>
      <c r="V59" s="981"/>
      <c r="W59" s="629"/>
      <c r="X59" s="1105"/>
      <c r="Y59" s="1106"/>
      <c r="Z59" s="1106"/>
      <c r="AA59" s="1106"/>
      <c r="AB59" s="1106"/>
      <c r="AC59" s="1106"/>
      <c r="AD59" s="1107"/>
      <c r="AE59" s="1132"/>
      <c r="AF59" s="1133"/>
      <c r="AG59" s="1133"/>
      <c r="AH59" s="1133"/>
      <c r="AI59" s="1133"/>
      <c r="AJ59" s="1133"/>
      <c r="AK59" s="1134"/>
      <c r="AL59" s="1105"/>
      <c r="AM59" s="1106"/>
      <c r="AN59" s="1106"/>
      <c r="AO59" s="1106"/>
      <c r="AP59" s="1106"/>
      <c r="AQ59" s="1106"/>
      <c r="AR59" s="1107"/>
      <c r="AS59" s="629"/>
      <c r="AT59" s="1111"/>
      <c r="AU59" s="1112"/>
      <c r="AV59" s="1112"/>
      <c r="AW59" s="1112"/>
      <c r="AX59" s="1112"/>
      <c r="AY59" s="1112"/>
      <c r="AZ59" s="1113"/>
      <c r="BA59" s="1144"/>
      <c r="BB59" s="1145"/>
      <c r="BC59" s="1145"/>
      <c r="BD59" s="1145"/>
      <c r="BE59" s="1145"/>
      <c r="BF59" s="1145"/>
      <c r="BG59" s="1146"/>
      <c r="BH59" s="1111"/>
      <c r="BI59" s="1112"/>
      <c r="BJ59" s="1112"/>
      <c r="BK59" s="1112"/>
      <c r="BL59" s="1112"/>
      <c r="BM59" s="1112"/>
      <c r="BN59" s="1113"/>
      <c r="BO59" s="622"/>
    </row>
    <row r="60" spans="1:67" ht="17.25">
      <c r="A60" s="622"/>
      <c r="B60" s="979"/>
      <c r="C60" s="980"/>
      <c r="D60" s="980"/>
      <c r="E60" s="980"/>
      <c r="F60" s="980"/>
      <c r="G60" s="980"/>
      <c r="H60" s="981"/>
      <c r="I60" s="1006"/>
      <c r="J60" s="1007"/>
      <c r="K60" s="1007"/>
      <c r="L60" s="1007"/>
      <c r="M60" s="1007"/>
      <c r="N60" s="1007"/>
      <c r="O60" s="1008"/>
      <c r="P60" s="979"/>
      <c r="Q60" s="980"/>
      <c r="R60" s="980"/>
      <c r="S60" s="980"/>
      <c r="T60" s="980"/>
      <c r="U60" s="980"/>
      <c r="V60" s="981"/>
      <c r="W60" s="629"/>
      <c r="X60" s="1105"/>
      <c r="Y60" s="1106"/>
      <c r="Z60" s="1106"/>
      <c r="AA60" s="1106"/>
      <c r="AB60" s="1106"/>
      <c r="AC60" s="1106"/>
      <c r="AD60" s="1107"/>
      <c r="AE60" s="1132"/>
      <c r="AF60" s="1133"/>
      <c r="AG60" s="1133"/>
      <c r="AH60" s="1133"/>
      <c r="AI60" s="1133"/>
      <c r="AJ60" s="1133"/>
      <c r="AK60" s="1134"/>
      <c r="AL60" s="1105"/>
      <c r="AM60" s="1106"/>
      <c r="AN60" s="1106"/>
      <c r="AO60" s="1106"/>
      <c r="AP60" s="1106"/>
      <c r="AQ60" s="1106"/>
      <c r="AR60" s="1107"/>
      <c r="AS60" s="629"/>
      <c r="AT60" s="1111"/>
      <c r="AU60" s="1112"/>
      <c r="AV60" s="1112"/>
      <c r="AW60" s="1112"/>
      <c r="AX60" s="1112"/>
      <c r="AY60" s="1112"/>
      <c r="AZ60" s="1113"/>
      <c r="BA60" s="1144"/>
      <c r="BB60" s="1145"/>
      <c r="BC60" s="1145"/>
      <c r="BD60" s="1145"/>
      <c r="BE60" s="1145"/>
      <c r="BF60" s="1145"/>
      <c r="BG60" s="1146"/>
      <c r="BH60" s="1111"/>
      <c r="BI60" s="1112"/>
      <c r="BJ60" s="1112"/>
      <c r="BK60" s="1112"/>
      <c r="BL60" s="1112"/>
      <c r="BM60" s="1112"/>
      <c r="BN60" s="1113"/>
      <c r="BO60" s="622"/>
    </row>
    <row r="61" spans="1:67" ht="17.25">
      <c r="A61" s="622"/>
      <c r="B61" s="979"/>
      <c r="C61" s="980"/>
      <c r="D61" s="980"/>
      <c r="E61" s="980"/>
      <c r="F61" s="980"/>
      <c r="G61" s="980"/>
      <c r="H61" s="981"/>
      <c r="I61" s="1006"/>
      <c r="J61" s="1007"/>
      <c r="K61" s="1007"/>
      <c r="L61" s="1007"/>
      <c r="M61" s="1007"/>
      <c r="N61" s="1007"/>
      <c r="O61" s="1008"/>
      <c r="P61" s="979"/>
      <c r="Q61" s="980"/>
      <c r="R61" s="980"/>
      <c r="S61" s="980"/>
      <c r="T61" s="980"/>
      <c r="U61" s="980"/>
      <c r="V61" s="981"/>
      <c r="W61" s="629"/>
      <c r="X61" s="1105"/>
      <c r="Y61" s="1106"/>
      <c r="Z61" s="1106"/>
      <c r="AA61" s="1106"/>
      <c r="AB61" s="1106"/>
      <c r="AC61" s="1106"/>
      <c r="AD61" s="1107"/>
      <c r="AE61" s="1132"/>
      <c r="AF61" s="1133"/>
      <c r="AG61" s="1133"/>
      <c r="AH61" s="1133"/>
      <c r="AI61" s="1133"/>
      <c r="AJ61" s="1133"/>
      <c r="AK61" s="1134"/>
      <c r="AL61" s="1105"/>
      <c r="AM61" s="1106"/>
      <c r="AN61" s="1106"/>
      <c r="AO61" s="1106"/>
      <c r="AP61" s="1106"/>
      <c r="AQ61" s="1106"/>
      <c r="AR61" s="1107"/>
      <c r="AS61" s="629"/>
      <c r="AT61" s="1111"/>
      <c r="AU61" s="1112"/>
      <c r="AV61" s="1112"/>
      <c r="AW61" s="1112"/>
      <c r="AX61" s="1112"/>
      <c r="AY61" s="1112"/>
      <c r="AZ61" s="1113"/>
      <c r="BA61" s="1144"/>
      <c r="BB61" s="1145"/>
      <c r="BC61" s="1145"/>
      <c r="BD61" s="1145"/>
      <c r="BE61" s="1145"/>
      <c r="BF61" s="1145"/>
      <c r="BG61" s="1146"/>
      <c r="BH61" s="1111"/>
      <c r="BI61" s="1112"/>
      <c r="BJ61" s="1112"/>
      <c r="BK61" s="1112"/>
      <c r="BL61" s="1112"/>
      <c r="BM61" s="1112"/>
      <c r="BN61" s="1113"/>
      <c r="BO61" s="622"/>
    </row>
    <row r="62" spans="1:67" ht="17.25">
      <c r="A62" s="622"/>
      <c r="B62" s="979"/>
      <c r="C62" s="980"/>
      <c r="D62" s="980"/>
      <c r="E62" s="980"/>
      <c r="F62" s="980"/>
      <c r="G62" s="980"/>
      <c r="H62" s="981"/>
      <c r="I62" s="1006"/>
      <c r="J62" s="1007"/>
      <c r="K62" s="1007"/>
      <c r="L62" s="1007"/>
      <c r="M62" s="1007"/>
      <c r="N62" s="1007"/>
      <c r="O62" s="1008"/>
      <c r="P62" s="979"/>
      <c r="Q62" s="980"/>
      <c r="R62" s="980"/>
      <c r="S62" s="980"/>
      <c r="T62" s="980"/>
      <c r="U62" s="980"/>
      <c r="V62" s="981"/>
      <c r="W62" s="629"/>
      <c r="X62" s="1105"/>
      <c r="Y62" s="1106"/>
      <c r="Z62" s="1106"/>
      <c r="AA62" s="1106"/>
      <c r="AB62" s="1106"/>
      <c r="AC62" s="1106"/>
      <c r="AD62" s="1107"/>
      <c r="AE62" s="1132"/>
      <c r="AF62" s="1133"/>
      <c r="AG62" s="1133"/>
      <c r="AH62" s="1133"/>
      <c r="AI62" s="1133"/>
      <c r="AJ62" s="1133"/>
      <c r="AK62" s="1134"/>
      <c r="AL62" s="1105"/>
      <c r="AM62" s="1106"/>
      <c r="AN62" s="1106"/>
      <c r="AO62" s="1106"/>
      <c r="AP62" s="1106"/>
      <c r="AQ62" s="1106"/>
      <c r="AR62" s="1107"/>
      <c r="AS62" s="629"/>
      <c r="AT62" s="1111"/>
      <c r="AU62" s="1112"/>
      <c r="AV62" s="1112"/>
      <c r="AW62" s="1112"/>
      <c r="AX62" s="1112"/>
      <c r="AY62" s="1112"/>
      <c r="AZ62" s="1113"/>
      <c r="BA62" s="1144"/>
      <c r="BB62" s="1145"/>
      <c r="BC62" s="1145"/>
      <c r="BD62" s="1145"/>
      <c r="BE62" s="1145"/>
      <c r="BF62" s="1145"/>
      <c r="BG62" s="1146"/>
      <c r="BH62" s="1111"/>
      <c r="BI62" s="1112"/>
      <c r="BJ62" s="1112"/>
      <c r="BK62" s="1112"/>
      <c r="BL62" s="1112"/>
      <c r="BM62" s="1112"/>
      <c r="BN62" s="1113"/>
      <c r="BO62" s="622"/>
    </row>
    <row r="63" spans="1:67" ht="18" thickBot="1">
      <c r="A63" s="622"/>
      <c r="B63" s="982"/>
      <c r="C63" s="983"/>
      <c r="D63" s="983"/>
      <c r="E63" s="983"/>
      <c r="F63" s="983"/>
      <c r="G63" s="983"/>
      <c r="H63" s="984"/>
      <c r="I63" s="1009"/>
      <c r="J63" s="1010"/>
      <c r="K63" s="1010"/>
      <c r="L63" s="1010"/>
      <c r="M63" s="1010"/>
      <c r="N63" s="1010"/>
      <c r="O63" s="1011"/>
      <c r="P63" s="982"/>
      <c r="Q63" s="983"/>
      <c r="R63" s="983"/>
      <c r="S63" s="983"/>
      <c r="T63" s="983"/>
      <c r="U63" s="983"/>
      <c r="V63" s="984"/>
      <c r="W63" s="629"/>
      <c r="X63" s="1108"/>
      <c r="Y63" s="1109"/>
      <c r="Z63" s="1109"/>
      <c r="AA63" s="1109"/>
      <c r="AB63" s="1109"/>
      <c r="AC63" s="1109"/>
      <c r="AD63" s="1110"/>
      <c r="AE63" s="1135"/>
      <c r="AF63" s="1136"/>
      <c r="AG63" s="1136"/>
      <c r="AH63" s="1136"/>
      <c r="AI63" s="1136"/>
      <c r="AJ63" s="1136"/>
      <c r="AK63" s="1137"/>
      <c r="AL63" s="1108"/>
      <c r="AM63" s="1109"/>
      <c r="AN63" s="1109"/>
      <c r="AO63" s="1109"/>
      <c r="AP63" s="1109"/>
      <c r="AQ63" s="1109"/>
      <c r="AR63" s="1110"/>
      <c r="AS63" s="629"/>
      <c r="AT63" s="1114"/>
      <c r="AU63" s="1115"/>
      <c r="AV63" s="1115"/>
      <c r="AW63" s="1115"/>
      <c r="AX63" s="1115"/>
      <c r="AY63" s="1115"/>
      <c r="AZ63" s="1116"/>
      <c r="BA63" s="1147"/>
      <c r="BB63" s="1148"/>
      <c r="BC63" s="1148"/>
      <c r="BD63" s="1148"/>
      <c r="BE63" s="1148"/>
      <c r="BF63" s="1148"/>
      <c r="BG63" s="1149"/>
      <c r="BH63" s="1114"/>
      <c r="BI63" s="1115"/>
      <c r="BJ63" s="1115"/>
      <c r="BK63" s="1115"/>
      <c r="BL63" s="1115"/>
      <c r="BM63" s="1115"/>
      <c r="BN63" s="1116"/>
      <c r="BO63" s="622"/>
    </row>
    <row r="64" spans="1:67" ht="17.25">
      <c r="A64" s="622"/>
      <c r="B64" s="976"/>
      <c r="C64" s="977"/>
      <c r="D64" s="977"/>
      <c r="E64" s="977"/>
      <c r="F64" s="977"/>
      <c r="G64" s="977"/>
      <c r="H64" s="978"/>
      <c r="I64" s="976"/>
      <c r="J64" s="977"/>
      <c r="K64" s="977"/>
      <c r="L64" s="977"/>
      <c r="M64" s="977"/>
      <c r="N64" s="977"/>
      <c r="O64" s="978"/>
      <c r="P64" s="976"/>
      <c r="Q64" s="977"/>
      <c r="R64" s="977"/>
      <c r="S64" s="977"/>
      <c r="T64" s="977"/>
      <c r="U64" s="977"/>
      <c r="V64" s="978"/>
      <c r="W64" s="629"/>
      <c r="X64" s="1126"/>
      <c r="Y64" s="1127"/>
      <c r="Z64" s="1127"/>
      <c r="AA64" s="1127"/>
      <c r="AB64" s="1127"/>
      <c r="AC64" s="1127"/>
      <c r="AD64" s="1128"/>
      <c r="AE64" s="1126"/>
      <c r="AF64" s="1127"/>
      <c r="AG64" s="1127"/>
      <c r="AH64" s="1127"/>
      <c r="AI64" s="1127"/>
      <c r="AJ64" s="1127"/>
      <c r="AK64" s="1128"/>
      <c r="AL64" s="1126"/>
      <c r="AM64" s="1127"/>
      <c r="AN64" s="1127"/>
      <c r="AO64" s="1127"/>
      <c r="AP64" s="1127"/>
      <c r="AQ64" s="1127"/>
      <c r="AR64" s="1128"/>
      <c r="AS64" s="629"/>
      <c r="AT64" s="1138"/>
      <c r="AU64" s="1139"/>
      <c r="AV64" s="1139"/>
      <c r="AW64" s="1139"/>
      <c r="AX64" s="1139"/>
      <c r="AY64" s="1139"/>
      <c r="AZ64" s="1140"/>
      <c r="BA64" s="1138"/>
      <c r="BB64" s="1139"/>
      <c r="BC64" s="1139"/>
      <c r="BD64" s="1139"/>
      <c r="BE64" s="1139"/>
      <c r="BF64" s="1139"/>
      <c r="BG64" s="1140"/>
      <c r="BH64" s="1138"/>
      <c r="BI64" s="1139"/>
      <c r="BJ64" s="1139"/>
      <c r="BK64" s="1139"/>
      <c r="BL64" s="1139"/>
      <c r="BM64" s="1139"/>
      <c r="BN64" s="1140"/>
      <c r="BO64" s="622"/>
    </row>
    <row r="65" spans="1:67" ht="17.25">
      <c r="A65" s="622"/>
      <c r="B65" s="979"/>
      <c r="C65" s="980"/>
      <c r="D65" s="980"/>
      <c r="E65" s="980"/>
      <c r="F65" s="980"/>
      <c r="G65" s="980"/>
      <c r="H65" s="981"/>
      <c r="I65" s="979"/>
      <c r="J65" s="980"/>
      <c r="K65" s="980"/>
      <c r="L65" s="980"/>
      <c r="M65" s="980"/>
      <c r="N65" s="980"/>
      <c r="O65" s="981"/>
      <c r="P65" s="979"/>
      <c r="Q65" s="980"/>
      <c r="R65" s="980"/>
      <c r="S65" s="980"/>
      <c r="T65" s="980"/>
      <c r="U65" s="980"/>
      <c r="V65" s="981"/>
      <c r="W65" s="629"/>
      <c r="X65" s="1105"/>
      <c r="Y65" s="1106"/>
      <c r="Z65" s="1106"/>
      <c r="AA65" s="1106"/>
      <c r="AB65" s="1106"/>
      <c r="AC65" s="1106"/>
      <c r="AD65" s="1107"/>
      <c r="AE65" s="1105"/>
      <c r="AF65" s="1106"/>
      <c r="AG65" s="1106"/>
      <c r="AH65" s="1106"/>
      <c r="AI65" s="1106"/>
      <c r="AJ65" s="1106"/>
      <c r="AK65" s="1107"/>
      <c r="AL65" s="1105"/>
      <c r="AM65" s="1106"/>
      <c r="AN65" s="1106"/>
      <c r="AO65" s="1106"/>
      <c r="AP65" s="1106"/>
      <c r="AQ65" s="1106"/>
      <c r="AR65" s="1107"/>
      <c r="AS65" s="629"/>
      <c r="AT65" s="1111"/>
      <c r="AU65" s="1112"/>
      <c r="AV65" s="1112"/>
      <c r="AW65" s="1112"/>
      <c r="AX65" s="1112"/>
      <c r="AY65" s="1112"/>
      <c r="AZ65" s="1113"/>
      <c r="BA65" s="1111"/>
      <c r="BB65" s="1112"/>
      <c r="BC65" s="1112"/>
      <c r="BD65" s="1112"/>
      <c r="BE65" s="1112"/>
      <c r="BF65" s="1112"/>
      <c r="BG65" s="1113"/>
      <c r="BH65" s="1111"/>
      <c r="BI65" s="1112"/>
      <c r="BJ65" s="1112"/>
      <c r="BK65" s="1112"/>
      <c r="BL65" s="1112"/>
      <c r="BM65" s="1112"/>
      <c r="BN65" s="1113"/>
      <c r="BO65" s="622"/>
    </row>
    <row r="66" spans="1:67" ht="17.25">
      <c r="A66" s="622"/>
      <c r="B66" s="979"/>
      <c r="C66" s="980"/>
      <c r="D66" s="980"/>
      <c r="E66" s="980"/>
      <c r="F66" s="980"/>
      <c r="G66" s="980"/>
      <c r="H66" s="981"/>
      <c r="I66" s="979"/>
      <c r="J66" s="980"/>
      <c r="K66" s="980"/>
      <c r="L66" s="980"/>
      <c r="M66" s="980"/>
      <c r="N66" s="980"/>
      <c r="O66" s="981"/>
      <c r="P66" s="979"/>
      <c r="Q66" s="980"/>
      <c r="R66" s="980"/>
      <c r="S66" s="980"/>
      <c r="T66" s="980"/>
      <c r="U66" s="980"/>
      <c r="V66" s="981"/>
      <c r="W66" s="629"/>
      <c r="X66" s="1105"/>
      <c r="Y66" s="1106"/>
      <c r="Z66" s="1106"/>
      <c r="AA66" s="1106"/>
      <c r="AB66" s="1106"/>
      <c r="AC66" s="1106"/>
      <c r="AD66" s="1107"/>
      <c r="AE66" s="1105"/>
      <c r="AF66" s="1106"/>
      <c r="AG66" s="1106"/>
      <c r="AH66" s="1106"/>
      <c r="AI66" s="1106"/>
      <c r="AJ66" s="1106"/>
      <c r="AK66" s="1107"/>
      <c r="AL66" s="1105"/>
      <c r="AM66" s="1106"/>
      <c r="AN66" s="1106"/>
      <c r="AO66" s="1106"/>
      <c r="AP66" s="1106"/>
      <c r="AQ66" s="1106"/>
      <c r="AR66" s="1107"/>
      <c r="AS66" s="629"/>
      <c r="AT66" s="1111"/>
      <c r="AU66" s="1112"/>
      <c r="AV66" s="1112"/>
      <c r="AW66" s="1112"/>
      <c r="AX66" s="1112"/>
      <c r="AY66" s="1112"/>
      <c r="AZ66" s="1113"/>
      <c r="BA66" s="1111"/>
      <c r="BB66" s="1112"/>
      <c r="BC66" s="1112"/>
      <c r="BD66" s="1112"/>
      <c r="BE66" s="1112"/>
      <c r="BF66" s="1112"/>
      <c r="BG66" s="1113"/>
      <c r="BH66" s="1111"/>
      <c r="BI66" s="1112"/>
      <c r="BJ66" s="1112"/>
      <c r="BK66" s="1112"/>
      <c r="BL66" s="1112"/>
      <c r="BM66" s="1112"/>
      <c r="BN66" s="1113"/>
      <c r="BO66" s="622"/>
    </row>
    <row r="67" spans="1:67" ht="17.25">
      <c r="A67" s="622"/>
      <c r="B67" s="979"/>
      <c r="C67" s="980"/>
      <c r="D67" s="980"/>
      <c r="E67" s="980"/>
      <c r="F67" s="980"/>
      <c r="G67" s="980"/>
      <c r="H67" s="981"/>
      <c r="I67" s="979"/>
      <c r="J67" s="980"/>
      <c r="K67" s="980"/>
      <c r="L67" s="980"/>
      <c r="M67" s="980"/>
      <c r="N67" s="980"/>
      <c r="O67" s="981"/>
      <c r="P67" s="979"/>
      <c r="Q67" s="980"/>
      <c r="R67" s="980"/>
      <c r="S67" s="980"/>
      <c r="T67" s="980"/>
      <c r="U67" s="980"/>
      <c r="V67" s="981"/>
      <c r="W67" s="629"/>
      <c r="X67" s="1105"/>
      <c r="Y67" s="1106"/>
      <c r="Z67" s="1106"/>
      <c r="AA67" s="1106"/>
      <c r="AB67" s="1106"/>
      <c r="AC67" s="1106"/>
      <c r="AD67" s="1107"/>
      <c r="AE67" s="1105"/>
      <c r="AF67" s="1106"/>
      <c r="AG67" s="1106"/>
      <c r="AH67" s="1106"/>
      <c r="AI67" s="1106"/>
      <c r="AJ67" s="1106"/>
      <c r="AK67" s="1107"/>
      <c r="AL67" s="1105"/>
      <c r="AM67" s="1106"/>
      <c r="AN67" s="1106"/>
      <c r="AO67" s="1106"/>
      <c r="AP67" s="1106"/>
      <c r="AQ67" s="1106"/>
      <c r="AR67" s="1107"/>
      <c r="AS67" s="629"/>
      <c r="AT67" s="1111"/>
      <c r="AU67" s="1112"/>
      <c r="AV67" s="1112"/>
      <c r="AW67" s="1112"/>
      <c r="AX67" s="1112"/>
      <c r="AY67" s="1112"/>
      <c r="AZ67" s="1113"/>
      <c r="BA67" s="1111"/>
      <c r="BB67" s="1112"/>
      <c r="BC67" s="1112"/>
      <c r="BD67" s="1112"/>
      <c r="BE67" s="1112"/>
      <c r="BF67" s="1112"/>
      <c r="BG67" s="1113"/>
      <c r="BH67" s="1111"/>
      <c r="BI67" s="1112"/>
      <c r="BJ67" s="1112"/>
      <c r="BK67" s="1112"/>
      <c r="BL67" s="1112"/>
      <c r="BM67" s="1112"/>
      <c r="BN67" s="1113"/>
      <c r="BO67" s="622"/>
    </row>
    <row r="68" spans="1:67" ht="17.25">
      <c r="A68" s="622"/>
      <c r="B68" s="979"/>
      <c r="C68" s="980"/>
      <c r="D68" s="980"/>
      <c r="E68" s="980"/>
      <c r="F68" s="980"/>
      <c r="G68" s="980"/>
      <c r="H68" s="981"/>
      <c r="I68" s="979"/>
      <c r="J68" s="980"/>
      <c r="K68" s="980"/>
      <c r="L68" s="980"/>
      <c r="M68" s="980"/>
      <c r="N68" s="980"/>
      <c r="O68" s="981"/>
      <c r="P68" s="979"/>
      <c r="Q68" s="980"/>
      <c r="R68" s="980"/>
      <c r="S68" s="980"/>
      <c r="T68" s="980"/>
      <c r="U68" s="980"/>
      <c r="V68" s="981"/>
      <c r="W68" s="629"/>
      <c r="X68" s="1105"/>
      <c r="Y68" s="1106"/>
      <c r="Z68" s="1106"/>
      <c r="AA68" s="1106"/>
      <c r="AB68" s="1106"/>
      <c r="AC68" s="1106"/>
      <c r="AD68" s="1107"/>
      <c r="AE68" s="1105"/>
      <c r="AF68" s="1106"/>
      <c r="AG68" s="1106"/>
      <c r="AH68" s="1106"/>
      <c r="AI68" s="1106"/>
      <c r="AJ68" s="1106"/>
      <c r="AK68" s="1107"/>
      <c r="AL68" s="1105"/>
      <c r="AM68" s="1106"/>
      <c r="AN68" s="1106"/>
      <c r="AO68" s="1106"/>
      <c r="AP68" s="1106"/>
      <c r="AQ68" s="1106"/>
      <c r="AR68" s="1107"/>
      <c r="AS68" s="629"/>
      <c r="AT68" s="1111"/>
      <c r="AU68" s="1112"/>
      <c r="AV68" s="1112"/>
      <c r="AW68" s="1112"/>
      <c r="AX68" s="1112"/>
      <c r="AY68" s="1112"/>
      <c r="AZ68" s="1113"/>
      <c r="BA68" s="1111"/>
      <c r="BB68" s="1112"/>
      <c r="BC68" s="1112"/>
      <c r="BD68" s="1112"/>
      <c r="BE68" s="1112"/>
      <c r="BF68" s="1112"/>
      <c r="BG68" s="1113"/>
      <c r="BH68" s="1111"/>
      <c r="BI68" s="1112"/>
      <c r="BJ68" s="1112"/>
      <c r="BK68" s="1112"/>
      <c r="BL68" s="1112"/>
      <c r="BM68" s="1112"/>
      <c r="BN68" s="1113"/>
      <c r="BO68" s="622"/>
    </row>
    <row r="69" spans="1:67" ht="17.25">
      <c r="A69" s="622"/>
      <c r="B69" s="979"/>
      <c r="C69" s="980"/>
      <c r="D69" s="980"/>
      <c r="E69" s="980"/>
      <c r="F69" s="980"/>
      <c r="G69" s="980"/>
      <c r="H69" s="981"/>
      <c r="I69" s="979"/>
      <c r="J69" s="980"/>
      <c r="K69" s="980"/>
      <c r="L69" s="980"/>
      <c r="M69" s="980"/>
      <c r="N69" s="980"/>
      <c r="O69" s="981"/>
      <c r="P69" s="979"/>
      <c r="Q69" s="980"/>
      <c r="R69" s="980"/>
      <c r="S69" s="980"/>
      <c r="T69" s="980"/>
      <c r="U69" s="980"/>
      <c r="V69" s="981"/>
      <c r="W69" s="629"/>
      <c r="X69" s="1105"/>
      <c r="Y69" s="1106"/>
      <c r="Z69" s="1106"/>
      <c r="AA69" s="1106"/>
      <c r="AB69" s="1106"/>
      <c r="AC69" s="1106"/>
      <c r="AD69" s="1107"/>
      <c r="AE69" s="1105"/>
      <c r="AF69" s="1106"/>
      <c r="AG69" s="1106"/>
      <c r="AH69" s="1106"/>
      <c r="AI69" s="1106"/>
      <c r="AJ69" s="1106"/>
      <c r="AK69" s="1107"/>
      <c r="AL69" s="1105"/>
      <c r="AM69" s="1106"/>
      <c r="AN69" s="1106"/>
      <c r="AO69" s="1106"/>
      <c r="AP69" s="1106"/>
      <c r="AQ69" s="1106"/>
      <c r="AR69" s="1107"/>
      <c r="AS69" s="629"/>
      <c r="AT69" s="1111"/>
      <c r="AU69" s="1112"/>
      <c r="AV69" s="1112"/>
      <c r="AW69" s="1112"/>
      <c r="AX69" s="1112"/>
      <c r="AY69" s="1112"/>
      <c r="AZ69" s="1113"/>
      <c r="BA69" s="1111"/>
      <c r="BB69" s="1112"/>
      <c r="BC69" s="1112"/>
      <c r="BD69" s="1112"/>
      <c r="BE69" s="1112"/>
      <c r="BF69" s="1112"/>
      <c r="BG69" s="1113"/>
      <c r="BH69" s="1111"/>
      <c r="BI69" s="1112"/>
      <c r="BJ69" s="1112"/>
      <c r="BK69" s="1112"/>
      <c r="BL69" s="1112"/>
      <c r="BM69" s="1112"/>
      <c r="BN69" s="1113"/>
      <c r="BO69" s="622"/>
    </row>
    <row r="70" spans="1:67" ht="18" thickBot="1">
      <c r="A70" s="622"/>
      <c r="B70" s="982"/>
      <c r="C70" s="983"/>
      <c r="D70" s="983"/>
      <c r="E70" s="983"/>
      <c r="F70" s="983"/>
      <c r="G70" s="983"/>
      <c r="H70" s="984"/>
      <c r="I70" s="982"/>
      <c r="J70" s="983"/>
      <c r="K70" s="983"/>
      <c r="L70" s="983"/>
      <c r="M70" s="983"/>
      <c r="N70" s="983"/>
      <c r="O70" s="984"/>
      <c r="P70" s="982"/>
      <c r="Q70" s="983"/>
      <c r="R70" s="983"/>
      <c r="S70" s="983"/>
      <c r="T70" s="983"/>
      <c r="U70" s="983"/>
      <c r="V70" s="984"/>
      <c r="W70" s="629"/>
      <c r="X70" s="1108"/>
      <c r="Y70" s="1109"/>
      <c r="Z70" s="1109"/>
      <c r="AA70" s="1109"/>
      <c r="AB70" s="1109"/>
      <c r="AC70" s="1109"/>
      <c r="AD70" s="1110"/>
      <c r="AE70" s="1108"/>
      <c r="AF70" s="1109"/>
      <c r="AG70" s="1109"/>
      <c r="AH70" s="1109"/>
      <c r="AI70" s="1109"/>
      <c r="AJ70" s="1109"/>
      <c r="AK70" s="1110"/>
      <c r="AL70" s="1108"/>
      <c r="AM70" s="1109"/>
      <c r="AN70" s="1109"/>
      <c r="AO70" s="1109"/>
      <c r="AP70" s="1109"/>
      <c r="AQ70" s="1109"/>
      <c r="AR70" s="1110"/>
      <c r="AS70" s="629"/>
      <c r="AT70" s="1114"/>
      <c r="AU70" s="1115"/>
      <c r="AV70" s="1115"/>
      <c r="AW70" s="1115"/>
      <c r="AX70" s="1115"/>
      <c r="AY70" s="1115"/>
      <c r="AZ70" s="1116"/>
      <c r="BA70" s="1114"/>
      <c r="BB70" s="1115"/>
      <c r="BC70" s="1115"/>
      <c r="BD70" s="1115"/>
      <c r="BE70" s="1115"/>
      <c r="BF70" s="1115"/>
      <c r="BG70" s="1116"/>
      <c r="BH70" s="1114"/>
      <c r="BI70" s="1115"/>
      <c r="BJ70" s="1115"/>
      <c r="BK70" s="1115"/>
      <c r="BL70" s="1115"/>
      <c r="BM70" s="1115"/>
      <c r="BN70" s="1116"/>
      <c r="BO70" s="622"/>
    </row>
    <row r="71" spans="1:67">
      <c r="A71" s="622"/>
      <c r="B71" s="622"/>
      <c r="C71" s="622"/>
      <c r="D71" s="622"/>
      <c r="E71" s="622"/>
      <c r="F71" s="622"/>
      <c r="G71" s="622"/>
      <c r="H71" s="622"/>
      <c r="I71" s="622"/>
      <c r="J71" s="622"/>
      <c r="K71" s="622"/>
      <c r="L71" s="622"/>
      <c r="M71" s="622"/>
      <c r="N71" s="622"/>
      <c r="O71" s="622"/>
      <c r="P71" s="622"/>
      <c r="Q71" s="622"/>
      <c r="R71" s="622"/>
      <c r="S71" s="622"/>
      <c r="T71" s="622"/>
      <c r="U71" s="622"/>
      <c r="V71" s="622"/>
      <c r="W71" s="622"/>
      <c r="X71" s="622"/>
      <c r="Y71" s="622"/>
      <c r="Z71" s="622"/>
      <c r="AA71" s="622"/>
      <c r="AB71" s="622"/>
      <c r="AC71" s="622"/>
      <c r="AD71" s="622"/>
      <c r="AE71" s="622"/>
      <c r="AF71" s="622"/>
      <c r="AG71" s="622"/>
      <c r="AH71" s="622"/>
      <c r="AI71" s="622"/>
      <c r="AJ71" s="622"/>
      <c r="AK71" s="622"/>
      <c r="AL71" s="622"/>
      <c r="AM71" s="622"/>
      <c r="AN71" s="622"/>
      <c r="AO71" s="622"/>
      <c r="AP71" s="622"/>
      <c r="AQ71" s="622"/>
      <c r="AR71" s="622"/>
      <c r="AS71" s="622"/>
      <c r="AT71" s="622"/>
      <c r="AU71" s="622"/>
      <c r="AV71" s="622"/>
      <c r="AW71" s="622"/>
      <c r="AX71" s="622"/>
      <c r="AY71" s="622"/>
      <c r="AZ71" s="622"/>
      <c r="BA71" s="622"/>
      <c r="BB71" s="622"/>
      <c r="BC71" s="622"/>
      <c r="BD71" s="622"/>
      <c r="BE71" s="622"/>
      <c r="BF71" s="622"/>
      <c r="BG71" s="622"/>
      <c r="BH71" s="622"/>
      <c r="BI71" s="622"/>
      <c r="BJ71" s="622"/>
      <c r="BK71" s="622"/>
      <c r="BL71" s="622"/>
      <c r="BM71" s="622"/>
      <c r="BN71" s="622"/>
      <c r="BO71" s="622"/>
    </row>
  </sheetData>
  <mergeCells count="154">
    <mergeCell ref="BA65:BG70"/>
    <mergeCell ref="BH65:BN70"/>
    <mergeCell ref="BA57:BG63"/>
    <mergeCell ref="BH57:BN57"/>
    <mergeCell ref="AT58:AZ63"/>
    <mergeCell ref="BH58:BN63"/>
    <mergeCell ref="AT64:AZ64"/>
    <mergeCell ref="BA64:BG64"/>
    <mergeCell ref="BH64:BN64"/>
    <mergeCell ref="BA50:BG50"/>
    <mergeCell ref="BH50:BN50"/>
    <mergeCell ref="AT51:AZ56"/>
    <mergeCell ref="BA51:BG56"/>
    <mergeCell ref="BH51:BN56"/>
    <mergeCell ref="AT57:AZ57"/>
    <mergeCell ref="AL57:AR57"/>
    <mergeCell ref="X58:AD63"/>
    <mergeCell ref="AL58:AR63"/>
    <mergeCell ref="AT43:AZ48"/>
    <mergeCell ref="I65:O70"/>
    <mergeCell ref="P65:V70"/>
    <mergeCell ref="X50:AD50"/>
    <mergeCell ref="AE50:AK50"/>
    <mergeCell ref="AL50:AR50"/>
    <mergeCell ref="X51:AD56"/>
    <mergeCell ref="AE51:AK56"/>
    <mergeCell ref="AL51:AR56"/>
    <mergeCell ref="X57:AD57"/>
    <mergeCell ref="AE57:AK63"/>
    <mergeCell ref="X65:AD70"/>
    <mergeCell ref="AE65:AK70"/>
    <mergeCell ref="AL65:AR70"/>
    <mergeCell ref="AT50:AZ50"/>
    <mergeCell ref="X64:AD64"/>
    <mergeCell ref="AE64:AK64"/>
    <mergeCell ref="AL64:AR64"/>
    <mergeCell ref="AT65:AZ70"/>
    <mergeCell ref="BA43:BG48"/>
    <mergeCell ref="BH43:BN48"/>
    <mergeCell ref="B50:H50"/>
    <mergeCell ref="I50:O50"/>
    <mergeCell ref="P50:V50"/>
    <mergeCell ref="BA35:BG41"/>
    <mergeCell ref="BH35:BN35"/>
    <mergeCell ref="AT36:AZ41"/>
    <mergeCell ref="BH36:BN41"/>
    <mergeCell ref="AT42:AZ42"/>
    <mergeCell ref="BA42:BG42"/>
    <mergeCell ref="BH42:BN42"/>
    <mergeCell ref="X43:AD48"/>
    <mergeCell ref="AE43:AK48"/>
    <mergeCell ref="AL43:AR48"/>
    <mergeCell ref="X36:AD41"/>
    <mergeCell ref="X42:AD42"/>
    <mergeCell ref="AE42:AK42"/>
    <mergeCell ref="AL42:AR42"/>
    <mergeCell ref="B43:H48"/>
    <mergeCell ref="I43:O48"/>
    <mergeCell ref="P43:V48"/>
    <mergeCell ref="B36:H41"/>
    <mergeCell ref="B42:H42"/>
    <mergeCell ref="BH28:BN28"/>
    <mergeCell ref="AT29:AZ34"/>
    <mergeCell ref="BA29:BG34"/>
    <mergeCell ref="BH29:BN34"/>
    <mergeCell ref="AT35:AZ35"/>
    <mergeCell ref="AE35:AK41"/>
    <mergeCell ref="AL35:AR35"/>
    <mergeCell ref="AL36:AR41"/>
    <mergeCell ref="AL28:AR28"/>
    <mergeCell ref="X29:AD34"/>
    <mergeCell ref="AE29:AK34"/>
    <mergeCell ref="AL29:AR34"/>
    <mergeCell ref="X35:AD35"/>
    <mergeCell ref="I35:O41"/>
    <mergeCell ref="P35:V35"/>
    <mergeCell ref="P36:V41"/>
    <mergeCell ref="AT28:AZ28"/>
    <mergeCell ref="AT21:AZ26"/>
    <mergeCell ref="BA21:BG26"/>
    <mergeCell ref="BH21:BN26"/>
    <mergeCell ref="B28:H28"/>
    <mergeCell ref="I28:O28"/>
    <mergeCell ref="P28:V28"/>
    <mergeCell ref="BA13:BG19"/>
    <mergeCell ref="BH13:BN13"/>
    <mergeCell ref="AT14:AZ19"/>
    <mergeCell ref="BH14:BN19"/>
    <mergeCell ref="AT20:AZ20"/>
    <mergeCell ref="BA20:BG20"/>
    <mergeCell ref="BH20:BN20"/>
    <mergeCell ref="X21:AD26"/>
    <mergeCell ref="AE21:AK26"/>
    <mergeCell ref="AL21:AR26"/>
    <mergeCell ref="X20:AD20"/>
    <mergeCell ref="AE20:AK20"/>
    <mergeCell ref="AL20:AR20"/>
    <mergeCell ref="B20:H20"/>
    <mergeCell ref="B21:H26"/>
    <mergeCell ref="I20:O20"/>
    <mergeCell ref="X28:AD28"/>
    <mergeCell ref="AE28:AK28"/>
    <mergeCell ref="BA28:BG28"/>
    <mergeCell ref="AT6:AZ6"/>
    <mergeCell ref="BA6:BG6"/>
    <mergeCell ref="BH6:BN6"/>
    <mergeCell ref="AT7:AZ12"/>
    <mergeCell ref="BA7:BG12"/>
    <mergeCell ref="BH7:BN12"/>
    <mergeCell ref="AT13:AZ13"/>
    <mergeCell ref="X13:AD13"/>
    <mergeCell ref="AE13:AK19"/>
    <mergeCell ref="AL13:AR13"/>
    <mergeCell ref="X14:AD19"/>
    <mergeCell ref="AL14:AR19"/>
    <mergeCell ref="X6:AD6"/>
    <mergeCell ref="AE6:AK6"/>
    <mergeCell ref="AL6:AR6"/>
    <mergeCell ref="X7:AD12"/>
    <mergeCell ref="AE7:AK12"/>
    <mergeCell ref="AL7:AR12"/>
    <mergeCell ref="B65:H70"/>
    <mergeCell ref="B29:H34"/>
    <mergeCell ref="I29:O34"/>
    <mergeCell ref="P29:V34"/>
    <mergeCell ref="B35:H35"/>
    <mergeCell ref="I21:O26"/>
    <mergeCell ref="P20:V20"/>
    <mergeCell ref="P21:V26"/>
    <mergeCell ref="P7:V12"/>
    <mergeCell ref="B13:H13"/>
    <mergeCell ref="B14:H19"/>
    <mergeCell ref="P13:V13"/>
    <mergeCell ref="P14:V19"/>
    <mergeCell ref="I13:O19"/>
    <mergeCell ref="I42:O42"/>
    <mergeCell ref="P42:V42"/>
    <mergeCell ref="B51:H56"/>
    <mergeCell ref="I51:O56"/>
    <mergeCell ref="P51:V56"/>
    <mergeCell ref="B57:H57"/>
    <mergeCell ref="I57:O63"/>
    <mergeCell ref="P57:V57"/>
    <mergeCell ref="B58:H63"/>
    <mergeCell ref="P58:V63"/>
    <mergeCell ref="A1:D1"/>
    <mergeCell ref="B6:H6"/>
    <mergeCell ref="B7:H12"/>
    <mergeCell ref="I6:O6"/>
    <mergeCell ref="I7:O12"/>
    <mergeCell ref="P6:V6"/>
    <mergeCell ref="B64:H64"/>
    <mergeCell ref="I64:O64"/>
    <mergeCell ref="P64:V64"/>
  </mergeCells>
  <phoneticPr fontId="42"/>
  <hyperlinks>
    <hyperlink ref="A1:D1" location="目次!A1" display="　目次　" xr:uid="{60DD3806-CE28-4036-AF22-45CBEB860C67}"/>
    <hyperlink ref="X28:AD28" location="'___ (5)'!I11" display="   " xr:uid="{1BC7DDD7-7DC8-4486-B6A1-DF579C5E86E4}"/>
    <hyperlink ref="I13:O19" location="'___ (5)'!Y27" display="     " xr:uid="{8DE37370-6169-493D-AF25-41627E9796B3}"/>
    <hyperlink ref="AE13:AK19" location="'___ (5)'!AF26" display="     " xr:uid="{A88F05B1-4E9E-4773-913E-2BC7318EFF99}"/>
    <hyperlink ref="AE28:AK28" location="'___ (5)'!AF11" display="     " xr:uid="{F5B097E0-EC29-406E-900F-74C19968B387}"/>
    <hyperlink ref="AL28:AR28" location="'___ (5)'!BC11" display="     " xr:uid="{09CF11AD-4EE1-4947-A286-218A494E8BB0}"/>
    <hyperlink ref="AL35:AR35" location="'___ (5)'!BC34" display="     " xr:uid="{34386EDF-A1E8-45F9-B59E-7DD1B56E994F}"/>
    <hyperlink ref="BA35:BG41" location="'___ (5)'!AM33" display="     " xr:uid="{007408BE-464A-4984-B604-EF3F2A5CF0DC}"/>
    <hyperlink ref="AL42:AR42" location="'___ (5)'!BC57" display="     " xr:uid="{B8B00A2C-0FF1-4D94-9331-7FB60AE14DF9}"/>
    <hyperlink ref="BA57:BG63" location="'___ (5)'!AM40" display="     " xr:uid="{579A1052-B5D5-4EEE-BD2B-9110B08EED44}"/>
    <hyperlink ref="AE42:AK42" location="'___ (5)'!AF57" display="          " xr:uid="{4C30547D-6ED7-498E-B686-F5F88E7C498D}"/>
    <hyperlink ref="AE57:AK63" location="'___ (5)'!AE40" display="     " xr:uid="{185D52D4-B9D8-4BDB-B099-F1AC50EF7E92}"/>
    <hyperlink ref="X42:AD42" location="'___ (5)'!I57" display="          " xr:uid="{F66B9B5F-129A-4DB3-A3E3-BE6F8E5AFF5E}"/>
    <hyperlink ref="I57:O63" location="'___ (5)'!X40" display="     " xr:uid="{38B17440-905B-45D8-93D3-8360DA6C213C}"/>
    <hyperlink ref="X35:AD35" location="'___ (5)'!I34" display="      " xr:uid="{8F02801A-4246-483F-8C28-603C014472BB}"/>
    <hyperlink ref="I35:O41" location="'___ (5)'!Y33" display="     " xr:uid="{D17EEAA6-1DC4-467B-8901-C219EDAED833}"/>
    <hyperlink ref="BA13:BG19" location="'___ (5)'!AL26" display="     " xr:uid="{E873651A-ED1A-4EBA-B4CF-283BC63FE036}"/>
  </hyperlinks>
  <pageMargins left="0.69930555555555596" right="0.69930555555555596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B8F6-3C8D-4D2A-A00D-6A0EF3663F09}">
  <dimension ref="A1:BO71"/>
  <sheetViews>
    <sheetView zoomScale="40" zoomScaleNormal="40" workbookViewId="0">
      <selection sqref="A1:D1"/>
    </sheetView>
  </sheetViews>
  <sheetFormatPr defaultColWidth="3.25" defaultRowHeight="13.5"/>
  <cols>
    <col min="1" max="16384" width="3.25" style="620"/>
  </cols>
  <sheetData>
    <row r="1" spans="1:67">
      <c r="A1" s="686" t="s">
        <v>61</v>
      </c>
      <c r="B1" s="686"/>
      <c r="C1" s="686"/>
      <c r="D1" s="686"/>
      <c r="E1" s="618"/>
    </row>
    <row r="3" spans="1:67" ht="25.5">
      <c r="B3" s="31" t="s">
        <v>1714</v>
      </c>
    </row>
    <row r="5" spans="1:67" ht="14.25" thickBot="1">
      <c r="A5" s="628"/>
      <c r="B5" s="622"/>
      <c r="C5" s="622"/>
      <c r="D5" s="622"/>
      <c r="E5" s="622"/>
      <c r="F5" s="622"/>
      <c r="G5" s="622"/>
      <c r="H5" s="622"/>
      <c r="I5" s="622"/>
      <c r="J5" s="622"/>
      <c r="K5" s="622"/>
      <c r="L5" s="622"/>
      <c r="M5" s="622"/>
      <c r="N5" s="622"/>
      <c r="O5" s="622"/>
      <c r="P5" s="622"/>
      <c r="Q5" s="622"/>
      <c r="R5" s="622"/>
      <c r="S5" s="622"/>
      <c r="T5" s="622"/>
      <c r="U5" s="622"/>
      <c r="V5" s="622"/>
      <c r="W5" s="622"/>
      <c r="X5" s="622"/>
      <c r="Y5" s="622"/>
      <c r="Z5" s="622"/>
      <c r="AA5" s="622"/>
      <c r="AB5" s="622"/>
      <c r="AC5" s="622"/>
      <c r="AD5" s="622"/>
      <c r="AE5" s="622"/>
      <c r="AF5" s="622"/>
      <c r="AG5" s="622"/>
      <c r="AH5" s="622"/>
      <c r="AI5" s="622"/>
      <c r="AJ5" s="622"/>
      <c r="AK5" s="622"/>
      <c r="AL5" s="622"/>
      <c r="AM5" s="622"/>
      <c r="AN5" s="622"/>
      <c r="AO5" s="622"/>
      <c r="AP5" s="622"/>
      <c r="AQ5" s="622"/>
      <c r="AR5" s="622"/>
      <c r="AS5" s="622"/>
      <c r="AT5" s="622"/>
      <c r="AU5" s="622"/>
      <c r="AV5" s="622"/>
      <c r="AW5" s="622"/>
      <c r="AX5" s="622"/>
      <c r="AY5" s="622"/>
      <c r="AZ5" s="622"/>
      <c r="BA5" s="622"/>
      <c r="BB5" s="622"/>
      <c r="BC5" s="622"/>
      <c r="BD5" s="622"/>
      <c r="BE5" s="622"/>
      <c r="BF5" s="622"/>
      <c r="BG5" s="622"/>
      <c r="BH5" s="622"/>
      <c r="BI5" s="622"/>
      <c r="BJ5" s="622"/>
      <c r="BK5" s="622"/>
      <c r="BL5" s="622"/>
      <c r="BM5" s="622"/>
      <c r="BN5" s="622"/>
      <c r="BO5" s="622"/>
    </row>
    <row r="6" spans="1:67" ht="17.25">
      <c r="A6" s="628"/>
      <c r="B6" s="967"/>
      <c r="C6" s="968"/>
      <c r="D6" s="968"/>
      <c r="E6" s="968"/>
      <c r="F6" s="968"/>
      <c r="G6" s="968"/>
      <c r="H6" s="969"/>
      <c r="I6" s="967"/>
      <c r="J6" s="968"/>
      <c r="K6" s="968"/>
      <c r="L6" s="968"/>
      <c r="M6" s="968"/>
      <c r="N6" s="968"/>
      <c r="O6" s="969"/>
      <c r="P6" s="967"/>
      <c r="Q6" s="968"/>
      <c r="R6" s="968"/>
      <c r="S6" s="968"/>
      <c r="T6" s="968"/>
      <c r="U6" s="968"/>
      <c r="V6" s="969"/>
      <c r="W6" s="629"/>
      <c r="X6" s="1021"/>
      <c r="Y6" s="1022"/>
      <c r="Z6" s="1022"/>
      <c r="AA6" s="1022"/>
      <c r="AB6" s="1022"/>
      <c r="AC6" s="1022"/>
      <c r="AD6" s="1023"/>
      <c r="AE6" s="1021"/>
      <c r="AF6" s="1022"/>
      <c r="AG6" s="1022"/>
      <c r="AH6" s="1022"/>
      <c r="AI6" s="1022"/>
      <c r="AJ6" s="1022"/>
      <c r="AK6" s="1023"/>
      <c r="AL6" s="1021"/>
      <c r="AM6" s="1022"/>
      <c r="AN6" s="1022"/>
      <c r="AO6" s="1022"/>
      <c r="AP6" s="1022"/>
      <c r="AQ6" s="1022"/>
      <c r="AR6" s="1023"/>
      <c r="AS6" s="629"/>
      <c r="AT6" s="1012"/>
      <c r="AU6" s="1013"/>
      <c r="AV6" s="1013"/>
      <c r="AW6" s="1013"/>
      <c r="AX6" s="1013"/>
      <c r="AY6" s="1013"/>
      <c r="AZ6" s="1014"/>
      <c r="BA6" s="1012"/>
      <c r="BB6" s="1013"/>
      <c r="BC6" s="1013"/>
      <c r="BD6" s="1013"/>
      <c r="BE6" s="1013"/>
      <c r="BF6" s="1013"/>
      <c r="BG6" s="1014"/>
      <c r="BH6" s="1012"/>
      <c r="BI6" s="1013"/>
      <c r="BJ6" s="1013"/>
      <c r="BK6" s="1013"/>
      <c r="BL6" s="1013"/>
      <c r="BM6" s="1013"/>
      <c r="BN6" s="1014"/>
      <c r="BO6" s="622"/>
    </row>
    <row r="7" spans="1:67" ht="17.25">
      <c r="A7" s="622"/>
      <c r="B7" s="1150"/>
      <c r="C7" s="1151"/>
      <c r="D7" s="1151"/>
      <c r="E7" s="1151"/>
      <c r="F7" s="1151"/>
      <c r="G7" s="1151"/>
      <c r="H7" s="1152"/>
      <c r="I7" s="1150"/>
      <c r="J7" s="1151"/>
      <c r="K7" s="1151"/>
      <c r="L7" s="1151"/>
      <c r="M7" s="1151"/>
      <c r="N7" s="1151"/>
      <c r="O7" s="1152"/>
      <c r="P7" s="1150"/>
      <c r="Q7" s="1151"/>
      <c r="R7" s="1151"/>
      <c r="S7" s="1151"/>
      <c r="T7" s="1151"/>
      <c r="U7" s="1151"/>
      <c r="V7" s="1152"/>
      <c r="W7" s="629"/>
      <c r="X7" s="1156"/>
      <c r="Y7" s="1157"/>
      <c r="Z7" s="1157"/>
      <c r="AA7" s="1157"/>
      <c r="AB7" s="1157"/>
      <c r="AC7" s="1157"/>
      <c r="AD7" s="1158"/>
      <c r="AE7" s="1156"/>
      <c r="AF7" s="1157"/>
      <c r="AG7" s="1157"/>
      <c r="AH7" s="1157"/>
      <c r="AI7" s="1157"/>
      <c r="AJ7" s="1157"/>
      <c r="AK7" s="1158"/>
      <c r="AL7" s="1156"/>
      <c r="AM7" s="1157"/>
      <c r="AN7" s="1157"/>
      <c r="AO7" s="1157"/>
      <c r="AP7" s="1157"/>
      <c r="AQ7" s="1157"/>
      <c r="AR7" s="1158"/>
      <c r="AS7" s="629"/>
      <c r="AT7" s="1162"/>
      <c r="AU7" s="1163"/>
      <c r="AV7" s="1163"/>
      <c r="AW7" s="1163"/>
      <c r="AX7" s="1163"/>
      <c r="AY7" s="1163"/>
      <c r="AZ7" s="1164"/>
      <c r="BA7" s="1162"/>
      <c r="BB7" s="1163"/>
      <c r="BC7" s="1163"/>
      <c r="BD7" s="1163"/>
      <c r="BE7" s="1163"/>
      <c r="BF7" s="1163"/>
      <c r="BG7" s="1164"/>
      <c r="BH7" s="1162"/>
      <c r="BI7" s="1163"/>
      <c r="BJ7" s="1163"/>
      <c r="BK7" s="1163"/>
      <c r="BL7" s="1163"/>
      <c r="BM7" s="1163"/>
      <c r="BN7" s="1164"/>
      <c r="BO7" s="622"/>
    </row>
    <row r="8" spans="1:67" ht="17.25">
      <c r="A8" s="622"/>
      <c r="B8" s="1150"/>
      <c r="C8" s="1151"/>
      <c r="D8" s="1151"/>
      <c r="E8" s="1151"/>
      <c r="F8" s="1151"/>
      <c r="G8" s="1151"/>
      <c r="H8" s="1152"/>
      <c r="I8" s="1150"/>
      <c r="J8" s="1151"/>
      <c r="K8" s="1151"/>
      <c r="L8" s="1151"/>
      <c r="M8" s="1151"/>
      <c r="N8" s="1151"/>
      <c r="O8" s="1152"/>
      <c r="P8" s="1150"/>
      <c r="Q8" s="1151"/>
      <c r="R8" s="1151"/>
      <c r="S8" s="1151"/>
      <c r="T8" s="1151"/>
      <c r="U8" s="1151"/>
      <c r="V8" s="1152"/>
      <c r="W8" s="629"/>
      <c r="X8" s="1156"/>
      <c r="Y8" s="1157"/>
      <c r="Z8" s="1157"/>
      <c r="AA8" s="1157"/>
      <c r="AB8" s="1157"/>
      <c r="AC8" s="1157"/>
      <c r="AD8" s="1158"/>
      <c r="AE8" s="1156"/>
      <c r="AF8" s="1157"/>
      <c r="AG8" s="1157"/>
      <c r="AH8" s="1157"/>
      <c r="AI8" s="1157"/>
      <c r="AJ8" s="1157"/>
      <c r="AK8" s="1158"/>
      <c r="AL8" s="1156"/>
      <c r="AM8" s="1157"/>
      <c r="AN8" s="1157"/>
      <c r="AO8" s="1157"/>
      <c r="AP8" s="1157"/>
      <c r="AQ8" s="1157"/>
      <c r="AR8" s="1158"/>
      <c r="AS8" s="629"/>
      <c r="AT8" s="1162"/>
      <c r="AU8" s="1163"/>
      <c r="AV8" s="1163"/>
      <c r="AW8" s="1163"/>
      <c r="AX8" s="1163"/>
      <c r="AY8" s="1163"/>
      <c r="AZ8" s="1164"/>
      <c r="BA8" s="1162"/>
      <c r="BB8" s="1163"/>
      <c r="BC8" s="1163"/>
      <c r="BD8" s="1163"/>
      <c r="BE8" s="1163"/>
      <c r="BF8" s="1163"/>
      <c r="BG8" s="1164"/>
      <c r="BH8" s="1162"/>
      <c r="BI8" s="1163"/>
      <c r="BJ8" s="1163"/>
      <c r="BK8" s="1163"/>
      <c r="BL8" s="1163"/>
      <c r="BM8" s="1163"/>
      <c r="BN8" s="1164"/>
      <c r="BO8" s="622"/>
    </row>
    <row r="9" spans="1:67" ht="17.25">
      <c r="A9" s="622"/>
      <c r="B9" s="1150"/>
      <c r="C9" s="1151"/>
      <c r="D9" s="1151"/>
      <c r="E9" s="1151"/>
      <c r="F9" s="1151"/>
      <c r="G9" s="1151"/>
      <c r="H9" s="1152"/>
      <c r="I9" s="1150"/>
      <c r="J9" s="1151"/>
      <c r="K9" s="1151"/>
      <c r="L9" s="1151"/>
      <c r="M9" s="1151"/>
      <c r="N9" s="1151"/>
      <c r="O9" s="1152"/>
      <c r="P9" s="1150"/>
      <c r="Q9" s="1151"/>
      <c r="R9" s="1151"/>
      <c r="S9" s="1151"/>
      <c r="T9" s="1151"/>
      <c r="U9" s="1151"/>
      <c r="V9" s="1152"/>
      <c r="W9" s="629"/>
      <c r="X9" s="1156"/>
      <c r="Y9" s="1157"/>
      <c r="Z9" s="1157"/>
      <c r="AA9" s="1157"/>
      <c r="AB9" s="1157"/>
      <c r="AC9" s="1157"/>
      <c r="AD9" s="1158"/>
      <c r="AE9" s="1156"/>
      <c r="AF9" s="1157"/>
      <c r="AG9" s="1157"/>
      <c r="AH9" s="1157"/>
      <c r="AI9" s="1157"/>
      <c r="AJ9" s="1157"/>
      <c r="AK9" s="1158"/>
      <c r="AL9" s="1156"/>
      <c r="AM9" s="1157"/>
      <c r="AN9" s="1157"/>
      <c r="AO9" s="1157"/>
      <c r="AP9" s="1157"/>
      <c r="AQ9" s="1157"/>
      <c r="AR9" s="1158"/>
      <c r="AS9" s="629"/>
      <c r="AT9" s="1162"/>
      <c r="AU9" s="1163"/>
      <c r="AV9" s="1163"/>
      <c r="AW9" s="1163"/>
      <c r="AX9" s="1163"/>
      <c r="AY9" s="1163"/>
      <c r="AZ9" s="1164"/>
      <c r="BA9" s="1162"/>
      <c r="BB9" s="1163"/>
      <c r="BC9" s="1163"/>
      <c r="BD9" s="1163"/>
      <c r="BE9" s="1163"/>
      <c r="BF9" s="1163"/>
      <c r="BG9" s="1164"/>
      <c r="BH9" s="1162"/>
      <c r="BI9" s="1163"/>
      <c r="BJ9" s="1163"/>
      <c r="BK9" s="1163"/>
      <c r="BL9" s="1163"/>
      <c r="BM9" s="1163"/>
      <c r="BN9" s="1164"/>
      <c r="BO9" s="622"/>
    </row>
    <row r="10" spans="1:67" ht="17.25">
      <c r="A10" s="622"/>
      <c r="B10" s="1150"/>
      <c r="C10" s="1151"/>
      <c r="D10" s="1151"/>
      <c r="E10" s="1151"/>
      <c r="F10" s="1151"/>
      <c r="G10" s="1151"/>
      <c r="H10" s="1152"/>
      <c r="I10" s="1150"/>
      <c r="J10" s="1151"/>
      <c r="K10" s="1151"/>
      <c r="L10" s="1151"/>
      <c r="M10" s="1151"/>
      <c r="N10" s="1151"/>
      <c r="O10" s="1152"/>
      <c r="P10" s="1150"/>
      <c r="Q10" s="1151"/>
      <c r="R10" s="1151"/>
      <c r="S10" s="1151"/>
      <c r="T10" s="1151"/>
      <c r="U10" s="1151"/>
      <c r="V10" s="1152"/>
      <c r="W10" s="629"/>
      <c r="X10" s="1156"/>
      <c r="Y10" s="1157"/>
      <c r="Z10" s="1157"/>
      <c r="AA10" s="1157"/>
      <c r="AB10" s="1157"/>
      <c r="AC10" s="1157"/>
      <c r="AD10" s="1158"/>
      <c r="AE10" s="1156"/>
      <c r="AF10" s="1157"/>
      <c r="AG10" s="1157"/>
      <c r="AH10" s="1157"/>
      <c r="AI10" s="1157"/>
      <c r="AJ10" s="1157"/>
      <c r="AK10" s="1158"/>
      <c r="AL10" s="1156"/>
      <c r="AM10" s="1157"/>
      <c r="AN10" s="1157"/>
      <c r="AO10" s="1157"/>
      <c r="AP10" s="1157"/>
      <c r="AQ10" s="1157"/>
      <c r="AR10" s="1158"/>
      <c r="AS10" s="629"/>
      <c r="AT10" s="1162"/>
      <c r="AU10" s="1163"/>
      <c r="AV10" s="1163"/>
      <c r="AW10" s="1163"/>
      <c r="AX10" s="1163"/>
      <c r="AY10" s="1163"/>
      <c r="AZ10" s="1164"/>
      <c r="BA10" s="1162"/>
      <c r="BB10" s="1163"/>
      <c r="BC10" s="1163"/>
      <c r="BD10" s="1163"/>
      <c r="BE10" s="1163"/>
      <c r="BF10" s="1163"/>
      <c r="BG10" s="1164"/>
      <c r="BH10" s="1162"/>
      <c r="BI10" s="1163"/>
      <c r="BJ10" s="1163"/>
      <c r="BK10" s="1163"/>
      <c r="BL10" s="1163"/>
      <c r="BM10" s="1163"/>
      <c r="BN10" s="1164"/>
      <c r="BO10" s="622"/>
    </row>
    <row r="11" spans="1:67" ht="17.25">
      <c r="A11" s="622"/>
      <c r="B11" s="1150"/>
      <c r="C11" s="1151"/>
      <c r="D11" s="1151"/>
      <c r="E11" s="1151"/>
      <c r="F11" s="1151"/>
      <c r="G11" s="1151"/>
      <c r="H11" s="1152"/>
      <c r="I11" s="1150"/>
      <c r="J11" s="1151"/>
      <c r="K11" s="1151"/>
      <c r="L11" s="1151"/>
      <c r="M11" s="1151"/>
      <c r="N11" s="1151"/>
      <c r="O11" s="1152"/>
      <c r="P11" s="1150"/>
      <c r="Q11" s="1151"/>
      <c r="R11" s="1151"/>
      <c r="S11" s="1151"/>
      <c r="T11" s="1151"/>
      <c r="U11" s="1151"/>
      <c r="V11" s="1152"/>
      <c r="W11" s="629"/>
      <c r="X11" s="1156"/>
      <c r="Y11" s="1157"/>
      <c r="Z11" s="1157"/>
      <c r="AA11" s="1157"/>
      <c r="AB11" s="1157"/>
      <c r="AC11" s="1157"/>
      <c r="AD11" s="1158"/>
      <c r="AE11" s="1156"/>
      <c r="AF11" s="1157"/>
      <c r="AG11" s="1157"/>
      <c r="AH11" s="1157"/>
      <c r="AI11" s="1157"/>
      <c r="AJ11" s="1157"/>
      <c r="AK11" s="1158"/>
      <c r="AL11" s="1156"/>
      <c r="AM11" s="1157"/>
      <c r="AN11" s="1157"/>
      <c r="AO11" s="1157"/>
      <c r="AP11" s="1157"/>
      <c r="AQ11" s="1157"/>
      <c r="AR11" s="1158"/>
      <c r="AS11" s="629"/>
      <c r="AT11" s="1162"/>
      <c r="AU11" s="1163"/>
      <c r="AV11" s="1163"/>
      <c r="AW11" s="1163"/>
      <c r="AX11" s="1163"/>
      <c r="AY11" s="1163"/>
      <c r="AZ11" s="1164"/>
      <c r="BA11" s="1162"/>
      <c r="BB11" s="1163"/>
      <c r="BC11" s="1163"/>
      <c r="BD11" s="1163"/>
      <c r="BE11" s="1163"/>
      <c r="BF11" s="1163"/>
      <c r="BG11" s="1164"/>
      <c r="BH11" s="1162"/>
      <c r="BI11" s="1163"/>
      <c r="BJ11" s="1163"/>
      <c r="BK11" s="1163"/>
      <c r="BL11" s="1163"/>
      <c r="BM11" s="1163"/>
      <c r="BN11" s="1164"/>
      <c r="BO11" s="622"/>
    </row>
    <row r="12" spans="1:67" ht="18" thickBot="1">
      <c r="A12" s="622"/>
      <c r="B12" s="1153"/>
      <c r="C12" s="1154"/>
      <c r="D12" s="1154"/>
      <c r="E12" s="1154"/>
      <c r="F12" s="1154"/>
      <c r="G12" s="1154"/>
      <c r="H12" s="1155"/>
      <c r="I12" s="1153"/>
      <c r="J12" s="1154"/>
      <c r="K12" s="1154"/>
      <c r="L12" s="1154"/>
      <c r="M12" s="1154"/>
      <c r="N12" s="1154"/>
      <c r="O12" s="1155"/>
      <c r="P12" s="1153"/>
      <c r="Q12" s="1154"/>
      <c r="R12" s="1154"/>
      <c r="S12" s="1154"/>
      <c r="T12" s="1154"/>
      <c r="U12" s="1154"/>
      <c r="V12" s="1155"/>
      <c r="W12" s="629"/>
      <c r="X12" s="1159"/>
      <c r="Y12" s="1160"/>
      <c r="Z12" s="1160"/>
      <c r="AA12" s="1160"/>
      <c r="AB12" s="1160"/>
      <c r="AC12" s="1160"/>
      <c r="AD12" s="1161"/>
      <c r="AE12" s="1159"/>
      <c r="AF12" s="1160"/>
      <c r="AG12" s="1160"/>
      <c r="AH12" s="1160"/>
      <c r="AI12" s="1160"/>
      <c r="AJ12" s="1160"/>
      <c r="AK12" s="1161"/>
      <c r="AL12" s="1159"/>
      <c r="AM12" s="1160"/>
      <c r="AN12" s="1160"/>
      <c r="AO12" s="1160"/>
      <c r="AP12" s="1160"/>
      <c r="AQ12" s="1160"/>
      <c r="AR12" s="1161"/>
      <c r="AS12" s="629"/>
      <c r="AT12" s="1165"/>
      <c r="AU12" s="1166"/>
      <c r="AV12" s="1166"/>
      <c r="AW12" s="1166"/>
      <c r="AX12" s="1166"/>
      <c r="AY12" s="1166"/>
      <c r="AZ12" s="1167"/>
      <c r="BA12" s="1165"/>
      <c r="BB12" s="1166"/>
      <c r="BC12" s="1166"/>
      <c r="BD12" s="1166"/>
      <c r="BE12" s="1166"/>
      <c r="BF12" s="1166"/>
      <c r="BG12" s="1167"/>
      <c r="BH12" s="1165"/>
      <c r="BI12" s="1166"/>
      <c r="BJ12" s="1166"/>
      <c r="BK12" s="1166"/>
      <c r="BL12" s="1166"/>
      <c r="BM12" s="1166"/>
      <c r="BN12" s="1167"/>
      <c r="BO12" s="622"/>
    </row>
    <row r="13" spans="1:67" ht="17.25">
      <c r="A13" s="622"/>
      <c r="B13" s="967"/>
      <c r="C13" s="968"/>
      <c r="D13" s="968"/>
      <c r="E13" s="968"/>
      <c r="F13" s="968"/>
      <c r="G13" s="968"/>
      <c r="H13" s="969"/>
      <c r="I13" s="994" t="s">
        <v>1710</v>
      </c>
      <c r="J13" s="995"/>
      <c r="K13" s="995"/>
      <c r="L13" s="995"/>
      <c r="M13" s="995"/>
      <c r="N13" s="995"/>
      <c r="O13" s="996"/>
      <c r="P13" s="967"/>
      <c r="Q13" s="968"/>
      <c r="R13" s="968"/>
      <c r="S13" s="968"/>
      <c r="T13" s="968"/>
      <c r="U13" s="968"/>
      <c r="V13" s="969"/>
      <c r="W13" s="629"/>
      <c r="X13" s="1021"/>
      <c r="Y13" s="1022"/>
      <c r="Z13" s="1022"/>
      <c r="AA13" s="1022"/>
      <c r="AB13" s="1022"/>
      <c r="AC13" s="1022"/>
      <c r="AD13" s="1023"/>
      <c r="AE13" s="1024" t="s">
        <v>1710</v>
      </c>
      <c r="AF13" s="1025"/>
      <c r="AG13" s="1025"/>
      <c r="AH13" s="1025"/>
      <c r="AI13" s="1025"/>
      <c r="AJ13" s="1025"/>
      <c r="AK13" s="1026"/>
      <c r="AL13" s="1021"/>
      <c r="AM13" s="1022"/>
      <c r="AN13" s="1022"/>
      <c r="AO13" s="1022"/>
      <c r="AP13" s="1022"/>
      <c r="AQ13" s="1022"/>
      <c r="AR13" s="1023"/>
      <c r="AS13" s="629"/>
      <c r="AT13" s="1012"/>
      <c r="AU13" s="1013"/>
      <c r="AV13" s="1013"/>
      <c r="AW13" s="1013"/>
      <c r="AX13" s="1013"/>
      <c r="AY13" s="1013"/>
      <c r="AZ13" s="1014"/>
      <c r="BA13" s="1039" t="s">
        <v>1710</v>
      </c>
      <c r="BB13" s="1040"/>
      <c r="BC13" s="1040"/>
      <c r="BD13" s="1040"/>
      <c r="BE13" s="1040"/>
      <c r="BF13" s="1040"/>
      <c r="BG13" s="1041"/>
      <c r="BH13" s="1012"/>
      <c r="BI13" s="1013"/>
      <c r="BJ13" s="1013"/>
      <c r="BK13" s="1013"/>
      <c r="BL13" s="1013"/>
      <c r="BM13" s="1013"/>
      <c r="BN13" s="1014"/>
      <c r="BO13" s="622"/>
    </row>
    <row r="14" spans="1:67" ht="17.25">
      <c r="A14" s="622"/>
      <c r="B14" s="1150"/>
      <c r="C14" s="1151"/>
      <c r="D14" s="1151"/>
      <c r="E14" s="1151"/>
      <c r="F14" s="1151"/>
      <c r="G14" s="1151"/>
      <c r="H14" s="1152"/>
      <c r="I14" s="997"/>
      <c r="J14" s="998"/>
      <c r="K14" s="998"/>
      <c r="L14" s="998"/>
      <c r="M14" s="998"/>
      <c r="N14" s="998"/>
      <c r="O14" s="999"/>
      <c r="P14" s="1150"/>
      <c r="Q14" s="1151"/>
      <c r="R14" s="1151"/>
      <c r="S14" s="1151"/>
      <c r="T14" s="1151"/>
      <c r="U14" s="1151"/>
      <c r="V14" s="1152"/>
      <c r="W14" s="629"/>
      <c r="X14" s="1156"/>
      <c r="Y14" s="1157"/>
      <c r="Z14" s="1157"/>
      <c r="AA14" s="1157"/>
      <c r="AB14" s="1157"/>
      <c r="AC14" s="1157"/>
      <c r="AD14" s="1158"/>
      <c r="AE14" s="1027"/>
      <c r="AF14" s="1028"/>
      <c r="AG14" s="1028"/>
      <c r="AH14" s="1028"/>
      <c r="AI14" s="1028"/>
      <c r="AJ14" s="1028"/>
      <c r="AK14" s="1029"/>
      <c r="AL14" s="1156"/>
      <c r="AM14" s="1157"/>
      <c r="AN14" s="1157"/>
      <c r="AO14" s="1157"/>
      <c r="AP14" s="1157"/>
      <c r="AQ14" s="1157"/>
      <c r="AR14" s="1158"/>
      <c r="AS14" s="629"/>
      <c r="AT14" s="1162"/>
      <c r="AU14" s="1163"/>
      <c r="AV14" s="1163"/>
      <c r="AW14" s="1163"/>
      <c r="AX14" s="1163"/>
      <c r="AY14" s="1163"/>
      <c r="AZ14" s="1164"/>
      <c r="BA14" s="1042"/>
      <c r="BB14" s="1043"/>
      <c r="BC14" s="1043"/>
      <c r="BD14" s="1043"/>
      <c r="BE14" s="1043"/>
      <c r="BF14" s="1043"/>
      <c r="BG14" s="1044"/>
      <c r="BH14" s="1162"/>
      <c r="BI14" s="1163"/>
      <c r="BJ14" s="1163"/>
      <c r="BK14" s="1163"/>
      <c r="BL14" s="1163"/>
      <c r="BM14" s="1163"/>
      <c r="BN14" s="1164"/>
      <c r="BO14" s="622"/>
    </row>
    <row r="15" spans="1:67" ht="17.25">
      <c r="A15" s="622"/>
      <c r="B15" s="1150"/>
      <c r="C15" s="1151"/>
      <c r="D15" s="1151"/>
      <c r="E15" s="1151"/>
      <c r="F15" s="1151"/>
      <c r="G15" s="1151"/>
      <c r="H15" s="1152"/>
      <c r="I15" s="997"/>
      <c r="J15" s="998"/>
      <c r="K15" s="998"/>
      <c r="L15" s="998"/>
      <c r="M15" s="998"/>
      <c r="N15" s="998"/>
      <c r="O15" s="999"/>
      <c r="P15" s="1150"/>
      <c r="Q15" s="1151"/>
      <c r="R15" s="1151"/>
      <c r="S15" s="1151"/>
      <c r="T15" s="1151"/>
      <c r="U15" s="1151"/>
      <c r="V15" s="1152"/>
      <c r="W15" s="629"/>
      <c r="X15" s="1156"/>
      <c r="Y15" s="1157"/>
      <c r="Z15" s="1157"/>
      <c r="AA15" s="1157"/>
      <c r="AB15" s="1157"/>
      <c r="AC15" s="1157"/>
      <c r="AD15" s="1158"/>
      <c r="AE15" s="1027"/>
      <c r="AF15" s="1028"/>
      <c r="AG15" s="1028"/>
      <c r="AH15" s="1028"/>
      <c r="AI15" s="1028"/>
      <c r="AJ15" s="1028"/>
      <c r="AK15" s="1029"/>
      <c r="AL15" s="1156"/>
      <c r="AM15" s="1157"/>
      <c r="AN15" s="1157"/>
      <c r="AO15" s="1157"/>
      <c r="AP15" s="1157"/>
      <c r="AQ15" s="1157"/>
      <c r="AR15" s="1158"/>
      <c r="AS15" s="629"/>
      <c r="AT15" s="1162"/>
      <c r="AU15" s="1163"/>
      <c r="AV15" s="1163"/>
      <c r="AW15" s="1163"/>
      <c r="AX15" s="1163"/>
      <c r="AY15" s="1163"/>
      <c r="AZ15" s="1164"/>
      <c r="BA15" s="1042"/>
      <c r="BB15" s="1043"/>
      <c r="BC15" s="1043"/>
      <c r="BD15" s="1043"/>
      <c r="BE15" s="1043"/>
      <c r="BF15" s="1043"/>
      <c r="BG15" s="1044"/>
      <c r="BH15" s="1162"/>
      <c r="BI15" s="1163"/>
      <c r="BJ15" s="1163"/>
      <c r="BK15" s="1163"/>
      <c r="BL15" s="1163"/>
      <c r="BM15" s="1163"/>
      <c r="BN15" s="1164"/>
      <c r="BO15" s="622"/>
    </row>
    <row r="16" spans="1:67" ht="17.25">
      <c r="A16" s="622"/>
      <c r="B16" s="1150"/>
      <c r="C16" s="1151"/>
      <c r="D16" s="1151"/>
      <c r="E16" s="1151"/>
      <c r="F16" s="1151"/>
      <c r="G16" s="1151"/>
      <c r="H16" s="1152"/>
      <c r="I16" s="997"/>
      <c r="J16" s="998"/>
      <c r="K16" s="998"/>
      <c r="L16" s="998"/>
      <c r="M16" s="998"/>
      <c r="N16" s="998"/>
      <c r="O16" s="999"/>
      <c r="P16" s="1150"/>
      <c r="Q16" s="1151"/>
      <c r="R16" s="1151"/>
      <c r="S16" s="1151"/>
      <c r="T16" s="1151"/>
      <c r="U16" s="1151"/>
      <c r="V16" s="1152"/>
      <c r="W16" s="629"/>
      <c r="X16" s="1156"/>
      <c r="Y16" s="1157"/>
      <c r="Z16" s="1157"/>
      <c r="AA16" s="1157"/>
      <c r="AB16" s="1157"/>
      <c r="AC16" s="1157"/>
      <c r="AD16" s="1158"/>
      <c r="AE16" s="1027"/>
      <c r="AF16" s="1028"/>
      <c r="AG16" s="1028"/>
      <c r="AH16" s="1028"/>
      <c r="AI16" s="1028"/>
      <c r="AJ16" s="1028"/>
      <c r="AK16" s="1029"/>
      <c r="AL16" s="1156"/>
      <c r="AM16" s="1157"/>
      <c r="AN16" s="1157"/>
      <c r="AO16" s="1157"/>
      <c r="AP16" s="1157"/>
      <c r="AQ16" s="1157"/>
      <c r="AR16" s="1158"/>
      <c r="AS16" s="629"/>
      <c r="AT16" s="1162"/>
      <c r="AU16" s="1163"/>
      <c r="AV16" s="1163"/>
      <c r="AW16" s="1163"/>
      <c r="AX16" s="1163"/>
      <c r="AY16" s="1163"/>
      <c r="AZ16" s="1164"/>
      <c r="BA16" s="1042"/>
      <c r="BB16" s="1043"/>
      <c r="BC16" s="1043"/>
      <c r="BD16" s="1043"/>
      <c r="BE16" s="1043"/>
      <c r="BF16" s="1043"/>
      <c r="BG16" s="1044"/>
      <c r="BH16" s="1162"/>
      <c r="BI16" s="1163"/>
      <c r="BJ16" s="1163"/>
      <c r="BK16" s="1163"/>
      <c r="BL16" s="1163"/>
      <c r="BM16" s="1163"/>
      <c r="BN16" s="1164"/>
      <c r="BO16" s="622"/>
    </row>
    <row r="17" spans="1:67" ht="17.25">
      <c r="A17" s="622"/>
      <c r="B17" s="1150"/>
      <c r="C17" s="1151"/>
      <c r="D17" s="1151"/>
      <c r="E17" s="1151"/>
      <c r="F17" s="1151"/>
      <c r="G17" s="1151"/>
      <c r="H17" s="1152"/>
      <c r="I17" s="997"/>
      <c r="J17" s="998"/>
      <c r="K17" s="998"/>
      <c r="L17" s="998"/>
      <c r="M17" s="998"/>
      <c r="N17" s="998"/>
      <c r="O17" s="999"/>
      <c r="P17" s="1150"/>
      <c r="Q17" s="1151"/>
      <c r="R17" s="1151"/>
      <c r="S17" s="1151"/>
      <c r="T17" s="1151"/>
      <c r="U17" s="1151"/>
      <c r="V17" s="1152"/>
      <c r="W17" s="629"/>
      <c r="X17" s="1156"/>
      <c r="Y17" s="1157"/>
      <c r="Z17" s="1157"/>
      <c r="AA17" s="1157"/>
      <c r="AB17" s="1157"/>
      <c r="AC17" s="1157"/>
      <c r="AD17" s="1158"/>
      <c r="AE17" s="1027"/>
      <c r="AF17" s="1028"/>
      <c r="AG17" s="1028"/>
      <c r="AH17" s="1028"/>
      <c r="AI17" s="1028"/>
      <c r="AJ17" s="1028"/>
      <c r="AK17" s="1029"/>
      <c r="AL17" s="1156"/>
      <c r="AM17" s="1157"/>
      <c r="AN17" s="1157"/>
      <c r="AO17" s="1157"/>
      <c r="AP17" s="1157"/>
      <c r="AQ17" s="1157"/>
      <c r="AR17" s="1158"/>
      <c r="AS17" s="629"/>
      <c r="AT17" s="1162"/>
      <c r="AU17" s="1163"/>
      <c r="AV17" s="1163"/>
      <c r="AW17" s="1163"/>
      <c r="AX17" s="1163"/>
      <c r="AY17" s="1163"/>
      <c r="AZ17" s="1164"/>
      <c r="BA17" s="1042"/>
      <c r="BB17" s="1043"/>
      <c r="BC17" s="1043"/>
      <c r="BD17" s="1043"/>
      <c r="BE17" s="1043"/>
      <c r="BF17" s="1043"/>
      <c r="BG17" s="1044"/>
      <c r="BH17" s="1162"/>
      <c r="BI17" s="1163"/>
      <c r="BJ17" s="1163"/>
      <c r="BK17" s="1163"/>
      <c r="BL17" s="1163"/>
      <c r="BM17" s="1163"/>
      <c r="BN17" s="1164"/>
      <c r="BO17" s="622"/>
    </row>
    <row r="18" spans="1:67" ht="17.25">
      <c r="A18" s="622"/>
      <c r="B18" s="1150"/>
      <c r="C18" s="1151"/>
      <c r="D18" s="1151"/>
      <c r="E18" s="1151"/>
      <c r="F18" s="1151"/>
      <c r="G18" s="1151"/>
      <c r="H18" s="1152"/>
      <c r="I18" s="997"/>
      <c r="J18" s="998"/>
      <c r="K18" s="998"/>
      <c r="L18" s="998"/>
      <c r="M18" s="998"/>
      <c r="N18" s="998"/>
      <c r="O18" s="999"/>
      <c r="P18" s="1150"/>
      <c r="Q18" s="1151"/>
      <c r="R18" s="1151"/>
      <c r="S18" s="1151"/>
      <c r="T18" s="1151"/>
      <c r="U18" s="1151"/>
      <c r="V18" s="1152"/>
      <c r="W18" s="629"/>
      <c r="X18" s="1156"/>
      <c r="Y18" s="1157"/>
      <c r="Z18" s="1157"/>
      <c r="AA18" s="1157"/>
      <c r="AB18" s="1157"/>
      <c r="AC18" s="1157"/>
      <c r="AD18" s="1158"/>
      <c r="AE18" s="1027"/>
      <c r="AF18" s="1028"/>
      <c r="AG18" s="1028"/>
      <c r="AH18" s="1028"/>
      <c r="AI18" s="1028"/>
      <c r="AJ18" s="1028"/>
      <c r="AK18" s="1029"/>
      <c r="AL18" s="1156"/>
      <c r="AM18" s="1157"/>
      <c r="AN18" s="1157"/>
      <c r="AO18" s="1157"/>
      <c r="AP18" s="1157"/>
      <c r="AQ18" s="1157"/>
      <c r="AR18" s="1158"/>
      <c r="AS18" s="629"/>
      <c r="AT18" s="1162"/>
      <c r="AU18" s="1163"/>
      <c r="AV18" s="1163"/>
      <c r="AW18" s="1163"/>
      <c r="AX18" s="1163"/>
      <c r="AY18" s="1163"/>
      <c r="AZ18" s="1164"/>
      <c r="BA18" s="1042"/>
      <c r="BB18" s="1043"/>
      <c r="BC18" s="1043"/>
      <c r="BD18" s="1043"/>
      <c r="BE18" s="1043"/>
      <c r="BF18" s="1043"/>
      <c r="BG18" s="1044"/>
      <c r="BH18" s="1162"/>
      <c r="BI18" s="1163"/>
      <c r="BJ18" s="1163"/>
      <c r="BK18" s="1163"/>
      <c r="BL18" s="1163"/>
      <c r="BM18" s="1163"/>
      <c r="BN18" s="1164"/>
      <c r="BO18" s="622"/>
    </row>
    <row r="19" spans="1:67" ht="18" thickBot="1">
      <c r="A19" s="622"/>
      <c r="B19" s="1153"/>
      <c r="C19" s="1154"/>
      <c r="D19" s="1154"/>
      <c r="E19" s="1154"/>
      <c r="F19" s="1154"/>
      <c r="G19" s="1154"/>
      <c r="H19" s="1155"/>
      <c r="I19" s="1000"/>
      <c r="J19" s="1001"/>
      <c r="K19" s="1001"/>
      <c r="L19" s="1001"/>
      <c r="M19" s="1001"/>
      <c r="N19" s="1001"/>
      <c r="O19" s="1002"/>
      <c r="P19" s="1153"/>
      <c r="Q19" s="1154"/>
      <c r="R19" s="1154"/>
      <c r="S19" s="1154"/>
      <c r="T19" s="1154"/>
      <c r="U19" s="1154"/>
      <c r="V19" s="1155"/>
      <c r="W19" s="629"/>
      <c r="X19" s="1159"/>
      <c r="Y19" s="1160"/>
      <c r="Z19" s="1160"/>
      <c r="AA19" s="1160"/>
      <c r="AB19" s="1160"/>
      <c r="AC19" s="1160"/>
      <c r="AD19" s="1161"/>
      <c r="AE19" s="1030"/>
      <c r="AF19" s="1031"/>
      <c r="AG19" s="1031"/>
      <c r="AH19" s="1031"/>
      <c r="AI19" s="1031"/>
      <c r="AJ19" s="1031"/>
      <c r="AK19" s="1032"/>
      <c r="AL19" s="1159"/>
      <c r="AM19" s="1160"/>
      <c r="AN19" s="1160"/>
      <c r="AO19" s="1160"/>
      <c r="AP19" s="1160"/>
      <c r="AQ19" s="1160"/>
      <c r="AR19" s="1161"/>
      <c r="AS19" s="629"/>
      <c r="AT19" s="1165"/>
      <c r="AU19" s="1166"/>
      <c r="AV19" s="1166"/>
      <c r="AW19" s="1166"/>
      <c r="AX19" s="1166"/>
      <c r="AY19" s="1166"/>
      <c r="AZ19" s="1167"/>
      <c r="BA19" s="1045"/>
      <c r="BB19" s="1046"/>
      <c r="BC19" s="1046"/>
      <c r="BD19" s="1046"/>
      <c r="BE19" s="1046"/>
      <c r="BF19" s="1046"/>
      <c r="BG19" s="1047"/>
      <c r="BH19" s="1165"/>
      <c r="BI19" s="1166"/>
      <c r="BJ19" s="1166"/>
      <c r="BK19" s="1166"/>
      <c r="BL19" s="1166"/>
      <c r="BM19" s="1166"/>
      <c r="BN19" s="1167"/>
      <c r="BO19" s="622"/>
    </row>
    <row r="20" spans="1:67" ht="17.25">
      <c r="A20" s="622"/>
      <c r="B20" s="967"/>
      <c r="C20" s="968"/>
      <c r="D20" s="968"/>
      <c r="E20" s="968"/>
      <c r="F20" s="968"/>
      <c r="G20" s="968"/>
      <c r="H20" s="969"/>
      <c r="I20" s="967"/>
      <c r="J20" s="968"/>
      <c r="K20" s="968"/>
      <c r="L20" s="968"/>
      <c r="M20" s="968"/>
      <c r="N20" s="968"/>
      <c r="O20" s="969"/>
      <c r="P20" s="967"/>
      <c r="Q20" s="968"/>
      <c r="R20" s="968"/>
      <c r="S20" s="968"/>
      <c r="T20" s="968"/>
      <c r="U20" s="968"/>
      <c r="V20" s="969"/>
      <c r="W20" s="629"/>
      <c r="X20" s="1021"/>
      <c r="Y20" s="1022"/>
      <c r="Z20" s="1022"/>
      <c r="AA20" s="1022"/>
      <c r="AB20" s="1022"/>
      <c r="AC20" s="1022"/>
      <c r="AD20" s="1023"/>
      <c r="AE20" s="1021"/>
      <c r="AF20" s="1022"/>
      <c r="AG20" s="1022"/>
      <c r="AH20" s="1022"/>
      <c r="AI20" s="1022"/>
      <c r="AJ20" s="1022"/>
      <c r="AK20" s="1023"/>
      <c r="AL20" s="1021"/>
      <c r="AM20" s="1022"/>
      <c r="AN20" s="1022"/>
      <c r="AO20" s="1022"/>
      <c r="AP20" s="1022"/>
      <c r="AQ20" s="1022"/>
      <c r="AR20" s="1023"/>
      <c r="AS20" s="629"/>
      <c r="AT20" s="1012"/>
      <c r="AU20" s="1013"/>
      <c r="AV20" s="1013"/>
      <c r="AW20" s="1013"/>
      <c r="AX20" s="1013"/>
      <c r="AY20" s="1013"/>
      <c r="AZ20" s="1014"/>
      <c r="BA20" s="1012"/>
      <c r="BB20" s="1013"/>
      <c r="BC20" s="1013"/>
      <c r="BD20" s="1013"/>
      <c r="BE20" s="1013"/>
      <c r="BF20" s="1013"/>
      <c r="BG20" s="1014"/>
      <c r="BH20" s="1012"/>
      <c r="BI20" s="1013"/>
      <c r="BJ20" s="1013"/>
      <c r="BK20" s="1013"/>
      <c r="BL20" s="1013"/>
      <c r="BM20" s="1013"/>
      <c r="BN20" s="1014"/>
      <c r="BO20" s="622"/>
    </row>
    <row r="21" spans="1:67" ht="17.25">
      <c r="A21" s="622"/>
      <c r="B21" s="1150"/>
      <c r="C21" s="1151"/>
      <c r="D21" s="1151"/>
      <c r="E21" s="1151"/>
      <c r="F21" s="1151"/>
      <c r="G21" s="1151"/>
      <c r="H21" s="1152"/>
      <c r="I21" s="1150"/>
      <c r="J21" s="1151"/>
      <c r="K21" s="1151"/>
      <c r="L21" s="1151"/>
      <c r="M21" s="1151"/>
      <c r="N21" s="1151"/>
      <c r="O21" s="1152"/>
      <c r="P21" s="1150"/>
      <c r="Q21" s="1151"/>
      <c r="R21" s="1151"/>
      <c r="S21" s="1151"/>
      <c r="T21" s="1151"/>
      <c r="U21" s="1151"/>
      <c r="V21" s="1152"/>
      <c r="W21" s="629"/>
      <c r="X21" s="1156"/>
      <c r="Y21" s="1157"/>
      <c r="Z21" s="1157"/>
      <c r="AA21" s="1157"/>
      <c r="AB21" s="1157"/>
      <c r="AC21" s="1157"/>
      <c r="AD21" s="1158"/>
      <c r="AE21" s="1156"/>
      <c r="AF21" s="1157"/>
      <c r="AG21" s="1157"/>
      <c r="AH21" s="1157"/>
      <c r="AI21" s="1157"/>
      <c r="AJ21" s="1157"/>
      <c r="AK21" s="1158"/>
      <c r="AL21" s="1156"/>
      <c r="AM21" s="1157"/>
      <c r="AN21" s="1157"/>
      <c r="AO21" s="1157"/>
      <c r="AP21" s="1157"/>
      <c r="AQ21" s="1157"/>
      <c r="AR21" s="1158"/>
      <c r="AS21" s="629"/>
      <c r="AT21" s="1162"/>
      <c r="AU21" s="1163"/>
      <c r="AV21" s="1163"/>
      <c r="AW21" s="1163"/>
      <c r="AX21" s="1163"/>
      <c r="AY21" s="1163"/>
      <c r="AZ21" s="1164"/>
      <c r="BA21" s="1162"/>
      <c r="BB21" s="1163"/>
      <c r="BC21" s="1163"/>
      <c r="BD21" s="1163"/>
      <c r="BE21" s="1163"/>
      <c r="BF21" s="1163"/>
      <c r="BG21" s="1164"/>
      <c r="BH21" s="1162"/>
      <c r="BI21" s="1163"/>
      <c r="BJ21" s="1163"/>
      <c r="BK21" s="1163"/>
      <c r="BL21" s="1163"/>
      <c r="BM21" s="1163"/>
      <c r="BN21" s="1164"/>
      <c r="BO21" s="622"/>
    </row>
    <row r="22" spans="1:67" ht="17.25">
      <c r="A22" s="622"/>
      <c r="B22" s="1150"/>
      <c r="C22" s="1151"/>
      <c r="D22" s="1151"/>
      <c r="E22" s="1151"/>
      <c r="F22" s="1151"/>
      <c r="G22" s="1151"/>
      <c r="H22" s="1152"/>
      <c r="I22" s="1150"/>
      <c r="J22" s="1151"/>
      <c r="K22" s="1151"/>
      <c r="L22" s="1151"/>
      <c r="M22" s="1151"/>
      <c r="N22" s="1151"/>
      <c r="O22" s="1152"/>
      <c r="P22" s="1150"/>
      <c r="Q22" s="1151"/>
      <c r="R22" s="1151"/>
      <c r="S22" s="1151"/>
      <c r="T22" s="1151"/>
      <c r="U22" s="1151"/>
      <c r="V22" s="1152"/>
      <c r="W22" s="629"/>
      <c r="X22" s="1156"/>
      <c r="Y22" s="1157"/>
      <c r="Z22" s="1157"/>
      <c r="AA22" s="1157"/>
      <c r="AB22" s="1157"/>
      <c r="AC22" s="1157"/>
      <c r="AD22" s="1158"/>
      <c r="AE22" s="1156"/>
      <c r="AF22" s="1157"/>
      <c r="AG22" s="1157"/>
      <c r="AH22" s="1157"/>
      <c r="AI22" s="1157"/>
      <c r="AJ22" s="1157"/>
      <c r="AK22" s="1158"/>
      <c r="AL22" s="1156"/>
      <c r="AM22" s="1157"/>
      <c r="AN22" s="1157"/>
      <c r="AO22" s="1157"/>
      <c r="AP22" s="1157"/>
      <c r="AQ22" s="1157"/>
      <c r="AR22" s="1158"/>
      <c r="AS22" s="629"/>
      <c r="AT22" s="1162"/>
      <c r="AU22" s="1163"/>
      <c r="AV22" s="1163"/>
      <c r="AW22" s="1163"/>
      <c r="AX22" s="1163"/>
      <c r="AY22" s="1163"/>
      <c r="AZ22" s="1164"/>
      <c r="BA22" s="1162"/>
      <c r="BB22" s="1163"/>
      <c r="BC22" s="1163"/>
      <c r="BD22" s="1163"/>
      <c r="BE22" s="1163"/>
      <c r="BF22" s="1163"/>
      <c r="BG22" s="1164"/>
      <c r="BH22" s="1162"/>
      <c r="BI22" s="1163"/>
      <c r="BJ22" s="1163"/>
      <c r="BK22" s="1163"/>
      <c r="BL22" s="1163"/>
      <c r="BM22" s="1163"/>
      <c r="BN22" s="1164"/>
      <c r="BO22" s="622"/>
    </row>
    <row r="23" spans="1:67" ht="17.25">
      <c r="A23" s="622"/>
      <c r="B23" s="1150"/>
      <c r="C23" s="1151"/>
      <c r="D23" s="1151"/>
      <c r="E23" s="1151"/>
      <c r="F23" s="1151"/>
      <c r="G23" s="1151"/>
      <c r="H23" s="1152"/>
      <c r="I23" s="1150"/>
      <c r="J23" s="1151"/>
      <c r="K23" s="1151"/>
      <c r="L23" s="1151"/>
      <c r="M23" s="1151"/>
      <c r="N23" s="1151"/>
      <c r="O23" s="1152"/>
      <c r="P23" s="1150"/>
      <c r="Q23" s="1151"/>
      <c r="R23" s="1151"/>
      <c r="S23" s="1151"/>
      <c r="T23" s="1151"/>
      <c r="U23" s="1151"/>
      <c r="V23" s="1152"/>
      <c r="W23" s="629"/>
      <c r="X23" s="1156"/>
      <c r="Y23" s="1157"/>
      <c r="Z23" s="1157"/>
      <c r="AA23" s="1157"/>
      <c r="AB23" s="1157"/>
      <c r="AC23" s="1157"/>
      <c r="AD23" s="1158"/>
      <c r="AE23" s="1156"/>
      <c r="AF23" s="1157"/>
      <c r="AG23" s="1157"/>
      <c r="AH23" s="1157"/>
      <c r="AI23" s="1157"/>
      <c r="AJ23" s="1157"/>
      <c r="AK23" s="1158"/>
      <c r="AL23" s="1156"/>
      <c r="AM23" s="1157"/>
      <c r="AN23" s="1157"/>
      <c r="AO23" s="1157"/>
      <c r="AP23" s="1157"/>
      <c r="AQ23" s="1157"/>
      <c r="AR23" s="1158"/>
      <c r="AS23" s="629"/>
      <c r="AT23" s="1162"/>
      <c r="AU23" s="1163"/>
      <c r="AV23" s="1163"/>
      <c r="AW23" s="1163"/>
      <c r="AX23" s="1163"/>
      <c r="AY23" s="1163"/>
      <c r="AZ23" s="1164"/>
      <c r="BA23" s="1162"/>
      <c r="BB23" s="1163"/>
      <c r="BC23" s="1163"/>
      <c r="BD23" s="1163"/>
      <c r="BE23" s="1163"/>
      <c r="BF23" s="1163"/>
      <c r="BG23" s="1164"/>
      <c r="BH23" s="1162"/>
      <c r="BI23" s="1163"/>
      <c r="BJ23" s="1163"/>
      <c r="BK23" s="1163"/>
      <c r="BL23" s="1163"/>
      <c r="BM23" s="1163"/>
      <c r="BN23" s="1164"/>
      <c r="BO23" s="622"/>
    </row>
    <row r="24" spans="1:67" ht="17.25">
      <c r="A24" s="622"/>
      <c r="B24" s="1150"/>
      <c r="C24" s="1151"/>
      <c r="D24" s="1151"/>
      <c r="E24" s="1151"/>
      <c r="F24" s="1151"/>
      <c r="G24" s="1151"/>
      <c r="H24" s="1152"/>
      <c r="I24" s="1150"/>
      <c r="J24" s="1151"/>
      <c r="K24" s="1151"/>
      <c r="L24" s="1151"/>
      <c r="M24" s="1151"/>
      <c r="N24" s="1151"/>
      <c r="O24" s="1152"/>
      <c r="P24" s="1150"/>
      <c r="Q24" s="1151"/>
      <c r="R24" s="1151"/>
      <c r="S24" s="1151"/>
      <c r="T24" s="1151"/>
      <c r="U24" s="1151"/>
      <c r="V24" s="1152"/>
      <c r="W24" s="629"/>
      <c r="X24" s="1156"/>
      <c r="Y24" s="1157"/>
      <c r="Z24" s="1157"/>
      <c r="AA24" s="1157"/>
      <c r="AB24" s="1157"/>
      <c r="AC24" s="1157"/>
      <c r="AD24" s="1158"/>
      <c r="AE24" s="1156"/>
      <c r="AF24" s="1157"/>
      <c r="AG24" s="1157"/>
      <c r="AH24" s="1157"/>
      <c r="AI24" s="1157"/>
      <c r="AJ24" s="1157"/>
      <c r="AK24" s="1158"/>
      <c r="AL24" s="1156"/>
      <c r="AM24" s="1157"/>
      <c r="AN24" s="1157"/>
      <c r="AO24" s="1157"/>
      <c r="AP24" s="1157"/>
      <c r="AQ24" s="1157"/>
      <c r="AR24" s="1158"/>
      <c r="AS24" s="629"/>
      <c r="AT24" s="1162"/>
      <c r="AU24" s="1163"/>
      <c r="AV24" s="1163"/>
      <c r="AW24" s="1163"/>
      <c r="AX24" s="1163"/>
      <c r="AY24" s="1163"/>
      <c r="AZ24" s="1164"/>
      <c r="BA24" s="1162"/>
      <c r="BB24" s="1163"/>
      <c r="BC24" s="1163"/>
      <c r="BD24" s="1163"/>
      <c r="BE24" s="1163"/>
      <c r="BF24" s="1163"/>
      <c r="BG24" s="1164"/>
      <c r="BH24" s="1162"/>
      <c r="BI24" s="1163"/>
      <c r="BJ24" s="1163"/>
      <c r="BK24" s="1163"/>
      <c r="BL24" s="1163"/>
      <c r="BM24" s="1163"/>
      <c r="BN24" s="1164"/>
      <c r="BO24" s="622"/>
    </row>
    <row r="25" spans="1:67" ht="17.25">
      <c r="A25" s="622"/>
      <c r="B25" s="1150"/>
      <c r="C25" s="1151"/>
      <c r="D25" s="1151"/>
      <c r="E25" s="1151"/>
      <c r="F25" s="1151"/>
      <c r="G25" s="1151"/>
      <c r="H25" s="1152"/>
      <c r="I25" s="1150"/>
      <c r="J25" s="1151"/>
      <c r="K25" s="1151"/>
      <c r="L25" s="1151"/>
      <c r="M25" s="1151"/>
      <c r="N25" s="1151"/>
      <c r="O25" s="1152"/>
      <c r="P25" s="1150"/>
      <c r="Q25" s="1151"/>
      <c r="R25" s="1151"/>
      <c r="S25" s="1151"/>
      <c r="T25" s="1151"/>
      <c r="U25" s="1151"/>
      <c r="V25" s="1152"/>
      <c r="W25" s="629"/>
      <c r="X25" s="1156"/>
      <c r="Y25" s="1157"/>
      <c r="Z25" s="1157"/>
      <c r="AA25" s="1157"/>
      <c r="AB25" s="1157"/>
      <c r="AC25" s="1157"/>
      <c r="AD25" s="1158"/>
      <c r="AE25" s="1156"/>
      <c r="AF25" s="1157"/>
      <c r="AG25" s="1157"/>
      <c r="AH25" s="1157"/>
      <c r="AI25" s="1157"/>
      <c r="AJ25" s="1157"/>
      <c r="AK25" s="1158"/>
      <c r="AL25" s="1156"/>
      <c r="AM25" s="1157"/>
      <c r="AN25" s="1157"/>
      <c r="AO25" s="1157"/>
      <c r="AP25" s="1157"/>
      <c r="AQ25" s="1157"/>
      <c r="AR25" s="1158"/>
      <c r="AS25" s="629"/>
      <c r="AT25" s="1162"/>
      <c r="AU25" s="1163"/>
      <c r="AV25" s="1163"/>
      <c r="AW25" s="1163"/>
      <c r="AX25" s="1163"/>
      <c r="AY25" s="1163"/>
      <c r="AZ25" s="1164"/>
      <c r="BA25" s="1162"/>
      <c r="BB25" s="1163"/>
      <c r="BC25" s="1163"/>
      <c r="BD25" s="1163"/>
      <c r="BE25" s="1163"/>
      <c r="BF25" s="1163"/>
      <c r="BG25" s="1164"/>
      <c r="BH25" s="1162"/>
      <c r="BI25" s="1163"/>
      <c r="BJ25" s="1163"/>
      <c r="BK25" s="1163"/>
      <c r="BL25" s="1163"/>
      <c r="BM25" s="1163"/>
      <c r="BN25" s="1164"/>
      <c r="BO25" s="622"/>
    </row>
    <row r="26" spans="1:67" ht="18" thickBot="1">
      <c r="A26" s="622"/>
      <c r="B26" s="1153"/>
      <c r="C26" s="1154"/>
      <c r="D26" s="1154"/>
      <c r="E26" s="1154"/>
      <c r="F26" s="1154"/>
      <c r="G26" s="1154"/>
      <c r="H26" s="1155"/>
      <c r="I26" s="1153"/>
      <c r="J26" s="1154"/>
      <c r="K26" s="1154"/>
      <c r="L26" s="1154"/>
      <c r="M26" s="1154"/>
      <c r="N26" s="1154"/>
      <c r="O26" s="1155"/>
      <c r="P26" s="1153"/>
      <c r="Q26" s="1154"/>
      <c r="R26" s="1154"/>
      <c r="S26" s="1154"/>
      <c r="T26" s="1154"/>
      <c r="U26" s="1154"/>
      <c r="V26" s="1155"/>
      <c r="W26" s="629"/>
      <c r="X26" s="1159"/>
      <c r="Y26" s="1160"/>
      <c r="Z26" s="1160"/>
      <c r="AA26" s="1160"/>
      <c r="AB26" s="1160"/>
      <c r="AC26" s="1160"/>
      <c r="AD26" s="1161"/>
      <c r="AE26" s="1159"/>
      <c r="AF26" s="1160"/>
      <c r="AG26" s="1160"/>
      <c r="AH26" s="1160"/>
      <c r="AI26" s="1160"/>
      <c r="AJ26" s="1160"/>
      <c r="AK26" s="1161"/>
      <c r="AL26" s="1159"/>
      <c r="AM26" s="1160"/>
      <c r="AN26" s="1160"/>
      <c r="AO26" s="1160"/>
      <c r="AP26" s="1160"/>
      <c r="AQ26" s="1160"/>
      <c r="AR26" s="1161"/>
      <c r="AS26" s="629"/>
      <c r="AT26" s="1165"/>
      <c r="AU26" s="1166"/>
      <c r="AV26" s="1166"/>
      <c r="AW26" s="1166"/>
      <c r="AX26" s="1166"/>
      <c r="AY26" s="1166"/>
      <c r="AZ26" s="1167"/>
      <c r="BA26" s="1165"/>
      <c r="BB26" s="1166"/>
      <c r="BC26" s="1166"/>
      <c r="BD26" s="1166"/>
      <c r="BE26" s="1166"/>
      <c r="BF26" s="1166"/>
      <c r="BG26" s="1167"/>
      <c r="BH26" s="1165"/>
      <c r="BI26" s="1166"/>
      <c r="BJ26" s="1166"/>
      <c r="BK26" s="1166"/>
      <c r="BL26" s="1166"/>
      <c r="BM26" s="1166"/>
      <c r="BN26" s="1167"/>
      <c r="BO26" s="622"/>
    </row>
    <row r="27" spans="1:67" ht="18" thickBot="1">
      <c r="A27" s="622"/>
      <c r="B27" s="629"/>
      <c r="C27" s="629"/>
      <c r="D27" s="629"/>
      <c r="E27" s="629"/>
      <c r="F27" s="629"/>
      <c r="G27" s="629"/>
      <c r="H27" s="629"/>
      <c r="I27" s="629"/>
      <c r="J27" s="629"/>
      <c r="K27" s="629"/>
      <c r="L27" s="629"/>
      <c r="M27" s="629"/>
      <c r="N27" s="629"/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  <c r="AA27" s="629"/>
      <c r="AB27" s="629"/>
      <c r="AC27" s="629"/>
      <c r="AD27" s="629"/>
      <c r="AE27" s="629"/>
      <c r="AF27" s="629"/>
      <c r="AG27" s="629"/>
      <c r="AH27" s="629"/>
      <c r="AI27" s="629"/>
      <c r="AJ27" s="629"/>
      <c r="AK27" s="629"/>
      <c r="AL27" s="629"/>
      <c r="AM27" s="629"/>
      <c r="AN27" s="629"/>
      <c r="AO27" s="629"/>
      <c r="AP27" s="629"/>
      <c r="AQ27" s="629"/>
      <c r="AR27" s="629"/>
      <c r="AS27" s="629"/>
      <c r="AT27" s="629"/>
      <c r="AU27" s="629"/>
      <c r="AV27" s="629"/>
      <c r="AW27" s="629"/>
      <c r="AX27" s="629"/>
      <c r="AY27" s="629"/>
      <c r="AZ27" s="629"/>
      <c r="BA27" s="629"/>
      <c r="BB27" s="629"/>
      <c r="BC27" s="629"/>
      <c r="BD27" s="629"/>
      <c r="BE27" s="629"/>
      <c r="BF27" s="629"/>
      <c r="BG27" s="629"/>
      <c r="BH27" s="629"/>
      <c r="BI27" s="629"/>
      <c r="BJ27" s="629"/>
      <c r="BK27" s="629"/>
      <c r="BL27" s="629"/>
      <c r="BM27" s="629"/>
      <c r="BN27" s="629"/>
      <c r="BO27" s="622"/>
    </row>
    <row r="28" spans="1:67" ht="17.25">
      <c r="A28" s="622"/>
      <c r="B28" s="991"/>
      <c r="C28" s="992"/>
      <c r="D28" s="992"/>
      <c r="E28" s="992"/>
      <c r="F28" s="992"/>
      <c r="G28" s="992"/>
      <c r="H28" s="993"/>
      <c r="I28" s="991"/>
      <c r="J28" s="992"/>
      <c r="K28" s="992"/>
      <c r="L28" s="992"/>
      <c r="M28" s="992"/>
      <c r="N28" s="992"/>
      <c r="O28" s="993"/>
      <c r="P28" s="991"/>
      <c r="Q28" s="992"/>
      <c r="R28" s="992"/>
      <c r="S28" s="992"/>
      <c r="T28" s="992"/>
      <c r="U28" s="992"/>
      <c r="V28" s="993"/>
      <c r="W28" s="629"/>
      <c r="X28" s="1048" t="s">
        <v>1716</v>
      </c>
      <c r="Y28" s="1049"/>
      <c r="Z28" s="1049"/>
      <c r="AA28" s="1049"/>
      <c r="AB28" s="1049"/>
      <c r="AC28" s="1049"/>
      <c r="AD28" s="1050"/>
      <c r="AE28" s="1051" t="s">
        <v>1710</v>
      </c>
      <c r="AF28" s="1052"/>
      <c r="AG28" s="1052"/>
      <c r="AH28" s="1052"/>
      <c r="AI28" s="1052"/>
      <c r="AJ28" s="1052"/>
      <c r="AK28" s="1053"/>
      <c r="AL28" s="1093" t="s">
        <v>1710</v>
      </c>
      <c r="AM28" s="1094"/>
      <c r="AN28" s="1094"/>
      <c r="AO28" s="1094"/>
      <c r="AP28" s="1094"/>
      <c r="AQ28" s="1094"/>
      <c r="AR28" s="1095"/>
      <c r="AS28" s="629"/>
      <c r="AT28" s="1054"/>
      <c r="AU28" s="1055"/>
      <c r="AV28" s="1055"/>
      <c r="AW28" s="1055"/>
      <c r="AX28" s="1055"/>
      <c r="AY28" s="1055"/>
      <c r="AZ28" s="1056"/>
      <c r="BA28" s="1054"/>
      <c r="BB28" s="1055"/>
      <c r="BC28" s="1055"/>
      <c r="BD28" s="1055"/>
      <c r="BE28" s="1055"/>
      <c r="BF28" s="1055"/>
      <c r="BG28" s="1056"/>
      <c r="BH28" s="1054"/>
      <c r="BI28" s="1055"/>
      <c r="BJ28" s="1055"/>
      <c r="BK28" s="1055"/>
      <c r="BL28" s="1055"/>
      <c r="BM28" s="1055"/>
      <c r="BN28" s="1056"/>
      <c r="BO28" s="622"/>
    </row>
    <row r="29" spans="1:67" ht="17.25">
      <c r="A29" s="622"/>
      <c r="B29" s="1168"/>
      <c r="C29" s="1169"/>
      <c r="D29" s="1169"/>
      <c r="E29" s="1169"/>
      <c r="F29" s="1169"/>
      <c r="G29" s="1169"/>
      <c r="H29" s="1170"/>
      <c r="I29" s="1168"/>
      <c r="J29" s="1169"/>
      <c r="K29" s="1169"/>
      <c r="L29" s="1169"/>
      <c r="M29" s="1169"/>
      <c r="N29" s="1169"/>
      <c r="O29" s="1170"/>
      <c r="P29" s="1168"/>
      <c r="Q29" s="1169"/>
      <c r="R29" s="1169"/>
      <c r="S29" s="1169"/>
      <c r="T29" s="1169"/>
      <c r="U29" s="1169"/>
      <c r="V29" s="1170"/>
      <c r="W29" s="629"/>
      <c r="X29" s="1174"/>
      <c r="Y29" s="1175"/>
      <c r="Z29" s="1175"/>
      <c r="AA29" s="1175"/>
      <c r="AB29" s="1175"/>
      <c r="AC29" s="1175"/>
      <c r="AD29" s="1176"/>
      <c r="AE29" s="1180"/>
      <c r="AF29" s="1181"/>
      <c r="AG29" s="1181"/>
      <c r="AH29" s="1181"/>
      <c r="AI29" s="1181"/>
      <c r="AJ29" s="1181"/>
      <c r="AK29" s="1182"/>
      <c r="AL29" s="1186"/>
      <c r="AM29" s="1187"/>
      <c r="AN29" s="1187"/>
      <c r="AO29" s="1187"/>
      <c r="AP29" s="1187"/>
      <c r="AQ29" s="1187"/>
      <c r="AR29" s="1188"/>
      <c r="AS29" s="629"/>
      <c r="AT29" s="1192"/>
      <c r="AU29" s="1193"/>
      <c r="AV29" s="1193"/>
      <c r="AW29" s="1193"/>
      <c r="AX29" s="1193"/>
      <c r="AY29" s="1193"/>
      <c r="AZ29" s="1194"/>
      <c r="BA29" s="1192"/>
      <c r="BB29" s="1193"/>
      <c r="BC29" s="1193"/>
      <c r="BD29" s="1193"/>
      <c r="BE29" s="1193"/>
      <c r="BF29" s="1193"/>
      <c r="BG29" s="1194"/>
      <c r="BH29" s="1192"/>
      <c r="BI29" s="1193"/>
      <c r="BJ29" s="1193"/>
      <c r="BK29" s="1193"/>
      <c r="BL29" s="1193"/>
      <c r="BM29" s="1193"/>
      <c r="BN29" s="1194"/>
      <c r="BO29" s="622"/>
    </row>
    <row r="30" spans="1:67" ht="17.25">
      <c r="A30" s="622"/>
      <c r="B30" s="1168"/>
      <c r="C30" s="1169"/>
      <c r="D30" s="1169"/>
      <c r="E30" s="1169"/>
      <c r="F30" s="1169"/>
      <c r="G30" s="1169"/>
      <c r="H30" s="1170"/>
      <c r="I30" s="1168"/>
      <c r="J30" s="1169"/>
      <c r="K30" s="1169"/>
      <c r="L30" s="1169"/>
      <c r="M30" s="1169"/>
      <c r="N30" s="1169"/>
      <c r="O30" s="1170"/>
      <c r="P30" s="1168"/>
      <c r="Q30" s="1169"/>
      <c r="R30" s="1169"/>
      <c r="S30" s="1169"/>
      <c r="T30" s="1169"/>
      <c r="U30" s="1169"/>
      <c r="V30" s="1170"/>
      <c r="W30" s="629"/>
      <c r="X30" s="1174"/>
      <c r="Y30" s="1175"/>
      <c r="Z30" s="1175"/>
      <c r="AA30" s="1175"/>
      <c r="AB30" s="1175"/>
      <c r="AC30" s="1175"/>
      <c r="AD30" s="1176"/>
      <c r="AE30" s="1180"/>
      <c r="AF30" s="1181"/>
      <c r="AG30" s="1181"/>
      <c r="AH30" s="1181"/>
      <c r="AI30" s="1181"/>
      <c r="AJ30" s="1181"/>
      <c r="AK30" s="1182"/>
      <c r="AL30" s="1186"/>
      <c r="AM30" s="1187"/>
      <c r="AN30" s="1187"/>
      <c r="AO30" s="1187"/>
      <c r="AP30" s="1187"/>
      <c r="AQ30" s="1187"/>
      <c r="AR30" s="1188"/>
      <c r="AS30" s="629"/>
      <c r="AT30" s="1192"/>
      <c r="AU30" s="1193"/>
      <c r="AV30" s="1193"/>
      <c r="AW30" s="1193"/>
      <c r="AX30" s="1193"/>
      <c r="AY30" s="1193"/>
      <c r="AZ30" s="1194"/>
      <c r="BA30" s="1192"/>
      <c r="BB30" s="1193"/>
      <c r="BC30" s="1193"/>
      <c r="BD30" s="1193"/>
      <c r="BE30" s="1193"/>
      <c r="BF30" s="1193"/>
      <c r="BG30" s="1194"/>
      <c r="BH30" s="1192"/>
      <c r="BI30" s="1193"/>
      <c r="BJ30" s="1193"/>
      <c r="BK30" s="1193"/>
      <c r="BL30" s="1193"/>
      <c r="BM30" s="1193"/>
      <c r="BN30" s="1194"/>
      <c r="BO30" s="622"/>
    </row>
    <row r="31" spans="1:67" ht="17.25">
      <c r="A31" s="622"/>
      <c r="B31" s="1168"/>
      <c r="C31" s="1169"/>
      <c r="D31" s="1169"/>
      <c r="E31" s="1169"/>
      <c r="F31" s="1169"/>
      <c r="G31" s="1169"/>
      <c r="H31" s="1170"/>
      <c r="I31" s="1168"/>
      <c r="J31" s="1169"/>
      <c r="K31" s="1169"/>
      <c r="L31" s="1169"/>
      <c r="M31" s="1169"/>
      <c r="N31" s="1169"/>
      <c r="O31" s="1170"/>
      <c r="P31" s="1168"/>
      <c r="Q31" s="1169"/>
      <c r="R31" s="1169"/>
      <c r="S31" s="1169"/>
      <c r="T31" s="1169"/>
      <c r="U31" s="1169"/>
      <c r="V31" s="1170"/>
      <c r="W31" s="629"/>
      <c r="X31" s="1174"/>
      <c r="Y31" s="1175"/>
      <c r="Z31" s="1175"/>
      <c r="AA31" s="1175"/>
      <c r="AB31" s="1175"/>
      <c r="AC31" s="1175"/>
      <c r="AD31" s="1176"/>
      <c r="AE31" s="1180"/>
      <c r="AF31" s="1181"/>
      <c r="AG31" s="1181"/>
      <c r="AH31" s="1181"/>
      <c r="AI31" s="1181"/>
      <c r="AJ31" s="1181"/>
      <c r="AK31" s="1182"/>
      <c r="AL31" s="1186"/>
      <c r="AM31" s="1187"/>
      <c r="AN31" s="1187"/>
      <c r="AO31" s="1187"/>
      <c r="AP31" s="1187"/>
      <c r="AQ31" s="1187"/>
      <c r="AR31" s="1188"/>
      <c r="AS31" s="629"/>
      <c r="AT31" s="1192"/>
      <c r="AU31" s="1193"/>
      <c r="AV31" s="1193"/>
      <c r="AW31" s="1193"/>
      <c r="AX31" s="1193"/>
      <c r="AY31" s="1193"/>
      <c r="AZ31" s="1194"/>
      <c r="BA31" s="1192"/>
      <c r="BB31" s="1193"/>
      <c r="BC31" s="1193"/>
      <c r="BD31" s="1193"/>
      <c r="BE31" s="1193"/>
      <c r="BF31" s="1193"/>
      <c r="BG31" s="1194"/>
      <c r="BH31" s="1192"/>
      <c r="BI31" s="1193"/>
      <c r="BJ31" s="1193"/>
      <c r="BK31" s="1193"/>
      <c r="BL31" s="1193"/>
      <c r="BM31" s="1193"/>
      <c r="BN31" s="1194"/>
      <c r="BO31" s="622"/>
    </row>
    <row r="32" spans="1:67" ht="17.25">
      <c r="A32" s="622"/>
      <c r="B32" s="1168"/>
      <c r="C32" s="1169"/>
      <c r="D32" s="1169"/>
      <c r="E32" s="1169"/>
      <c r="F32" s="1169"/>
      <c r="G32" s="1169"/>
      <c r="H32" s="1170"/>
      <c r="I32" s="1168"/>
      <c r="J32" s="1169"/>
      <c r="K32" s="1169"/>
      <c r="L32" s="1169"/>
      <c r="M32" s="1169"/>
      <c r="N32" s="1169"/>
      <c r="O32" s="1170"/>
      <c r="P32" s="1168"/>
      <c r="Q32" s="1169"/>
      <c r="R32" s="1169"/>
      <c r="S32" s="1169"/>
      <c r="T32" s="1169"/>
      <c r="U32" s="1169"/>
      <c r="V32" s="1170"/>
      <c r="W32" s="629"/>
      <c r="X32" s="1174"/>
      <c r="Y32" s="1175"/>
      <c r="Z32" s="1175"/>
      <c r="AA32" s="1175"/>
      <c r="AB32" s="1175"/>
      <c r="AC32" s="1175"/>
      <c r="AD32" s="1176"/>
      <c r="AE32" s="1180"/>
      <c r="AF32" s="1181"/>
      <c r="AG32" s="1181"/>
      <c r="AH32" s="1181"/>
      <c r="AI32" s="1181"/>
      <c r="AJ32" s="1181"/>
      <c r="AK32" s="1182"/>
      <c r="AL32" s="1186"/>
      <c r="AM32" s="1187"/>
      <c r="AN32" s="1187"/>
      <c r="AO32" s="1187"/>
      <c r="AP32" s="1187"/>
      <c r="AQ32" s="1187"/>
      <c r="AR32" s="1188"/>
      <c r="AS32" s="629"/>
      <c r="AT32" s="1192"/>
      <c r="AU32" s="1193"/>
      <c r="AV32" s="1193"/>
      <c r="AW32" s="1193"/>
      <c r="AX32" s="1193"/>
      <c r="AY32" s="1193"/>
      <c r="AZ32" s="1194"/>
      <c r="BA32" s="1192"/>
      <c r="BB32" s="1193"/>
      <c r="BC32" s="1193"/>
      <c r="BD32" s="1193"/>
      <c r="BE32" s="1193"/>
      <c r="BF32" s="1193"/>
      <c r="BG32" s="1194"/>
      <c r="BH32" s="1192"/>
      <c r="BI32" s="1193"/>
      <c r="BJ32" s="1193"/>
      <c r="BK32" s="1193"/>
      <c r="BL32" s="1193"/>
      <c r="BM32" s="1193"/>
      <c r="BN32" s="1194"/>
      <c r="BO32" s="622"/>
    </row>
    <row r="33" spans="1:67" ht="17.25">
      <c r="A33" s="622"/>
      <c r="B33" s="1168"/>
      <c r="C33" s="1169"/>
      <c r="D33" s="1169"/>
      <c r="E33" s="1169"/>
      <c r="F33" s="1169"/>
      <c r="G33" s="1169"/>
      <c r="H33" s="1170"/>
      <c r="I33" s="1168"/>
      <c r="J33" s="1169"/>
      <c r="K33" s="1169"/>
      <c r="L33" s="1169"/>
      <c r="M33" s="1169"/>
      <c r="N33" s="1169"/>
      <c r="O33" s="1170"/>
      <c r="P33" s="1168"/>
      <c r="Q33" s="1169"/>
      <c r="R33" s="1169"/>
      <c r="S33" s="1169"/>
      <c r="T33" s="1169"/>
      <c r="U33" s="1169"/>
      <c r="V33" s="1170"/>
      <c r="W33" s="629"/>
      <c r="X33" s="1174"/>
      <c r="Y33" s="1175"/>
      <c r="Z33" s="1175"/>
      <c r="AA33" s="1175"/>
      <c r="AB33" s="1175"/>
      <c r="AC33" s="1175"/>
      <c r="AD33" s="1176"/>
      <c r="AE33" s="1180"/>
      <c r="AF33" s="1181"/>
      <c r="AG33" s="1181"/>
      <c r="AH33" s="1181"/>
      <c r="AI33" s="1181"/>
      <c r="AJ33" s="1181"/>
      <c r="AK33" s="1182"/>
      <c r="AL33" s="1186"/>
      <c r="AM33" s="1187"/>
      <c r="AN33" s="1187"/>
      <c r="AO33" s="1187"/>
      <c r="AP33" s="1187"/>
      <c r="AQ33" s="1187"/>
      <c r="AR33" s="1188"/>
      <c r="AS33" s="629"/>
      <c r="AT33" s="1192"/>
      <c r="AU33" s="1193"/>
      <c r="AV33" s="1193"/>
      <c r="AW33" s="1193"/>
      <c r="AX33" s="1193"/>
      <c r="AY33" s="1193"/>
      <c r="AZ33" s="1194"/>
      <c r="BA33" s="1192"/>
      <c r="BB33" s="1193"/>
      <c r="BC33" s="1193"/>
      <c r="BD33" s="1193"/>
      <c r="BE33" s="1193"/>
      <c r="BF33" s="1193"/>
      <c r="BG33" s="1194"/>
      <c r="BH33" s="1192"/>
      <c r="BI33" s="1193"/>
      <c r="BJ33" s="1193"/>
      <c r="BK33" s="1193"/>
      <c r="BL33" s="1193"/>
      <c r="BM33" s="1193"/>
      <c r="BN33" s="1194"/>
      <c r="BO33" s="622"/>
    </row>
    <row r="34" spans="1:67" ht="18" thickBot="1">
      <c r="A34" s="622"/>
      <c r="B34" s="1171"/>
      <c r="C34" s="1172"/>
      <c r="D34" s="1172"/>
      <c r="E34" s="1172"/>
      <c r="F34" s="1172"/>
      <c r="G34" s="1172"/>
      <c r="H34" s="1173"/>
      <c r="I34" s="1171"/>
      <c r="J34" s="1172"/>
      <c r="K34" s="1172"/>
      <c r="L34" s="1172"/>
      <c r="M34" s="1172"/>
      <c r="N34" s="1172"/>
      <c r="O34" s="1173"/>
      <c r="P34" s="1171"/>
      <c r="Q34" s="1172"/>
      <c r="R34" s="1172"/>
      <c r="S34" s="1172"/>
      <c r="T34" s="1172"/>
      <c r="U34" s="1172"/>
      <c r="V34" s="1173"/>
      <c r="W34" s="629"/>
      <c r="X34" s="1177"/>
      <c r="Y34" s="1178"/>
      <c r="Z34" s="1178"/>
      <c r="AA34" s="1178"/>
      <c r="AB34" s="1178"/>
      <c r="AC34" s="1178"/>
      <c r="AD34" s="1179"/>
      <c r="AE34" s="1183"/>
      <c r="AF34" s="1184"/>
      <c r="AG34" s="1184"/>
      <c r="AH34" s="1184"/>
      <c r="AI34" s="1184"/>
      <c r="AJ34" s="1184"/>
      <c r="AK34" s="1185"/>
      <c r="AL34" s="1189"/>
      <c r="AM34" s="1190"/>
      <c r="AN34" s="1190"/>
      <c r="AO34" s="1190"/>
      <c r="AP34" s="1190"/>
      <c r="AQ34" s="1190"/>
      <c r="AR34" s="1191"/>
      <c r="AS34" s="629"/>
      <c r="AT34" s="1195"/>
      <c r="AU34" s="1196"/>
      <c r="AV34" s="1196"/>
      <c r="AW34" s="1196"/>
      <c r="AX34" s="1196"/>
      <c r="AY34" s="1196"/>
      <c r="AZ34" s="1197"/>
      <c r="BA34" s="1195"/>
      <c r="BB34" s="1196"/>
      <c r="BC34" s="1196"/>
      <c r="BD34" s="1196"/>
      <c r="BE34" s="1196"/>
      <c r="BF34" s="1196"/>
      <c r="BG34" s="1197"/>
      <c r="BH34" s="1195"/>
      <c r="BI34" s="1196"/>
      <c r="BJ34" s="1196"/>
      <c r="BK34" s="1196"/>
      <c r="BL34" s="1196"/>
      <c r="BM34" s="1196"/>
      <c r="BN34" s="1197"/>
      <c r="BO34" s="622"/>
    </row>
    <row r="35" spans="1:67" ht="17.25">
      <c r="A35" s="622"/>
      <c r="B35" s="991"/>
      <c r="C35" s="992"/>
      <c r="D35" s="992"/>
      <c r="E35" s="992"/>
      <c r="F35" s="992"/>
      <c r="G35" s="992"/>
      <c r="H35" s="993"/>
      <c r="I35" s="1066" t="s">
        <v>1710</v>
      </c>
      <c r="J35" s="1067"/>
      <c r="K35" s="1067"/>
      <c r="L35" s="1067"/>
      <c r="M35" s="1067"/>
      <c r="N35" s="1067"/>
      <c r="O35" s="1068"/>
      <c r="P35" s="991"/>
      <c r="Q35" s="992"/>
      <c r="R35" s="992"/>
      <c r="S35" s="992"/>
      <c r="T35" s="992"/>
      <c r="U35" s="992"/>
      <c r="V35" s="993"/>
      <c r="W35" s="629"/>
      <c r="X35" s="1063" t="s">
        <v>1712</v>
      </c>
      <c r="Y35" s="1064"/>
      <c r="Z35" s="1064"/>
      <c r="AA35" s="1064"/>
      <c r="AB35" s="1064"/>
      <c r="AC35" s="1064"/>
      <c r="AD35" s="1065"/>
      <c r="AE35" s="1210" t="s">
        <v>1715</v>
      </c>
      <c r="AF35" s="1211"/>
      <c r="AG35" s="1211"/>
      <c r="AH35" s="1211"/>
      <c r="AI35" s="1211"/>
      <c r="AJ35" s="1211"/>
      <c r="AK35" s="1212"/>
      <c r="AL35" s="1090" t="s">
        <v>1710</v>
      </c>
      <c r="AM35" s="1091"/>
      <c r="AN35" s="1091"/>
      <c r="AO35" s="1091"/>
      <c r="AP35" s="1091"/>
      <c r="AQ35" s="1091"/>
      <c r="AR35" s="1092"/>
      <c r="AS35" s="629"/>
      <c r="AT35" s="1054"/>
      <c r="AU35" s="1055"/>
      <c r="AV35" s="1055"/>
      <c r="AW35" s="1055"/>
      <c r="AX35" s="1055"/>
      <c r="AY35" s="1055"/>
      <c r="AZ35" s="1056"/>
      <c r="BA35" s="1096" t="s">
        <v>1710</v>
      </c>
      <c r="BB35" s="1097"/>
      <c r="BC35" s="1097"/>
      <c r="BD35" s="1097"/>
      <c r="BE35" s="1097"/>
      <c r="BF35" s="1097"/>
      <c r="BG35" s="1098"/>
      <c r="BH35" s="1054"/>
      <c r="BI35" s="1055"/>
      <c r="BJ35" s="1055"/>
      <c r="BK35" s="1055"/>
      <c r="BL35" s="1055"/>
      <c r="BM35" s="1055"/>
      <c r="BN35" s="1056"/>
      <c r="BO35" s="622"/>
    </row>
    <row r="36" spans="1:67" ht="17.25">
      <c r="A36" s="622"/>
      <c r="B36" s="1168"/>
      <c r="C36" s="1169"/>
      <c r="D36" s="1169"/>
      <c r="E36" s="1169"/>
      <c r="F36" s="1169"/>
      <c r="G36" s="1169"/>
      <c r="H36" s="1170"/>
      <c r="I36" s="1069"/>
      <c r="J36" s="1070"/>
      <c r="K36" s="1070"/>
      <c r="L36" s="1070"/>
      <c r="M36" s="1070"/>
      <c r="N36" s="1070"/>
      <c r="O36" s="1071"/>
      <c r="P36" s="1168"/>
      <c r="Q36" s="1169"/>
      <c r="R36" s="1169"/>
      <c r="S36" s="1169"/>
      <c r="T36" s="1169"/>
      <c r="U36" s="1169"/>
      <c r="V36" s="1170"/>
      <c r="W36" s="629"/>
      <c r="X36" s="1198"/>
      <c r="Y36" s="1199"/>
      <c r="Z36" s="1199"/>
      <c r="AA36" s="1199"/>
      <c r="AB36" s="1199"/>
      <c r="AC36" s="1199"/>
      <c r="AD36" s="1200"/>
      <c r="AE36" s="1213"/>
      <c r="AF36" s="1214"/>
      <c r="AG36" s="1214"/>
      <c r="AH36" s="1214"/>
      <c r="AI36" s="1214"/>
      <c r="AJ36" s="1214"/>
      <c r="AK36" s="1215"/>
      <c r="AL36" s="1204"/>
      <c r="AM36" s="1205"/>
      <c r="AN36" s="1205"/>
      <c r="AO36" s="1205"/>
      <c r="AP36" s="1205"/>
      <c r="AQ36" s="1205"/>
      <c r="AR36" s="1206"/>
      <c r="AS36" s="629"/>
      <c r="AT36" s="1192"/>
      <c r="AU36" s="1193"/>
      <c r="AV36" s="1193"/>
      <c r="AW36" s="1193"/>
      <c r="AX36" s="1193"/>
      <c r="AY36" s="1193"/>
      <c r="AZ36" s="1194"/>
      <c r="BA36" s="1099"/>
      <c r="BB36" s="1100"/>
      <c r="BC36" s="1100"/>
      <c r="BD36" s="1100"/>
      <c r="BE36" s="1100"/>
      <c r="BF36" s="1100"/>
      <c r="BG36" s="1101"/>
      <c r="BH36" s="1192"/>
      <c r="BI36" s="1193"/>
      <c r="BJ36" s="1193"/>
      <c r="BK36" s="1193"/>
      <c r="BL36" s="1193"/>
      <c r="BM36" s="1193"/>
      <c r="BN36" s="1194"/>
      <c r="BO36" s="622"/>
    </row>
    <row r="37" spans="1:67" ht="17.25">
      <c r="A37" s="622"/>
      <c r="B37" s="1168"/>
      <c r="C37" s="1169"/>
      <c r="D37" s="1169"/>
      <c r="E37" s="1169"/>
      <c r="F37" s="1169"/>
      <c r="G37" s="1169"/>
      <c r="H37" s="1170"/>
      <c r="I37" s="1069"/>
      <c r="J37" s="1070"/>
      <c r="K37" s="1070"/>
      <c r="L37" s="1070"/>
      <c r="M37" s="1070"/>
      <c r="N37" s="1070"/>
      <c r="O37" s="1071"/>
      <c r="P37" s="1168"/>
      <c r="Q37" s="1169"/>
      <c r="R37" s="1169"/>
      <c r="S37" s="1169"/>
      <c r="T37" s="1169"/>
      <c r="U37" s="1169"/>
      <c r="V37" s="1170"/>
      <c r="W37" s="629"/>
      <c r="X37" s="1198"/>
      <c r="Y37" s="1199"/>
      <c r="Z37" s="1199"/>
      <c r="AA37" s="1199"/>
      <c r="AB37" s="1199"/>
      <c r="AC37" s="1199"/>
      <c r="AD37" s="1200"/>
      <c r="AE37" s="1213"/>
      <c r="AF37" s="1214"/>
      <c r="AG37" s="1214"/>
      <c r="AH37" s="1214"/>
      <c r="AI37" s="1214"/>
      <c r="AJ37" s="1214"/>
      <c r="AK37" s="1215"/>
      <c r="AL37" s="1204"/>
      <c r="AM37" s="1205"/>
      <c r="AN37" s="1205"/>
      <c r="AO37" s="1205"/>
      <c r="AP37" s="1205"/>
      <c r="AQ37" s="1205"/>
      <c r="AR37" s="1206"/>
      <c r="AS37" s="629"/>
      <c r="AT37" s="1192"/>
      <c r="AU37" s="1193"/>
      <c r="AV37" s="1193"/>
      <c r="AW37" s="1193"/>
      <c r="AX37" s="1193"/>
      <c r="AY37" s="1193"/>
      <c r="AZ37" s="1194"/>
      <c r="BA37" s="1099"/>
      <c r="BB37" s="1100"/>
      <c r="BC37" s="1100"/>
      <c r="BD37" s="1100"/>
      <c r="BE37" s="1100"/>
      <c r="BF37" s="1100"/>
      <c r="BG37" s="1101"/>
      <c r="BH37" s="1192"/>
      <c r="BI37" s="1193"/>
      <c r="BJ37" s="1193"/>
      <c r="BK37" s="1193"/>
      <c r="BL37" s="1193"/>
      <c r="BM37" s="1193"/>
      <c r="BN37" s="1194"/>
      <c r="BO37" s="622"/>
    </row>
    <row r="38" spans="1:67" ht="17.25">
      <c r="A38" s="622"/>
      <c r="B38" s="1168"/>
      <c r="C38" s="1169"/>
      <c r="D38" s="1169"/>
      <c r="E38" s="1169"/>
      <c r="F38" s="1169"/>
      <c r="G38" s="1169"/>
      <c r="H38" s="1170"/>
      <c r="I38" s="1069"/>
      <c r="J38" s="1070"/>
      <c r="K38" s="1070"/>
      <c r="L38" s="1070"/>
      <c r="M38" s="1070"/>
      <c r="N38" s="1070"/>
      <c r="O38" s="1071"/>
      <c r="P38" s="1168"/>
      <c r="Q38" s="1169"/>
      <c r="R38" s="1169"/>
      <c r="S38" s="1169"/>
      <c r="T38" s="1169"/>
      <c r="U38" s="1169"/>
      <c r="V38" s="1170"/>
      <c r="W38" s="629"/>
      <c r="X38" s="1198"/>
      <c r="Y38" s="1199"/>
      <c r="Z38" s="1199"/>
      <c r="AA38" s="1199"/>
      <c r="AB38" s="1199"/>
      <c r="AC38" s="1199"/>
      <c r="AD38" s="1200"/>
      <c r="AE38" s="1213"/>
      <c r="AF38" s="1214"/>
      <c r="AG38" s="1214"/>
      <c r="AH38" s="1214"/>
      <c r="AI38" s="1214"/>
      <c r="AJ38" s="1214"/>
      <c r="AK38" s="1215"/>
      <c r="AL38" s="1204"/>
      <c r="AM38" s="1205"/>
      <c r="AN38" s="1205"/>
      <c r="AO38" s="1205"/>
      <c r="AP38" s="1205"/>
      <c r="AQ38" s="1205"/>
      <c r="AR38" s="1206"/>
      <c r="AS38" s="629"/>
      <c r="AT38" s="1192"/>
      <c r="AU38" s="1193"/>
      <c r="AV38" s="1193"/>
      <c r="AW38" s="1193"/>
      <c r="AX38" s="1193"/>
      <c r="AY38" s="1193"/>
      <c r="AZ38" s="1194"/>
      <c r="BA38" s="1099"/>
      <c r="BB38" s="1100"/>
      <c r="BC38" s="1100"/>
      <c r="BD38" s="1100"/>
      <c r="BE38" s="1100"/>
      <c r="BF38" s="1100"/>
      <c r="BG38" s="1101"/>
      <c r="BH38" s="1192"/>
      <c r="BI38" s="1193"/>
      <c r="BJ38" s="1193"/>
      <c r="BK38" s="1193"/>
      <c r="BL38" s="1193"/>
      <c r="BM38" s="1193"/>
      <c r="BN38" s="1194"/>
      <c r="BO38" s="622"/>
    </row>
    <row r="39" spans="1:67" ht="17.25">
      <c r="A39" s="622"/>
      <c r="B39" s="1168"/>
      <c r="C39" s="1169"/>
      <c r="D39" s="1169"/>
      <c r="E39" s="1169"/>
      <c r="F39" s="1169"/>
      <c r="G39" s="1169"/>
      <c r="H39" s="1170"/>
      <c r="I39" s="1069"/>
      <c r="J39" s="1070"/>
      <c r="K39" s="1070"/>
      <c r="L39" s="1070"/>
      <c r="M39" s="1070"/>
      <c r="N39" s="1070"/>
      <c r="O39" s="1071"/>
      <c r="P39" s="1168"/>
      <c r="Q39" s="1169"/>
      <c r="R39" s="1169"/>
      <c r="S39" s="1169"/>
      <c r="T39" s="1169"/>
      <c r="U39" s="1169"/>
      <c r="V39" s="1170"/>
      <c r="W39" s="629"/>
      <c r="X39" s="1198"/>
      <c r="Y39" s="1199"/>
      <c r="Z39" s="1199"/>
      <c r="AA39" s="1199"/>
      <c r="AB39" s="1199"/>
      <c r="AC39" s="1199"/>
      <c r="AD39" s="1200"/>
      <c r="AE39" s="1213"/>
      <c r="AF39" s="1214"/>
      <c r="AG39" s="1214"/>
      <c r="AH39" s="1214"/>
      <c r="AI39" s="1214"/>
      <c r="AJ39" s="1214"/>
      <c r="AK39" s="1215"/>
      <c r="AL39" s="1204"/>
      <c r="AM39" s="1205"/>
      <c r="AN39" s="1205"/>
      <c r="AO39" s="1205"/>
      <c r="AP39" s="1205"/>
      <c r="AQ39" s="1205"/>
      <c r="AR39" s="1206"/>
      <c r="AS39" s="629"/>
      <c r="AT39" s="1192"/>
      <c r="AU39" s="1193"/>
      <c r="AV39" s="1193"/>
      <c r="AW39" s="1193"/>
      <c r="AX39" s="1193"/>
      <c r="AY39" s="1193"/>
      <c r="AZ39" s="1194"/>
      <c r="BA39" s="1099"/>
      <c r="BB39" s="1100"/>
      <c r="BC39" s="1100"/>
      <c r="BD39" s="1100"/>
      <c r="BE39" s="1100"/>
      <c r="BF39" s="1100"/>
      <c r="BG39" s="1101"/>
      <c r="BH39" s="1192"/>
      <c r="BI39" s="1193"/>
      <c r="BJ39" s="1193"/>
      <c r="BK39" s="1193"/>
      <c r="BL39" s="1193"/>
      <c r="BM39" s="1193"/>
      <c r="BN39" s="1194"/>
      <c r="BO39" s="622"/>
    </row>
    <row r="40" spans="1:67" ht="17.25">
      <c r="A40" s="622"/>
      <c r="B40" s="1168"/>
      <c r="C40" s="1169"/>
      <c r="D40" s="1169"/>
      <c r="E40" s="1169"/>
      <c r="F40" s="1169"/>
      <c r="G40" s="1169"/>
      <c r="H40" s="1170"/>
      <c r="I40" s="1069"/>
      <c r="J40" s="1070"/>
      <c r="K40" s="1070"/>
      <c r="L40" s="1070"/>
      <c r="M40" s="1070"/>
      <c r="N40" s="1070"/>
      <c r="O40" s="1071"/>
      <c r="P40" s="1168"/>
      <c r="Q40" s="1169"/>
      <c r="R40" s="1169"/>
      <c r="S40" s="1169"/>
      <c r="T40" s="1169"/>
      <c r="U40" s="1169"/>
      <c r="V40" s="1170"/>
      <c r="W40" s="629"/>
      <c r="X40" s="1198"/>
      <c r="Y40" s="1199"/>
      <c r="Z40" s="1199"/>
      <c r="AA40" s="1199"/>
      <c r="AB40" s="1199"/>
      <c r="AC40" s="1199"/>
      <c r="AD40" s="1200"/>
      <c r="AE40" s="1213"/>
      <c r="AF40" s="1214"/>
      <c r="AG40" s="1214"/>
      <c r="AH40" s="1214"/>
      <c r="AI40" s="1214"/>
      <c r="AJ40" s="1214"/>
      <c r="AK40" s="1215"/>
      <c r="AL40" s="1204"/>
      <c r="AM40" s="1205"/>
      <c r="AN40" s="1205"/>
      <c r="AO40" s="1205"/>
      <c r="AP40" s="1205"/>
      <c r="AQ40" s="1205"/>
      <c r="AR40" s="1206"/>
      <c r="AS40" s="629"/>
      <c r="AT40" s="1192"/>
      <c r="AU40" s="1193"/>
      <c r="AV40" s="1193"/>
      <c r="AW40" s="1193"/>
      <c r="AX40" s="1193"/>
      <c r="AY40" s="1193"/>
      <c r="AZ40" s="1194"/>
      <c r="BA40" s="1099"/>
      <c r="BB40" s="1100"/>
      <c r="BC40" s="1100"/>
      <c r="BD40" s="1100"/>
      <c r="BE40" s="1100"/>
      <c r="BF40" s="1100"/>
      <c r="BG40" s="1101"/>
      <c r="BH40" s="1192"/>
      <c r="BI40" s="1193"/>
      <c r="BJ40" s="1193"/>
      <c r="BK40" s="1193"/>
      <c r="BL40" s="1193"/>
      <c r="BM40" s="1193"/>
      <c r="BN40" s="1194"/>
      <c r="BO40" s="622"/>
    </row>
    <row r="41" spans="1:67" ht="18" thickBot="1">
      <c r="A41" s="622"/>
      <c r="B41" s="1171"/>
      <c r="C41" s="1172"/>
      <c r="D41" s="1172"/>
      <c r="E41" s="1172"/>
      <c r="F41" s="1172"/>
      <c r="G41" s="1172"/>
      <c r="H41" s="1173"/>
      <c r="I41" s="1072"/>
      <c r="J41" s="1073"/>
      <c r="K41" s="1073"/>
      <c r="L41" s="1073"/>
      <c r="M41" s="1073"/>
      <c r="N41" s="1073"/>
      <c r="O41" s="1074"/>
      <c r="P41" s="1171"/>
      <c r="Q41" s="1172"/>
      <c r="R41" s="1172"/>
      <c r="S41" s="1172"/>
      <c r="T41" s="1172"/>
      <c r="U41" s="1172"/>
      <c r="V41" s="1173"/>
      <c r="W41" s="629"/>
      <c r="X41" s="1201"/>
      <c r="Y41" s="1202"/>
      <c r="Z41" s="1202"/>
      <c r="AA41" s="1202"/>
      <c r="AB41" s="1202"/>
      <c r="AC41" s="1202"/>
      <c r="AD41" s="1203"/>
      <c r="AE41" s="1216"/>
      <c r="AF41" s="1217"/>
      <c r="AG41" s="1217"/>
      <c r="AH41" s="1217"/>
      <c r="AI41" s="1217"/>
      <c r="AJ41" s="1217"/>
      <c r="AK41" s="1218"/>
      <c r="AL41" s="1207"/>
      <c r="AM41" s="1208"/>
      <c r="AN41" s="1208"/>
      <c r="AO41" s="1208"/>
      <c r="AP41" s="1208"/>
      <c r="AQ41" s="1208"/>
      <c r="AR41" s="1209"/>
      <c r="AS41" s="629"/>
      <c r="AT41" s="1195"/>
      <c r="AU41" s="1196"/>
      <c r="AV41" s="1196"/>
      <c r="AW41" s="1196"/>
      <c r="AX41" s="1196"/>
      <c r="AY41" s="1196"/>
      <c r="AZ41" s="1197"/>
      <c r="BA41" s="1102"/>
      <c r="BB41" s="1103"/>
      <c r="BC41" s="1103"/>
      <c r="BD41" s="1103"/>
      <c r="BE41" s="1103"/>
      <c r="BF41" s="1103"/>
      <c r="BG41" s="1104"/>
      <c r="BH41" s="1195"/>
      <c r="BI41" s="1196"/>
      <c r="BJ41" s="1196"/>
      <c r="BK41" s="1196"/>
      <c r="BL41" s="1196"/>
      <c r="BM41" s="1196"/>
      <c r="BN41" s="1197"/>
      <c r="BO41" s="622"/>
    </row>
    <row r="42" spans="1:67" ht="17.25">
      <c r="A42" s="622"/>
      <c r="B42" s="991"/>
      <c r="C42" s="992"/>
      <c r="D42" s="992"/>
      <c r="E42" s="992"/>
      <c r="F42" s="992"/>
      <c r="G42" s="992"/>
      <c r="H42" s="993"/>
      <c r="I42" s="991"/>
      <c r="J42" s="992"/>
      <c r="K42" s="992"/>
      <c r="L42" s="992"/>
      <c r="M42" s="992"/>
      <c r="N42" s="992"/>
      <c r="O42" s="993"/>
      <c r="P42" s="991"/>
      <c r="Q42" s="992"/>
      <c r="R42" s="992"/>
      <c r="S42" s="992"/>
      <c r="T42" s="992"/>
      <c r="U42" s="992"/>
      <c r="V42" s="993"/>
      <c r="W42" s="629"/>
      <c r="X42" s="1117" t="s">
        <v>1711</v>
      </c>
      <c r="Y42" s="1118"/>
      <c r="Z42" s="1118"/>
      <c r="AA42" s="1118"/>
      <c r="AB42" s="1118"/>
      <c r="AC42" s="1118"/>
      <c r="AD42" s="1119"/>
      <c r="AE42" s="1120" t="s">
        <v>1711</v>
      </c>
      <c r="AF42" s="1121"/>
      <c r="AG42" s="1121"/>
      <c r="AH42" s="1121"/>
      <c r="AI42" s="1121"/>
      <c r="AJ42" s="1121"/>
      <c r="AK42" s="1122"/>
      <c r="AL42" s="1123" t="s">
        <v>1710</v>
      </c>
      <c r="AM42" s="1124"/>
      <c r="AN42" s="1124"/>
      <c r="AO42" s="1124"/>
      <c r="AP42" s="1124"/>
      <c r="AQ42" s="1124"/>
      <c r="AR42" s="1125"/>
      <c r="AS42" s="629"/>
      <c r="AT42" s="1054"/>
      <c r="AU42" s="1055"/>
      <c r="AV42" s="1055"/>
      <c r="AW42" s="1055"/>
      <c r="AX42" s="1055"/>
      <c r="AY42" s="1055"/>
      <c r="AZ42" s="1056"/>
      <c r="BA42" s="1054"/>
      <c r="BB42" s="1055"/>
      <c r="BC42" s="1055"/>
      <c r="BD42" s="1055"/>
      <c r="BE42" s="1055"/>
      <c r="BF42" s="1055"/>
      <c r="BG42" s="1056"/>
      <c r="BH42" s="1054"/>
      <c r="BI42" s="1055"/>
      <c r="BJ42" s="1055"/>
      <c r="BK42" s="1055"/>
      <c r="BL42" s="1055"/>
      <c r="BM42" s="1055"/>
      <c r="BN42" s="1056"/>
      <c r="BO42" s="622"/>
    </row>
    <row r="43" spans="1:67" ht="17.25">
      <c r="A43" s="622"/>
      <c r="B43" s="1168"/>
      <c r="C43" s="1169"/>
      <c r="D43" s="1169"/>
      <c r="E43" s="1169"/>
      <c r="F43" s="1169"/>
      <c r="G43" s="1169"/>
      <c r="H43" s="1170"/>
      <c r="I43" s="1168"/>
      <c r="J43" s="1169"/>
      <c r="K43" s="1169"/>
      <c r="L43" s="1169"/>
      <c r="M43" s="1169"/>
      <c r="N43" s="1169"/>
      <c r="O43" s="1170"/>
      <c r="P43" s="1168"/>
      <c r="Q43" s="1169"/>
      <c r="R43" s="1169"/>
      <c r="S43" s="1169"/>
      <c r="T43" s="1169"/>
      <c r="U43" s="1169"/>
      <c r="V43" s="1170"/>
      <c r="W43" s="629"/>
      <c r="X43" s="1219"/>
      <c r="Y43" s="1220"/>
      <c r="Z43" s="1220"/>
      <c r="AA43" s="1220"/>
      <c r="AB43" s="1220"/>
      <c r="AC43" s="1220"/>
      <c r="AD43" s="1221"/>
      <c r="AE43" s="1225"/>
      <c r="AF43" s="1226"/>
      <c r="AG43" s="1226"/>
      <c r="AH43" s="1226"/>
      <c r="AI43" s="1226"/>
      <c r="AJ43" s="1226"/>
      <c r="AK43" s="1227"/>
      <c r="AL43" s="1231"/>
      <c r="AM43" s="1232"/>
      <c r="AN43" s="1232"/>
      <c r="AO43" s="1232"/>
      <c r="AP43" s="1232"/>
      <c r="AQ43" s="1232"/>
      <c r="AR43" s="1233"/>
      <c r="AS43" s="629"/>
      <c r="AT43" s="1192"/>
      <c r="AU43" s="1193"/>
      <c r="AV43" s="1193"/>
      <c r="AW43" s="1193"/>
      <c r="AX43" s="1193"/>
      <c r="AY43" s="1193"/>
      <c r="AZ43" s="1194"/>
      <c r="BA43" s="1192"/>
      <c r="BB43" s="1193"/>
      <c r="BC43" s="1193"/>
      <c r="BD43" s="1193"/>
      <c r="BE43" s="1193"/>
      <c r="BF43" s="1193"/>
      <c r="BG43" s="1194"/>
      <c r="BH43" s="1192"/>
      <c r="BI43" s="1193"/>
      <c r="BJ43" s="1193"/>
      <c r="BK43" s="1193"/>
      <c r="BL43" s="1193"/>
      <c r="BM43" s="1193"/>
      <c r="BN43" s="1194"/>
      <c r="BO43" s="622"/>
    </row>
    <row r="44" spans="1:67" ht="17.25">
      <c r="A44" s="622"/>
      <c r="B44" s="1168"/>
      <c r="C44" s="1169"/>
      <c r="D44" s="1169"/>
      <c r="E44" s="1169"/>
      <c r="F44" s="1169"/>
      <c r="G44" s="1169"/>
      <c r="H44" s="1170"/>
      <c r="I44" s="1168"/>
      <c r="J44" s="1169"/>
      <c r="K44" s="1169"/>
      <c r="L44" s="1169"/>
      <c r="M44" s="1169"/>
      <c r="N44" s="1169"/>
      <c r="O44" s="1170"/>
      <c r="P44" s="1168"/>
      <c r="Q44" s="1169"/>
      <c r="R44" s="1169"/>
      <c r="S44" s="1169"/>
      <c r="T44" s="1169"/>
      <c r="U44" s="1169"/>
      <c r="V44" s="1170"/>
      <c r="W44" s="629"/>
      <c r="X44" s="1219"/>
      <c r="Y44" s="1220"/>
      <c r="Z44" s="1220"/>
      <c r="AA44" s="1220"/>
      <c r="AB44" s="1220"/>
      <c r="AC44" s="1220"/>
      <c r="AD44" s="1221"/>
      <c r="AE44" s="1225"/>
      <c r="AF44" s="1226"/>
      <c r="AG44" s="1226"/>
      <c r="AH44" s="1226"/>
      <c r="AI44" s="1226"/>
      <c r="AJ44" s="1226"/>
      <c r="AK44" s="1227"/>
      <c r="AL44" s="1231"/>
      <c r="AM44" s="1232"/>
      <c r="AN44" s="1232"/>
      <c r="AO44" s="1232"/>
      <c r="AP44" s="1232"/>
      <c r="AQ44" s="1232"/>
      <c r="AR44" s="1233"/>
      <c r="AS44" s="629"/>
      <c r="AT44" s="1192"/>
      <c r="AU44" s="1193"/>
      <c r="AV44" s="1193"/>
      <c r="AW44" s="1193"/>
      <c r="AX44" s="1193"/>
      <c r="AY44" s="1193"/>
      <c r="AZ44" s="1194"/>
      <c r="BA44" s="1192"/>
      <c r="BB44" s="1193"/>
      <c r="BC44" s="1193"/>
      <c r="BD44" s="1193"/>
      <c r="BE44" s="1193"/>
      <c r="BF44" s="1193"/>
      <c r="BG44" s="1194"/>
      <c r="BH44" s="1192"/>
      <c r="BI44" s="1193"/>
      <c r="BJ44" s="1193"/>
      <c r="BK44" s="1193"/>
      <c r="BL44" s="1193"/>
      <c r="BM44" s="1193"/>
      <c r="BN44" s="1194"/>
      <c r="BO44" s="622"/>
    </row>
    <row r="45" spans="1:67" ht="17.25">
      <c r="A45" s="622"/>
      <c r="B45" s="1168"/>
      <c r="C45" s="1169"/>
      <c r="D45" s="1169"/>
      <c r="E45" s="1169"/>
      <c r="F45" s="1169"/>
      <c r="G45" s="1169"/>
      <c r="H45" s="1170"/>
      <c r="I45" s="1168"/>
      <c r="J45" s="1169"/>
      <c r="K45" s="1169"/>
      <c r="L45" s="1169"/>
      <c r="M45" s="1169"/>
      <c r="N45" s="1169"/>
      <c r="O45" s="1170"/>
      <c r="P45" s="1168"/>
      <c r="Q45" s="1169"/>
      <c r="R45" s="1169"/>
      <c r="S45" s="1169"/>
      <c r="T45" s="1169"/>
      <c r="U45" s="1169"/>
      <c r="V45" s="1170"/>
      <c r="W45" s="629"/>
      <c r="X45" s="1219"/>
      <c r="Y45" s="1220"/>
      <c r="Z45" s="1220"/>
      <c r="AA45" s="1220"/>
      <c r="AB45" s="1220"/>
      <c r="AC45" s="1220"/>
      <c r="AD45" s="1221"/>
      <c r="AE45" s="1225"/>
      <c r="AF45" s="1226"/>
      <c r="AG45" s="1226"/>
      <c r="AH45" s="1226"/>
      <c r="AI45" s="1226"/>
      <c r="AJ45" s="1226"/>
      <c r="AK45" s="1227"/>
      <c r="AL45" s="1231"/>
      <c r="AM45" s="1232"/>
      <c r="AN45" s="1232"/>
      <c r="AO45" s="1232"/>
      <c r="AP45" s="1232"/>
      <c r="AQ45" s="1232"/>
      <c r="AR45" s="1233"/>
      <c r="AS45" s="629"/>
      <c r="AT45" s="1192"/>
      <c r="AU45" s="1193"/>
      <c r="AV45" s="1193"/>
      <c r="AW45" s="1193"/>
      <c r="AX45" s="1193"/>
      <c r="AY45" s="1193"/>
      <c r="AZ45" s="1194"/>
      <c r="BA45" s="1192"/>
      <c r="BB45" s="1193"/>
      <c r="BC45" s="1193"/>
      <c r="BD45" s="1193"/>
      <c r="BE45" s="1193"/>
      <c r="BF45" s="1193"/>
      <c r="BG45" s="1194"/>
      <c r="BH45" s="1192"/>
      <c r="BI45" s="1193"/>
      <c r="BJ45" s="1193"/>
      <c r="BK45" s="1193"/>
      <c r="BL45" s="1193"/>
      <c r="BM45" s="1193"/>
      <c r="BN45" s="1194"/>
      <c r="BO45" s="622"/>
    </row>
    <row r="46" spans="1:67" ht="17.25">
      <c r="A46" s="622"/>
      <c r="B46" s="1168"/>
      <c r="C46" s="1169"/>
      <c r="D46" s="1169"/>
      <c r="E46" s="1169"/>
      <c r="F46" s="1169"/>
      <c r="G46" s="1169"/>
      <c r="H46" s="1170"/>
      <c r="I46" s="1168"/>
      <c r="J46" s="1169"/>
      <c r="K46" s="1169"/>
      <c r="L46" s="1169"/>
      <c r="M46" s="1169"/>
      <c r="N46" s="1169"/>
      <c r="O46" s="1170"/>
      <c r="P46" s="1168"/>
      <c r="Q46" s="1169"/>
      <c r="R46" s="1169"/>
      <c r="S46" s="1169"/>
      <c r="T46" s="1169"/>
      <c r="U46" s="1169"/>
      <c r="V46" s="1170"/>
      <c r="W46" s="629"/>
      <c r="X46" s="1219"/>
      <c r="Y46" s="1220"/>
      <c r="Z46" s="1220"/>
      <c r="AA46" s="1220"/>
      <c r="AB46" s="1220"/>
      <c r="AC46" s="1220"/>
      <c r="AD46" s="1221"/>
      <c r="AE46" s="1225"/>
      <c r="AF46" s="1226"/>
      <c r="AG46" s="1226"/>
      <c r="AH46" s="1226"/>
      <c r="AI46" s="1226"/>
      <c r="AJ46" s="1226"/>
      <c r="AK46" s="1227"/>
      <c r="AL46" s="1231"/>
      <c r="AM46" s="1232"/>
      <c r="AN46" s="1232"/>
      <c r="AO46" s="1232"/>
      <c r="AP46" s="1232"/>
      <c r="AQ46" s="1232"/>
      <c r="AR46" s="1233"/>
      <c r="AS46" s="629"/>
      <c r="AT46" s="1192"/>
      <c r="AU46" s="1193"/>
      <c r="AV46" s="1193"/>
      <c r="AW46" s="1193"/>
      <c r="AX46" s="1193"/>
      <c r="AY46" s="1193"/>
      <c r="AZ46" s="1194"/>
      <c r="BA46" s="1192"/>
      <c r="BB46" s="1193"/>
      <c r="BC46" s="1193"/>
      <c r="BD46" s="1193"/>
      <c r="BE46" s="1193"/>
      <c r="BF46" s="1193"/>
      <c r="BG46" s="1194"/>
      <c r="BH46" s="1192"/>
      <c r="BI46" s="1193"/>
      <c r="BJ46" s="1193"/>
      <c r="BK46" s="1193"/>
      <c r="BL46" s="1193"/>
      <c r="BM46" s="1193"/>
      <c r="BN46" s="1194"/>
      <c r="BO46" s="622"/>
    </row>
    <row r="47" spans="1:67" ht="17.25">
      <c r="A47" s="622"/>
      <c r="B47" s="1168"/>
      <c r="C47" s="1169"/>
      <c r="D47" s="1169"/>
      <c r="E47" s="1169"/>
      <c r="F47" s="1169"/>
      <c r="G47" s="1169"/>
      <c r="H47" s="1170"/>
      <c r="I47" s="1168"/>
      <c r="J47" s="1169"/>
      <c r="K47" s="1169"/>
      <c r="L47" s="1169"/>
      <c r="M47" s="1169"/>
      <c r="N47" s="1169"/>
      <c r="O47" s="1170"/>
      <c r="P47" s="1168"/>
      <c r="Q47" s="1169"/>
      <c r="R47" s="1169"/>
      <c r="S47" s="1169"/>
      <c r="T47" s="1169"/>
      <c r="U47" s="1169"/>
      <c r="V47" s="1170"/>
      <c r="W47" s="629"/>
      <c r="X47" s="1219"/>
      <c r="Y47" s="1220"/>
      <c r="Z47" s="1220"/>
      <c r="AA47" s="1220"/>
      <c r="AB47" s="1220"/>
      <c r="AC47" s="1220"/>
      <c r="AD47" s="1221"/>
      <c r="AE47" s="1225"/>
      <c r="AF47" s="1226"/>
      <c r="AG47" s="1226"/>
      <c r="AH47" s="1226"/>
      <c r="AI47" s="1226"/>
      <c r="AJ47" s="1226"/>
      <c r="AK47" s="1227"/>
      <c r="AL47" s="1231"/>
      <c r="AM47" s="1232"/>
      <c r="AN47" s="1232"/>
      <c r="AO47" s="1232"/>
      <c r="AP47" s="1232"/>
      <c r="AQ47" s="1232"/>
      <c r="AR47" s="1233"/>
      <c r="AS47" s="629"/>
      <c r="AT47" s="1192"/>
      <c r="AU47" s="1193"/>
      <c r="AV47" s="1193"/>
      <c r="AW47" s="1193"/>
      <c r="AX47" s="1193"/>
      <c r="AY47" s="1193"/>
      <c r="AZ47" s="1194"/>
      <c r="BA47" s="1192"/>
      <c r="BB47" s="1193"/>
      <c r="BC47" s="1193"/>
      <c r="BD47" s="1193"/>
      <c r="BE47" s="1193"/>
      <c r="BF47" s="1193"/>
      <c r="BG47" s="1194"/>
      <c r="BH47" s="1192"/>
      <c r="BI47" s="1193"/>
      <c r="BJ47" s="1193"/>
      <c r="BK47" s="1193"/>
      <c r="BL47" s="1193"/>
      <c r="BM47" s="1193"/>
      <c r="BN47" s="1194"/>
      <c r="BO47" s="622"/>
    </row>
    <row r="48" spans="1:67" ht="18" thickBot="1">
      <c r="A48" s="622"/>
      <c r="B48" s="1171"/>
      <c r="C48" s="1172"/>
      <c r="D48" s="1172"/>
      <c r="E48" s="1172"/>
      <c r="F48" s="1172"/>
      <c r="G48" s="1172"/>
      <c r="H48" s="1173"/>
      <c r="I48" s="1171"/>
      <c r="J48" s="1172"/>
      <c r="K48" s="1172"/>
      <c r="L48" s="1172"/>
      <c r="M48" s="1172"/>
      <c r="N48" s="1172"/>
      <c r="O48" s="1173"/>
      <c r="P48" s="1171"/>
      <c r="Q48" s="1172"/>
      <c r="R48" s="1172"/>
      <c r="S48" s="1172"/>
      <c r="T48" s="1172"/>
      <c r="U48" s="1172"/>
      <c r="V48" s="1173"/>
      <c r="W48" s="629"/>
      <c r="X48" s="1222"/>
      <c r="Y48" s="1223"/>
      <c r="Z48" s="1223"/>
      <c r="AA48" s="1223"/>
      <c r="AB48" s="1223"/>
      <c r="AC48" s="1223"/>
      <c r="AD48" s="1224"/>
      <c r="AE48" s="1228"/>
      <c r="AF48" s="1229"/>
      <c r="AG48" s="1229"/>
      <c r="AH48" s="1229"/>
      <c r="AI48" s="1229"/>
      <c r="AJ48" s="1229"/>
      <c r="AK48" s="1230"/>
      <c r="AL48" s="1234"/>
      <c r="AM48" s="1235"/>
      <c r="AN48" s="1235"/>
      <c r="AO48" s="1235"/>
      <c r="AP48" s="1235"/>
      <c r="AQ48" s="1235"/>
      <c r="AR48" s="1236"/>
      <c r="AS48" s="629"/>
      <c r="AT48" s="1195"/>
      <c r="AU48" s="1196"/>
      <c r="AV48" s="1196"/>
      <c r="AW48" s="1196"/>
      <c r="AX48" s="1196"/>
      <c r="AY48" s="1196"/>
      <c r="AZ48" s="1197"/>
      <c r="BA48" s="1195"/>
      <c r="BB48" s="1196"/>
      <c r="BC48" s="1196"/>
      <c r="BD48" s="1196"/>
      <c r="BE48" s="1196"/>
      <c r="BF48" s="1196"/>
      <c r="BG48" s="1197"/>
      <c r="BH48" s="1195"/>
      <c r="BI48" s="1196"/>
      <c r="BJ48" s="1196"/>
      <c r="BK48" s="1196"/>
      <c r="BL48" s="1196"/>
      <c r="BM48" s="1196"/>
      <c r="BN48" s="1197"/>
      <c r="BO48" s="622"/>
    </row>
    <row r="49" spans="1:67" ht="18" thickBot="1">
      <c r="A49" s="622"/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29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29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2"/>
    </row>
    <row r="50" spans="1:67" ht="17.25">
      <c r="A50" s="622"/>
      <c r="B50" s="976"/>
      <c r="C50" s="977"/>
      <c r="D50" s="977"/>
      <c r="E50" s="977"/>
      <c r="F50" s="977"/>
      <c r="G50" s="977"/>
      <c r="H50" s="978"/>
      <c r="I50" s="976"/>
      <c r="J50" s="977"/>
      <c r="K50" s="977"/>
      <c r="L50" s="977"/>
      <c r="M50" s="977"/>
      <c r="N50" s="977"/>
      <c r="O50" s="978"/>
      <c r="P50" s="976"/>
      <c r="Q50" s="977"/>
      <c r="R50" s="977"/>
      <c r="S50" s="977"/>
      <c r="T50" s="977"/>
      <c r="U50" s="977"/>
      <c r="V50" s="978"/>
      <c r="W50" s="629"/>
      <c r="X50" s="1126"/>
      <c r="Y50" s="1127"/>
      <c r="Z50" s="1127"/>
      <c r="AA50" s="1127"/>
      <c r="AB50" s="1127"/>
      <c r="AC50" s="1127"/>
      <c r="AD50" s="1128"/>
      <c r="AE50" s="1126"/>
      <c r="AF50" s="1127"/>
      <c r="AG50" s="1127"/>
      <c r="AH50" s="1127"/>
      <c r="AI50" s="1127"/>
      <c r="AJ50" s="1127"/>
      <c r="AK50" s="1128"/>
      <c r="AL50" s="1126"/>
      <c r="AM50" s="1127"/>
      <c r="AN50" s="1127"/>
      <c r="AO50" s="1127"/>
      <c r="AP50" s="1127"/>
      <c r="AQ50" s="1127"/>
      <c r="AR50" s="1128"/>
      <c r="AS50" s="629"/>
      <c r="AT50" s="1138"/>
      <c r="AU50" s="1139"/>
      <c r="AV50" s="1139"/>
      <c r="AW50" s="1139"/>
      <c r="AX50" s="1139"/>
      <c r="AY50" s="1139"/>
      <c r="AZ50" s="1140"/>
      <c r="BA50" s="1138"/>
      <c r="BB50" s="1139"/>
      <c r="BC50" s="1139"/>
      <c r="BD50" s="1139"/>
      <c r="BE50" s="1139"/>
      <c r="BF50" s="1139"/>
      <c r="BG50" s="1140"/>
      <c r="BH50" s="1138"/>
      <c r="BI50" s="1139"/>
      <c r="BJ50" s="1139"/>
      <c r="BK50" s="1139"/>
      <c r="BL50" s="1139"/>
      <c r="BM50" s="1139"/>
      <c r="BN50" s="1140"/>
      <c r="BO50" s="622"/>
    </row>
    <row r="51" spans="1:67" ht="17.25">
      <c r="A51" s="622"/>
      <c r="B51" s="1237"/>
      <c r="C51" s="1238"/>
      <c r="D51" s="1238"/>
      <c r="E51" s="1238"/>
      <c r="F51" s="1238"/>
      <c r="G51" s="1238"/>
      <c r="H51" s="1239"/>
      <c r="I51" s="1237"/>
      <c r="J51" s="1238"/>
      <c r="K51" s="1238"/>
      <c r="L51" s="1238"/>
      <c r="M51" s="1238"/>
      <c r="N51" s="1238"/>
      <c r="O51" s="1239"/>
      <c r="P51" s="1237"/>
      <c r="Q51" s="1238"/>
      <c r="R51" s="1238"/>
      <c r="S51" s="1238"/>
      <c r="T51" s="1238"/>
      <c r="U51" s="1238"/>
      <c r="V51" s="1239"/>
      <c r="W51" s="629"/>
      <c r="X51" s="1243"/>
      <c r="Y51" s="1244"/>
      <c r="Z51" s="1244"/>
      <c r="AA51" s="1244"/>
      <c r="AB51" s="1244"/>
      <c r="AC51" s="1244"/>
      <c r="AD51" s="1245"/>
      <c r="AE51" s="1243"/>
      <c r="AF51" s="1244"/>
      <c r="AG51" s="1244"/>
      <c r="AH51" s="1244"/>
      <c r="AI51" s="1244"/>
      <c r="AJ51" s="1244"/>
      <c r="AK51" s="1245"/>
      <c r="AL51" s="1243"/>
      <c r="AM51" s="1244"/>
      <c r="AN51" s="1244"/>
      <c r="AO51" s="1244"/>
      <c r="AP51" s="1244"/>
      <c r="AQ51" s="1244"/>
      <c r="AR51" s="1245"/>
      <c r="AS51" s="629"/>
      <c r="AT51" s="1249"/>
      <c r="AU51" s="1250"/>
      <c r="AV51" s="1250"/>
      <c r="AW51" s="1250"/>
      <c r="AX51" s="1250"/>
      <c r="AY51" s="1250"/>
      <c r="AZ51" s="1251"/>
      <c r="BA51" s="1249"/>
      <c r="BB51" s="1250"/>
      <c r="BC51" s="1250"/>
      <c r="BD51" s="1250"/>
      <c r="BE51" s="1250"/>
      <c r="BF51" s="1250"/>
      <c r="BG51" s="1251"/>
      <c r="BH51" s="1249"/>
      <c r="BI51" s="1250"/>
      <c r="BJ51" s="1250"/>
      <c r="BK51" s="1250"/>
      <c r="BL51" s="1250"/>
      <c r="BM51" s="1250"/>
      <c r="BN51" s="1251"/>
      <c r="BO51" s="622"/>
    </row>
    <row r="52" spans="1:67" ht="17.25">
      <c r="A52" s="622"/>
      <c r="B52" s="1237"/>
      <c r="C52" s="1238"/>
      <c r="D52" s="1238"/>
      <c r="E52" s="1238"/>
      <c r="F52" s="1238"/>
      <c r="G52" s="1238"/>
      <c r="H52" s="1239"/>
      <c r="I52" s="1237"/>
      <c r="J52" s="1238"/>
      <c r="K52" s="1238"/>
      <c r="L52" s="1238"/>
      <c r="M52" s="1238"/>
      <c r="N52" s="1238"/>
      <c r="O52" s="1239"/>
      <c r="P52" s="1237"/>
      <c r="Q52" s="1238"/>
      <c r="R52" s="1238"/>
      <c r="S52" s="1238"/>
      <c r="T52" s="1238"/>
      <c r="U52" s="1238"/>
      <c r="V52" s="1239"/>
      <c r="W52" s="629"/>
      <c r="X52" s="1243"/>
      <c r="Y52" s="1244"/>
      <c r="Z52" s="1244"/>
      <c r="AA52" s="1244"/>
      <c r="AB52" s="1244"/>
      <c r="AC52" s="1244"/>
      <c r="AD52" s="1245"/>
      <c r="AE52" s="1243"/>
      <c r="AF52" s="1244"/>
      <c r="AG52" s="1244"/>
      <c r="AH52" s="1244"/>
      <c r="AI52" s="1244"/>
      <c r="AJ52" s="1244"/>
      <c r="AK52" s="1245"/>
      <c r="AL52" s="1243"/>
      <c r="AM52" s="1244"/>
      <c r="AN52" s="1244"/>
      <c r="AO52" s="1244"/>
      <c r="AP52" s="1244"/>
      <c r="AQ52" s="1244"/>
      <c r="AR52" s="1245"/>
      <c r="AS52" s="629"/>
      <c r="AT52" s="1249"/>
      <c r="AU52" s="1250"/>
      <c r="AV52" s="1250"/>
      <c r="AW52" s="1250"/>
      <c r="AX52" s="1250"/>
      <c r="AY52" s="1250"/>
      <c r="AZ52" s="1251"/>
      <c r="BA52" s="1249"/>
      <c r="BB52" s="1250"/>
      <c r="BC52" s="1250"/>
      <c r="BD52" s="1250"/>
      <c r="BE52" s="1250"/>
      <c r="BF52" s="1250"/>
      <c r="BG52" s="1251"/>
      <c r="BH52" s="1249"/>
      <c r="BI52" s="1250"/>
      <c r="BJ52" s="1250"/>
      <c r="BK52" s="1250"/>
      <c r="BL52" s="1250"/>
      <c r="BM52" s="1250"/>
      <c r="BN52" s="1251"/>
      <c r="BO52" s="622"/>
    </row>
    <row r="53" spans="1:67" ht="17.25">
      <c r="A53" s="622"/>
      <c r="B53" s="1237"/>
      <c r="C53" s="1238"/>
      <c r="D53" s="1238"/>
      <c r="E53" s="1238"/>
      <c r="F53" s="1238"/>
      <c r="G53" s="1238"/>
      <c r="H53" s="1239"/>
      <c r="I53" s="1237"/>
      <c r="J53" s="1238"/>
      <c r="K53" s="1238"/>
      <c r="L53" s="1238"/>
      <c r="M53" s="1238"/>
      <c r="N53" s="1238"/>
      <c r="O53" s="1239"/>
      <c r="P53" s="1237"/>
      <c r="Q53" s="1238"/>
      <c r="R53" s="1238"/>
      <c r="S53" s="1238"/>
      <c r="T53" s="1238"/>
      <c r="U53" s="1238"/>
      <c r="V53" s="1239"/>
      <c r="W53" s="629"/>
      <c r="X53" s="1243"/>
      <c r="Y53" s="1244"/>
      <c r="Z53" s="1244"/>
      <c r="AA53" s="1244"/>
      <c r="AB53" s="1244"/>
      <c r="AC53" s="1244"/>
      <c r="AD53" s="1245"/>
      <c r="AE53" s="1243"/>
      <c r="AF53" s="1244"/>
      <c r="AG53" s="1244"/>
      <c r="AH53" s="1244"/>
      <c r="AI53" s="1244"/>
      <c r="AJ53" s="1244"/>
      <c r="AK53" s="1245"/>
      <c r="AL53" s="1243"/>
      <c r="AM53" s="1244"/>
      <c r="AN53" s="1244"/>
      <c r="AO53" s="1244"/>
      <c r="AP53" s="1244"/>
      <c r="AQ53" s="1244"/>
      <c r="AR53" s="1245"/>
      <c r="AS53" s="629"/>
      <c r="AT53" s="1249"/>
      <c r="AU53" s="1250"/>
      <c r="AV53" s="1250"/>
      <c r="AW53" s="1250"/>
      <c r="AX53" s="1250"/>
      <c r="AY53" s="1250"/>
      <c r="AZ53" s="1251"/>
      <c r="BA53" s="1249"/>
      <c r="BB53" s="1250"/>
      <c r="BC53" s="1250"/>
      <c r="BD53" s="1250"/>
      <c r="BE53" s="1250"/>
      <c r="BF53" s="1250"/>
      <c r="BG53" s="1251"/>
      <c r="BH53" s="1249"/>
      <c r="BI53" s="1250"/>
      <c r="BJ53" s="1250"/>
      <c r="BK53" s="1250"/>
      <c r="BL53" s="1250"/>
      <c r="BM53" s="1250"/>
      <c r="BN53" s="1251"/>
      <c r="BO53" s="622"/>
    </row>
    <row r="54" spans="1:67" ht="17.25">
      <c r="A54" s="622"/>
      <c r="B54" s="1237"/>
      <c r="C54" s="1238"/>
      <c r="D54" s="1238"/>
      <c r="E54" s="1238"/>
      <c r="F54" s="1238"/>
      <c r="G54" s="1238"/>
      <c r="H54" s="1239"/>
      <c r="I54" s="1237"/>
      <c r="J54" s="1238"/>
      <c r="K54" s="1238"/>
      <c r="L54" s="1238"/>
      <c r="M54" s="1238"/>
      <c r="N54" s="1238"/>
      <c r="O54" s="1239"/>
      <c r="P54" s="1237"/>
      <c r="Q54" s="1238"/>
      <c r="R54" s="1238"/>
      <c r="S54" s="1238"/>
      <c r="T54" s="1238"/>
      <c r="U54" s="1238"/>
      <c r="V54" s="1239"/>
      <c r="W54" s="629"/>
      <c r="X54" s="1243"/>
      <c r="Y54" s="1244"/>
      <c r="Z54" s="1244"/>
      <c r="AA54" s="1244"/>
      <c r="AB54" s="1244"/>
      <c r="AC54" s="1244"/>
      <c r="AD54" s="1245"/>
      <c r="AE54" s="1243"/>
      <c r="AF54" s="1244"/>
      <c r="AG54" s="1244"/>
      <c r="AH54" s="1244"/>
      <c r="AI54" s="1244"/>
      <c r="AJ54" s="1244"/>
      <c r="AK54" s="1245"/>
      <c r="AL54" s="1243"/>
      <c r="AM54" s="1244"/>
      <c r="AN54" s="1244"/>
      <c r="AO54" s="1244"/>
      <c r="AP54" s="1244"/>
      <c r="AQ54" s="1244"/>
      <c r="AR54" s="1245"/>
      <c r="AS54" s="629"/>
      <c r="AT54" s="1249"/>
      <c r="AU54" s="1250"/>
      <c r="AV54" s="1250"/>
      <c r="AW54" s="1250"/>
      <c r="AX54" s="1250"/>
      <c r="AY54" s="1250"/>
      <c r="AZ54" s="1251"/>
      <c r="BA54" s="1249"/>
      <c r="BB54" s="1250"/>
      <c r="BC54" s="1250"/>
      <c r="BD54" s="1250"/>
      <c r="BE54" s="1250"/>
      <c r="BF54" s="1250"/>
      <c r="BG54" s="1251"/>
      <c r="BH54" s="1249"/>
      <c r="BI54" s="1250"/>
      <c r="BJ54" s="1250"/>
      <c r="BK54" s="1250"/>
      <c r="BL54" s="1250"/>
      <c r="BM54" s="1250"/>
      <c r="BN54" s="1251"/>
      <c r="BO54" s="622"/>
    </row>
    <row r="55" spans="1:67" ht="17.25">
      <c r="A55" s="622"/>
      <c r="B55" s="1237"/>
      <c r="C55" s="1238"/>
      <c r="D55" s="1238"/>
      <c r="E55" s="1238"/>
      <c r="F55" s="1238"/>
      <c r="G55" s="1238"/>
      <c r="H55" s="1239"/>
      <c r="I55" s="1237"/>
      <c r="J55" s="1238"/>
      <c r="K55" s="1238"/>
      <c r="L55" s="1238"/>
      <c r="M55" s="1238"/>
      <c r="N55" s="1238"/>
      <c r="O55" s="1239"/>
      <c r="P55" s="1237"/>
      <c r="Q55" s="1238"/>
      <c r="R55" s="1238"/>
      <c r="S55" s="1238"/>
      <c r="T55" s="1238"/>
      <c r="U55" s="1238"/>
      <c r="V55" s="1239"/>
      <c r="W55" s="629"/>
      <c r="X55" s="1243"/>
      <c r="Y55" s="1244"/>
      <c r="Z55" s="1244"/>
      <c r="AA55" s="1244"/>
      <c r="AB55" s="1244"/>
      <c r="AC55" s="1244"/>
      <c r="AD55" s="1245"/>
      <c r="AE55" s="1243"/>
      <c r="AF55" s="1244"/>
      <c r="AG55" s="1244"/>
      <c r="AH55" s="1244"/>
      <c r="AI55" s="1244"/>
      <c r="AJ55" s="1244"/>
      <c r="AK55" s="1245"/>
      <c r="AL55" s="1243"/>
      <c r="AM55" s="1244"/>
      <c r="AN55" s="1244"/>
      <c r="AO55" s="1244"/>
      <c r="AP55" s="1244"/>
      <c r="AQ55" s="1244"/>
      <c r="AR55" s="1245"/>
      <c r="AS55" s="629"/>
      <c r="AT55" s="1249"/>
      <c r="AU55" s="1250"/>
      <c r="AV55" s="1250"/>
      <c r="AW55" s="1250"/>
      <c r="AX55" s="1250"/>
      <c r="AY55" s="1250"/>
      <c r="AZ55" s="1251"/>
      <c r="BA55" s="1249"/>
      <c r="BB55" s="1250"/>
      <c r="BC55" s="1250"/>
      <c r="BD55" s="1250"/>
      <c r="BE55" s="1250"/>
      <c r="BF55" s="1250"/>
      <c r="BG55" s="1251"/>
      <c r="BH55" s="1249"/>
      <c r="BI55" s="1250"/>
      <c r="BJ55" s="1250"/>
      <c r="BK55" s="1250"/>
      <c r="BL55" s="1250"/>
      <c r="BM55" s="1250"/>
      <c r="BN55" s="1251"/>
      <c r="BO55" s="622"/>
    </row>
    <row r="56" spans="1:67" ht="18" thickBot="1">
      <c r="A56" s="622"/>
      <c r="B56" s="1240"/>
      <c r="C56" s="1241"/>
      <c r="D56" s="1241"/>
      <c r="E56" s="1241"/>
      <c r="F56" s="1241"/>
      <c r="G56" s="1241"/>
      <c r="H56" s="1242"/>
      <c r="I56" s="1240"/>
      <c r="J56" s="1241"/>
      <c r="K56" s="1241"/>
      <c r="L56" s="1241"/>
      <c r="M56" s="1241"/>
      <c r="N56" s="1241"/>
      <c r="O56" s="1242"/>
      <c r="P56" s="1240"/>
      <c r="Q56" s="1241"/>
      <c r="R56" s="1241"/>
      <c r="S56" s="1241"/>
      <c r="T56" s="1241"/>
      <c r="U56" s="1241"/>
      <c r="V56" s="1242"/>
      <c r="W56" s="629"/>
      <c r="X56" s="1246"/>
      <c r="Y56" s="1247"/>
      <c r="Z56" s="1247"/>
      <c r="AA56" s="1247"/>
      <c r="AB56" s="1247"/>
      <c r="AC56" s="1247"/>
      <c r="AD56" s="1248"/>
      <c r="AE56" s="1246"/>
      <c r="AF56" s="1247"/>
      <c r="AG56" s="1247"/>
      <c r="AH56" s="1247"/>
      <c r="AI56" s="1247"/>
      <c r="AJ56" s="1247"/>
      <c r="AK56" s="1248"/>
      <c r="AL56" s="1246"/>
      <c r="AM56" s="1247"/>
      <c r="AN56" s="1247"/>
      <c r="AO56" s="1247"/>
      <c r="AP56" s="1247"/>
      <c r="AQ56" s="1247"/>
      <c r="AR56" s="1248"/>
      <c r="AS56" s="629"/>
      <c r="AT56" s="1252"/>
      <c r="AU56" s="1253"/>
      <c r="AV56" s="1253"/>
      <c r="AW56" s="1253"/>
      <c r="AX56" s="1253"/>
      <c r="AY56" s="1253"/>
      <c r="AZ56" s="1254"/>
      <c r="BA56" s="1252"/>
      <c r="BB56" s="1253"/>
      <c r="BC56" s="1253"/>
      <c r="BD56" s="1253"/>
      <c r="BE56" s="1253"/>
      <c r="BF56" s="1253"/>
      <c r="BG56" s="1254"/>
      <c r="BH56" s="1252"/>
      <c r="BI56" s="1253"/>
      <c r="BJ56" s="1253"/>
      <c r="BK56" s="1253"/>
      <c r="BL56" s="1253"/>
      <c r="BM56" s="1253"/>
      <c r="BN56" s="1254"/>
      <c r="BO56" s="622"/>
    </row>
    <row r="57" spans="1:67" ht="17.25">
      <c r="A57" s="622"/>
      <c r="B57" s="976"/>
      <c r="C57" s="977"/>
      <c r="D57" s="977"/>
      <c r="E57" s="977"/>
      <c r="F57" s="977"/>
      <c r="G57" s="977"/>
      <c r="H57" s="978"/>
      <c r="I57" s="1003" t="s">
        <v>1710</v>
      </c>
      <c r="J57" s="1004"/>
      <c r="K57" s="1004"/>
      <c r="L57" s="1004"/>
      <c r="M57" s="1004"/>
      <c r="N57" s="1004"/>
      <c r="O57" s="1005"/>
      <c r="P57" s="976"/>
      <c r="Q57" s="977"/>
      <c r="R57" s="977"/>
      <c r="S57" s="977"/>
      <c r="T57" s="977"/>
      <c r="U57" s="977"/>
      <c r="V57" s="978"/>
      <c r="W57" s="629"/>
      <c r="X57" s="1126"/>
      <c r="Y57" s="1127"/>
      <c r="Z57" s="1127"/>
      <c r="AA57" s="1127"/>
      <c r="AB57" s="1127"/>
      <c r="AC57" s="1127"/>
      <c r="AD57" s="1128"/>
      <c r="AE57" s="1129" t="s">
        <v>1710</v>
      </c>
      <c r="AF57" s="1130"/>
      <c r="AG57" s="1130"/>
      <c r="AH57" s="1130"/>
      <c r="AI57" s="1130"/>
      <c r="AJ57" s="1130"/>
      <c r="AK57" s="1131"/>
      <c r="AL57" s="1126"/>
      <c r="AM57" s="1127"/>
      <c r="AN57" s="1127"/>
      <c r="AO57" s="1127"/>
      <c r="AP57" s="1127"/>
      <c r="AQ57" s="1127"/>
      <c r="AR57" s="1128"/>
      <c r="AS57" s="629"/>
      <c r="AT57" s="1138"/>
      <c r="AU57" s="1139"/>
      <c r="AV57" s="1139"/>
      <c r="AW57" s="1139"/>
      <c r="AX57" s="1139"/>
      <c r="AY57" s="1139"/>
      <c r="AZ57" s="1140"/>
      <c r="BA57" s="1141" t="s">
        <v>1710</v>
      </c>
      <c r="BB57" s="1142"/>
      <c r="BC57" s="1142"/>
      <c r="BD57" s="1142"/>
      <c r="BE57" s="1142"/>
      <c r="BF57" s="1142"/>
      <c r="BG57" s="1143"/>
      <c r="BH57" s="1138"/>
      <c r="BI57" s="1139"/>
      <c r="BJ57" s="1139"/>
      <c r="BK57" s="1139"/>
      <c r="BL57" s="1139"/>
      <c r="BM57" s="1139"/>
      <c r="BN57" s="1140"/>
      <c r="BO57" s="622"/>
    </row>
    <row r="58" spans="1:67" ht="17.25">
      <c r="A58" s="622"/>
      <c r="B58" s="1237"/>
      <c r="C58" s="1238"/>
      <c r="D58" s="1238"/>
      <c r="E58" s="1238"/>
      <c r="F58" s="1238"/>
      <c r="G58" s="1238"/>
      <c r="H58" s="1239"/>
      <c r="I58" s="1006"/>
      <c r="J58" s="1007"/>
      <c r="K58" s="1007"/>
      <c r="L58" s="1007"/>
      <c r="M58" s="1007"/>
      <c r="N58" s="1007"/>
      <c r="O58" s="1008"/>
      <c r="P58" s="1237"/>
      <c r="Q58" s="1238"/>
      <c r="R58" s="1238"/>
      <c r="S58" s="1238"/>
      <c r="T58" s="1238"/>
      <c r="U58" s="1238"/>
      <c r="V58" s="1239"/>
      <c r="W58" s="629"/>
      <c r="X58" s="1243"/>
      <c r="Y58" s="1244"/>
      <c r="Z58" s="1244"/>
      <c r="AA58" s="1244"/>
      <c r="AB58" s="1244"/>
      <c r="AC58" s="1244"/>
      <c r="AD58" s="1245"/>
      <c r="AE58" s="1132"/>
      <c r="AF58" s="1133"/>
      <c r="AG58" s="1133"/>
      <c r="AH58" s="1133"/>
      <c r="AI58" s="1133"/>
      <c r="AJ58" s="1133"/>
      <c r="AK58" s="1134"/>
      <c r="AL58" s="1243"/>
      <c r="AM58" s="1244"/>
      <c r="AN58" s="1244"/>
      <c r="AO58" s="1244"/>
      <c r="AP58" s="1244"/>
      <c r="AQ58" s="1244"/>
      <c r="AR58" s="1245"/>
      <c r="AS58" s="629"/>
      <c r="AT58" s="1249"/>
      <c r="AU58" s="1250"/>
      <c r="AV58" s="1250"/>
      <c r="AW58" s="1250"/>
      <c r="AX58" s="1250"/>
      <c r="AY58" s="1250"/>
      <c r="AZ58" s="1251"/>
      <c r="BA58" s="1144"/>
      <c r="BB58" s="1145"/>
      <c r="BC58" s="1145"/>
      <c r="BD58" s="1145"/>
      <c r="BE58" s="1145"/>
      <c r="BF58" s="1145"/>
      <c r="BG58" s="1146"/>
      <c r="BH58" s="1249"/>
      <c r="BI58" s="1250"/>
      <c r="BJ58" s="1250"/>
      <c r="BK58" s="1250"/>
      <c r="BL58" s="1250"/>
      <c r="BM58" s="1250"/>
      <c r="BN58" s="1251"/>
      <c r="BO58" s="622"/>
    </row>
    <row r="59" spans="1:67" ht="17.25">
      <c r="A59" s="622"/>
      <c r="B59" s="1237"/>
      <c r="C59" s="1238"/>
      <c r="D59" s="1238"/>
      <c r="E59" s="1238"/>
      <c r="F59" s="1238"/>
      <c r="G59" s="1238"/>
      <c r="H59" s="1239"/>
      <c r="I59" s="1006"/>
      <c r="J59" s="1007"/>
      <c r="K59" s="1007"/>
      <c r="L59" s="1007"/>
      <c r="M59" s="1007"/>
      <c r="N59" s="1007"/>
      <c r="O59" s="1008"/>
      <c r="P59" s="1237"/>
      <c r="Q59" s="1238"/>
      <c r="R59" s="1238"/>
      <c r="S59" s="1238"/>
      <c r="T59" s="1238"/>
      <c r="U59" s="1238"/>
      <c r="V59" s="1239"/>
      <c r="W59" s="629"/>
      <c r="X59" s="1243"/>
      <c r="Y59" s="1244"/>
      <c r="Z59" s="1244"/>
      <c r="AA59" s="1244"/>
      <c r="AB59" s="1244"/>
      <c r="AC59" s="1244"/>
      <c r="AD59" s="1245"/>
      <c r="AE59" s="1132"/>
      <c r="AF59" s="1133"/>
      <c r="AG59" s="1133"/>
      <c r="AH59" s="1133"/>
      <c r="AI59" s="1133"/>
      <c r="AJ59" s="1133"/>
      <c r="AK59" s="1134"/>
      <c r="AL59" s="1243"/>
      <c r="AM59" s="1244"/>
      <c r="AN59" s="1244"/>
      <c r="AO59" s="1244"/>
      <c r="AP59" s="1244"/>
      <c r="AQ59" s="1244"/>
      <c r="AR59" s="1245"/>
      <c r="AS59" s="629"/>
      <c r="AT59" s="1249"/>
      <c r="AU59" s="1250"/>
      <c r="AV59" s="1250"/>
      <c r="AW59" s="1250"/>
      <c r="AX59" s="1250"/>
      <c r="AY59" s="1250"/>
      <c r="AZ59" s="1251"/>
      <c r="BA59" s="1144"/>
      <c r="BB59" s="1145"/>
      <c r="BC59" s="1145"/>
      <c r="BD59" s="1145"/>
      <c r="BE59" s="1145"/>
      <c r="BF59" s="1145"/>
      <c r="BG59" s="1146"/>
      <c r="BH59" s="1249"/>
      <c r="BI59" s="1250"/>
      <c r="BJ59" s="1250"/>
      <c r="BK59" s="1250"/>
      <c r="BL59" s="1250"/>
      <c r="BM59" s="1250"/>
      <c r="BN59" s="1251"/>
      <c r="BO59" s="622"/>
    </row>
    <row r="60" spans="1:67" ht="17.25">
      <c r="A60" s="622"/>
      <c r="B60" s="1237"/>
      <c r="C60" s="1238"/>
      <c r="D60" s="1238"/>
      <c r="E60" s="1238"/>
      <c r="F60" s="1238"/>
      <c r="G60" s="1238"/>
      <c r="H60" s="1239"/>
      <c r="I60" s="1006"/>
      <c r="J60" s="1007"/>
      <c r="K60" s="1007"/>
      <c r="L60" s="1007"/>
      <c r="M60" s="1007"/>
      <c r="N60" s="1007"/>
      <c r="O60" s="1008"/>
      <c r="P60" s="1237"/>
      <c r="Q60" s="1238"/>
      <c r="R60" s="1238"/>
      <c r="S60" s="1238"/>
      <c r="T60" s="1238"/>
      <c r="U60" s="1238"/>
      <c r="V60" s="1239"/>
      <c r="W60" s="629"/>
      <c r="X60" s="1243"/>
      <c r="Y60" s="1244"/>
      <c r="Z60" s="1244"/>
      <c r="AA60" s="1244"/>
      <c r="AB60" s="1244"/>
      <c r="AC60" s="1244"/>
      <c r="AD60" s="1245"/>
      <c r="AE60" s="1132"/>
      <c r="AF60" s="1133"/>
      <c r="AG60" s="1133"/>
      <c r="AH60" s="1133"/>
      <c r="AI60" s="1133"/>
      <c r="AJ60" s="1133"/>
      <c r="AK60" s="1134"/>
      <c r="AL60" s="1243"/>
      <c r="AM60" s="1244"/>
      <c r="AN60" s="1244"/>
      <c r="AO60" s="1244"/>
      <c r="AP60" s="1244"/>
      <c r="AQ60" s="1244"/>
      <c r="AR60" s="1245"/>
      <c r="AS60" s="629"/>
      <c r="AT60" s="1249"/>
      <c r="AU60" s="1250"/>
      <c r="AV60" s="1250"/>
      <c r="AW60" s="1250"/>
      <c r="AX60" s="1250"/>
      <c r="AY60" s="1250"/>
      <c r="AZ60" s="1251"/>
      <c r="BA60" s="1144"/>
      <c r="BB60" s="1145"/>
      <c r="BC60" s="1145"/>
      <c r="BD60" s="1145"/>
      <c r="BE60" s="1145"/>
      <c r="BF60" s="1145"/>
      <c r="BG60" s="1146"/>
      <c r="BH60" s="1249"/>
      <c r="BI60" s="1250"/>
      <c r="BJ60" s="1250"/>
      <c r="BK60" s="1250"/>
      <c r="BL60" s="1250"/>
      <c r="BM60" s="1250"/>
      <c r="BN60" s="1251"/>
      <c r="BO60" s="622"/>
    </row>
    <row r="61" spans="1:67" ht="17.25">
      <c r="A61" s="622"/>
      <c r="B61" s="1237"/>
      <c r="C61" s="1238"/>
      <c r="D61" s="1238"/>
      <c r="E61" s="1238"/>
      <c r="F61" s="1238"/>
      <c r="G61" s="1238"/>
      <c r="H61" s="1239"/>
      <c r="I61" s="1006"/>
      <c r="J61" s="1007"/>
      <c r="K61" s="1007"/>
      <c r="L61" s="1007"/>
      <c r="M61" s="1007"/>
      <c r="N61" s="1007"/>
      <c r="O61" s="1008"/>
      <c r="P61" s="1237"/>
      <c r="Q61" s="1238"/>
      <c r="R61" s="1238"/>
      <c r="S61" s="1238"/>
      <c r="T61" s="1238"/>
      <c r="U61" s="1238"/>
      <c r="V61" s="1239"/>
      <c r="W61" s="629"/>
      <c r="X61" s="1243"/>
      <c r="Y61" s="1244"/>
      <c r="Z61" s="1244"/>
      <c r="AA61" s="1244"/>
      <c r="AB61" s="1244"/>
      <c r="AC61" s="1244"/>
      <c r="AD61" s="1245"/>
      <c r="AE61" s="1132"/>
      <c r="AF61" s="1133"/>
      <c r="AG61" s="1133"/>
      <c r="AH61" s="1133"/>
      <c r="AI61" s="1133"/>
      <c r="AJ61" s="1133"/>
      <c r="AK61" s="1134"/>
      <c r="AL61" s="1243"/>
      <c r="AM61" s="1244"/>
      <c r="AN61" s="1244"/>
      <c r="AO61" s="1244"/>
      <c r="AP61" s="1244"/>
      <c r="AQ61" s="1244"/>
      <c r="AR61" s="1245"/>
      <c r="AS61" s="629"/>
      <c r="AT61" s="1249"/>
      <c r="AU61" s="1250"/>
      <c r="AV61" s="1250"/>
      <c r="AW61" s="1250"/>
      <c r="AX61" s="1250"/>
      <c r="AY61" s="1250"/>
      <c r="AZ61" s="1251"/>
      <c r="BA61" s="1144"/>
      <c r="BB61" s="1145"/>
      <c r="BC61" s="1145"/>
      <c r="BD61" s="1145"/>
      <c r="BE61" s="1145"/>
      <c r="BF61" s="1145"/>
      <c r="BG61" s="1146"/>
      <c r="BH61" s="1249"/>
      <c r="BI61" s="1250"/>
      <c r="BJ61" s="1250"/>
      <c r="BK61" s="1250"/>
      <c r="BL61" s="1250"/>
      <c r="BM61" s="1250"/>
      <c r="BN61" s="1251"/>
      <c r="BO61" s="622"/>
    </row>
    <row r="62" spans="1:67" ht="17.25">
      <c r="A62" s="622"/>
      <c r="B62" s="1237"/>
      <c r="C62" s="1238"/>
      <c r="D62" s="1238"/>
      <c r="E62" s="1238"/>
      <c r="F62" s="1238"/>
      <c r="G62" s="1238"/>
      <c r="H62" s="1239"/>
      <c r="I62" s="1006"/>
      <c r="J62" s="1007"/>
      <c r="K62" s="1007"/>
      <c r="L62" s="1007"/>
      <c r="M62" s="1007"/>
      <c r="N62" s="1007"/>
      <c r="O62" s="1008"/>
      <c r="P62" s="1237"/>
      <c r="Q62" s="1238"/>
      <c r="R62" s="1238"/>
      <c r="S62" s="1238"/>
      <c r="T62" s="1238"/>
      <c r="U62" s="1238"/>
      <c r="V62" s="1239"/>
      <c r="W62" s="629"/>
      <c r="X62" s="1243"/>
      <c r="Y62" s="1244"/>
      <c r="Z62" s="1244"/>
      <c r="AA62" s="1244"/>
      <c r="AB62" s="1244"/>
      <c r="AC62" s="1244"/>
      <c r="AD62" s="1245"/>
      <c r="AE62" s="1132"/>
      <c r="AF62" s="1133"/>
      <c r="AG62" s="1133"/>
      <c r="AH62" s="1133"/>
      <c r="AI62" s="1133"/>
      <c r="AJ62" s="1133"/>
      <c r="AK62" s="1134"/>
      <c r="AL62" s="1243"/>
      <c r="AM62" s="1244"/>
      <c r="AN62" s="1244"/>
      <c r="AO62" s="1244"/>
      <c r="AP62" s="1244"/>
      <c r="AQ62" s="1244"/>
      <c r="AR62" s="1245"/>
      <c r="AS62" s="629"/>
      <c r="AT62" s="1249"/>
      <c r="AU62" s="1250"/>
      <c r="AV62" s="1250"/>
      <c r="AW62" s="1250"/>
      <c r="AX62" s="1250"/>
      <c r="AY62" s="1250"/>
      <c r="AZ62" s="1251"/>
      <c r="BA62" s="1144"/>
      <c r="BB62" s="1145"/>
      <c r="BC62" s="1145"/>
      <c r="BD62" s="1145"/>
      <c r="BE62" s="1145"/>
      <c r="BF62" s="1145"/>
      <c r="BG62" s="1146"/>
      <c r="BH62" s="1249"/>
      <c r="BI62" s="1250"/>
      <c r="BJ62" s="1250"/>
      <c r="BK62" s="1250"/>
      <c r="BL62" s="1250"/>
      <c r="BM62" s="1250"/>
      <c r="BN62" s="1251"/>
      <c r="BO62" s="622"/>
    </row>
    <row r="63" spans="1:67" ht="18" thickBot="1">
      <c r="A63" s="622"/>
      <c r="B63" s="1240"/>
      <c r="C63" s="1241"/>
      <c r="D63" s="1241"/>
      <c r="E63" s="1241"/>
      <c r="F63" s="1241"/>
      <c r="G63" s="1241"/>
      <c r="H63" s="1242"/>
      <c r="I63" s="1009"/>
      <c r="J63" s="1010"/>
      <c r="K63" s="1010"/>
      <c r="L63" s="1010"/>
      <c r="M63" s="1010"/>
      <c r="N63" s="1010"/>
      <c r="O63" s="1011"/>
      <c r="P63" s="1240"/>
      <c r="Q63" s="1241"/>
      <c r="R63" s="1241"/>
      <c r="S63" s="1241"/>
      <c r="T63" s="1241"/>
      <c r="U63" s="1241"/>
      <c r="V63" s="1242"/>
      <c r="W63" s="629"/>
      <c r="X63" s="1246"/>
      <c r="Y63" s="1247"/>
      <c r="Z63" s="1247"/>
      <c r="AA63" s="1247"/>
      <c r="AB63" s="1247"/>
      <c r="AC63" s="1247"/>
      <c r="AD63" s="1248"/>
      <c r="AE63" s="1135"/>
      <c r="AF63" s="1136"/>
      <c r="AG63" s="1136"/>
      <c r="AH63" s="1136"/>
      <c r="AI63" s="1136"/>
      <c r="AJ63" s="1136"/>
      <c r="AK63" s="1137"/>
      <c r="AL63" s="1246"/>
      <c r="AM63" s="1247"/>
      <c r="AN63" s="1247"/>
      <c r="AO63" s="1247"/>
      <c r="AP63" s="1247"/>
      <c r="AQ63" s="1247"/>
      <c r="AR63" s="1248"/>
      <c r="AS63" s="629"/>
      <c r="AT63" s="1252"/>
      <c r="AU63" s="1253"/>
      <c r="AV63" s="1253"/>
      <c r="AW63" s="1253"/>
      <c r="AX63" s="1253"/>
      <c r="AY63" s="1253"/>
      <c r="AZ63" s="1254"/>
      <c r="BA63" s="1147"/>
      <c r="BB63" s="1148"/>
      <c r="BC63" s="1148"/>
      <c r="BD63" s="1148"/>
      <c r="BE63" s="1148"/>
      <c r="BF63" s="1148"/>
      <c r="BG63" s="1149"/>
      <c r="BH63" s="1252"/>
      <c r="BI63" s="1253"/>
      <c r="BJ63" s="1253"/>
      <c r="BK63" s="1253"/>
      <c r="BL63" s="1253"/>
      <c r="BM63" s="1253"/>
      <c r="BN63" s="1254"/>
      <c r="BO63" s="622"/>
    </row>
    <row r="64" spans="1:67" ht="17.25">
      <c r="A64" s="622"/>
      <c r="B64" s="976"/>
      <c r="C64" s="977"/>
      <c r="D64" s="977"/>
      <c r="E64" s="977"/>
      <c r="F64" s="977"/>
      <c r="G64" s="977"/>
      <c r="H64" s="978"/>
      <c r="I64" s="976"/>
      <c r="J64" s="977"/>
      <c r="K64" s="977"/>
      <c r="L64" s="977"/>
      <c r="M64" s="977"/>
      <c r="N64" s="977"/>
      <c r="O64" s="978"/>
      <c r="P64" s="976"/>
      <c r="Q64" s="977"/>
      <c r="R64" s="977"/>
      <c r="S64" s="977"/>
      <c r="T64" s="977"/>
      <c r="U64" s="977"/>
      <c r="V64" s="978"/>
      <c r="W64" s="629"/>
      <c r="X64" s="1126"/>
      <c r="Y64" s="1127"/>
      <c r="Z64" s="1127"/>
      <c r="AA64" s="1127"/>
      <c r="AB64" s="1127"/>
      <c r="AC64" s="1127"/>
      <c r="AD64" s="1128"/>
      <c r="AE64" s="1126"/>
      <c r="AF64" s="1127"/>
      <c r="AG64" s="1127"/>
      <c r="AH64" s="1127"/>
      <c r="AI64" s="1127"/>
      <c r="AJ64" s="1127"/>
      <c r="AK64" s="1128"/>
      <c r="AL64" s="1126"/>
      <c r="AM64" s="1127"/>
      <c r="AN64" s="1127"/>
      <c r="AO64" s="1127"/>
      <c r="AP64" s="1127"/>
      <c r="AQ64" s="1127"/>
      <c r="AR64" s="1128"/>
      <c r="AS64" s="629"/>
      <c r="AT64" s="1138"/>
      <c r="AU64" s="1139"/>
      <c r="AV64" s="1139"/>
      <c r="AW64" s="1139"/>
      <c r="AX64" s="1139"/>
      <c r="AY64" s="1139"/>
      <c r="AZ64" s="1140"/>
      <c r="BA64" s="1138"/>
      <c r="BB64" s="1139"/>
      <c r="BC64" s="1139"/>
      <c r="BD64" s="1139"/>
      <c r="BE64" s="1139"/>
      <c r="BF64" s="1139"/>
      <c r="BG64" s="1140"/>
      <c r="BH64" s="1138"/>
      <c r="BI64" s="1139"/>
      <c r="BJ64" s="1139"/>
      <c r="BK64" s="1139"/>
      <c r="BL64" s="1139"/>
      <c r="BM64" s="1139"/>
      <c r="BN64" s="1140"/>
      <c r="BO64" s="622"/>
    </row>
    <row r="65" spans="1:67" ht="17.25">
      <c r="A65" s="622"/>
      <c r="B65" s="1237"/>
      <c r="C65" s="1238"/>
      <c r="D65" s="1238"/>
      <c r="E65" s="1238"/>
      <c r="F65" s="1238"/>
      <c r="G65" s="1238"/>
      <c r="H65" s="1239"/>
      <c r="I65" s="1237"/>
      <c r="J65" s="1238"/>
      <c r="K65" s="1238"/>
      <c r="L65" s="1238"/>
      <c r="M65" s="1238"/>
      <c r="N65" s="1238"/>
      <c r="O65" s="1239"/>
      <c r="P65" s="1237"/>
      <c r="Q65" s="1238"/>
      <c r="R65" s="1238"/>
      <c r="S65" s="1238"/>
      <c r="T65" s="1238"/>
      <c r="U65" s="1238"/>
      <c r="V65" s="1239"/>
      <c r="W65" s="629"/>
      <c r="X65" s="1243"/>
      <c r="Y65" s="1244"/>
      <c r="Z65" s="1244"/>
      <c r="AA65" s="1244"/>
      <c r="AB65" s="1244"/>
      <c r="AC65" s="1244"/>
      <c r="AD65" s="1245"/>
      <c r="AE65" s="1243"/>
      <c r="AF65" s="1244"/>
      <c r="AG65" s="1244"/>
      <c r="AH65" s="1244"/>
      <c r="AI65" s="1244"/>
      <c r="AJ65" s="1244"/>
      <c r="AK65" s="1245"/>
      <c r="AL65" s="1243"/>
      <c r="AM65" s="1244"/>
      <c r="AN65" s="1244"/>
      <c r="AO65" s="1244"/>
      <c r="AP65" s="1244"/>
      <c r="AQ65" s="1244"/>
      <c r="AR65" s="1245"/>
      <c r="AS65" s="629"/>
      <c r="AT65" s="1249"/>
      <c r="AU65" s="1250"/>
      <c r="AV65" s="1250"/>
      <c r="AW65" s="1250"/>
      <c r="AX65" s="1250"/>
      <c r="AY65" s="1250"/>
      <c r="AZ65" s="1251"/>
      <c r="BA65" s="1249"/>
      <c r="BB65" s="1250"/>
      <c r="BC65" s="1250"/>
      <c r="BD65" s="1250"/>
      <c r="BE65" s="1250"/>
      <c r="BF65" s="1250"/>
      <c r="BG65" s="1251"/>
      <c r="BH65" s="1249"/>
      <c r="BI65" s="1250"/>
      <c r="BJ65" s="1250"/>
      <c r="BK65" s="1250"/>
      <c r="BL65" s="1250"/>
      <c r="BM65" s="1250"/>
      <c r="BN65" s="1251"/>
      <c r="BO65" s="622"/>
    </row>
    <row r="66" spans="1:67" ht="17.25">
      <c r="A66" s="622"/>
      <c r="B66" s="1237"/>
      <c r="C66" s="1238"/>
      <c r="D66" s="1238"/>
      <c r="E66" s="1238"/>
      <c r="F66" s="1238"/>
      <c r="G66" s="1238"/>
      <c r="H66" s="1239"/>
      <c r="I66" s="1237"/>
      <c r="J66" s="1238"/>
      <c r="K66" s="1238"/>
      <c r="L66" s="1238"/>
      <c r="M66" s="1238"/>
      <c r="N66" s="1238"/>
      <c r="O66" s="1239"/>
      <c r="P66" s="1237"/>
      <c r="Q66" s="1238"/>
      <c r="R66" s="1238"/>
      <c r="S66" s="1238"/>
      <c r="T66" s="1238"/>
      <c r="U66" s="1238"/>
      <c r="V66" s="1239"/>
      <c r="W66" s="629"/>
      <c r="X66" s="1243"/>
      <c r="Y66" s="1244"/>
      <c r="Z66" s="1244"/>
      <c r="AA66" s="1244"/>
      <c r="AB66" s="1244"/>
      <c r="AC66" s="1244"/>
      <c r="AD66" s="1245"/>
      <c r="AE66" s="1243"/>
      <c r="AF66" s="1244"/>
      <c r="AG66" s="1244"/>
      <c r="AH66" s="1244"/>
      <c r="AI66" s="1244"/>
      <c r="AJ66" s="1244"/>
      <c r="AK66" s="1245"/>
      <c r="AL66" s="1243"/>
      <c r="AM66" s="1244"/>
      <c r="AN66" s="1244"/>
      <c r="AO66" s="1244"/>
      <c r="AP66" s="1244"/>
      <c r="AQ66" s="1244"/>
      <c r="AR66" s="1245"/>
      <c r="AS66" s="629"/>
      <c r="AT66" s="1249"/>
      <c r="AU66" s="1250"/>
      <c r="AV66" s="1250"/>
      <c r="AW66" s="1250"/>
      <c r="AX66" s="1250"/>
      <c r="AY66" s="1250"/>
      <c r="AZ66" s="1251"/>
      <c r="BA66" s="1249"/>
      <c r="BB66" s="1250"/>
      <c r="BC66" s="1250"/>
      <c r="BD66" s="1250"/>
      <c r="BE66" s="1250"/>
      <c r="BF66" s="1250"/>
      <c r="BG66" s="1251"/>
      <c r="BH66" s="1249"/>
      <c r="BI66" s="1250"/>
      <c r="BJ66" s="1250"/>
      <c r="BK66" s="1250"/>
      <c r="BL66" s="1250"/>
      <c r="BM66" s="1250"/>
      <c r="BN66" s="1251"/>
      <c r="BO66" s="622"/>
    </row>
    <row r="67" spans="1:67" ht="17.25">
      <c r="A67" s="622"/>
      <c r="B67" s="1237"/>
      <c r="C67" s="1238"/>
      <c r="D67" s="1238"/>
      <c r="E67" s="1238"/>
      <c r="F67" s="1238"/>
      <c r="G67" s="1238"/>
      <c r="H67" s="1239"/>
      <c r="I67" s="1237"/>
      <c r="J67" s="1238"/>
      <c r="K67" s="1238"/>
      <c r="L67" s="1238"/>
      <c r="M67" s="1238"/>
      <c r="N67" s="1238"/>
      <c r="O67" s="1239"/>
      <c r="P67" s="1237"/>
      <c r="Q67" s="1238"/>
      <c r="R67" s="1238"/>
      <c r="S67" s="1238"/>
      <c r="T67" s="1238"/>
      <c r="U67" s="1238"/>
      <c r="V67" s="1239"/>
      <c r="W67" s="629"/>
      <c r="X67" s="1243"/>
      <c r="Y67" s="1244"/>
      <c r="Z67" s="1244"/>
      <c r="AA67" s="1244"/>
      <c r="AB67" s="1244"/>
      <c r="AC67" s="1244"/>
      <c r="AD67" s="1245"/>
      <c r="AE67" s="1243"/>
      <c r="AF67" s="1244"/>
      <c r="AG67" s="1244"/>
      <c r="AH67" s="1244"/>
      <c r="AI67" s="1244"/>
      <c r="AJ67" s="1244"/>
      <c r="AK67" s="1245"/>
      <c r="AL67" s="1243"/>
      <c r="AM67" s="1244"/>
      <c r="AN67" s="1244"/>
      <c r="AO67" s="1244"/>
      <c r="AP67" s="1244"/>
      <c r="AQ67" s="1244"/>
      <c r="AR67" s="1245"/>
      <c r="AS67" s="629"/>
      <c r="AT67" s="1249"/>
      <c r="AU67" s="1250"/>
      <c r="AV67" s="1250"/>
      <c r="AW67" s="1250"/>
      <c r="AX67" s="1250"/>
      <c r="AY67" s="1250"/>
      <c r="AZ67" s="1251"/>
      <c r="BA67" s="1249"/>
      <c r="BB67" s="1250"/>
      <c r="BC67" s="1250"/>
      <c r="BD67" s="1250"/>
      <c r="BE67" s="1250"/>
      <c r="BF67" s="1250"/>
      <c r="BG67" s="1251"/>
      <c r="BH67" s="1249"/>
      <c r="BI67" s="1250"/>
      <c r="BJ67" s="1250"/>
      <c r="BK67" s="1250"/>
      <c r="BL67" s="1250"/>
      <c r="BM67" s="1250"/>
      <c r="BN67" s="1251"/>
      <c r="BO67" s="622"/>
    </row>
    <row r="68" spans="1:67" ht="17.25">
      <c r="A68" s="622"/>
      <c r="B68" s="1237"/>
      <c r="C68" s="1238"/>
      <c r="D68" s="1238"/>
      <c r="E68" s="1238"/>
      <c r="F68" s="1238"/>
      <c r="G68" s="1238"/>
      <c r="H68" s="1239"/>
      <c r="I68" s="1237"/>
      <c r="J68" s="1238"/>
      <c r="K68" s="1238"/>
      <c r="L68" s="1238"/>
      <c r="M68" s="1238"/>
      <c r="N68" s="1238"/>
      <c r="O68" s="1239"/>
      <c r="P68" s="1237"/>
      <c r="Q68" s="1238"/>
      <c r="R68" s="1238"/>
      <c r="S68" s="1238"/>
      <c r="T68" s="1238"/>
      <c r="U68" s="1238"/>
      <c r="V68" s="1239"/>
      <c r="W68" s="629"/>
      <c r="X68" s="1243"/>
      <c r="Y68" s="1244"/>
      <c r="Z68" s="1244"/>
      <c r="AA68" s="1244"/>
      <c r="AB68" s="1244"/>
      <c r="AC68" s="1244"/>
      <c r="AD68" s="1245"/>
      <c r="AE68" s="1243"/>
      <c r="AF68" s="1244"/>
      <c r="AG68" s="1244"/>
      <c r="AH68" s="1244"/>
      <c r="AI68" s="1244"/>
      <c r="AJ68" s="1244"/>
      <c r="AK68" s="1245"/>
      <c r="AL68" s="1243"/>
      <c r="AM68" s="1244"/>
      <c r="AN68" s="1244"/>
      <c r="AO68" s="1244"/>
      <c r="AP68" s="1244"/>
      <c r="AQ68" s="1244"/>
      <c r="AR68" s="1245"/>
      <c r="AS68" s="629"/>
      <c r="AT68" s="1249"/>
      <c r="AU68" s="1250"/>
      <c r="AV68" s="1250"/>
      <c r="AW68" s="1250"/>
      <c r="AX68" s="1250"/>
      <c r="AY68" s="1250"/>
      <c r="AZ68" s="1251"/>
      <c r="BA68" s="1249"/>
      <c r="BB68" s="1250"/>
      <c r="BC68" s="1250"/>
      <c r="BD68" s="1250"/>
      <c r="BE68" s="1250"/>
      <c r="BF68" s="1250"/>
      <c r="BG68" s="1251"/>
      <c r="BH68" s="1249"/>
      <c r="BI68" s="1250"/>
      <c r="BJ68" s="1250"/>
      <c r="BK68" s="1250"/>
      <c r="BL68" s="1250"/>
      <c r="BM68" s="1250"/>
      <c r="BN68" s="1251"/>
      <c r="BO68" s="622"/>
    </row>
    <row r="69" spans="1:67" ht="17.25">
      <c r="A69" s="622"/>
      <c r="B69" s="1237"/>
      <c r="C69" s="1238"/>
      <c r="D69" s="1238"/>
      <c r="E69" s="1238"/>
      <c r="F69" s="1238"/>
      <c r="G69" s="1238"/>
      <c r="H69" s="1239"/>
      <c r="I69" s="1237"/>
      <c r="J69" s="1238"/>
      <c r="K69" s="1238"/>
      <c r="L69" s="1238"/>
      <c r="M69" s="1238"/>
      <c r="N69" s="1238"/>
      <c r="O69" s="1239"/>
      <c r="P69" s="1237"/>
      <c r="Q69" s="1238"/>
      <c r="R69" s="1238"/>
      <c r="S69" s="1238"/>
      <c r="T69" s="1238"/>
      <c r="U69" s="1238"/>
      <c r="V69" s="1239"/>
      <c r="W69" s="629"/>
      <c r="X69" s="1243"/>
      <c r="Y69" s="1244"/>
      <c r="Z69" s="1244"/>
      <c r="AA69" s="1244"/>
      <c r="AB69" s="1244"/>
      <c r="AC69" s="1244"/>
      <c r="AD69" s="1245"/>
      <c r="AE69" s="1243"/>
      <c r="AF69" s="1244"/>
      <c r="AG69" s="1244"/>
      <c r="AH69" s="1244"/>
      <c r="AI69" s="1244"/>
      <c r="AJ69" s="1244"/>
      <c r="AK69" s="1245"/>
      <c r="AL69" s="1243"/>
      <c r="AM69" s="1244"/>
      <c r="AN69" s="1244"/>
      <c r="AO69" s="1244"/>
      <c r="AP69" s="1244"/>
      <c r="AQ69" s="1244"/>
      <c r="AR69" s="1245"/>
      <c r="AS69" s="629"/>
      <c r="AT69" s="1249"/>
      <c r="AU69" s="1250"/>
      <c r="AV69" s="1250"/>
      <c r="AW69" s="1250"/>
      <c r="AX69" s="1250"/>
      <c r="AY69" s="1250"/>
      <c r="AZ69" s="1251"/>
      <c r="BA69" s="1249"/>
      <c r="BB69" s="1250"/>
      <c r="BC69" s="1250"/>
      <c r="BD69" s="1250"/>
      <c r="BE69" s="1250"/>
      <c r="BF69" s="1250"/>
      <c r="BG69" s="1251"/>
      <c r="BH69" s="1249"/>
      <c r="BI69" s="1250"/>
      <c r="BJ69" s="1250"/>
      <c r="BK69" s="1250"/>
      <c r="BL69" s="1250"/>
      <c r="BM69" s="1250"/>
      <c r="BN69" s="1251"/>
      <c r="BO69" s="622"/>
    </row>
    <row r="70" spans="1:67" ht="18" thickBot="1">
      <c r="A70" s="622"/>
      <c r="B70" s="1240"/>
      <c r="C70" s="1241"/>
      <c r="D70" s="1241"/>
      <c r="E70" s="1241"/>
      <c r="F70" s="1241"/>
      <c r="G70" s="1241"/>
      <c r="H70" s="1242"/>
      <c r="I70" s="1240"/>
      <c r="J70" s="1241"/>
      <c r="K70" s="1241"/>
      <c r="L70" s="1241"/>
      <c r="M70" s="1241"/>
      <c r="N70" s="1241"/>
      <c r="O70" s="1242"/>
      <c r="P70" s="1240"/>
      <c r="Q70" s="1241"/>
      <c r="R70" s="1241"/>
      <c r="S70" s="1241"/>
      <c r="T70" s="1241"/>
      <c r="U70" s="1241"/>
      <c r="V70" s="1242"/>
      <c r="W70" s="629"/>
      <c r="X70" s="1246"/>
      <c r="Y70" s="1247"/>
      <c r="Z70" s="1247"/>
      <c r="AA70" s="1247"/>
      <c r="AB70" s="1247"/>
      <c r="AC70" s="1247"/>
      <c r="AD70" s="1248"/>
      <c r="AE70" s="1246"/>
      <c r="AF70" s="1247"/>
      <c r="AG70" s="1247"/>
      <c r="AH70" s="1247"/>
      <c r="AI70" s="1247"/>
      <c r="AJ70" s="1247"/>
      <c r="AK70" s="1248"/>
      <c r="AL70" s="1246"/>
      <c r="AM70" s="1247"/>
      <c r="AN70" s="1247"/>
      <c r="AO70" s="1247"/>
      <c r="AP70" s="1247"/>
      <c r="AQ70" s="1247"/>
      <c r="AR70" s="1248"/>
      <c r="AS70" s="629"/>
      <c r="AT70" s="1252"/>
      <c r="AU70" s="1253"/>
      <c r="AV70" s="1253"/>
      <c r="AW70" s="1253"/>
      <c r="AX70" s="1253"/>
      <c r="AY70" s="1253"/>
      <c r="AZ70" s="1254"/>
      <c r="BA70" s="1252"/>
      <c r="BB70" s="1253"/>
      <c r="BC70" s="1253"/>
      <c r="BD70" s="1253"/>
      <c r="BE70" s="1253"/>
      <c r="BF70" s="1253"/>
      <c r="BG70" s="1254"/>
      <c r="BH70" s="1252"/>
      <c r="BI70" s="1253"/>
      <c r="BJ70" s="1253"/>
      <c r="BK70" s="1253"/>
      <c r="BL70" s="1253"/>
      <c r="BM70" s="1253"/>
      <c r="BN70" s="1254"/>
      <c r="BO70" s="622"/>
    </row>
    <row r="71" spans="1:67">
      <c r="A71" s="622"/>
      <c r="B71" s="622"/>
      <c r="C71" s="622"/>
      <c r="D71" s="622"/>
      <c r="E71" s="622"/>
      <c r="F71" s="622"/>
      <c r="G71" s="622"/>
      <c r="H71" s="622"/>
      <c r="I71" s="622"/>
      <c r="J71" s="622"/>
      <c r="K71" s="622"/>
      <c r="L71" s="622"/>
      <c r="M71" s="622"/>
      <c r="N71" s="622"/>
      <c r="O71" s="622"/>
      <c r="P71" s="622"/>
      <c r="Q71" s="622"/>
      <c r="R71" s="622"/>
      <c r="S71" s="622"/>
      <c r="T71" s="622"/>
      <c r="U71" s="622"/>
      <c r="V71" s="622"/>
      <c r="W71" s="622"/>
      <c r="X71" s="622"/>
      <c r="Y71" s="622"/>
      <c r="Z71" s="622"/>
      <c r="AA71" s="622"/>
      <c r="AB71" s="622"/>
      <c r="AC71" s="622"/>
      <c r="AD71" s="622"/>
      <c r="AE71" s="622"/>
      <c r="AF71" s="622"/>
      <c r="AG71" s="622"/>
      <c r="AH71" s="622"/>
      <c r="AI71" s="622"/>
      <c r="AJ71" s="622"/>
      <c r="AK71" s="622"/>
      <c r="AL71" s="622"/>
      <c r="AM71" s="622"/>
      <c r="AN71" s="622"/>
      <c r="AO71" s="622"/>
      <c r="AP71" s="622"/>
      <c r="AQ71" s="622"/>
      <c r="AR71" s="622"/>
      <c r="AS71" s="622"/>
      <c r="AT71" s="622"/>
      <c r="AU71" s="622"/>
      <c r="AV71" s="622"/>
      <c r="AW71" s="622"/>
      <c r="AX71" s="622"/>
      <c r="AY71" s="622"/>
      <c r="AZ71" s="622"/>
      <c r="BA71" s="622"/>
      <c r="BB71" s="622"/>
      <c r="BC71" s="622"/>
      <c r="BD71" s="622"/>
      <c r="BE71" s="622"/>
      <c r="BF71" s="622"/>
      <c r="BG71" s="622"/>
      <c r="BH71" s="622"/>
      <c r="BI71" s="622"/>
      <c r="BJ71" s="622"/>
      <c r="BK71" s="622"/>
      <c r="BL71" s="622"/>
      <c r="BM71" s="622"/>
      <c r="BN71" s="622"/>
      <c r="BO71" s="622"/>
    </row>
  </sheetData>
  <mergeCells count="154">
    <mergeCell ref="BA65:BG70"/>
    <mergeCell ref="BH65:BN70"/>
    <mergeCell ref="AT64:AZ64"/>
    <mergeCell ref="BA64:BG64"/>
    <mergeCell ref="BH64:BN64"/>
    <mergeCell ref="B65:H70"/>
    <mergeCell ref="I65:O70"/>
    <mergeCell ref="P65:V70"/>
    <mergeCell ref="X65:AD70"/>
    <mergeCell ref="AE65:AK70"/>
    <mergeCell ref="AL65:AR70"/>
    <mergeCell ref="AT65:AZ70"/>
    <mergeCell ref="B64:H64"/>
    <mergeCell ref="I64:O64"/>
    <mergeCell ref="P64:V64"/>
    <mergeCell ref="X64:AD64"/>
    <mergeCell ref="AE64:AK64"/>
    <mergeCell ref="AL64:AR64"/>
    <mergeCell ref="AT57:AZ57"/>
    <mergeCell ref="BA57:BG63"/>
    <mergeCell ref="BH57:BN57"/>
    <mergeCell ref="B58:H63"/>
    <mergeCell ref="P58:V63"/>
    <mergeCell ref="X58:AD63"/>
    <mergeCell ref="AL58:AR63"/>
    <mergeCell ref="AT58:AZ63"/>
    <mergeCell ref="BH58:BN63"/>
    <mergeCell ref="B57:H57"/>
    <mergeCell ref="I57:O63"/>
    <mergeCell ref="P57:V57"/>
    <mergeCell ref="X57:AD57"/>
    <mergeCell ref="AE57:AK63"/>
    <mergeCell ref="AL57:AR57"/>
    <mergeCell ref="B51:H56"/>
    <mergeCell ref="I51:O56"/>
    <mergeCell ref="P51:V56"/>
    <mergeCell ref="X51:AD56"/>
    <mergeCell ref="AE51:AK56"/>
    <mergeCell ref="AL51:AR56"/>
    <mergeCell ref="AT51:AZ56"/>
    <mergeCell ref="BA51:BG56"/>
    <mergeCell ref="BH51:BN56"/>
    <mergeCell ref="B50:H50"/>
    <mergeCell ref="I50:O50"/>
    <mergeCell ref="P50:V50"/>
    <mergeCell ref="X50:AD50"/>
    <mergeCell ref="AE50:AK50"/>
    <mergeCell ref="AL50:AR50"/>
    <mergeCell ref="AT50:AZ50"/>
    <mergeCell ref="BA50:BG50"/>
    <mergeCell ref="BH50:BN50"/>
    <mergeCell ref="AT42:AZ42"/>
    <mergeCell ref="BA42:BG42"/>
    <mergeCell ref="BH42:BN42"/>
    <mergeCell ref="B43:H48"/>
    <mergeCell ref="I43:O48"/>
    <mergeCell ref="P43:V48"/>
    <mergeCell ref="X43:AD48"/>
    <mergeCell ref="AE43:AK48"/>
    <mergeCell ref="AL43:AR48"/>
    <mergeCell ref="AT43:AZ48"/>
    <mergeCell ref="B42:H42"/>
    <mergeCell ref="I42:O42"/>
    <mergeCell ref="P42:V42"/>
    <mergeCell ref="X42:AD42"/>
    <mergeCell ref="AE42:AK42"/>
    <mergeCell ref="AL42:AR42"/>
    <mergeCell ref="BA43:BG48"/>
    <mergeCell ref="BH43:BN48"/>
    <mergeCell ref="AT35:AZ35"/>
    <mergeCell ref="BA35:BG41"/>
    <mergeCell ref="BH35:BN35"/>
    <mergeCell ref="B36:H41"/>
    <mergeCell ref="P36:V41"/>
    <mergeCell ref="X36:AD41"/>
    <mergeCell ref="AL36:AR41"/>
    <mergeCell ref="AT36:AZ41"/>
    <mergeCell ref="BH36:BN41"/>
    <mergeCell ref="B35:H35"/>
    <mergeCell ref="I35:O41"/>
    <mergeCell ref="P35:V35"/>
    <mergeCell ref="X35:AD35"/>
    <mergeCell ref="AE35:AK41"/>
    <mergeCell ref="AL35:AR35"/>
    <mergeCell ref="B29:H34"/>
    <mergeCell ref="I29:O34"/>
    <mergeCell ref="P29:V34"/>
    <mergeCell ref="X29:AD34"/>
    <mergeCell ref="AE29:AK34"/>
    <mergeCell ref="AL29:AR34"/>
    <mergeCell ref="AT29:AZ34"/>
    <mergeCell ref="BA29:BG34"/>
    <mergeCell ref="BH29:BN34"/>
    <mergeCell ref="B28:H28"/>
    <mergeCell ref="I28:O28"/>
    <mergeCell ref="P28:V28"/>
    <mergeCell ref="X28:AD28"/>
    <mergeCell ref="AE28:AK28"/>
    <mergeCell ref="AL28:AR28"/>
    <mergeCell ref="AT28:AZ28"/>
    <mergeCell ref="BA28:BG28"/>
    <mergeCell ref="BH28:BN28"/>
    <mergeCell ref="AT13:AZ13"/>
    <mergeCell ref="AT20:AZ20"/>
    <mergeCell ref="BA20:BG20"/>
    <mergeCell ref="BH20:BN20"/>
    <mergeCell ref="B21:H26"/>
    <mergeCell ref="I21:O26"/>
    <mergeCell ref="P21:V26"/>
    <mergeCell ref="X21:AD26"/>
    <mergeCell ref="AE21:AK26"/>
    <mergeCell ref="AL21:AR26"/>
    <mergeCell ref="AT21:AZ26"/>
    <mergeCell ref="B20:H20"/>
    <mergeCell ref="I20:O20"/>
    <mergeCell ref="P20:V20"/>
    <mergeCell ref="X20:AD20"/>
    <mergeCell ref="AE20:AK20"/>
    <mergeCell ref="AL20:AR20"/>
    <mergeCell ref="BA21:BG26"/>
    <mergeCell ref="BH21:BN26"/>
    <mergeCell ref="BH6:BN6"/>
    <mergeCell ref="B7:H12"/>
    <mergeCell ref="I7:O12"/>
    <mergeCell ref="P7:V12"/>
    <mergeCell ref="X7:AD12"/>
    <mergeCell ref="AE7:AK12"/>
    <mergeCell ref="AL7:AR12"/>
    <mergeCell ref="BA13:BG19"/>
    <mergeCell ref="BH13:BN13"/>
    <mergeCell ref="B14:H19"/>
    <mergeCell ref="P14:V19"/>
    <mergeCell ref="X14:AD19"/>
    <mergeCell ref="AL14:AR19"/>
    <mergeCell ref="AT14:AZ19"/>
    <mergeCell ref="BH14:BN19"/>
    <mergeCell ref="AT7:AZ12"/>
    <mergeCell ref="BA7:BG12"/>
    <mergeCell ref="BH7:BN12"/>
    <mergeCell ref="B13:H13"/>
    <mergeCell ref="I13:O19"/>
    <mergeCell ref="P13:V13"/>
    <mergeCell ref="X13:AD13"/>
    <mergeCell ref="AE13:AK19"/>
    <mergeCell ref="AL13:AR13"/>
    <mergeCell ref="A1:D1"/>
    <mergeCell ref="B6:H6"/>
    <mergeCell ref="I6:O6"/>
    <mergeCell ref="P6:V6"/>
    <mergeCell ref="X6:AD6"/>
    <mergeCell ref="AE6:AK6"/>
    <mergeCell ref="AL6:AR6"/>
    <mergeCell ref="AT6:AZ6"/>
    <mergeCell ref="BA6:BG6"/>
  </mergeCells>
  <phoneticPr fontId="42"/>
  <hyperlinks>
    <hyperlink ref="A1:D1" location="目次!A1" display="　目次　" xr:uid="{0F39FE28-B274-400A-B6BD-4E82B7E0D8FC}"/>
    <hyperlink ref="X28:AD28" location="'___ (5)'!I11" display="   " xr:uid="{25F3D6D6-6295-4CB3-93B8-1599DB2E7DD0}"/>
    <hyperlink ref="I13:O19" location="'___ (5)'!Y27" display="     " xr:uid="{65ACC4D3-C60C-4140-A0B8-82A98E0788C3}"/>
    <hyperlink ref="AE13:AK19" location="'___ (5)'!AF26" display="     " xr:uid="{7A1C701E-D4E8-4649-B6C1-14D4ED46DE1C}"/>
    <hyperlink ref="AE28:AK28" location="'___ (5)'!AF11" display="     " xr:uid="{CD7FDB2B-DCE6-4C41-8240-E5676BB5D36F}"/>
    <hyperlink ref="AL28:AR28" location="'___ (5)'!BC11" display="     " xr:uid="{F8D17DCA-EF8F-426B-B830-65C6C7103532}"/>
    <hyperlink ref="AL35:AR35" location="'___ (5)'!BC34" display="     " xr:uid="{65EC2F06-D7C2-48D8-A9ED-F4E4E13EF2F7}"/>
    <hyperlink ref="BA35:BG41" location="'___ (5)'!AM33" display="     " xr:uid="{A46F3CC4-B1F9-4FA6-9CBA-43A029E845B4}"/>
    <hyperlink ref="AL42:AR42" location="'___ (5)'!BC57" display="     " xr:uid="{B79B2999-34CC-4B61-8547-CF3E6C297DC0}"/>
    <hyperlink ref="BA57:BG63" location="'___ (5)'!AM40" display="     " xr:uid="{08F247C1-B37A-4B2A-8D8A-F35996090A49}"/>
    <hyperlink ref="AE42:AK42" location="'___ (5)'!AF57" display="          " xr:uid="{90616ACF-AB6C-4325-A968-79F901AAA521}"/>
    <hyperlink ref="AE57:AK63" location="'___ (5)'!AE40" display="     " xr:uid="{61E63646-B92D-43DF-9C9D-33E89D9532C3}"/>
    <hyperlink ref="X42:AD42" location="'___ (5)'!I57" display="          " xr:uid="{5E59ADAD-C02A-4ABE-BA75-B8DC4095C63B}"/>
    <hyperlink ref="I57:O63" location="'___ (5)'!X40" display="     " xr:uid="{F4E87C7D-AEF9-4F72-83D7-614654BDE4B7}"/>
    <hyperlink ref="X35:AD35" location="'___ (5)'!I34" display="      " xr:uid="{B26D0E53-1A4E-412F-8CE4-6532588A3A20}"/>
    <hyperlink ref="I35:O41" location="'___ (5)'!Y33" display="     " xr:uid="{5B52854A-6F63-4BEA-B376-B6A06770B2B6}"/>
    <hyperlink ref="BA13:BG19" location="'___ (5)'!AL26" display="     " xr:uid="{C06F6A80-D2ED-4828-B0E7-3DE52CC397C5}"/>
  </hyperlinks>
  <pageMargins left="0.69930555555555596" right="0.69930555555555596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A5C0-31E5-4B67-BF56-4C78B27D4FF7}">
  <dimension ref="A1:J75"/>
  <sheetViews>
    <sheetView workbookViewId="0">
      <selection sqref="A1:D1"/>
    </sheetView>
  </sheetViews>
  <sheetFormatPr defaultColWidth="3.75" defaultRowHeight="13.5"/>
  <cols>
    <col min="1" max="16384" width="3.75" style="626"/>
  </cols>
  <sheetData>
    <row r="1" spans="1:10">
      <c r="A1" s="686" t="s">
        <v>61</v>
      </c>
      <c r="B1" s="686"/>
      <c r="C1" s="686"/>
      <c r="D1" s="686"/>
      <c r="E1" s="623"/>
      <c r="F1" s="634" t="s">
        <v>1640</v>
      </c>
    </row>
    <row r="2" spans="1:10">
      <c r="B2" s="625"/>
      <c r="C2" s="625"/>
      <c r="D2" s="626" t="s">
        <v>364</v>
      </c>
      <c r="H2" s="624"/>
    </row>
    <row r="3" spans="1:10">
      <c r="B3" s="36"/>
      <c r="C3" s="36"/>
      <c r="D3" s="626" t="s">
        <v>395</v>
      </c>
      <c r="H3" s="624"/>
      <c r="J3" s="624"/>
    </row>
    <row r="4" spans="1:10">
      <c r="B4" s="627"/>
      <c r="C4" s="627"/>
      <c r="D4" s="626" t="s">
        <v>404</v>
      </c>
      <c r="H4" s="624"/>
      <c r="J4" s="624"/>
    </row>
    <row r="6" spans="1:10">
      <c r="B6" s="624" t="s">
        <v>1717</v>
      </c>
    </row>
    <row r="8" spans="1:10">
      <c r="A8" s="632"/>
      <c r="C8" s="1267" t="s">
        <v>1740</v>
      </c>
      <c r="D8" s="707"/>
      <c r="E8" s="883" t="s">
        <v>1749</v>
      </c>
      <c r="F8" s="883"/>
    </row>
    <row r="9" spans="1:10">
      <c r="A9" s="632"/>
      <c r="B9" s="626">
        <v>1</v>
      </c>
      <c r="C9" s="830">
        <v>10</v>
      </c>
      <c r="D9" s="830"/>
      <c r="E9" s="1265">
        <v>11</v>
      </c>
      <c r="F9" s="1266"/>
    </row>
    <row r="10" spans="1:10">
      <c r="A10" s="632"/>
      <c r="B10" s="626">
        <v>2</v>
      </c>
      <c r="C10" s="830">
        <v>20</v>
      </c>
      <c r="D10" s="830"/>
      <c r="E10" s="1255">
        <v>19</v>
      </c>
      <c r="F10" s="1256"/>
    </row>
    <row r="11" spans="1:10">
      <c r="A11" s="632"/>
      <c r="B11" s="626">
        <v>3</v>
      </c>
      <c r="C11" s="830">
        <v>30</v>
      </c>
      <c r="D11" s="830"/>
      <c r="E11" s="1255">
        <v>28</v>
      </c>
      <c r="F11" s="1256"/>
    </row>
    <row r="12" spans="1:10">
      <c r="A12" s="632"/>
      <c r="B12" s="632">
        <v>4</v>
      </c>
      <c r="C12" s="830">
        <v>40</v>
      </c>
      <c r="D12" s="830"/>
      <c r="E12" s="1255">
        <v>46</v>
      </c>
      <c r="F12" s="1256"/>
    </row>
    <row r="13" spans="1:10">
      <c r="A13" s="632"/>
      <c r="B13" s="632">
        <v>5</v>
      </c>
      <c r="C13" s="830">
        <v>50</v>
      </c>
      <c r="D13" s="830"/>
      <c r="E13" s="1255">
        <v>55</v>
      </c>
      <c r="F13" s="1256"/>
    </row>
    <row r="14" spans="1:10">
      <c r="A14" s="632"/>
      <c r="B14" s="632">
        <v>6</v>
      </c>
      <c r="C14" s="830">
        <v>60</v>
      </c>
      <c r="D14" s="830"/>
      <c r="E14" s="1255">
        <v>62</v>
      </c>
      <c r="F14" s="1256"/>
    </row>
    <row r="15" spans="1:10">
      <c r="A15" s="632"/>
      <c r="B15" s="632">
        <v>7</v>
      </c>
      <c r="C15" s="830">
        <v>70</v>
      </c>
      <c r="D15" s="830"/>
      <c r="E15" s="1255">
        <v>75</v>
      </c>
      <c r="F15" s="1256"/>
    </row>
    <row r="16" spans="1:10">
      <c r="A16" s="632"/>
      <c r="B16" s="632">
        <v>8</v>
      </c>
      <c r="C16" s="830">
        <v>80</v>
      </c>
      <c r="D16" s="830"/>
      <c r="E16" s="1255">
        <v>75</v>
      </c>
      <c r="F16" s="1256"/>
    </row>
    <row r="17" spans="1:10">
      <c r="A17" s="632"/>
      <c r="B17" s="632">
        <v>9</v>
      </c>
      <c r="C17" s="830">
        <v>90</v>
      </c>
      <c r="D17" s="830"/>
      <c r="E17" s="1255">
        <v>92</v>
      </c>
      <c r="F17" s="1256"/>
    </row>
    <row r="18" spans="1:10">
      <c r="A18" s="632"/>
      <c r="B18" s="632">
        <v>10</v>
      </c>
      <c r="C18" s="830">
        <v>100</v>
      </c>
      <c r="D18" s="830"/>
      <c r="E18" s="1257">
        <v>100</v>
      </c>
      <c r="F18" s="1258"/>
    </row>
    <row r="19" spans="1:10">
      <c r="A19" s="632"/>
    </row>
    <row r="20" spans="1:10">
      <c r="A20" s="632"/>
    </row>
    <row r="21" spans="1:10" s="637" customFormat="1">
      <c r="B21" s="636" t="s">
        <v>1719</v>
      </c>
      <c r="D21" s="636" t="s">
        <v>1720</v>
      </c>
    </row>
    <row r="22" spans="1:10" s="632" customFormat="1"/>
    <row r="23" spans="1:10">
      <c r="B23" s="883" t="s">
        <v>1741</v>
      </c>
      <c r="C23" s="883"/>
      <c r="D23" s="883"/>
      <c r="E23" s="883"/>
      <c r="F23" s="883"/>
      <c r="G23" s="1259">
        <f>(C9+C10+C11+C12+C13+C14+C15+C16+C17+C18)/10</f>
        <v>55</v>
      </c>
      <c r="H23" s="1260"/>
      <c r="I23" s="1261"/>
    </row>
    <row r="24" spans="1:10">
      <c r="B24" s="883" t="s">
        <v>1750</v>
      </c>
      <c r="C24" s="883"/>
      <c r="D24" s="883"/>
      <c r="E24" s="883"/>
      <c r="F24" s="883"/>
      <c r="G24" s="1262">
        <f>(E9+E10+E11+E12+E13+E14+E15+E16+E17+E18)/10</f>
        <v>56.3</v>
      </c>
      <c r="H24" s="1263"/>
      <c r="I24" s="1264"/>
    </row>
    <row r="25" spans="1:10" s="632" customFormat="1"/>
    <row r="26" spans="1:10" s="637" customFormat="1">
      <c r="B26" s="636" t="s">
        <v>1721</v>
      </c>
      <c r="D26" s="636" t="s">
        <v>1722</v>
      </c>
    </row>
    <row r="27" spans="1:10">
      <c r="B27" s="624" t="s">
        <v>1742</v>
      </c>
    </row>
    <row r="28" spans="1:10">
      <c r="B28" s="624" t="s">
        <v>1751</v>
      </c>
    </row>
    <row r="30" spans="1:10">
      <c r="C30" s="1270" t="s">
        <v>1743</v>
      </c>
      <c r="D30" s="1270"/>
      <c r="E30" s="1270"/>
      <c r="F30" s="1270"/>
      <c r="G30" s="739" t="s">
        <v>1752</v>
      </c>
      <c r="H30" s="1270"/>
      <c r="I30" s="1270"/>
      <c r="J30" s="1270"/>
    </row>
    <row r="31" spans="1:10">
      <c r="B31" s="632">
        <v>1</v>
      </c>
      <c r="C31" s="1271">
        <f t="shared" ref="C31:C40" si="0">C9-$G$23</f>
        <v>-45</v>
      </c>
      <c r="D31" s="1272"/>
      <c r="E31" s="1272"/>
      <c r="F31" s="1272"/>
      <c r="G31" s="1272">
        <f t="shared" ref="G31:G40" si="1">E9-$G$24</f>
        <v>-45.3</v>
      </c>
      <c r="H31" s="1272"/>
      <c r="I31" s="1272"/>
      <c r="J31" s="1275"/>
    </row>
    <row r="32" spans="1:10">
      <c r="B32" s="632">
        <v>2</v>
      </c>
      <c r="C32" s="1268">
        <f t="shared" si="0"/>
        <v>-35</v>
      </c>
      <c r="D32" s="1269"/>
      <c r="E32" s="1269"/>
      <c r="F32" s="1269"/>
      <c r="G32" s="1269">
        <f t="shared" si="1"/>
        <v>-37.299999999999997</v>
      </c>
      <c r="H32" s="1269"/>
      <c r="I32" s="1269"/>
      <c r="J32" s="1276"/>
    </row>
    <row r="33" spans="2:10">
      <c r="B33" s="632">
        <v>3</v>
      </c>
      <c r="C33" s="1268">
        <f t="shared" si="0"/>
        <v>-25</v>
      </c>
      <c r="D33" s="1269"/>
      <c r="E33" s="1269"/>
      <c r="F33" s="1269"/>
      <c r="G33" s="1269">
        <f t="shared" si="1"/>
        <v>-28.299999999999997</v>
      </c>
      <c r="H33" s="1269"/>
      <c r="I33" s="1269"/>
      <c r="J33" s="1276"/>
    </row>
    <row r="34" spans="2:10">
      <c r="B34" s="632">
        <v>4</v>
      </c>
      <c r="C34" s="1268">
        <f t="shared" si="0"/>
        <v>-15</v>
      </c>
      <c r="D34" s="1269"/>
      <c r="E34" s="1269"/>
      <c r="F34" s="1269"/>
      <c r="G34" s="1269">
        <f t="shared" si="1"/>
        <v>-10.299999999999997</v>
      </c>
      <c r="H34" s="1269"/>
      <c r="I34" s="1269"/>
      <c r="J34" s="1276"/>
    </row>
    <row r="35" spans="2:10">
      <c r="B35" s="632">
        <v>5</v>
      </c>
      <c r="C35" s="1268">
        <f t="shared" si="0"/>
        <v>-5</v>
      </c>
      <c r="D35" s="1269"/>
      <c r="E35" s="1269"/>
      <c r="F35" s="1269"/>
      <c r="G35" s="1269">
        <f t="shared" si="1"/>
        <v>-1.2999999999999972</v>
      </c>
      <c r="H35" s="1269"/>
      <c r="I35" s="1269"/>
      <c r="J35" s="1276"/>
    </row>
    <row r="36" spans="2:10">
      <c r="B36" s="632">
        <v>6</v>
      </c>
      <c r="C36" s="1268">
        <f t="shared" si="0"/>
        <v>5</v>
      </c>
      <c r="D36" s="1269"/>
      <c r="E36" s="1269"/>
      <c r="F36" s="1269"/>
      <c r="G36" s="1269">
        <f t="shared" si="1"/>
        <v>5.7000000000000028</v>
      </c>
      <c r="H36" s="1269"/>
      <c r="I36" s="1269"/>
      <c r="J36" s="1276"/>
    </row>
    <row r="37" spans="2:10">
      <c r="B37" s="632">
        <v>7</v>
      </c>
      <c r="C37" s="1268">
        <f t="shared" si="0"/>
        <v>15</v>
      </c>
      <c r="D37" s="1269"/>
      <c r="E37" s="1269"/>
      <c r="F37" s="1269"/>
      <c r="G37" s="1269">
        <f t="shared" si="1"/>
        <v>18.700000000000003</v>
      </c>
      <c r="H37" s="1269"/>
      <c r="I37" s="1269"/>
      <c r="J37" s="1276"/>
    </row>
    <row r="38" spans="2:10">
      <c r="B38" s="632">
        <v>8</v>
      </c>
      <c r="C38" s="1268">
        <f t="shared" si="0"/>
        <v>25</v>
      </c>
      <c r="D38" s="1269"/>
      <c r="E38" s="1269"/>
      <c r="F38" s="1269"/>
      <c r="G38" s="1269">
        <f t="shared" si="1"/>
        <v>18.700000000000003</v>
      </c>
      <c r="H38" s="1269"/>
      <c r="I38" s="1269"/>
      <c r="J38" s="1276"/>
    </row>
    <row r="39" spans="2:10">
      <c r="B39" s="632">
        <v>9</v>
      </c>
      <c r="C39" s="1268">
        <f t="shared" si="0"/>
        <v>35</v>
      </c>
      <c r="D39" s="1269"/>
      <c r="E39" s="1269"/>
      <c r="F39" s="1269"/>
      <c r="G39" s="1269">
        <f t="shared" si="1"/>
        <v>35.700000000000003</v>
      </c>
      <c r="H39" s="1269"/>
      <c r="I39" s="1269"/>
      <c r="J39" s="1276"/>
    </row>
    <row r="40" spans="2:10">
      <c r="B40" s="632">
        <v>10</v>
      </c>
      <c r="C40" s="1273">
        <f t="shared" si="0"/>
        <v>45</v>
      </c>
      <c r="D40" s="1274"/>
      <c r="E40" s="1274"/>
      <c r="F40" s="1274"/>
      <c r="G40" s="1274">
        <f t="shared" si="1"/>
        <v>43.7</v>
      </c>
      <c r="H40" s="1274"/>
      <c r="I40" s="1274"/>
      <c r="J40" s="1277"/>
    </row>
    <row r="42" spans="2:10" s="637" customFormat="1">
      <c r="B42" s="636" t="s">
        <v>1725</v>
      </c>
      <c r="D42" s="636" t="s">
        <v>1727</v>
      </c>
    </row>
    <row r="44" spans="2:10">
      <c r="B44" s="739" t="s">
        <v>1744</v>
      </c>
      <c r="C44" s="1270"/>
      <c r="D44" s="1270"/>
      <c r="E44" s="1270"/>
      <c r="F44" s="1280">
        <f>(C31^2+C32^2+C33^2+C34^2+C35^2+C36^2+C37^2+C38^2+C39^2+C40^2)/10</f>
        <v>825</v>
      </c>
      <c r="G44" s="1280"/>
      <c r="H44" s="1280"/>
    </row>
    <row r="45" spans="2:10">
      <c r="B45" s="739" t="s">
        <v>1752</v>
      </c>
      <c r="C45" s="1270"/>
      <c r="D45" s="1270"/>
      <c r="E45" s="1270"/>
      <c r="F45" s="1281">
        <f>(G31^2+G32^2+G33^2+G34^2+G35^2+G36^2+G37^2+G38^2+G39^2+G40^2)/10</f>
        <v>826.81000000000006</v>
      </c>
      <c r="G45" s="1281"/>
      <c r="H45" s="1281"/>
    </row>
    <row r="47" spans="2:10" s="637" customFormat="1">
      <c r="B47" s="636" t="s">
        <v>1728</v>
      </c>
      <c r="D47" s="636" t="s">
        <v>1729</v>
      </c>
    </row>
    <row r="48" spans="2:10">
      <c r="B48" s="631" t="s">
        <v>1731</v>
      </c>
    </row>
    <row r="49" spans="2:10" s="632" customFormat="1">
      <c r="B49" s="631"/>
    </row>
    <row r="50" spans="2:10">
      <c r="B50" s="883" t="s">
        <v>1745</v>
      </c>
      <c r="C50" s="883"/>
      <c r="D50" s="883"/>
      <c r="E50" s="883"/>
      <c r="F50" s="883"/>
      <c r="G50" s="883"/>
      <c r="H50" s="1278">
        <f>SQRT(F44)</f>
        <v>28.722813232690143</v>
      </c>
      <c r="I50" s="1278"/>
      <c r="J50" s="1278"/>
    </row>
    <row r="51" spans="2:10">
      <c r="B51" s="883" t="s">
        <v>1753</v>
      </c>
      <c r="C51" s="883"/>
      <c r="D51" s="883"/>
      <c r="E51" s="883"/>
      <c r="F51" s="883"/>
      <c r="G51" s="883"/>
      <c r="H51" s="1279">
        <f>SQRT(F45)</f>
        <v>28.754304025658492</v>
      </c>
      <c r="I51" s="1279"/>
      <c r="J51" s="1279"/>
    </row>
    <row r="53" spans="2:10" s="637" customFormat="1">
      <c r="B53" s="636" t="s">
        <v>1732</v>
      </c>
      <c r="D53" s="636" t="s">
        <v>1734</v>
      </c>
    </row>
    <row r="54" spans="2:10">
      <c r="B54" s="631" t="s">
        <v>1754</v>
      </c>
    </row>
    <row r="56" spans="2:10">
      <c r="B56" s="632">
        <v>1</v>
      </c>
      <c r="C56" s="1278">
        <f>C31*G31</f>
        <v>2038.4999999999998</v>
      </c>
      <c r="D56" s="1278"/>
    </row>
    <row r="57" spans="2:10">
      <c r="B57" s="632">
        <v>2</v>
      </c>
      <c r="C57" s="1282">
        <f t="shared" ref="C57:C65" si="2">C32*G32</f>
        <v>1305.5</v>
      </c>
      <c r="D57" s="1282"/>
    </row>
    <row r="58" spans="2:10">
      <c r="B58" s="632">
        <v>3</v>
      </c>
      <c r="C58" s="1282">
        <f t="shared" si="2"/>
        <v>707.49999999999989</v>
      </c>
      <c r="D58" s="1282"/>
    </row>
    <row r="59" spans="2:10">
      <c r="B59" s="632">
        <v>4</v>
      </c>
      <c r="C59" s="1282">
        <f t="shared" si="2"/>
        <v>154.49999999999994</v>
      </c>
      <c r="D59" s="1282"/>
    </row>
    <row r="60" spans="2:10">
      <c r="B60" s="632">
        <v>5</v>
      </c>
      <c r="C60" s="1282">
        <f t="shared" si="2"/>
        <v>6.4999999999999858</v>
      </c>
      <c r="D60" s="1282"/>
    </row>
    <row r="61" spans="2:10">
      <c r="B61" s="632">
        <v>6</v>
      </c>
      <c r="C61" s="1282">
        <f t="shared" si="2"/>
        <v>28.500000000000014</v>
      </c>
      <c r="D61" s="1282"/>
    </row>
    <row r="62" spans="2:10">
      <c r="B62" s="632">
        <v>7</v>
      </c>
      <c r="C62" s="1282">
        <f t="shared" si="2"/>
        <v>280.50000000000006</v>
      </c>
      <c r="D62" s="1282"/>
    </row>
    <row r="63" spans="2:10">
      <c r="B63" s="632">
        <v>8</v>
      </c>
      <c r="C63" s="1282">
        <f t="shared" si="2"/>
        <v>467.50000000000006</v>
      </c>
      <c r="D63" s="1282"/>
    </row>
    <row r="64" spans="2:10">
      <c r="B64" s="632">
        <v>9</v>
      </c>
      <c r="C64" s="1282">
        <f t="shared" si="2"/>
        <v>1249.5</v>
      </c>
      <c r="D64" s="1282"/>
    </row>
    <row r="65" spans="2:7">
      <c r="B65" s="632">
        <v>10</v>
      </c>
      <c r="C65" s="1279">
        <f t="shared" si="2"/>
        <v>1966.5000000000002</v>
      </c>
      <c r="D65" s="1279"/>
    </row>
    <row r="67" spans="2:7" s="637" customFormat="1">
      <c r="B67" s="636" t="s">
        <v>1735</v>
      </c>
      <c r="D67" s="636" t="s">
        <v>1733</v>
      </c>
    </row>
    <row r="68" spans="2:7">
      <c r="B68" s="631" t="s">
        <v>1736</v>
      </c>
    </row>
    <row r="69" spans="2:7">
      <c r="B69" s="707" t="s">
        <v>1733</v>
      </c>
      <c r="C69" s="710"/>
      <c r="D69" s="710"/>
      <c r="E69" s="708">
        <f>(C56+C57+C58+C59+C60+C61+C62+C63+C64+C65)/10</f>
        <v>820.5</v>
      </c>
      <c r="F69" s="708"/>
    </row>
    <row r="71" spans="2:7" s="637" customFormat="1">
      <c r="B71" s="636" t="s">
        <v>1735</v>
      </c>
      <c r="D71" s="636" t="s">
        <v>1737</v>
      </c>
    </row>
    <row r="73" spans="2:7">
      <c r="B73" s="631" t="s">
        <v>1755</v>
      </c>
    </row>
    <row r="75" spans="2:7">
      <c r="B75" s="707" t="s">
        <v>1737</v>
      </c>
      <c r="C75" s="707"/>
      <c r="D75" s="707"/>
      <c r="E75" s="708">
        <f>E69/(H50*H51)</f>
        <v>0.9934562602120165</v>
      </c>
      <c r="F75" s="708"/>
      <c r="G75" s="708"/>
    </row>
  </sheetData>
  <mergeCells count="71">
    <mergeCell ref="E69:F69"/>
    <mergeCell ref="B69:D69"/>
    <mergeCell ref="E75:G75"/>
    <mergeCell ref="B75:D75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B50:G50"/>
    <mergeCell ref="B51:G51"/>
    <mergeCell ref="H50:J50"/>
    <mergeCell ref="H51:J51"/>
    <mergeCell ref="B44:E44"/>
    <mergeCell ref="B45:E45"/>
    <mergeCell ref="F44:H44"/>
    <mergeCell ref="F45:H45"/>
    <mergeCell ref="C39:F39"/>
    <mergeCell ref="C40:F40"/>
    <mergeCell ref="G30:J30"/>
    <mergeCell ref="G31:J31"/>
    <mergeCell ref="G32:J32"/>
    <mergeCell ref="G33:J33"/>
    <mergeCell ref="G34:J34"/>
    <mergeCell ref="G35:J35"/>
    <mergeCell ref="G36:J36"/>
    <mergeCell ref="G37:J37"/>
    <mergeCell ref="G38:J38"/>
    <mergeCell ref="G39:J39"/>
    <mergeCell ref="G40:J40"/>
    <mergeCell ref="C34:F34"/>
    <mergeCell ref="C35:F35"/>
    <mergeCell ref="C36:F36"/>
    <mergeCell ref="C37:F37"/>
    <mergeCell ref="C38:F38"/>
    <mergeCell ref="C12:D12"/>
    <mergeCell ref="C30:F30"/>
    <mergeCell ref="C31:F31"/>
    <mergeCell ref="C32:F32"/>
    <mergeCell ref="C33:F33"/>
    <mergeCell ref="B23:F23"/>
    <mergeCell ref="B24:F24"/>
    <mergeCell ref="E13:F13"/>
    <mergeCell ref="E14:F14"/>
    <mergeCell ref="E15:F15"/>
    <mergeCell ref="E16:F16"/>
    <mergeCell ref="C13:D13"/>
    <mergeCell ref="C14:D14"/>
    <mergeCell ref="C15:D15"/>
    <mergeCell ref="A1:D1"/>
    <mergeCell ref="C8:D8"/>
    <mergeCell ref="C9:D9"/>
    <mergeCell ref="C10:D10"/>
    <mergeCell ref="C11:D11"/>
    <mergeCell ref="C16:D16"/>
    <mergeCell ref="E8:F8"/>
    <mergeCell ref="E9:F9"/>
    <mergeCell ref="E10:F10"/>
    <mergeCell ref="E11:F11"/>
    <mergeCell ref="E12:F12"/>
    <mergeCell ref="E17:F17"/>
    <mergeCell ref="E18:F18"/>
    <mergeCell ref="G23:I23"/>
    <mergeCell ref="G24:I24"/>
    <mergeCell ref="C17:D17"/>
    <mergeCell ref="C18:D18"/>
  </mergeCells>
  <phoneticPr fontId="42"/>
  <hyperlinks>
    <hyperlink ref="A1:D1" location="目次!A1" display="　目次　" xr:uid="{BB7F55FA-668A-4CA1-AE90-B40F162DC8F4}"/>
    <hyperlink ref="F1" r:id="rId1" xr:uid="{D5C75ED5-DBB1-4DAE-AACA-7CFC0123B9DD}"/>
  </hyperlinks>
  <pageMargins left="0.69930555555555596" right="0.69930555555555596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D103-A244-4E30-8F4F-EF7DF369E3CE}">
  <dimension ref="A1:J58"/>
  <sheetViews>
    <sheetView topLeftCell="A28" workbookViewId="0">
      <selection activeCell="K19" sqref="K19"/>
    </sheetView>
  </sheetViews>
  <sheetFormatPr defaultColWidth="3.75" defaultRowHeight="13.5"/>
  <cols>
    <col min="1" max="16384" width="3.75" style="632"/>
  </cols>
  <sheetData>
    <row r="1" spans="1:10">
      <c r="A1" s="686" t="s">
        <v>61</v>
      </c>
      <c r="B1" s="686"/>
      <c r="C1" s="686"/>
      <c r="D1" s="686"/>
      <c r="E1" s="630"/>
    </row>
    <row r="2" spans="1:10">
      <c r="B2" s="633"/>
      <c r="C2" s="633"/>
      <c r="D2" s="632" t="s">
        <v>364</v>
      </c>
      <c r="H2" s="631"/>
    </row>
    <row r="3" spans="1:10">
      <c r="B3" s="36"/>
      <c r="C3" s="36"/>
      <c r="D3" s="632" t="s">
        <v>395</v>
      </c>
      <c r="H3" s="631"/>
      <c r="J3" s="631"/>
    </row>
    <row r="4" spans="1:10">
      <c r="B4" s="635"/>
      <c r="C4" s="635"/>
      <c r="D4" s="632" t="s">
        <v>404</v>
      </c>
      <c r="H4" s="631"/>
      <c r="J4" s="631"/>
    </row>
    <row r="6" spans="1:10">
      <c r="B6" s="631" t="s">
        <v>1717</v>
      </c>
    </row>
    <row r="8" spans="1:10">
      <c r="C8" s="1267" t="s">
        <v>1740</v>
      </c>
      <c r="D8" s="707"/>
      <c r="E8" s="883" t="s">
        <v>1718</v>
      </c>
      <c r="F8" s="883"/>
    </row>
    <row r="9" spans="1:10">
      <c r="B9" s="632">
        <v>1</v>
      </c>
      <c r="C9" s="830">
        <v>50</v>
      </c>
      <c r="D9" s="830"/>
      <c r="E9" s="1265">
        <v>40</v>
      </c>
      <c r="F9" s="1266"/>
    </row>
    <row r="10" spans="1:10">
      <c r="B10" s="632">
        <v>2</v>
      </c>
      <c r="C10" s="830">
        <v>60</v>
      </c>
      <c r="D10" s="830"/>
      <c r="E10" s="1255">
        <v>70</v>
      </c>
      <c r="F10" s="1256"/>
    </row>
    <row r="11" spans="1:10">
      <c r="B11" s="632">
        <v>3</v>
      </c>
      <c r="C11" s="830">
        <v>70</v>
      </c>
      <c r="D11" s="830"/>
      <c r="E11" s="1255">
        <v>90</v>
      </c>
      <c r="F11" s="1256"/>
    </row>
    <row r="12" spans="1:10">
      <c r="B12" s="632">
        <v>4</v>
      </c>
      <c r="C12" s="830">
        <v>80</v>
      </c>
      <c r="D12" s="830"/>
      <c r="E12" s="1255">
        <v>60</v>
      </c>
      <c r="F12" s="1256"/>
    </row>
    <row r="13" spans="1:10">
      <c r="B13" s="632">
        <v>5</v>
      </c>
      <c r="C13" s="830">
        <v>90</v>
      </c>
      <c r="D13" s="830"/>
      <c r="E13" s="1255">
        <v>100</v>
      </c>
      <c r="F13" s="1256"/>
    </row>
    <row r="16" spans="1:10" s="637" customFormat="1">
      <c r="B16" s="636" t="s">
        <v>1719</v>
      </c>
      <c r="D16" s="636" t="s">
        <v>1720</v>
      </c>
    </row>
    <row r="18" spans="2:10">
      <c r="B18" s="883" t="s">
        <v>1741</v>
      </c>
      <c r="C18" s="883"/>
      <c r="D18" s="883"/>
      <c r="E18" s="883"/>
      <c r="F18" s="883"/>
      <c r="G18" s="1259">
        <f>(C9+C10+C11+C12+C13)/5</f>
        <v>70</v>
      </c>
      <c r="H18" s="1260"/>
      <c r="I18" s="1261"/>
    </row>
    <row r="19" spans="2:10">
      <c r="B19" s="883" t="s">
        <v>1739</v>
      </c>
      <c r="C19" s="883"/>
      <c r="D19" s="883"/>
      <c r="E19" s="883"/>
      <c r="F19" s="883"/>
      <c r="G19" s="1262">
        <f>(E9+E10+E11+E12+E13)/5</f>
        <v>72</v>
      </c>
      <c r="H19" s="1263"/>
      <c r="I19" s="1264"/>
    </row>
    <row r="21" spans="2:10" s="637" customFormat="1">
      <c r="B21" s="636" t="s">
        <v>1721</v>
      </c>
      <c r="D21" s="636" t="s">
        <v>1722</v>
      </c>
    </row>
    <row r="22" spans="2:10">
      <c r="B22" s="631" t="s">
        <v>1742</v>
      </c>
    </row>
    <row r="23" spans="2:10">
      <c r="B23" s="631" t="s">
        <v>1723</v>
      </c>
    </row>
    <row r="25" spans="2:10">
      <c r="C25" s="1270" t="s">
        <v>1743</v>
      </c>
      <c r="D25" s="1270"/>
      <c r="E25" s="1270"/>
      <c r="F25" s="1270"/>
      <c r="G25" s="739" t="s">
        <v>1724</v>
      </c>
      <c r="H25" s="1270"/>
      <c r="I25" s="1270"/>
      <c r="J25" s="1270"/>
    </row>
    <row r="26" spans="2:10">
      <c r="B26" s="632">
        <v>1</v>
      </c>
      <c r="C26" s="1271">
        <f>C9-$G$18</f>
        <v>-20</v>
      </c>
      <c r="D26" s="1272"/>
      <c r="E26" s="1272"/>
      <c r="F26" s="1272"/>
      <c r="G26" s="1272">
        <f>E9-$G$19</f>
        <v>-32</v>
      </c>
      <c r="H26" s="1272"/>
      <c r="I26" s="1272"/>
      <c r="J26" s="1275"/>
    </row>
    <row r="27" spans="2:10">
      <c r="B27" s="632">
        <v>2</v>
      </c>
      <c r="C27" s="1268">
        <f>C10-$G$18</f>
        <v>-10</v>
      </c>
      <c r="D27" s="1269"/>
      <c r="E27" s="1269"/>
      <c r="F27" s="1269"/>
      <c r="G27" s="1269">
        <f>E10-$G$19</f>
        <v>-2</v>
      </c>
      <c r="H27" s="1269"/>
      <c r="I27" s="1269"/>
      <c r="J27" s="1276"/>
    </row>
    <row r="28" spans="2:10">
      <c r="B28" s="632">
        <v>3</v>
      </c>
      <c r="C28" s="1268">
        <f>C11-$G$18</f>
        <v>0</v>
      </c>
      <c r="D28" s="1269"/>
      <c r="E28" s="1269"/>
      <c r="F28" s="1269"/>
      <c r="G28" s="1269">
        <f>E11-$G$19</f>
        <v>18</v>
      </c>
      <c r="H28" s="1269"/>
      <c r="I28" s="1269"/>
      <c r="J28" s="1276"/>
    </row>
    <row r="29" spans="2:10">
      <c r="B29" s="632">
        <v>4</v>
      </c>
      <c r="C29" s="1268">
        <f>C12-$G$18</f>
        <v>10</v>
      </c>
      <c r="D29" s="1269"/>
      <c r="E29" s="1269"/>
      <c r="F29" s="1269"/>
      <c r="G29" s="1269">
        <f>E12-$G$19</f>
        <v>-12</v>
      </c>
      <c r="H29" s="1269"/>
      <c r="I29" s="1269"/>
      <c r="J29" s="1276"/>
    </row>
    <row r="30" spans="2:10">
      <c r="B30" s="632">
        <v>5</v>
      </c>
      <c r="C30" s="1268">
        <f>C13-$G$18</f>
        <v>20</v>
      </c>
      <c r="D30" s="1269"/>
      <c r="E30" s="1269"/>
      <c r="F30" s="1269"/>
      <c r="G30" s="1269">
        <f>E13-$G$19</f>
        <v>28</v>
      </c>
      <c r="H30" s="1269"/>
      <c r="I30" s="1269"/>
      <c r="J30" s="1276"/>
    </row>
    <row r="32" spans="2:10" s="637" customFormat="1">
      <c r="B32" s="636" t="s">
        <v>1725</v>
      </c>
      <c r="D32" s="636" t="s">
        <v>1726</v>
      </c>
    </row>
    <row r="33" spans="2:10">
      <c r="B33" s="631" t="s">
        <v>1747</v>
      </c>
    </row>
    <row r="34" spans="2:10">
      <c r="B34" s="739" t="s">
        <v>1744</v>
      </c>
      <c r="C34" s="1270"/>
      <c r="D34" s="1270"/>
      <c r="E34" s="1270"/>
      <c r="F34" s="1280">
        <f>(C26^2+C27^2+C28^2+C29^2+C30^2)/5</f>
        <v>200</v>
      </c>
      <c r="G34" s="1280"/>
    </row>
    <row r="35" spans="2:10">
      <c r="B35" s="739" t="s">
        <v>1724</v>
      </c>
      <c r="C35" s="1270"/>
      <c r="D35" s="1270"/>
      <c r="E35" s="1270"/>
      <c r="F35" s="1281">
        <f>(G26^2+G27^2+G28^2+G29^2+G30^2)/5</f>
        <v>456</v>
      </c>
      <c r="G35" s="1281"/>
    </row>
    <row r="37" spans="2:10" s="637" customFormat="1">
      <c r="B37" s="636" t="s">
        <v>1728</v>
      </c>
      <c r="D37" s="636" t="s">
        <v>1729</v>
      </c>
    </row>
    <row r="38" spans="2:10">
      <c r="B38" s="631" t="s">
        <v>1731</v>
      </c>
    </row>
    <row r="39" spans="2:10">
      <c r="B39" s="631"/>
    </row>
    <row r="40" spans="2:10">
      <c r="B40" s="883" t="s">
        <v>1745</v>
      </c>
      <c r="C40" s="883"/>
      <c r="D40" s="883"/>
      <c r="E40" s="883"/>
      <c r="F40" s="883"/>
      <c r="G40" s="883"/>
      <c r="H40" s="1278">
        <f>SQRT(F34)</f>
        <v>14.142135623730951</v>
      </c>
      <c r="I40" s="1278"/>
      <c r="J40" s="1278"/>
    </row>
    <row r="41" spans="2:10">
      <c r="B41" s="883" t="s">
        <v>1730</v>
      </c>
      <c r="C41" s="883"/>
      <c r="D41" s="883"/>
      <c r="E41" s="883"/>
      <c r="F41" s="883"/>
      <c r="G41" s="883"/>
      <c r="H41" s="1279">
        <f>SQRT(F35)</f>
        <v>21.354156504062622</v>
      </c>
      <c r="I41" s="1279"/>
      <c r="J41" s="1279"/>
    </row>
    <row r="43" spans="2:10" s="637" customFormat="1">
      <c r="B43" s="636" t="s">
        <v>1732</v>
      </c>
      <c r="D43" s="636" t="s">
        <v>1734</v>
      </c>
    </row>
    <row r="44" spans="2:10">
      <c r="B44" s="631" t="s">
        <v>1738</v>
      </c>
    </row>
    <row r="46" spans="2:10">
      <c r="B46" s="632">
        <v>1</v>
      </c>
      <c r="C46" s="1278">
        <f>C26*G26</f>
        <v>640</v>
      </c>
      <c r="D46" s="1278"/>
    </row>
    <row r="47" spans="2:10">
      <c r="B47" s="632">
        <v>2</v>
      </c>
      <c r="C47" s="1282">
        <f>C27*G27</f>
        <v>20</v>
      </c>
      <c r="D47" s="1282"/>
    </row>
    <row r="48" spans="2:10">
      <c r="B48" s="632">
        <v>3</v>
      </c>
      <c r="C48" s="1282">
        <f>C28*G28</f>
        <v>0</v>
      </c>
      <c r="D48" s="1282"/>
    </row>
    <row r="49" spans="2:7">
      <c r="B49" s="632">
        <v>4</v>
      </c>
      <c r="C49" s="1282">
        <f>C29*G29</f>
        <v>-120</v>
      </c>
      <c r="D49" s="1282"/>
    </row>
    <row r="50" spans="2:7">
      <c r="B50" s="632">
        <v>5</v>
      </c>
      <c r="C50" s="1282">
        <f>C30*G30</f>
        <v>560</v>
      </c>
      <c r="D50" s="1282"/>
    </row>
    <row r="52" spans="2:7" s="637" customFormat="1">
      <c r="B52" s="636" t="s">
        <v>1735</v>
      </c>
      <c r="D52" s="636" t="s">
        <v>1733</v>
      </c>
    </row>
    <row r="53" spans="2:7">
      <c r="B53" s="631" t="s">
        <v>1736</v>
      </c>
    </row>
    <row r="54" spans="2:7">
      <c r="B54" s="707" t="s">
        <v>1733</v>
      </c>
      <c r="C54" s="710"/>
      <c r="D54" s="710"/>
      <c r="E54" s="708">
        <f>(C46+C47+C48+C49+C50)/5</f>
        <v>220</v>
      </c>
      <c r="F54" s="708"/>
    </row>
    <row r="56" spans="2:7" s="637" customFormat="1">
      <c r="B56" s="636" t="s">
        <v>1735</v>
      </c>
      <c r="D56" s="636" t="s">
        <v>1737</v>
      </c>
    </row>
    <row r="57" spans="2:7">
      <c r="B57" s="631" t="s">
        <v>1746</v>
      </c>
    </row>
    <row r="58" spans="2:7">
      <c r="B58" s="707" t="s">
        <v>1737</v>
      </c>
      <c r="C58" s="707"/>
      <c r="D58" s="707"/>
      <c r="E58" s="708">
        <f>E54/(H40*H41)</f>
        <v>0.72849279638577402</v>
      </c>
      <c r="F58" s="708"/>
      <c r="G58" s="708"/>
    </row>
  </sheetData>
  <mergeCells count="46">
    <mergeCell ref="B54:D54"/>
    <mergeCell ref="E54:F54"/>
    <mergeCell ref="B58:D58"/>
    <mergeCell ref="E58:G58"/>
    <mergeCell ref="F34:G34"/>
    <mergeCell ref="F35:G35"/>
    <mergeCell ref="C50:D50"/>
    <mergeCell ref="B41:G41"/>
    <mergeCell ref="B34:E34"/>
    <mergeCell ref="B35:E35"/>
    <mergeCell ref="B40:G40"/>
    <mergeCell ref="H41:J41"/>
    <mergeCell ref="C46:D46"/>
    <mergeCell ref="C47:D47"/>
    <mergeCell ref="C48:D48"/>
    <mergeCell ref="C49:D49"/>
    <mergeCell ref="H40:J40"/>
    <mergeCell ref="C30:F30"/>
    <mergeCell ref="G30:J30"/>
    <mergeCell ref="C27:F27"/>
    <mergeCell ref="G27:J27"/>
    <mergeCell ref="C28:F28"/>
    <mergeCell ref="G28:J28"/>
    <mergeCell ref="C29:F29"/>
    <mergeCell ref="G29:J29"/>
    <mergeCell ref="B19:F19"/>
    <mergeCell ref="G19:I19"/>
    <mergeCell ref="C25:F25"/>
    <mergeCell ref="G25:J25"/>
    <mergeCell ref="C26:F26"/>
    <mergeCell ref="G26:J26"/>
    <mergeCell ref="B18:F18"/>
    <mergeCell ref="G18:I18"/>
    <mergeCell ref="C11:D11"/>
    <mergeCell ref="E11:F11"/>
    <mergeCell ref="C12:D12"/>
    <mergeCell ref="E12:F12"/>
    <mergeCell ref="C13:D13"/>
    <mergeCell ref="E13:F13"/>
    <mergeCell ref="C10:D10"/>
    <mergeCell ref="E10:F10"/>
    <mergeCell ref="A1:D1"/>
    <mergeCell ref="C8:D8"/>
    <mergeCell ref="E8:F8"/>
    <mergeCell ref="C9:D9"/>
    <mergeCell ref="E9:F9"/>
  </mergeCells>
  <phoneticPr fontId="42"/>
  <hyperlinks>
    <hyperlink ref="A1:D1" location="目次!A1" display="　目次　" xr:uid="{8FE104EF-1097-406A-A6E7-689DFD156C79}"/>
  </hyperlinks>
  <pageMargins left="0.69930555555555596" right="0.69930555555555596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44E7A-4229-447D-9A4C-A5EBA14A7683}">
  <dimension ref="A1:K24"/>
  <sheetViews>
    <sheetView workbookViewId="0">
      <selection sqref="A1:E1"/>
    </sheetView>
  </sheetViews>
  <sheetFormatPr defaultColWidth="3.75" defaultRowHeight="13.5"/>
  <cols>
    <col min="1" max="16384" width="3.75" style="641"/>
  </cols>
  <sheetData>
    <row r="1" spans="1:11">
      <c r="A1" s="686" t="s">
        <v>61</v>
      </c>
      <c r="B1" s="686"/>
      <c r="C1" s="686"/>
      <c r="D1" s="686"/>
      <c r="E1" s="686"/>
      <c r="F1" s="638"/>
    </row>
    <row r="2" spans="1:11">
      <c r="B2" s="640"/>
      <c r="C2" s="640"/>
      <c r="D2" s="640"/>
      <c r="E2" s="641" t="s">
        <v>364</v>
      </c>
      <c r="I2" s="639"/>
    </row>
    <row r="3" spans="1:11">
      <c r="B3" s="36"/>
      <c r="C3" s="36"/>
      <c r="D3" s="36"/>
      <c r="E3" s="641" t="s">
        <v>395</v>
      </c>
      <c r="I3" s="639"/>
      <c r="K3" s="639"/>
    </row>
    <row r="4" spans="1:11">
      <c r="B4" s="642"/>
      <c r="C4" s="642"/>
      <c r="D4" s="642"/>
      <c r="E4" s="641" t="s">
        <v>404</v>
      </c>
      <c r="I4" s="639"/>
      <c r="K4" s="639"/>
    </row>
    <row r="6" spans="1:11" ht="21">
      <c r="B6" s="22" t="s">
        <v>1756</v>
      </c>
    </row>
    <row r="8" spans="1:11">
      <c r="B8" s="639" t="s">
        <v>1760</v>
      </c>
    </row>
    <row r="9" spans="1:11">
      <c r="B9" s="707" t="s">
        <v>1757</v>
      </c>
      <c r="C9" s="710"/>
      <c r="D9" s="710"/>
      <c r="E9" s="710"/>
      <c r="F9" s="709">
        <v>800</v>
      </c>
      <c r="G9" s="709"/>
      <c r="H9" s="709"/>
      <c r="I9" s="639" t="s">
        <v>1758</v>
      </c>
    </row>
    <row r="10" spans="1:11">
      <c r="B10" s="707" t="s">
        <v>1759</v>
      </c>
      <c r="C10" s="710"/>
      <c r="D10" s="710"/>
      <c r="E10" s="710"/>
      <c r="F10" s="709">
        <v>480</v>
      </c>
      <c r="G10" s="709"/>
      <c r="H10" s="709"/>
      <c r="I10" s="639" t="s">
        <v>1758</v>
      </c>
    </row>
    <row r="11" spans="1:11">
      <c r="B11" s="707" t="s">
        <v>1762</v>
      </c>
      <c r="C11" s="710"/>
      <c r="D11" s="710"/>
      <c r="E11" s="710"/>
      <c r="F11" s="834">
        <v>3</v>
      </c>
      <c r="G11" s="834"/>
      <c r="H11" s="834"/>
      <c r="I11" s="639" t="s">
        <v>1763</v>
      </c>
    </row>
    <row r="12" spans="1:11">
      <c r="B12" s="844" t="s">
        <v>1765</v>
      </c>
      <c r="C12" s="844"/>
      <c r="D12" s="844"/>
      <c r="E12" s="844"/>
      <c r="F12" s="708">
        <f>F9*F10*F11</f>
        <v>1152000</v>
      </c>
      <c r="G12" s="708"/>
      <c r="H12" s="708"/>
      <c r="I12" s="639" t="s">
        <v>1764</v>
      </c>
    </row>
    <row r="13" spans="1:11">
      <c r="B13" s="710"/>
      <c r="C13" s="710"/>
      <c r="D13" s="710"/>
      <c r="E13" s="710"/>
      <c r="F13" s="708">
        <f>F12/1024</f>
        <v>1125</v>
      </c>
      <c r="G13" s="708"/>
      <c r="H13" s="708"/>
      <c r="I13" s="639" t="s">
        <v>1766</v>
      </c>
    </row>
    <row r="14" spans="1:11">
      <c r="B14" s="710"/>
      <c r="C14" s="710"/>
      <c r="D14" s="710"/>
      <c r="E14" s="710"/>
      <c r="F14" s="708">
        <f>F13/1024</f>
        <v>1.0986328125</v>
      </c>
      <c r="G14" s="708"/>
      <c r="H14" s="708"/>
      <c r="I14" s="639" t="s">
        <v>1767</v>
      </c>
    </row>
    <row r="15" spans="1:11">
      <c r="B15" s="710"/>
      <c r="C15" s="710"/>
      <c r="D15" s="710"/>
      <c r="E15" s="710"/>
      <c r="F15" s="710"/>
      <c r="G15" s="710"/>
      <c r="H15" s="710"/>
    </row>
    <row r="18" spans="2:9">
      <c r="B18" s="639" t="s">
        <v>1761</v>
      </c>
    </row>
    <row r="19" spans="2:9">
      <c r="B19" s="707" t="s">
        <v>1757</v>
      </c>
      <c r="C19" s="710"/>
      <c r="D19" s="710"/>
      <c r="E19" s="710"/>
      <c r="F19" s="709">
        <v>800</v>
      </c>
      <c r="G19" s="709"/>
      <c r="H19" s="709"/>
      <c r="I19" s="639" t="s">
        <v>1758</v>
      </c>
    </row>
    <row r="20" spans="2:9">
      <c r="B20" s="707" t="s">
        <v>1759</v>
      </c>
      <c r="C20" s="710"/>
      <c r="D20" s="710"/>
      <c r="E20" s="710"/>
      <c r="F20" s="709">
        <v>480</v>
      </c>
      <c r="G20" s="709"/>
      <c r="H20" s="709"/>
      <c r="I20" s="639" t="s">
        <v>1758</v>
      </c>
    </row>
    <row r="21" spans="2:9">
      <c r="B21" s="707" t="s">
        <v>1762</v>
      </c>
      <c r="C21" s="710"/>
      <c r="D21" s="710"/>
      <c r="E21" s="710"/>
      <c r="F21" s="834">
        <v>1</v>
      </c>
      <c r="G21" s="834"/>
      <c r="H21" s="834"/>
      <c r="I21" s="639" t="s">
        <v>1763</v>
      </c>
    </row>
    <row r="22" spans="2:9">
      <c r="B22" s="844" t="s">
        <v>1765</v>
      </c>
      <c r="C22" s="844"/>
      <c r="D22" s="844"/>
      <c r="E22" s="844"/>
      <c r="F22" s="708">
        <f>F19*F20*F21</f>
        <v>384000</v>
      </c>
      <c r="G22" s="708"/>
      <c r="H22" s="708"/>
      <c r="I22" s="639" t="s">
        <v>1764</v>
      </c>
    </row>
    <row r="23" spans="2:9">
      <c r="B23" s="710"/>
      <c r="C23" s="710"/>
      <c r="D23" s="710"/>
      <c r="E23" s="710"/>
      <c r="F23" s="708">
        <f>F22/1024</f>
        <v>375</v>
      </c>
      <c r="G23" s="708"/>
      <c r="H23" s="708"/>
      <c r="I23" s="639" t="s">
        <v>1766</v>
      </c>
    </row>
    <row r="24" spans="2:9">
      <c r="B24" s="710"/>
      <c r="C24" s="710"/>
      <c r="D24" s="710"/>
      <c r="E24" s="710"/>
      <c r="F24" s="708">
        <f>F23/1024</f>
        <v>0.3662109375</v>
      </c>
      <c r="G24" s="708"/>
      <c r="H24" s="708"/>
      <c r="I24" s="639" t="s">
        <v>1767</v>
      </c>
    </row>
  </sheetData>
  <mergeCells count="27">
    <mergeCell ref="B15:E15"/>
    <mergeCell ref="B14:E14"/>
    <mergeCell ref="F14:H14"/>
    <mergeCell ref="B13:E13"/>
    <mergeCell ref="F13:H13"/>
    <mergeCell ref="A1:E1"/>
    <mergeCell ref="B9:E9"/>
    <mergeCell ref="B10:E10"/>
    <mergeCell ref="B11:E11"/>
    <mergeCell ref="B12:E12"/>
    <mergeCell ref="F9:H9"/>
    <mergeCell ref="F10:H10"/>
    <mergeCell ref="F11:H11"/>
    <mergeCell ref="F12:H12"/>
    <mergeCell ref="F15:H15"/>
    <mergeCell ref="B19:E19"/>
    <mergeCell ref="F19:H19"/>
    <mergeCell ref="B20:E20"/>
    <mergeCell ref="F20:H20"/>
    <mergeCell ref="B21:E21"/>
    <mergeCell ref="F21:H21"/>
    <mergeCell ref="B22:E22"/>
    <mergeCell ref="F22:H22"/>
    <mergeCell ref="B23:E23"/>
    <mergeCell ref="F23:H23"/>
    <mergeCell ref="B24:E24"/>
    <mergeCell ref="F24:H24"/>
  </mergeCells>
  <phoneticPr fontId="42"/>
  <hyperlinks>
    <hyperlink ref="A1:E1" location="目次!A1" display="　目次　" xr:uid="{34D8C3C2-98C7-42AC-A701-D2F1320DC2BD}"/>
  </hyperlinks>
  <pageMargins left="0.69930555555555596" right="0.69930555555555596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5CBE-69F4-4639-A593-EA0FE0DE9E9D}">
  <dimension ref="A1:L24"/>
  <sheetViews>
    <sheetView workbookViewId="0">
      <selection sqref="A1:F1"/>
    </sheetView>
  </sheetViews>
  <sheetFormatPr defaultColWidth="3.75" defaultRowHeight="13.5"/>
  <cols>
    <col min="1" max="16384" width="3.75" style="646"/>
  </cols>
  <sheetData>
    <row r="1" spans="1:12">
      <c r="A1" s="686" t="s">
        <v>61</v>
      </c>
      <c r="B1" s="686"/>
      <c r="C1" s="686"/>
      <c r="D1" s="686"/>
      <c r="E1" s="686"/>
      <c r="F1" s="686"/>
      <c r="G1" s="643"/>
    </row>
    <row r="2" spans="1:12">
      <c r="B2" s="645"/>
      <c r="C2" s="645"/>
      <c r="D2" s="645"/>
      <c r="E2" s="645"/>
      <c r="F2" s="646" t="s">
        <v>364</v>
      </c>
      <c r="J2" s="644"/>
    </row>
    <row r="3" spans="1:12">
      <c r="B3" s="36"/>
      <c r="C3" s="36"/>
      <c r="D3" s="36"/>
      <c r="E3" s="36"/>
      <c r="F3" s="646" t="s">
        <v>395</v>
      </c>
      <c r="J3" s="644"/>
      <c r="L3" s="644"/>
    </row>
    <row r="4" spans="1:12">
      <c r="B4" s="648"/>
      <c r="C4" s="648"/>
      <c r="D4" s="648"/>
      <c r="E4" s="648"/>
      <c r="F4" s="644" t="s">
        <v>1783</v>
      </c>
      <c r="J4" s="644"/>
      <c r="L4" s="644"/>
    </row>
    <row r="6" spans="1:12" ht="24">
      <c r="B6" s="2" t="s">
        <v>1776</v>
      </c>
      <c r="C6" s="644"/>
      <c r="D6" s="644"/>
    </row>
    <row r="8" spans="1:12">
      <c r="B8" s="707" t="s">
        <v>1771</v>
      </c>
      <c r="C8" s="707"/>
      <c r="D8" s="707"/>
      <c r="E8" s="710"/>
      <c r="F8" s="834">
        <v>7</v>
      </c>
      <c r="G8" s="834"/>
      <c r="H8" s="644" t="s">
        <v>1770</v>
      </c>
    </row>
    <row r="9" spans="1:12">
      <c r="B9" s="707" t="s">
        <v>1772</v>
      </c>
      <c r="C9" s="707"/>
      <c r="D9" s="707"/>
      <c r="E9" s="710"/>
      <c r="F9" s="709">
        <v>100</v>
      </c>
      <c r="G9" s="709"/>
      <c r="H9" s="644" t="s">
        <v>1429</v>
      </c>
    </row>
    <row r="10" spans="1:12">
      <c r="B10" s="707" t="s">
        <v>1773</v>
      </c>
      <c r="C10" s="707"/>
      <c r="D10" s="707"/>
      <c r="E10" s="710"/>
      <c r="F10" s="709">
        <v>110</v>
      </c>
      <c r="G10" s="709"/>
      <c r="H10" s="644" t="s">
        <v>1429</v>
      </c>
    </row>
    <row r="11" spans="1:12">
      <c r="B11" s="710"/>
      <c r="C11" s="710"/>
      <c r="D11" s="710"/>
      <c r="E11" s="710"/>
      <c r="F11" s="710"/>
      <c r="G11" s="710"/>
    </row>
    <row r="12" spans="1:12">
      <c r="B12" s="880" t="s">
        <v>1774</v>
      </c>
      <c r="C12" s="880"/>
      <c r="D12" s="880"/>
      <c r="E12" s="880"/>
      <c r="F12" s="834">
        <f>F9-F10</f>
        <v>-10</v>
      </c>
      <c r="G12" s="834"/>
      <c r="H12" s="647" t="s">
        <v>1429</v>
      </c>
    </row>
    <row r="13" spans="1:12">
      <c r="B13" s="880" t="s">
        <v>1769</v>
      </c>
      <c r="C13" s="880"/>
      <c r="D13" s="880"/>
      <c r="E13" s="880"/>
      <c r="F13" s="708">
        <f>F12*F8</f>
        <v>-70</v>
      </c>
      <c r="G13" s="708"/>
      <c r="H13" s="647" t="s">
        <v>1775</v>
      </c>
    </row>
    <row r="16" spans="1:12">
      <c r="B16" s="644" t="s">
        <v>1777</v>
      </c>
    </row>
    <row r="18" spans="2:10">
      <c r="B18" s="707" t="s">
        <v>913</v>
      </c>
      <c r="C18" s="710"/>
      <c r="D18" s="710"/>
      <c r="E18" s="710"/>
      <c r="F18" s="709">
        <v>5000</v>
      </c>
      <c r="G18" s="709"/>
      <c r="H18" s="644" t="s">
        <v>1319</v>
      </c>
    </row>
    <row r="19" spans="2:10">
      <c r="B19" s="707" t="s">
        <v>1779</v>
      </c>
      <c r="C19" s="710"/>
      <c r="D19" s="710"/>
      <c r="E19" s="710"/>
      <c r="F19" s="834">
        <f>1/(F18*10^6)*1000000000000</f>
        <v>200</v>
      </c>
      <c r="G19" s="834"/>
      <c r="H19" s="644" t="s">
        <v>1775</v>
      </c>
    </row>
    <row r="20" spans="2:10">
      <c r="B20" s="707" t="s">
        <v>1780</v>
      </c>
      <c r="C20" s="710"/>
      <c r="D20" s="710"/>
      <c r="E20" s="710"/>
      <c r="F20" s="876">
        <v>100</v>
      </c>
      <c r="G20" s="709"/>
      <c r="H20" s="644" t="s">
        <v>1775</v>
      </c>
    </row>
    <row r="21" spans="2:10">
      <c r="B21" s="710"/>
      <c r="C21" s="710"/>
      <c r="D21" s="710"/>
      <c r="E21" s="710"/>
      <c r="F21" s="710"/>
      <c r="G21" s="710"/>
    </row>
    <row r="22" spans="2:10">
      <c r="B22" s="880" t="s">
        <v>1781</v>
      </c>
      <c r="C22" s="880"/>
      <c r="D22" s="880"/>
      <c r="E22" s="880"/>
      <c r="F22" s="708">
        <f>(F19-F20)*0.8</f>
        <v>80</v>
      </c>
      <c r="G22" s="708"/>
      <c r="H22" s="647" t="s">
        <v>1778</v>
      </c>
      <c r="J22" s="3" t="s">
        <v>1782</v>
      </c>
    </row>
    <row r="23" spans="2:10">
      <c r="B23" s="710"/>
      <c r="C23" s="710"/>
      <c r="D23" s="710"/>
      <c r="E23" s="710"/>
      <c r="F23" s="710"/>
      <c r="G23" s="710"/>
    </row>
    <row r="24" spans="2:10">
      <c r="B24" s="710"/>
      <c r="C24" s="710"/>
      <c r="D24" s="710"/>
      <c r="E24" s="710"/>
      <c r="F24" s="710"/>
      <c r="G24" s="710"/>
    </row>
  </sheetData>
  <mergeCells count="27">
    <mergeCell ref="A1:F1"/>
    <mergeCell ref="F8:G8"/>
    <mergeCell ref="F9:G9"/>
    <mergeCell ref="F10:G10"/>
    <mergeCell ref="F11:G11"/>
    <mergeCell ref="F13:G13"/>
    <mergeCell ref="B8:E8"/>
    <mergeCell ref="B9:E9"/>
    <mergeCell ref="B10:E10"/>
    <mergeCell ref="B11:E11"/>
    <mergeCell ref="B12:E12"/>
    <mergeCell ref="B13:E13"/>
    <mergeCell ref="F12:G12"/>
    <mergeCell ref="B18:E18"/>
    <mergeCell ref="F18:G18"/>
    <mergeCell ref="B19:E19"/>
    <mergeCell ref="F19:G19"/>
    <mergeCell ref="B20:E20"/>
    <mergeCell ref="F20:G20"/>
    <mergeCell ref="B24:E24"/>
    <mergeCell ref="F24:G24"/>
    <mergeCell ref="B21:E21"/>
    <mergeCell ref="F21:G21"/>
    <mergeCell ref="B22:E22"/>
    <mergeCell ref="F22:G22"/>
    <mergeCell ref="B23:E23"/>
    <mergeCell ref="F23:G23"/>
  </mergeCells>
  <phoneticPr fontId="42"/>
  <hyperlinks>
    <hyperlink ref="A1:F1" location="目次!A1" display="　目次　" xr:uid="{51436F18-EC9B-47C6-88C5-65C024A306AF}"/>
  </hyperlinks>
  <pageMargins left="0.69930555555555596" right="0.69930555555555596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7A07F-8726-4C11-A2FE-5F1D38BA02BA}">
  <dimension ref="A1:P18"/>
  <sheetViews>
    <sheetView workbookViewId="0">
      <selection activeCell="Z15" sqref="Z15"/>
    </sheetView>
  </sheetViews>
  <sheetFormatPr defaultColWidth="3.75" defaultRowHeight="13.5"/>
  <cols>
    <col min="1" max="16384" width="3.75" style="651"/>
  </cols>
  <sheetData>
    <row r="1" spans="1:16">
      <c r="A1" s="686" t="s">
        <v>61</v>
      </c>
      <c r="B1" s="686"/>
      <c r="C1" s="686"/>
      <c r="D1" s="686"/>
      <c r="E1" s="649"/>
    </row>
    <row r="2" spans="1:16">
      <c r="B2" s="652"/>
      <c r="C2" s="652"/>
      <c r="D2" s="651" t="s">
        <v>364</v>
      </c>
      <c r="H2" s="650"/>
    </row>
    <row r="3" spans="1:16">
      <c r="B3" s="36"/>
      <c r="C3" s="36"/>
      <c r="D3" s="651" t="s">
        <v>395</v>
      </c>
      <c r="H3" s="650"/>
      <c r="J3" s="650"/>
    </row>
    <row r="4" spans="1:16">
      <c r="B4" s="653"/>
      <c r="C4" s="653"/>
      <c r="D4" s="651" t="s">
        <v>404</v>
      </c>
      <c r="H4" s="650"/>
      <c r="J4" s="650"/>
    </row>
    <row r="6" spans="1:16" ht="24">
      <c r="B6" s="2" t="s">
        <v>1785</v>
      </c>
    </row>
    <row r="7" spans="1:16">
      <c r="B7" s="650" t="s">
        <v>1675</v>
      </c>
      <c r="D7" s="831" t="s">
        <v>1786</v>
      </c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</row>
    <row r="15" spans="1:16">
      <c r="B15" s="707" t="s">
        <v>1787</v>
      </c>
      <c r="C15" s="707"/>
      <c r="D15" s="707"/>
      <c r="E15" s="707"/>
      <c r="F15" s="707"/>
      <c r="G15" s="709">
        <v>1.4</v>
      </c>
      <c r="H15" s="709"/>
      <c r="I15" s="650" t="s">
        <v>1789</v>
      </c>
    </row>
    <row r="16" spans="1:16">
      <c r="B16" s="707" t="s">
        <v>1788</v>
      </c>
      <c r="C16" s="707"/>
      <c r="D16" s="707"/>
      <c r="E16" s="707"/>
      <c r="F16" s="707"/>
      <c r="G16" s="709">
        <v>1</v>
      </c>
      <c r="H16" s="709"/>
      <c r="I16" s="650" t="s">
        <v>1790</v>
      </c>
    </row>
    <row r="17" spans="2:9">
      <c r="B17" s="710"/>
      <c r="C17" s="710"/>
      <c r="D17" s="710"/>
      <c r="E17" s="710"/>
      <c r="F17" s="710"/>
      <c r="G17" s="710"/>
      <c r="H17" s="710"/>
    </row>
    <row r="18" spans="2:9">
      <c r="B18" s="707" t="s">
        <v>1791</v>
      </c>
      <c r="C18" s="710"/>
      <c r="D18" s="710"/>
      <c r="E18" s="710"/>
      <c r="F18" s="710"/>
      <c r="G18" s="708">
        <f>G15/G16</f>
        <v>1.4</v>
      </c>
      <c r="H18" s="708"/>
      <c r="I18" s="650" t="s">
        <v>1125</v>
      </c>
    </row>
  </sheetData>
  <mergeCells count="10">
    <mergeCell ref="G15:H15"/>
    <mergeCell ref="G16:H16"/>
    <mergeCell ref="G17:H17"/>
    <mergeCell ref="G18:H18"/>
    <mergeCell ref="A1:D1"/>
    <mergeCell ref="D7:P7"/>
    <mergeCell ref="B15:F15"/>
    <mergeCell ref="B16:F16"/>
    <mergeCell ref="B17:F17"/>
    <mergeCell ref="B18:F18"/>
  </mergeCells>
  <phoneticPr fontId="42"/>
  <hyperlinks>
    <hyperlink ref="A1:D1" location="目次!A1" display="　目次　" xr:uid="{66B937D7-325C-4461-BBF8-70B6D92362F9}"/>
    <hyperlink ref="D7" r:id="rId1" xr:uid="{DD5FB5DB-F776-44FD-9659-1E2B7C738225}"/>
  </hyperlinks>
  <pageMargins left="0.69930555555555596" right="0.69930555555555596" top="0.75" bottom="0.75" header="0.3" footer="0.3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5EE7-741C-4F27-8479-B5794E18F080}">
  <dimension ref="A1:V31"/>
  <sheetViews>
    <sheetView zoomScale="115" zoomScaleNormal="115" workbookViewId="0">
      <selection sqref="A1:D1"/>
    </sheetView>
  </sheetViews>
  <sheetFormatPr defaultColWidth="3.75" defaultRowHeight="13.5"/>
  <cols>
    <col min="1" max="15" width="3.75" style="667"/>
    <col min="16" max="16" width="3.75" style="670"/>
    <col min="17" max="16384" width="3.75" style="667"/>
  </cols>
  <sheetData>
    <row r="1" spans="1:22">
      <c r="A1" s="686" t="s">
        <v>61</v>
      </c>
      <c r="B1" s="686"/>
      <c r="C1" s="686"/>
      <c r="D1" s="686"/>
      <c r="E1" s="664"/>
    </row>
    <row r="2" spans="1:22">
      <c r="B2" s="666"/>
      <c r="C2" s="666"/>
      <c r="D2" s="667" t="s">
        <v>364</v>
      </c>
      <c r="H2" s="665"/>
    </row>
    <row r="3" spans="1:22">
      <c r="B3" s="36"/>
      <c r="C3" s="36"/>
      <c r="D3" s="667" t="s">
        <v>395</v>
      </c>
      <c r="H3" s="665"/>
      <c r="J3" s="665"/>
    </row>
    <row r="4" spans="1:22">
      <c r="B4" s="668"/>
      <c r="C4" s="668"/>
      <c r="D4" s="667" t="s">
        <v>404</v>
      </c>
      <c r="H4" s="665"/>
      <c r="J4" s="665"/>
    </row>
    <row r="6" spans="1:22">
      <c r="B6" s="665" t="s">
        <v>1968</v>
      </c>
    </row>
    <row r="7" spans="1:22">
      <c r="B7" s="669"/>
      <c r="N7" s="669" t="s">
        <v>1987</v>
      </c>
    </row>
    <row r="8" spans="1:22">
      <c r="B8" s="883" t="s">
        <v>1969</v>
      </c>
      <c r="C8" s="883"/>
      <c r="D8" s="883"/>
      <c r="E8" s="709">
        <v>16000000</v>
      </c>
      <c r="F8" s="709"/>
      <c r="G8" s="709"/>
      <c r="H8" s="665" t="s">
        <v>914</v>
      </c>
      <c r="N8" s="883" t="s">
        <v>1969</v>
      </c>
      <c r="O8" s="883"/>
      <c r="P8" s="883"/>
      <c r="Q8" s="883"/>
      <c r="R8" s="709">
        <v>16000000</v>
      </c>
      <c r="S8" s="709"/>
      <c r="T8" s="709"/>
      <c r="U8" s="669" t="s">
        <v>914</v>
      </c>
      <c r="V8" s="670"/>
    </row>
    <row r="9" spans="1:22">
      <c r="B9" s="883" t="s">
        <v>1510</v>
      </c>
      <c r="C9" s="883"/>
      <c r="D9" s="883"/>
      <c r="E9" s="709">
        <v>16</v>
      </c>
      <c r="F9" s="709"/>
      <c r="G9" s="709"/>
      <c r="H9" s="665" t="s">
        <v>1142</v>
      </c>
      <c r="N9" s="883" t="s">
        <v>1510</v>
      </c>
      <c r="O9" s="883"/>
      <c r="P9" s="883"/>
      <c r="Q9" s="883"/>
      <c r="R9" s="709">
        <v>16</v>
      </c>
      <c r="S9" s="709"/>
      <c r="T9" s="709"/>
      <c r="U9" s="669" t="s">
        <v>1142</v>
      </c>
      <c r="V9" s="670"/>
    </row>
    <row r="10" spans="1:22">
      <c r="B10" s="883"/>
      <c r="C10" s="883"/>
      <c r="D10" s="883"/>
      <c r="E10" s="882">
        <f>16^(E9/4)</f>
        <v>65536</v>
      </c>
      <c r="F10" s="882"/>
      <c r="G10" s="882"/>
      <c r="N10" s="883"/>
      <c r="O10" s="883"/>
      <c r="P10" s="883"/>
      <c r="Q10" s="883"/>
      <c r="R10" s="882">
        <f>16^(R9/4)</f>
        <v>65536</v>
      </c>
      <c r="S10" s="882"/>
      <c r="T10" s="882"/>
      <c r="U10" s="670"/>
      <c r="V10" s="670"/>
    </row>
    <row r="11" spans="1:22">
      <c r="B11" s="883"/>
      <c r="C11" s="883"/>
      <c r="D11" s="883"/>
      <c r="E11" s="710"/>
      <c r="F11" s="710"/>
      <c r="G11" s="710"/>
      <c r="N11" s="883" t="s">
        <v>1982</v>
      </c>
      <c r="O11" s="883"/>
      <c r="P11" s="883"/>
      <c r="Q11" s="883"/>
      <c r="R11" s="709">
        <v>256</v>
      </c>
      <c r="S11" s="709"/>
      <c r="T11" s="709"/>
    </row>
    <row r="12" spans="1:22">
      <c r="B12" s="883" t="s">
        <v>1971</v>
      </c>
      <c r="C12" s="883"/>
      <c r="D12" s="883"/>
      <c r="E12" s="875">
        <f>1/E8*(E10-1)*1000</f>
        <v>4.0959374999999998</v>
      </c>
      <c r="F12" s="875"/>
      <c r="G12" s="875"/>
      <c r="H12" s="669" t="s">
        <v>1970</v>
      </c>
      <c r="N12" s="883"/>
      <c r="O12" s="883"/>
      <c r="P12" s="883"/>
      <c r="Q12" s="883"/>
      <c r="R12" s="710"/>
      <c r="S12" s="710"/>
      <c r="T12" s="710"/>
    </row>
    <row r="13" spans="1:22" s="670" customFormat="1">
      <c r="B13" s="883"/>
      <c r="C13" s="883"/>
      <c r="D13" s="883"/>
      <c r="E13" s="710"/>
      <c r="F13" s="710"/>
      <c r="G13" s="710"/>
      <c r="N13" s="883" t="s">
        <v>1983</v>
      </c>
      <c r="O13" s="883"/>
      <c r="P13" s="883"/>
      <c r="Q13" s="883"/>
      <c r="R13" s="875">
        <f>(R10*R11)/R8</f>
        <v>1.048576</v>
      </c>
      <c r="S13" s="875"/>
      <c r="T13" s="875"/>
    </row>
    <row r="14" spans="1:22" s="670" customFormat="1">
      <c r="B14" s="883" t="s">
        <v>1977</v>
      </c>
      <c r="C14" s="883"/>
      <c r="D14" s="883"/>
      <c r="E14" s="875">
        <f>E12/E10</f>
        <v>6.249904632568359E-5</v>
      </c>
      <c r="F14" s="875"/>
      <c r="G14" s="875"/>
      <c r="H14" s="669" t="s">
        <v>1978</v>
      </c>
      <c r="N14" s="883"/>
      <c r="O14" s="883"/>
      <c r="P14" s="883"/>
      <c r="Q14" s="883"/>
      <c r="R14" s="710"/>
      <c r="S14" s="710"/>
      <c r="T14" s="710"/>
    </row>
    <row r="15" spans="1:22" s="670" customFormat="1">
      <c r="B15" s="883"/>
      <c r="C15" s="883"/>
      <c r="D15" s="883"/>
      <c r="E15" s="875">
        <f>E14*1000</f>
        <v>6.2499046325683594E-2</v>
      </c>
      <c r="F15" s="875"/>
      <c r="G15" s="875"/>
      <c r="H15" s="669" t="s">
        <v>1979</v>
      </c>
      <c r="N15" s="883" t="s">
        <v>1972</v>
      </c>
      <c r="O15" s="883"/>
      <c r="P15" s="883"/>
      <c r="Q15" s="883"/>
      <c r="R15" s="709">
        <v>1000</v>
      </c>
      <c r="S15" s="709"/>
      <c r="T15" s="709"/>
      <c r="U15" s="669" t="s">
        <v>1984</v>
      </c>
    </row>
    <row r="16" spans="1:22" s="670" customFormat="1">
      <c r="B16" s="883"/>
      <c r="C16" s="883"/>
      <c r="D16" s="883"/>
      <c r="E16" s="710"/>
      <c r="F16" s="710"/>
      <c r="G16" s="710"/>
      <c r="N16" s="883"/>
      <c r="O16" s="883"/>
      <c r="P16" s="883"/>
      <c r="Q16" s="883"/>
      <c r="R16" s="710"/>
      <c r="S16" s="710"/>
      <c r="T16" s="710"/>
    </row>
    <row r="17" spans="2:20" s="670" customFormat="1">
      <c r="B17" s="883" t="s">
        <v>1972</v>
      </c>
      <c r="C17" s="883"/>
      <c r="D17" s="883"/>
      <c r="E17" s="709">
        <v>1000</v>
      </c>
      <c r="F17" s="709"/>
      <c r="G17" s="709"/>
      <c r="H17" s="669" t="s">
        <v>1973</v>
      </c>
      <c r="N17" s="883" t="s">
        <v>1985</v>
      </c>
      <c r="O17" s="883"/>
      <c r="P17" s="883"/>
      <c r="Q17" s="883"/>
      <c r="R17" s="882">
        <f>(R15/1000*R8)/R11</f>
        <v>62500</v>
      </c>
      <c r="S17" s="882"/>
      <c r="T17" s="882"/>
    </row>
    <row r="18" spans="2:20" s="670" customFormat="1">
      <c r="B18" s="883" t="s">
        <v>1975</v>
      </c>
      <c r="C18" s="883"/>
      <c r="D18" s="883"/>
      <c r="E18" s="875">
        <f>E17/E14</f>
        <v>16000244.144350348</v>
      </c>
      <c r="F18" s="875"/>
      <c r="G18" s="875"/>
      <c r="H18" s="669" t="s">
        <v>1974</v>
      </c>
      <c r="N18" s="883" t="s">
        <v>1986</v>
      </c>
      <c r="O18" s="883"/>
      <c r="P18" s="883"/>
      <c r="Q18" s="883"/>
      <c r="R18" s="875">
        <f>R10-R17</f>
        <v>3036</v>
      </c>
      <c r="S18" s="875"/>
      <c r="T18" s="875"/>
    </row>
    <row r="19" spans="2:20" s="670" customFormat="1">
      <c r="B19" s="883" t="s">
        <v>1976</v>
      </c>
      <c r="C19" s="883"/>
      <c r="D19" s="883"/>
      <c r="E19" s="875">
        <f>E18/E10</f>
        <v>244.14435034714276</v>
      </c>
      <c r="F19" s="875"/>
      <c r="G19" s="875"/>
      <c r="H19" s="669" t="s">
        <v>1976</v>
      </c>
      <c r="N19" s="883"/>
      <c r="O19" s="883"/>
      <c r="P19" s="883"/>
      <c r="Q19" s="883"/>
      <c r="R19" s="710"/>
      <c r="S19" s="710"/>
      <c r="T19" s="710"/>
    </row>
    <row r="20" spans="2:20" s="670" customFormat="1">
      <c r="B20" s="883"/>
      <c r="C20" s="883"/>
      <c r="D20" s="883"/>
      <c r="E20" s="710"/>
      <c r="F20" s="710"/>
      <c r="G20" s="710"/>
    </row>
    <row r="21" spans="2:20">
      <c r="B21" s="883"/>
      <c r="C21" s="883"/>
      <c r="D21" s="883"/>
      <c r="E21" s="710"/>
      <c r="F21" s="710"/>
      <c r="G21" s="710"/>
    </row>
    <row r="22" spans="2:20">
      <c r="B22" s="883"/>
      <c r="C22" s="883"/>
      <c r="D22" s="883"/>
      <c r="E22" s="710"/>
      <c r="F22" s="710"/>
      <c r="G22" s="710"/>
    </row>
    <row r="23" spans="2:20">
      <c r="B23" s="883"/>
      <c r="C23" s="883"/>
      <c r="D23" s="883"/>
      <c r="E23" s="710"/>
      <c r="F23" s="710"/>
      <c r="G23" s="710"/>
    </row>
    <row r="24" spans="2:20">
      <c r="B24" s="883"/>
      <c r="C24" s="883"/>
      <c r="D24" s="883"/>
      <c r="E24" s="710"/>
      <c r="F24" s="710"/>
      <c r="G24" s="710"/>
    </row>
    <row r="28" spans="2:20" s="670" customFormat="1"/>
    <row r="29" spans="2:20" s="670" customFormat="1"/>
    <row r="30" spans="2:20" s="670" customFormat="1"/>
    <row r="31" spans="2:20">
      <c r="P31" s="667"/>
      <c r="Q31" s="670"/>
    </row>
  </sheetData>
  <mergeCells count="59">
    <mergeCell ref="R19:T19"/>
    <mergeCell ref="R16:T16"/>
    <mergeCell ref="N17:Q17"/>
    <mergeCell ref="R17:T17"/>
    <mergeCell ref="N18:Q18"/>
    <mergeCell ref="R18:T18"/>
    <mergeCell ref="R11:T11"/>
    <mergeCell ref="R12:T12"/>
    <mergeCell ref="R13:T13"/>
    <mergeCell ref="R14:T14"/>
    <mergeCell ref="R15:T15"/>
    <mergeCell ref="R8:T8"/>
    <mergeCell ref="N9:Q9"/>
    <mergeCell ref="R9:T9"/>
    <mergeCell ref="N10:Q10"/>
    <mergeCell ref="R10:T10"/>
    <mergeCell ref="B20:D20"/>
    <mergeCell ref="E20:G20"/>
    <mergeCell ref="B19:D19"/>
    <mergeCell ref="E19:G19"/>
    <mergeCell ref="N8:Q8"/>
    <mergeCell ref="N11:Q11"/>
    <mergeCell ref="N12:Q12"/>
    <mergeCell ref="N13:Q13"/>
    <mergeCell ref="N14:Q14"/>
    <mergeCell ref="N15:Q15"/>
    <mergeCell ref="N16:Q16"/>
    <mergeCell ref="N19:Q19"/>
    <mergeCell ref="B15:D15"/>
    <mergeCell ref="E15:G15"/>
    <mergeCell ref="B17:D17"/>
    <mergeCell ref="E17:G17"/>
    <mergeCell ref="B16:D16"/>
    <mergeCell ref="E16:G16"/>
    <mergeCell ref="A1:D1"/>
    <mergeCell ref="E21:G21"/>
    <mergeCell ref="B8:D8"/>
    <mergeCell ref="B9:D9"/>
    <mergeCell ref="B10:D10"/>
    <mergeCell ref="B11:D11"/>
    <mergeCell ref="B12:D12"/>
    <mergeCell ref="B21:D21"/>
    <mergeCell ref="B18:D18"/>
    <mergeCell ref="E18:G18"/>
    <mergeCell ref="B14:D14"/>
    <mergeCell ref="E14:G14"/>
    <mergeCell ref="B13:D13"/>
    <mergeCell ref="E13:G13"/>
    <mergeCell ref="E8:G8"/>
    <mergeCell ref="E9:G9"/>
    <mergeCell ref="E10:G10"/>
    <mergeCell ref="E11:G11"/>
    <mergeCell ref="E12:G12"/>
    <mergeCell ref="E22:G22"/>
    <mergeCell ref="E23:G23"/>
    <mergeCell ref="E24:G24"/>
    <mergeCell ref="B22:D22"/>
    <mergeCell ref="B23:D23"/>
    <mergeCell ref="B24:D24"/>
  </mergeCells>
  <phoneticPr fontId="42"/>
  <hyperlinks>
    <hyperlink ref="A1:D1" location="目次!A1" display="　目次　" xr:uid="{9BAF6E5E-C14B-4306-9E54-29EB6124BF00}"/>
  </hyperlinks>
  <pageMargins left="0.69930555555555596" right="0.69930555555555596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EE9F7-CCCD-4DBA-ACF8-B3A9754B35C8}">
  <dimension ref="A1:Y16"/>
  <sheetViews>
    <sheetView workbookViewId="0">
      <selection sqref="A1:D1"/>
    </sheetView>
  </sheetViews>
  <sheetFormatPr defaultColWidth="3.75" defaultRowHeight="13.5"/>
  <cols>
    <col min="1" max="16384" width="3.75" style="674"/>
  </cols>
  <sheetData>
    <row r="1" spans="1:25">
      <c r="A1" s="686" t="s">
        <v>61</v>
      </c>
      <c r="B1" s="686"/>
      <c r="C1" s="686"/>
      <c r="D1" s="686"/>
      <c r="E1" s="671"/>
    </row>
    <row r="2" spans="1:25">
      <c r="B2" s="673"/>
      <c r="C2" s="673"/>
      <c r="D2" s="674" t="s">
        <v>364</v>
      </c>
      <c r="H2" s="672"/>
    </row>
    <row r="3" spans="1:25">
      <c r="B3" s="36"/>
      <c r="C3" s="36"/>
      <c r="D3" s="674" t="s">
        <v>395</v>
      </c>
      <c r="H3" s="672"/>
      <c r="J3" s="672"/>
    </row>
    <row r="4" spans="1:25">
      <c r="B4" s="675"/>
      <c r="C4" s="675"/>
      <c r="D4" s="674" t="s">
        <v>404</v>
      </c>
      <c r="H4" s="672"/>
      <c r="J4" s="672"/>
    </row>
    <row r="6" spans="1:25" ht="24">
      <c r="B6" s="2" t="s">
        <v>1988</v>
      </c>
    </row>
    <row r="8" spans="1:25">
      <c r="V8" s="707" t="s">
        <v>1041</v>
      </c>
      <c r="W8" s="707"/>
      <c r="X8" s="707" t="s">
        <v>1990</v>
      </c>
      <c r="Y8" s="710"/>
    </row>
    <row r="9" spans="1:25">
      <c r="B9" s="707" t="s">
        <v>1218</v>
      </c>
      <c r="C9" s="710"/>
      <c r="D9" s="710"/>
      <c r="E9" s="709">
        <v>0.3</v>
      </c>
      <c r="F9" s="709"/>
      <c r="G9" s="672" t="s">
        <v>915</v>
      </c>
      <c r="I9" s="707" t="s">
        <v>1218</v>
      </c>
      <c r="J9" s="710"/>
      <c r="K9" s="710"/>
      <c r="L9" s="709">
        <v>0.3</v>
      </c>
      <c r="M9" s="709"/>
      <c r="N9" s="672" t="s">
        <v>915</v>
      </c>
      <c r="V9" s="710">
        <v>0.2</v>
      </c>
      <c r="W9" s="710"/>
      <c r="X9" s="710">
        <v>0.25</v>
      </c>
      <c r="Y9" s="710"/>
    </row>
    <row r="10" spans="1:25">
      <c r="B10" s="707" t="s">
        <v>1041</v>
      </c>
      <c r="C10" s="710"/>
      <c r="D10" s="710"/>
      <c r="E10" s="709">
        <v>0.25</v>
      </c>
      <c r="F10" s="709"/>
      <c r="G10" s="672" t="s">
        <v>1196</v>
      </c>
      <c r="I10" s="707" t="s">
        <v>1471</v>
      </c>
      <c r="J10" s="710"/>
      <c r="K10" s="710"/>
      <c r="L10" s="709">
        <v>1.2</v>
      </c>
      <c r="M10" s="709"/>
      <c r="N10" s="672" t="s">
        <v>1989</v>
      </c>
      <c r="V10" s="710">
        <v>0.3</v>
      </c>
      <c r="W10" s="710"/>
      <c r="X10" s="710">
        <v>0.3</v>
      </c>
      <c r="Y10" s="710"/>
    </row>
    <row r="11" spans="1:25">
      <c r="B11" s="707" t="s">
        <v>1471</v>
      </c>
      <c r="C11" s="710"/>
      <c r="D11" s="710"/>
      <c r="E11" s="708">
        <f>E9/E10</f>
        <v>1.2</v>
      </c>
      <c r="F11" s="708"/>
      <c r="G11" s="672" t="s">
        <v>1989</v>
      </c>
      <c r="I11" s="707" t="s">
        <v>1041</v>
      </c>
      <c r="J11" s="710"/>
      <c r="K11" s="710"/>
      <c r="L11" s="708">
        <f>L9/L10</f>
        <v>0.25</v>
      </c>
      <c r="M11" s="708"/>
      <c r="N11" s="672" t="s">
        <v>1196</v>
      </c>
      <c r="V11" s="710"/>
      <c r="W11" s="710"/>
      <c r="X11" s="710"/>
      <c r="Y11" s="710"/>
    </row>
    <row r="12" spans="1:25">
      <c r="B12" s="710"/>
      <c r="C12" s="710"/>
      <c r="D12" s="710"/>
      <c r="E12" s="710"/>
      <c r="F12" s="710"/>
      <c r="I12" s="710"/>
      <c r="J12" s="710"/>
      <c r="K12" s="710"/>
      <c r="L12" s="710"/>
      <c r="M12" s="710"/>
      <c r="V12" s="710"/>
      <c r="W12" s="710"/>
      <c r="X12" s="710"/>
      <c r="Y12" s="710"/>
    </row>
    <row r="13" spans="1:25">
      <c r="B13" s="707" t="s">
        <v>1218</v>
      </c>
      <c r="C13" s="710"/>
      <c r="D13" s="710"/>
      <c r="E13" s="709">
        <v>0.3</v>
      </c>
      <c r="F13" s="709"/>
      <c r="G13" s="672" t="s">
        <v>915</v>
      </c>
      <c r="I13" s="707" t="s">
        <v>1218</v>
      </c>
      <c r="J13" s="710"/>
      <c r="K13" s="710"/>
      <c r="L13" s="709">
        <v>0.3</v>
      </c>
      <c r="M13" s="709"/>
      <c r="N13" s="672" t="s">
        <v>915</v>
      </c>
      <c r="V13" s="710"/>
      <c r="W13" s="710"/>
      <c r="X13" s="710"/>
      <c r="Y13" s="710"/>
    </row>
    <row r="14" spans="1:25">
      <c r="B14" s="707" t="s">
        <v>1041</v>
      </c>
      <c r="C14" s="710"/>
      <c r="D14" s="710"/>
      <c r="E14" s="709">
        <v>0.4</v>
      </c>
      <c r="F14" s="709"/>
      <c r="G14" s="672" t="s">
        <v>1196</v>
      </c>
      <c r="I14" s="707" t="s">
        <v>1471</v>
      </c>
      <c r="J14" s="710"/>
      <c r="K14" s="710"/>
      <c r="L14" s="709">
        <v>0.75</v>
      </c>
      <c r="M14" s="709"/>
      <c r="N14" s="672" t="s">
        <v>1989</v>
      </c>
      <c r="V14" s="710"/>
      <c r="W14" s="710"/>
      <c r="X14" s="710"/>
      <c r="Y14" s="710"/>
    </row>
    <row r="15" spans="1:25">
      <c r="B15" s="707" t="s">
        <v>1471</v>
      </c>
      <c r="C15" s="710"/>
      <c r="D15" s="710"/>
      <c r="E15" s="708">
        <f>E13/E14</f>
        <v>0.74999999999999989</v>
      </c>
      <c r="F15" s="708"/>
      <c r="G15" s="672" t="s">
        <v>1989</v>
      </c>
      <c r="I15" s="707" t="s">
        <v>1041</v>
      </c>
      <c r="J15" s="710"/>
      <c r="K15" s="710"/>
      <c r="L15" s="708">
        <f>L13/L14</f>
        <v>0.39999999999999997</v>
      </c>
      <c r="M15" s="708"/>
      <c r="N15" s="672" t="s">
        <v>1196</v>
      </c>
      <c r="V15" s="710"/>
      <c r="W15" s="710"/>
      <c r="X15" s="710"/>
      <c r="Y15" s="710"/>
    </row>
    <row r="16" spans="1:25">
      <c r="V16" s="710"/>
      <c r="W16" s="710"/>
      <c r="X16" s="710"/>
      <c r="Y16" s="710"/>
    </row>
  </sheetData>
  <mergeCells count="47">
    <mergeCell ref="A1:D1"/>
    <mergeCell ref="E9:F9"/>
    <mergeCell ref="E10:F10"/>
    <mergeCell ref="E11:F11"/>
    <mergeCell ref="E12:F12"/>
    <mergeCell ref="E14:F14"/>
    <mergeCell ref="E15:F15"/>
    <mergeCell ref="B9:D9"/>
    <mergeCell ref="B10:D10"/>
    <mergeCell ref="B11:D11"/>
    <mergeCell ref="B12:D12"/>
    <mergeCell ref="B13:D13"/>
    <mergeCell ref="B14:D14"/>
    <mergeCell ref="B15:D15"/>
    <mergeCell ref="E13:F13"/>
    <mergeCell ref="I13:K13"/>
    <mergeCell ref="L13:M13"/>
    <mergeCell ref="I14:K14"/>
    <mergeCell ref="L14:M14"/>
    <mergeCell ref="I15:K15"/>
    <mergeCell ref="L15:M15"/>
    <mergeCell ref="I12:K12"/>
    <mergeCell ref="L12:M12"/>
    <mergeCell ref="V8:W8"/>
    <mergeCell ref="V9:W9"/>
    <mergeCell ref="V10:W10"/>
    <mergeCell ref="V11:W11"/>
    <mergeCell ref="V12:W12"/>
    <mergeCell ref="I9:K9"/>
    <mergeCell ref="L9:M9"/>
    <mergeCell ref="I10:K10"/>
    <mergeCell ref="L10:M10"/>
    <mergeCell ref="I11:K11"/>
    <mergeCell ref="L11:M11"/>
    <mergeCell ref="X8:Y8"/>
    <mergeCell ref="X9:Y9"/>
    <mergeCell ref="X10:Y10"/>
    <mergeCell ref="X11:Y11"/>
    <mergeCell ref="X12:Y12"/>
    <mergeCell ref="X14:Y14"/>
    <mergeCell ref="X15:Y15"/>
    <mergeCell ref="X16:Y16"/>
    <mergeCell ref="V13:W13"/>
    <mergeCell ref="V14:W14"/>
    <mergeCell ref="V15:W15"/>
    <mergeCell ref="V16:W16"/>
    <mergeCell ref="X13:Y13"/>
  </mergeCells>
  <phoneticPr fontId="42"/>
  <hyperlinks>
    <hyperlink ref="A1:D1" location="目次!A1" display="　目次　" xr:uid="{4DC50129-1D25-4BE9-9D14-5EC52C85C89E}"/>
  </hyperlinks>
  <pageMargins left="0.69930555555555596" right="0.69930555555555596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FA63-18AF-4A11-AF58-B484DCCE61DD}">
  <dimension ref="A1:AB31"/>
  <sheetViews>
    <sheetView zoomScaleNormal="100" workbookViewId="0">
      <selection sqref="A1:D1"/>
    </sheetView>
  </sheetViews>
  <sheetFormatPr defaultColWidth="3.75" defaultRowHeight="13.5"/>
  <cols>
    <col min="1" max="16384" width="3.75" style="678"/>
  </cols>
  <sheetData>
    <row r="1" spans="1:24">
      <c r="A1" s="686" t="s">
        <v>61</v>
      </c>
      <c r="B1" s="686"/>
      <c r="C1" s="686"/>
      <c r="D1" s="686"/>
      <c r="E1" s="676"/>
    </row>
    <row r="2" spans="1:24">
      <c r="B2" s="680"/>
      <c r="C2" s="680"/>
      <c r="D2" s="678" t="s">
        <v>364</v>
      </c>
      <c r="H2" s="677" t="s">
        <v>1992</v>
      </c>
    </row>
    <row r="3" spans="1:24">
      <c r="B3" s="36"/>
      <c r="C3" s="36"/>
      <c r="D3" s="678" t="s">
        <v>395</v>
      </c>
      <c r="H3" s="686" t="s">
        <v>1993</v>
      </c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/>
      <c r="V3" s="686"/>
      <c r="W3" s="686"/>
      <c r="X3" s="686"/>
    </row>
    <row r="4" spans="1:24">
      <c r="B4" s="682"/>
      <c r="C4" s="682"/>
      <c r="D4" s="678" t="s">
        <v>404</v>
      </c>
      <c r="H4" s="677"/>
      <c r="J4" s="677"/>
    </row>
    <row r="24" spans="3:28">
      <c r="Q24" s="681"/>
      <c r="R24" s="681"/>
      <c r="S24" s="681"/>
      <c r="T24" s="681"/>
      <c r="U24" s="681"/>
      <c r="V24" s="681"/>
      <c r="W24" s="681"/>
      <c r="X24" s="681"/>
      <c r="Y24" s="681"/>
      <c r="Z24" s="681"/>
      <c r="AA24" s="681"/>
      <c r="AB24" s="681"/>
    </row>
    <row r="25" spans="3:28">
      <c r="Q25" s="681"/>
      <c r="R25" s="681"/>
      <c r="S25" s="681"/>
      <c r="T25" s="681"/>
      <c r="U25" s="681"/>
      <c r="V25" s="681"/>
      <c r="W25" s="681"/>
      <c r="X25" s="681"/>
      <c r="Y25" s="681"/>
      <c r="Z25" s="681"/>
      <c r="AA25" s="681"/>
      <c r="AB25" s="681"/>
    </row>
    <row r="27" spans="3:28">
      <c r="C27" s="707" t="s">
        <v>1242</v>
      </c>
      <c r="D27" s="707"/>
      <c r="E27" s="707"/>
      <c r="F27" s="707"/>
      <c r="G27" s="882">
        <v>0.6</v>
      </c>
      <c r="H27" s="882"/>
      <c r="I27" s="882"/>
      <c r="J27" s="677" t="s">
        <v>1064</v>
      </c>
    </row>
    <row r="28" spans="3:28">
      <c r="C28" s="707" t="s">
        <v>1239</v>
      </c>
      <c r="D28" s="707"/>
      <c r="E28" s="707"/>
      <c r="F28" s="707"/>
      <c r="G28" s="709">
        <f>220+27000</f>
        <v>27220</v>
      </c>
      <c r="H28" s="709"/>
      <c r="I28" s="709"/>
      <c r="J28" s="677" t="s">
        <v>1099</v>
      </c>
    </row>
    <row r="29" spans="3:28">
      <c r="C29" s="707" t="s">
        <v>1240</v>
      </c>
      <c r="D29" s="707"/>
      <c r="E29" s="707"/>
      <c r="F29" s="707"/>
      <c r="G29" s="709">
        <f>1000+2200</f>
        <v>3200</v>
      </c>
      <c r="H29" s="709"/>
      <c r="I29" s="709"/>
      <c r="J29" s="677" t="s">
        <v>1099</v>
      </c>
    </row>
    <row r="30" spans="3:28">
      <c r="C30" s="710"/>
      <c r="D30" s="710"/>
      <c r="E30" s="710"/>
      <c r="F30" s="710"/>
      <c r="G30" s="710"/>
      <c r="H30" s="710"/>
      <c r="I30" s="710"/>
    </row>
    <row r="31" spans="3:28">
      <c r="C31" s="707" t="s">
        <v>1063</v>
      </c>
      <c r="D31" s="707"/>
      <c r="E31" s="707"/>
      <c r="F31" s="707"/>
      <c r="G31" s="708">
        <f>G27*(1+G28/G29)</f>
        <v>5.7037499999999994</v>
      </c>
      <c r="H31" s="708"/>
      <c r="I31" s="708"/>
      <c r="J31" s="679" t="s">
        <v>1064</v>
      </c>
    </row>
  </sheetData>
  <mergeCells count="12">
    <mergeCell ref="C31:F31"/>
    <mergeCell ref="G27:I27"/>
    <mergeCell ref="G28:I28"/>
    <mergeCell ref="G29:I29"/>
    <mergeCell ref="G30:I30"/>
    <mergeCell ref="G31:I31"/>
    <mergeCell ref="C30:F30"/>
    <mergeCell ref="A1:D1"/>
    <mergeCell ref="H3:X3"/>
    <mergeCell ref="C27:F27"/>
    <mergeCell ref="C28:F28"/>
    <mergeCell ref="C29:F29"/>
  </mergeCells>
  <phoneticPr fontId="42"/>
  <hyperlinks>
    <hyperlink ref="A1:D1" location="目次!A1" display="　目次　" xr:uid="{40A00CE4-6DF8-43A9-82B0-47EB863CCA15}"/>
    <hyperlink ref="H3" r:id="rId1" xr:uid="{378A73DC-005E-4197-886B-44043248038D}"/>
  </hyperlinks>
  <pageMargins left="0.69930555555555596" right="0.69930555555555596" top="0.75" bottom="0.75" header="0.3" footer="0.3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A15D-BB62-45AB-9E16-395CA43C7BD5}">
  <dimension ref="A1:CT115"/>
  <sheetViews>
    <sheetView zoomScale="55" zoomScaleNormal="55" workbookViewId="0">
      <selection activeCell="AJ10" sqref="AJ10:AS19"/>
    </sheetView>
  </sheetViews>
  <sheetFormatPr defaultColWidth="2.625" defaultRowHeight="13.5"/>
  <cols>
    <col min="1" max="16384" width="2.625" style="620"/>
  </cols>
  <sheetData>
    <row r="1" spans="1:98">
      <c r="A1" s="686" t="s">
        <v>61</v>
      </c>
      <c r="B1" s="686"/>
      <c r="C1" s="686"/>
      <c r="D1" s="686"/>
      <c r="E1" s="618"/>
    </row>
    <row r="2" spans="1:98">
      <c r="B2" s="621"/>
      <c r="C2" s="621"/>
      <c r="D2" s="620" t="s">
        <v>364</v>
      </c>
      <c r="H2" s="619"/>
    </row>
    <row r="3" spans="1:98">
      <c r="B3" s="36"/>
      <c r="C3" s="36"/>
      <c r="D3" s="620" t="s">
        <v>395</v>
      </c>
      <c r="H3" s="619"/>
      <c r="J3" s="619"/>
    </row>
    <row r="4" spans="1:98">
      <c r="B4" s="622"/>
      <c r="C4" s="622"/>
      <c r="D4" s="620" t="s">
        <v>404</v>
      </c>
      <c r="H4" s="619"/>
      <c r="J4" s="619"/>
    </row>
    <row r="8" spans="1:98" ht="14.25" thickBot="1"/>
    <row r="9" spans="1:98">
      <c r="C9" s="1283"/>
      <c r="D9" s="1284"/>
      <c r="E9" s="1284"/>
      <c r="F9" s="1284"/>
      <c r="G9" s="1284"/>
      <c r="H9" s="1284"/>
      <c r="I9" s="1284"/>
      <c r="J9" s="1284"/>
      <c r="K9" s="1284"/>
      <c r="L9" s="1285"/>
      <c r="M9" s="1283"/>
      <c r="N9" s="1284"/>
      <c r="O9" s="1284"/>
      <c r="P9" s="1284"/>
      <c r="Q9" s="1284"/>
      <c r="R9" s="1284"/>
      <c r="S9" s="1284"/>
      <c r="T9" s="1284"/>
      <c r="U9" s="1284"/>
      <c r="V9" s="1294"/>
      <c r="W9" s="1295"/>
      <c r="X9" s="1284"/>
      <c r="Y9" s="1284"/>
      <c r="Z9" s="1284"/>
      <c r="AA9" s="1284"/>
      <c r="AB9" s="1284"/>
      <c r="AC9" s="1284"/>
      <c r="AD9" s="1284"/>
      <c r="AE9" s="1284"/>
      <c r="AF9" s="1294"/>
      <c r="AJ9" s="1283"/>
      <c r="AK9" s="1284"/>
      <c r="AL9" s="1284"/>
      <c r="AM9" s="1284"/>
      <c r="AN9" s="1284"/>
      <c r="AO9" s="1284"/>
      <c r="AP9" s="1284"/>
      <c r="AQ9" s="1284"/>
      <c r="AR9" s="1284"/>
      <c r="AS9" s="1285"/>
      <c r="AT9" s="1283"/>
      <c r="AU9" s="1284"/>
      <c r="AV9" s="1284"/>
      <c r="AW9" s="1284"/>
      <c r="AX9" s="1284"/>
      <c r="AY9" s="1284"/>
      <c r="AZ9" s="1284"/>
      <c r="BA9" s="1284"/>
      <c r="BB9" s="1284"/>
      <c r="BC9" s="1294"/>
      <c r="BD9" s="1295"/>
      <c r="BE9" s="1284"/>
      <c r="BF9" s="1284"/>
      <c r="BG9" s="1284"/>
      <c r="BH9" s="1284"/>
      <c r="BI9" s="1284"/>
      <c r="BJ9" s="1284"/>
      <c r="BK9" s="1284"/>
      <c r="BL9" s="1284"/>
      <c r="BM9" s="1294"/>
      <c r="BQ9" s="1283"/>
      <c r="BR9" s="1284"/>
      <c r="BS9" s="1284"/>
      <c r="BT9" s="1284"/>
      <c r="BU9" s="1284"/>
      <c r="BV9" s="1284"/>
      <c r="BW9" s="1284"/>
      <c r="BX9" s="1284"/>
      <c r="BY9" s="1284"/>
      <c r="BZ9" s="1285"/>
      <c r="CA9" s="1283"/>
      <c r="CB9" s="1284"/>
      <c r="CC9" s="1284"/>
      <c r="CD9" s="1284"/>
      <c r="CE9" s="1284"/>
      <c r="CF9" s="1284"/>
      <c r="CG9" s="1284"/>
      <c r="CH9" s="1284"/>
      <c r="CI9" s="1284"/>
      <c r="CJ9" s="1294"/>
      <c r="CK9" s="1295"/>
      <c r="CL9" s="1284"/>
      <c r="CM9" s="1284"/>
      <c r="CN9" s="1284"/>
      <c r="CO9" s="1284"/>
      <c r="CP9" s="1284"/>
      <c r="CQ9" s="1284"/>
      <c r="CR9" s="1284"/>
      <c r="CS9" s="1284"/>
      <c r="CT9" s="1294"/>
    </row>
    <row r="10" spans="1:98">
      <c r="C10" s="1286"/>
      <c r="D10" s="1287"/>
      <c r="E10" s="1287"/>
      <c r="F10" s="1287"/>
      <c r="G10" s="1287"/>
      <c r="H10" s="1287"/>
      <c r="I10" s="1287"/>
      <c r="J10" s="1287"/>
      <c r="K10" s="1287"/>
      <c r="L10" s="1288"/>
      <c r="M10" s="1286"/>
      <c r="N10" s="1287"/>
      <c r="O10" s="1287"/>
      <c r="P10" s="1287"/>
      <c r="Q10" s="1287"/>
      <c r="R10" s="1287"/>
      <c r="S10" s="1287"/>
      <c r="T10" s="1287"/>
      <c r="U10" s="1287"/>
      <c r="V10" s="1288"/>
      <c r="W10" s="1286"/>
      <c r="X10" s="1287"/>
      <c r="Y10" s="1287"/>
      <c r="Z10" s="1287"/>
      <c r="AA10" s="1287"/>
      <c r="AB10" s="1287"/>
      <c r="AC10" s="1287"/>
      <c r="AD10" s="1287"/>
      <c r="AE10" s="1287"/>
      <c r="AF10" s="1288"/>
      <c r="AJ10" s="1286"/>
      <c r="AK10" s="1287"/>
      <c r="AL10" s="1287"/>
      <c r="AM10" s="1287"/>
      <c r="AN10" s="1287"/>
      <c r="AO10" s="1287"/>
      <c r="AP10" s="1287"/>
      <c r="AQ10" s="1287"/>
      <c r="AR10" s="1287"/>
      <c r="AS10" s="1288"/>
      <c r="AT10" s="1286"/>
      <c r="AU10" s="1287"/>
      <c r="AV10" s="1287"/>
      <c r="AW10" s="1287"/>
      <c r="AX10" s="1287"/>
      <c r="AY10" s="1287"/>
      <c r="AZ10" s="1287"/>
      <c r="BA10" s="1287"/>
      <c r="BB10" s="1287"/>
      <c r="BC10" s="1288"/>
      <c r="BD10" s="1286"/>
      <c r="BE10" s="1287"/>
      <c r="BF10" s="1287"/>
      <c r="BG10" s="1287"/>
      <c r="BH10" s="1287"/>
      <c r="BI10" s="1287"/>
      <c r="BJ10" s="1287"/>
      <c r="BK10" s="1287"/>
      <c r="BL10" s="1287"/>
      <c r="BM10" s="1288"/>
      <c r="BQ10" s="1286"/>
      <c r="BR10" s="1287"/>
      <c r="BS10" s="1287"/>
      <c r="BT10" s="1287"/>
      <c r="BU10" s="1287"/>
      <c r="BV10" s="1287"/>
      <c r="BW10" s="1287"/>
      <c r="BX10" s="1287"/>
      <c r="BY10" s="1287"/>
      <c r="BZ10" s="1288"/>
      <c r="CA10" s="1286"/>
      <c r="CB10" s="1287"/>
      <c r="CC10" s="1287"/>
      <c r="CD10" s="1287"/>
      <c r="CE10" s="1287"/>
      <c r="CF10" s="1287"/>
      <c r="CG10" s="1287"/>
      <c r="CH10" s="1287"/>
      <c r="CI10" s="1287"/>
      <c r="CJ10" s="1288"/>
      <c r="CK10" s="1286"/>
      <c r="CL10" s="1287"/>
      <c r="CM10" s="1287"/>
      <c r="CN10" s="1287"/>
      <c r="CO10" s="1287"/>
      <c r="CP10" s="1287"/>
      <c r="CQ10" s="1287"/>
      <c r="CR10" s="1287"/>
      <c r="CS10" s="1287"/>
      <c r="CT10" s="1288"/>
    </row>
    <row r="11" spans="1:98">
      <c r="C11" s="1289"/>
      <c r="D11" s="768"/>
      <c r="E11" s="768"/>
      <c r="F11" s="768"/>
      <c r="G11" s="768"/>
      <c r="H11" s="768"/>
      <c r="I11" s="768"/>
      <c r="J11" s="768"/>
      <c r="K11" s="768"/>
      <c r="L11" s="1290"/>
      <c r="M11" s="1289"/>
      <c r="N11" s="768"/>
      <c r="O11" s="768"/>
      <c r="P11" s="768"/>
      <c r="Q11" s="768"/>
      <c r="R11" s="768"/>
      <c r="S11" s="768"/>
      <c r="T11" s="768"/>
      <c r="U11" s="768"/>
      <c r="V11" s="1290"/>
      <c r="W11" s="1289"/>
      <c r="X11" s="768"/>
      <c r="Y11" s="768"/>
      <c r="Z11" s="768"/>
      <c r="AA11" s="768"/>
      <c r="AB11" s="768"/>
      <c r="AC11" s="768"/>
      <c r="AD11" s="768"/>
      <c r="AE11" s="768"/>
      <c r="AF11" s="1290"/>
      <c r="AJ11" s="1289"/>
      <c r="AK11" s="768"/>
      <c r="AL11" s="768"/>
      <c r="AM11" s="768"/>
      <c r="AN11" s="768"/>
      <c r="AO11" s="768"/>
      <c r="AP11" s="768"/>
      <c r="AQ11" s="768"/>
      <c r="AR11" s="768"/>
      <c r="AS11" s="1290"/>
      <c r="AT11" s="1289"/>
      <c r="AU11" s="768"/>
      <c r="AV11" s="768"/>
      <c r="AW11" s="768"/>
      <c r="AX11" s="768"/>
      <c r="AY11" s="768"/>
      <c r="AZ11" s="768"/>
      <c r="BA11" s="768"/>
      <c r="BB11" s="768"/>
      <c r="BC11" s="1290"/>
      <c r="BD11" s="1289"/>
      <c r="BE11" s="768"/>
      <c r="BF11" s="768"/>
      <c r="BG11" s="768"/>
      <c r="BH11" s="768"/>
      <c r="BI11" s="768"/>
      <c r="BJ11" s="768"/>
      <c r="BK11" s="768"/>
      <c r="BL11" s="768"/>
      <c r="BM11" s="1290"/>
      <c r="BQ11" s="1289"/>
      <c r="BR11" s="768"/>
      <c r="BS11" s="768"/>
      <c r="BT11" s="768"/>
      <c r="BU11" s="768"/>
      <c r="BV11" s="768"/>
      <c r="BW11" s="768"/>
      <c r="BX11" s="768"/>
      <c r="BY11" s="768"/>
      <c r="BZ11" s="1290"/>
      <c r="CA11" s="1289"/>
      <c r="CB11" s="768"/>
      <c r="CC11" s="768"/>
      <c r="CD11" s="768"/>
      <c r="CE11" s="768"/>
      <c r="CF11" s="768"/>
      <c r="CG11" s="768"/>
      <c r="CH11" s="768"/>
      <c r="CI11" s="768"/>
      <c r="CJ11" s="1290"/>
      <c r="CK11" s="1289"/>
      <c r="CL11" s="768"/>
      <c r="CM11" s="768"/>
      <c r="CN11" s="768"/>
      <c r="CO11" s="768"/>
      <c r="CP11" s="768"/>
      <c r="CQ11" s="768"/>
      <c r="CR11" s="768"/>
      <c r="CS11" s="768"/>
      <c r="CT11" s="1290"/>
    </row>
    <row r="12" spans="1:98">
      <c r="C12" s="1289"/>
      <c r="D12" s="768"/>
      <c r="E12" s="768"/>
      <c r="F12" s="768"/>
      <c r="G12" s="768"/>
      <c r="H12" s="768"/>
      <c r="I12" s="768"/>
      <c r="J12" s="768"/>
      <c r="K12" s="768"/>
      <c r="L12" s="1290"/>
      <c r="M12" s="1289"/>
      <c r="N12" s="768"/>
      <c r="O12" s="768"/>
      <c r="P12" s="768"/>
      <c r="Q12" s="768"/>
      <c r="R12" s="768"/>
      <c r="S12" s="768"/>
      <c r="T12" s="768"/>
      <c r="U12" s="768"/>
      <c r="V12" s="1290"/>
      <c r="W12" s="1289"/>
      <c r="X12" s="768"/>
      <c r="Y12" s="768"/>
      <c r="Z12" s="768"/>
      <c r="AA12" s="768"/>
      <c r="AB12" s="768"/>
      <c r="AC12" s="768"/>
      <c r="AD12" s="768"/>
      <c r="AE12" s="768"/>
      <c r="AF12" s="1290"/>
      <c r="AJ12" s="1289"/>
      <c r="AK12" s="768"/>
      <c r="AL12" s="768"/>
      <c r="AM12" s="768"/>
      <c r="AN12" s="768"/>
      <c r="AO12" s="768"/>
      <c r="AP12" s="768"/>
      <c r="AQ12" s="768"/>
      <c r="AR12" s="768"/>
      <c r="AS12" s="1290"/>
      <c r="AT12" s="1289"/>
      <c r="AU12" s="768"/>
      <c r="AV12" s="768"/>
      <c r="AW12" s="768"/>
      <c r="AX12" s="768"/>
      <c r="AY12" s="768"/>
      <c r="AZ12" s="768"/>
      <c r="BA12" s="768"/>
      <c r="BB12" s="768"/>
      <c r="BC12" s="1290"/>
      <c r="BD12" s="1289"/>
      <c r="BE12" s="768"/>
      <c r="BF12" s="768"/>
      <c r="BG12" s="768"/>
      <c r="BH12" s="768"/>
      <c r="BI12" s="768"/>
      <c r="BJ12" s="768"/>
      <c r="BK12" s="768"/>
      <c r="BL12" s="768"/>
      <c r="BM12" s="1290"/>
      <c r="BQ12" s="1289"/>
      <c r="BR12" s="768"/>
      <c r="BS12" s="768"/>
      <c r="BT12" s="768"/>
      <c r="BU12" s="768"/>
      <c r="BV12" s="768"/>
      <c r="BW12" s="768"/>
      <c r="BX12" s="768"/>
      <c r="BY12" s="768"/>
      <c r="BZ12" s="1290"/>
      <c r="CA12" s="1289"/>
      <c r="CB12" s="768"/>
      <c r="CC12" s="768"/>
      <c r="CD12" s="768"/>
      <c r="CE12" s="768"/>
      <c r="CF12" s="768"/>
      <c r="CG12" s="768"/>
      <c r="CH12" s="768"/>
      <c r="CI12" s="768"/>
      <c r="CJ12" s="1290"/>
      <c r="CK12" s="1289"/>
      <c r="CL12" s="768"/>
      <c r="CM12" s="768"/>
      <c r="CN12" s="768"/>
      <c r="CO12" s="768"/>
      <c r="CP12" s="768"/>
      <c r="CQ12" s="768"/>
      <c r="CR12" s="768"/>
      <c r="CS12" s="768"/>
      <c r="CT12" s="1290"/>
    </row>
    <row r="13" spans="1:98">
      <c r="C13" s="1289"/>
      <c r="D13" s="768"/>
      <c r="E13" s="768"/>
      <c r="F13" s="768"/>
      <c r="G13" s="768"/>
      <c r="H13" s="768"/>
      <c r="I13" s="768"/>
      <c r="J13" s="768"/>
      <c r="K13" s="768"/>
      <c r="L13" s="1290"/>
      <c r="M13" s="1289"/>
      <c r="N13" s="768"/>
      <c r="O13" s="768"/>
      <c r="P13" s="768"/>
      <c r="Q13" s="768"/>
      <c r="R13" s="768"/>
      <c r="S13" s="768"/>
      <c r="T13" s="768"/>
      <c r="U13" s="768"/>
      <c r="V13" s="1290"/>
      <c r="W13" s="1289"/>
      <c r="X13" s="768"/>
      <c r="Y13" s="768"/>
      <c r="Z13" s="768"/>
      <c r="AA13" s="768"/>
      <c r="AB13" s="768"/>
      <c r="AC13" s="768"/>
      <c r="AD13" s="768"/>
      <c r="AE13" s="768"/>
      <c r="AF13" s="1290"/>
      <c r="AJ13" s="1289"/>
      <c r="AK13" s="768"/>
      <c r="AL13" s="768"/>
      <c r="AM13" s="768"/>
      <c r="AN13" s="768"/>
      <c r="AO13" s="768"/>
      <c r="AP13" s="768"/>
      <c r="AQ13" s="768"/>
      <c r="AR13" s="768"/>
      <c r="AS13" s="1290"/>
      <c r="AT13" s="1289"/>
      <c r="AU13" s="768"/>
      <c r="AV13" s="768"/>
      <c r="AW13" s="768"/>
      <c r="AX13" s="768"/>
      <c r="AY13" s="768"/>
      <c r="AZ13" s="768"/>
      <c r="BA13" s="768"/>
      <c r="BB13" s="768"/>
      <c r="BC13" s="1290"/>
      <c r="BD13" s="1289"/>
      <c r="BE13" s="768"/>
      <c r="BF13" s="768"/>
      <c r="BG13" s="768"/>
      <c r="BH13" s="768"/>
      <c r="BI13" s="768"/>
      <c r="BJ13" s="768"/>
      <c r="BK13" s="768"/>
      <c r="BL13" s="768"/>
      <c r="BM13" s="1290"/>
      <c r="BQ13" s="1289"/>
      <c r="BR13" s="768"/>
      <c r="BS13" s="768"/>
      <c r="BT13" s="768"/>
      <c r="BU13" s="768"/>
      <c r="BV13" s="768"/>
      <c r="BW13" s="768"/>
      <c r="BX13" s="768"/>
      <c r="BY13" s="768"/>
      <c r="BZ13" s="1290"/>
      <c r="CA13" s="1289"/>
      <c r="CB13" s="768"/>
      <c r="CC13" s="768"/>
      <c r="CD13" s="768"/>
      <c r="CE13" s="768"/>
      <c r="CF13" s="768"/>
      <c r="CG13" s="768"/>
      <c r="CH13" s="768"/>
      <c r="CI13" s="768"/>
      <c r="CJ13" s="1290"/>
      <c r="CK13" s="1289"/>
      <c r="CL13" s="768"/>
      <c r="CM13" s="768"/>
      <c r="CN13" s="768"/>
      <c r="CO13" s="768"/>
      <c r="CP13" s="768"/>
      <c r="CQ13" s="768"/>
      <c r="CR13" s="768"/>
      <c r="CS13" s="768"/>
      <c r="CT13" s="1290"/>
    </row>
    <row r="14" spans="1:98">
      <c r="C14" s="1289"/>
      <c r="D14" s="768"/>
      <c r="E14" s="768"/>
      <c r="F14" s="768"/>
      <c r="G14" s="768"/>
      <c r="H14" s="768"/>
      <c r="I14" s="768"/>
      <c r="J14" s="768"/>
      <c r="K14" s="768"/>
      <c r="L14" s="1290"/>
      <c r="M14" s="1289"/>
      <c r="N14" s="768"/>
      <c r="O14" s="768"/>
      <c r="P14" s="768"/>
      <c r="Q14" s="768"/>
      <c r="R14" s="768"/>
      <c r="S14" s="768"/>
      <c r="T14" s="768"/>
      <c r="U14" s="768"/>
      <c r="V14" s="1290"/>
      <c r="W14" s="1289"/>
      <c r="X14" s="768"/>
      <c r="Y14" s="768"/>
      <c r="Z14" s="768"/>
      <c r="AA14" s="768"/>
      <c r="AB14" s="768"/>
      <c r="AC14" s="768"/>
      <c r="AD14" s="768"/>
      <c r="AE14" s="768"/>
      <c r="AF14" s="1290"/>
      <c r="AJ14" s="1289"/>
      <c r="AK14" s="768"/>
      <c r="AL14" s="768"/>
      <c r="AM14" s="768"/>
      <c r="AN14" s="768"/>
      <c r="AO14" s="768"/>
      <c r="AP14" s="768"/>
      <c r="AQ14" s="768"/>
      <c r="AR14" s="768"/>
      <c r="AS14" s="1290"/>
      <c r="AT14" s="1289"/>
      <c r="AU14" s="768"/>
      <c r="AV14" s="768"/>
      <c r="AW14" s="768"/>
      <c r="AX14" s="768"/>
      <c r="AY14" s="768"/>
      <c r="AZ14" s="768"/>
      <c r="BA14" s="768"/>
      <c r="BB14" s="768"/>
      <c r="BC14" s="1290"/>
      <c r="BD14" s="1289"/>
      <c r="BE14" s="768"/>
      <c r="BF14" s="768"/>
      <c r="BG14" s="768"/>
      <c r="BH14" s="768"/>
      <c r="BI14" s="768"/>
      <c r="BJ14" s="768"/>
      <c r="BK14" s="768"/>
      <c r="BL14" s="768"/>
      <c r="BM14" s="1290"/>
      <c r="BQ14" s="1289"/>
      <c r="BR14" s="768"/>
      <c r="BS14" s="768"/>
      <c r="BT14" s="768"/>
      <c r="BU14" s="768"/>
      <c r="BV14" s="768"/>
      <c r="BW14" s="768"/>
      <c r="BX14" s="768"/>
      <c r="BY14" s="768"/>
      <c r="BZ14" s="1290"/>
      <c r="CA14" s="1289"/>
      <c r="CB14" s="768"/>
      <c r="CC14" s="768"/>
      <c r="CD14" s="768"/>
      <c r="CE14" s="768"/>
      <c r="CF14" s="768"/>
      <c r="CG14" s="768"/>
      <c r="CH14" s="768"/>
      <c r="CI14" s="768"/>
      <c r="CJ14" s="1290"/>
      <c r="CK14" s="1289"/>
      <c r="CL14" s="768"/>
      <c r="CM14" s="768"/>
      <c r="CN14" s="768"/>
      <c r="CO14" s="768"/>
      <c r="CP14" s="768"/>
      <c r="CQ14" s="768"/>
      <c r="CR14" s="768"/>
      <c r="CS14" s="768"/>
      <c r="CT14" s="1290"/>
    </row>
    <row r="15" spans="1:98">
      <c r="C15" s="1289"/>
      <c r="D15" s="768"/>
      <c r="E15" s="768"/>
      <c r="F15" s="768"/>
      <c r="G15" s="768"/>
      <c r="H15" s="768"/>
      <c r="I15" s="768"/>
      <c r="J15" s="768"/>
      <c r="K15" s="768"/>
      <c r="L15" s="1290"/>
      <c r="M15" s="1289"/>
      <c r="N15" s="768"/>
      <c r="O15" s="768"/>
      <c r="P15" s="768"/>
      <c r="Q15" s="768"/>
      <c r="R15" s="768"/>
      <c r="S15" s="768"/>
      <c r="T15" s="768"/>
      <c r="U15" s="768"/>
      <c r="V15" s="1290"/>
      <c r="W15" s="1289"/>
      <c r="X15" s="768"/>
      <c r="Y15" s="768"/>
      <c r="Z15" s="768"/>
      <c r="AA15" s="768"/>
      <c r="AB15" s="768"/>
      <c r="AC15" s="768"/>
      <c r="AD15" s="768"/>
      <c r="AE15" s="768"/>
      <c r="AF15" s="1290"/>
      <c r="AJ15" s="1289"/>
      <c r="AK15" s="768"/>
      <c r="AL15" s="768"/>
      <c r="AM15" s="768"/>
      <c r="AN15" s="768"/>
      <c r="AO15" s="768"/>
      <c r="AP15" s="768"/>
      <c r="AQ15" s="768"/>
      <c r="AR15" s="768"/>
      <c r="AS15" s="1290"/>
      <c r="AT15" s="1289"/>
      <c r="AU15" s="768"/>
      <c r="AV15" s="768"/>
      <c r="AW15" s="768"/>
      <c r="AX15" s="768"/>
      <c r="AY15" s="768"/>
      <c r="AZ15" s="768"/>
      <c r="BA15" s="768"/>
      <c r="BB15" s="768"/>
      <c r="BC15" s="1290"/>
      <c r="BD15" s="1289"/>
      <c r="BE15" s="768"/>
      <c r="BF15" s="768"/>
      <c r="BG15" s="768"/>
      <c r="BH15" s="768"/>
      <c r="BI15" s="768"/>
      <c r="BJ15" s="768"/>
      <c r="BK15" s="768"/>
      <c r="BL15" s="768"/>
      <c r="BM15" s="1290"/>
      <c r="BQ15" s="1289"/>
      <c r="BR15" s="768"/>
      <c r="BS15" s="768"/>
      <c r="BT15" s="768"/>
      <c r="BU15" s="768"/>
      <c r="BV15" s="768"/>
      <c r="BW15" s="768"/>
      <c r="BX15" s="768"/>
      <c r="BY15" s="768"/>
      <c r="BZ15" s="1290"/>
      <c r="CA15" s="1289"/>
      <c r="CB15" s="768"/>
      <c r="CC15" s="768"/>
      <c r="CD15" s="768"/>
      <c r="CE15" s="768"/>
      <c r="CF15" s="768"/>
      <c r="CG15" s="768"/>
      <c r="CH15" s="768"/>
      <c r="CI15" s="768"/>
      <c r="CJ15" s="1290"/>
      <c r="CK15" s="1289"/>
      <c r="CL15" s="768"/>
      <c r="CM15" s="768"/>
      <c r="CN15" s="768"/>
      <c r="CO15" s="768"/>
      <c r="CP15" s="768"/>
      <c r="CQ15" s="768"/>
      <c r="CR15" s="768"/>
      <c r="CS15" s="768"/>
      <c r="CT15" s="1290"/>
    </row>
    <row r="16" spans="1:98">
      <c r="C16" s="1289"/>
      <c r="D16" s="768"/>
      <c r="E16" s="768"/>
      <c r="F16" s="768"/>
      <c r="G16" s="768"/>
      <c r="H16" s="768"/>
      <c r="I16" s="768"/>
      <c r="J16" s="768"/>
      <c r="K16" s="768"/>
      <c r="L16" s="1290"/>
      <c r="M16" s="1289"/>
      <c r="N16" s="768"/>
      <c r="O16" s="768"/>
      <c r="P16" s="768"/>
      <c r="Q16" s="768"/>
      <c r="R16" s="768"/>
      <c r="S16" s="768"/>
      <c r="T16" s="768"/>
      <c r="U16" s="768"/>
      <c r="V16" s="1290"/>
      <c r="W16" s="1289"/>
      <c r="X16" s="768"/>
      <c r="Y16" s="768"/>
      <c r="Z16" s="768"/>
      <c r="AA16" s="768"/>
      <c r="AB16" s="768"/>
      <c r="AC16" s="768"/>
      <c r="AD16" s="768"/>
      <c r="AE16" s="768"/>
      <c r="AF16" s="1290"/>
      <c r="AJ16" s="1289"/>
      <c r="AK16" s="768"/>
      <c r="AL16" s="768"/>
      <c r="AM16" s="768"/>
      <c r="AN16" s="768"/>
      <c r="AO16" s="768"/>
      <c r="AP16" s="768"/>
      <c r="AQ16" s="768"/>
      <c r="AR16" s="768"/>
      <c r="AS16" s="1290"/>
      <c r="AT16" s="1289"/>
      <c r="AU16" s="768"/>
      <c r="AV16" s="768"/>
      <c r="AW16" s="768"/>
      <c r="AX16" s="768"/>
      <c r="AY16" s="768"/>
      <c r="AZ16" s="768"/>
      <c r="BA16" s="768"/>
      <c r="BB16" s="768"/>
      <c r="BC16" s="1290"/>
      <c r="BD16" s="1289"/>
      <c r="BE16" s="768"/>
      <c r="BF16" s="768"/>
      <c r="BG16" s="768"/>
      <c r="BH16" s="768"/>
      <c r="BI16" s="768"/>
      <c r="BJ16" s="768"/>
      <c r="BK16" s="768"/>
      <c r="BL16" s="768"/>
      <c r="BM16" s="1290"/>
      <c r="BQ16" s="1289"/>
      <c r="BR16" s="768"/>
      <c r="BS16" s="768"/>
      <c r="BT16" s="768"/>
      <c r="BU16" s="768"/>
      <c r="BV16" s="768"/>
      <c r="BW16" s="768"/>
      <c r="BX16" s="768"/>
      <c r="BY16" s="768"/>
      <c r="BZ16" s="1290"/>
      <c r="CA16" s="1289"/>
      <c r="CB16" s="768"/>
      <c r="CC16" s="768"/>
      <c r="CD16" s="768"/>
      <c r="CE16" s="768"/>
      <c r="CF16" s="768"/>
      <c r="CG16" s="768"/>
      <c r="CH16" s="768"/>
      <c r="CI16" s="768"/>
      <c r="CJ16" s="1290"/>
      <c r="CK16" s="1289"/>
      <c r="CL16" s="768"/>
      <c r="CM16" s="768"/>
      <c r="CN16" s="768"/>
      <c r="CO16" s="768"/>
      <c r="CP16" s="768"/>
      <c r="CQ16" s="768"/>
      <c r="CR16" s="768"/>
      <c r="CS16" s="768"/>
      <c r="CT16" s="1290"/>
    </row>
    <row r="17" spans="3:98">
      <c r="C17" s="1289"/>
      <c r="D17" s="768"/>
      <c r="E17" s="768"/>
      <c r="F17" s="768"/>
      <c r="G17" s="768"/>
      <c r="H17" s="768"/>
      <c r="I17" s="768"/>
      <c r="J17" s="768"/>
      <c r="K17" s="768"/>
      <c r="L17" s="1290"/>
      <c r="M17" s="1289"/>
      <c r="N17" s="768"/>
      <c r="O17" s="768"/>
      <c r="P17" s="768"/>
      <c r="Q17" s="768"/>
      <c r="R17" s="768"/>
      <c r="S17" s="768"/>
      <c r="T17" s="768"/>
      <c r="U17" s="768"/>
      <c r="V17" s="1290"/>
      <c r="W17" s="1289"/>
      <c r="X17" s="768"/>
      <c r="Y17" s="768"/>
      <c r="Z17" s="768"/>
      <c r="AA17" s="768"/>
      <c r="AB17" s="768"/>
      <c r="AC17" s="768"/>
      <c r="AD17" s="768"/>
      <c r="AE17" s="768"/>
      <c r="AF17" s="1290"/>
      <c r="AJ17" s="1289"/>
      <c r="AK17" s="768"/>
      <c r="AL17" s="768"/>
      <c r="AM17" s="768"/>
      <c r="AN17" s="768"/>
      <c r="AO17" s="768"/>
      <c r="AP17" s="768"/>
      <c r="AQ17" s="768"/>
      <c r="AR17" s="768"/>
      <c r="AS17" s="1290"/>
      <c r="AT17" s="1289"/>
      <c r="AU17" s="768"/>
      <c r="AV17" s="768"/>
      <c r="AW17" s="768"/>
      <c r="AX17" s="768"/>
      <c r="AY17" s="768"/>
      <c r="AZ17" s="768"/>
      <c r="BA17" s="768"/>
      <c r="BB17" s="768"/>
      <c r="BC17" s="1290"/>
      <c r="BD17" s="1289"/>
      <c r="BE17" s="768"/>
      <c r="BF17" s="768"/>
      <c r="BG17" s="768"/>
      <c r="BH17" s="768"/>
      <c r="BI17" s="768"/>
      <c r="BJ17" s="768"/>
      <c r="BK17" s="768"/>
      <c r="BL17" s="768"/>
      <c r="BM17" s="1290"/>
      <c r="BQ17" s="1289"/>
      <c r="BR17" s="768"/>
      <c r="BS17" s="768"/>
      <c r="BT17" s="768"/>
      <c r="BU17" s="768"/>
      <c r="BV17" s="768"/>
      <c r="BW17" s="768"/>
      <c r="BX17" s="768"/>
      <c r="BY17" s="768"/>
      <c r="BZ17" s="1290"/>
      <c r="CA17" s="1289"/>
      <c r="CB17" s="768"/>
      <c r="CC17" s="768"/>
      <c r="CD17" s="768"/>
      <c r="CE17" s="768"/>
      <c r="CF17" s="768"/>
      <c r="CG17" s="768"/>
      <c r="CH17" s="768"/>
      <c r="CI17" s="768"/>
      <c r="CJ17" s="1290"/>
      <c r="CK17" s="1289"/>
      <c r="CL17" s="768"/>
      <c r="CM17" s="768"/>
      <c r="CN17" s="768"/>
      <c r="CO17" s="768"/>
      <c r="CP17" s="768"/>
      <c r="CQ17" s="768"/>
      <c r="CR17" s="768"/>
      <c r="CS17" s="768"/>
      <c r="CT17" s="1290"/>
    </row>
    <row r="18" spans="3:98">
      <c r="C18" s="1289"/>
      <c r="D18" s="768"/>
      <c r="E18" s="768"/>
      <c r="F18" s="768"/>
      <c r="G18" s="768"/>
      <c r="H18" s="768"/>
      <c r="I18" s="768"/>
      <c r="J18" s="768"/>
      <c r="K18" s="768"/>
      <c r="L18" s="1290"/>
      <c r="M18" s="1289"/>
      <c r="N18" s="768"/>
      <c r="O18" s="768"/>
      <c r="P18" s="768"/>
      <c r="Q18" s="768"/>
      <c r="R18" s="768"/>
      <c r="S18" s="768"/>
      <c r="T18" s="768"/>
      <c r="U18" s="768"/>
      <c r="V18" s="1290"/>
      <c r="W18" s="1289"/>
      <c r="X18" s="768"/>
      <c r="Y18" s="768"/>
      <c r="Z18" s="768"/>
      <c r="AA18" s="768"/>
      <c r="AB18" s="768"/>
      <c r="AC18" s="768"/>
      <c r="AD18" s="768"/>
      <c r="AE18" s="768"/>
      <c r="AF18" s="1290"/>
      <c r="AJ18" s="1289"/>
      <c r="AK18" s="768"/>
      <c r="AL18" s="768"/>
      <c r="AM18" s="768"/>
      <c r="AN18" s="768"/>
      <c r="AO18" s="768"/>
      <c r="AP18" s="768"/>
      <c r="AQ18" s="768"/>
      <c r="AR18" s="768"/>
      <c r="AS18" s="1290"/>
      <c r="AT18" s="1289"/>
      <c r="AU18" s="768"/>
      <c r="AV18" s="768"/>
      <c r="AW18" s="768"/>
      <c r="AX18" s="768"/>
      <c r="AY18" s="768"/>
      <c r="AZ18" s="768"/>
      <c r="BA18" s="768"/>
      <c r="BB18" s="768"/>
      <c r="BC18" s="1290"/>
      <c r="BD18" s="1289"/>
      <c r="BE18" s="768"/>
      <c r="BF18" s="768"/>
      <c r="BG18" s="768"/>
      <c r="BH18" s="768"/>
      <c r="BI18" s="768"/>
      <c r="BJ18" s="768"/>
      <c r="BK18" s="768"/>
      <c r="BL18" s="768"/>
      <c r="BM18" s="1290"/>
      <c r="BQ18" s="1289"/>
      <c r="BR18" s="768"/>
      <c r="BS18" s="768"/>
      <c r="BT18" s="768"/>
      <c r="BU18" s="768"/>
      <c r="BV18" s="768"/>
      <c r="BW18" s="768"/>
      <c r="BX18" s="768"/>
      <c r="BY18" s="768"/>
      <c r="BZ18" s="1290"/>
      <c r="CA18" s="1289"/>
      <c r="CB18" s="768"/>
      <c r="CC18" s="768"/>
      <c r="CD18" s="768"/>
      <c r="CE18" s="768"/>
      <c r="CF18" s="768"/>
      <c r="CG18" s="768"/>
      <c r="CH18" s="768"/>
      <c r="CI18" s="768"/>
      <c r="CJ18" s="1290"/>
      <c r="CK18" s="1289"/>
      <c r="CL18" s="768"/>
      <c r="CM18" s="768"/>
      <c r="CN18" s="768"/>
      <c r="CO18" s="768"/>
      <c r="CP18" s="768"/>
      <c r="CQ18" s="768"/>
      <c r="CR18" s="768"/>
      <c r="CS18" s="768"/>
      <c r="CT18" s="1290"/>
    </row>
    <row r="19" spans="3:98" ht="14.25" thickBot="1">
      <c r="C19" s="1291"/>
      <c r="D19" s="1292"/>
      <c r="E19" s="1292"/>
      <c r="F19" s="1292"/>
      <c r="G19" s="1292"/>
      <c r="H19" s="1292"/>
      <c r="I19" s="1292"/>
      <c r="J19" s="1292"/>
      <c r="K19" s="1292"/>
      <c r="L19" s="1293"/>
      <c r="M19" s="1291"/>
      <c r="N19" s="1292"/>
      <c r="O19" s="1292"/>
      <c r="P19" s="1292"/>
      <c r="Q19" s="1292"/>
      <c r="R19" s="1292"/>
      <c r="S19" s="1292"/>
      <c r="T19" s="1292"/>
      <c r="U19" s="1292"/>
      <c r="V19" s="1293"/>
      <c r="W19" s="1291"/>
      <c r="X19" s="1292"/>
      <c r="Y19" s="1292"/>
      <c r="Z19" s="1292"/>
      <c r="AA19" s="1292"/>
      <c r="AB19" s="1292"/>
      <c r="AC19" s="1292"/>
      <c r="AD19" s="1292"/>
      <c r="AE19" s="1292"/>
      <c r="AF19" s="1293"/>
      <c r="AJ19" s="1291"/>
      <c r="AK19" s="1292"/>
      <c r="AL19" s="1292"/>
      <c r="AM19" s="1292"/>
      <c r="AN19" s="1292"/>
      <c r="AO19" s="1292"/>
      <c r="AP19" s="1292"/>
      <c r="AQ19" s="1292"/>
      <c r="AR19" s="1292"/>
      <c r="AS19" s="1293"/>
      <c r="AT19" s="1291"/>
      <c r="AU19" s="1292"/>
      <c r="AV19" s="1292"/>
      <c r="AW19" s="1292"/>
      <c r="AX19" s="1292"/>
      <c r="AY19" s="1292"/>
      <c r="AZ19" s="1292"/>
      <c r="BA19" s="1292"/>
      <c r="BB19" s="1292"/>
      <c r="BC19" s="1293"/>
      <c r="BD19" s="1291"/>
      <c r="BE19" s="1292"/>
      <c r="BF19" s="1292"/>
      <c r="BG19" s="1292"/>
      <c r="BH19" s="1292"/>
      <c r="BI19" s="1292"/>
      <c r="BJ19" s="1292"/>
      <c r="BK19" s="1292"/>
      <c r="BL19" s="1292"/>
      <c r="BM19" s="1293"/>
      <c r="BQ19" s="1291"/>
      <c r="BR19" s="1292"/>
      <c r="BS19" s="1292"/>
      <c r="BT19" s="1292"/>
      <c r="BU19" s="1292"/>
      <c r="BV19" s="1292"/>
      <c r="BW19" s="1292"/>
      <c r="BX19" s="1292"/>
      <c r="BY19" s="1292"/>
      <c r="BZ19" s="1293"/>
      <c r="CA19" s="1291"/>
      <c r="CB19" s="1292"/>
      <c r="CC19" s="1292"/>
      <c r="CD19" s="1292"/>
      <c r="CE19" s="1292"/>
      <c r="CF19" s="1292"/>
      <c r="CG19" s="1292"/>
      <c r="CH19" s="1292"/>
      <c r="CI19" s="1292"/>
      <c r="CJ19" s="1293"/>
      <c r="CK19" s="1291"/>
      <c r="CL19" s="1292"/>
      <c r="CM19" s="1292"/>
      <c r="CN19" s="1292"/>
      <c r="CO19" s="1292"/>
      <c r="CP19" s="1292"/>
      <c r="CQ19" s="1292"/>
      <c r="CR19" s="1292"/>
      <c r="CS19" s="1292"/>
      <c r="CT19" s="1293"/>
    </row>
    <row r="20" spans="3:98">
      <c r="C20" s="1283"/>
      <c r="D20" s="1284"/>
      <c r="E20" s="1284"/>
      <c r="F20" s="1284"/>
      <c r="G20" s="1284"/>
      <c r="H20" s="1284"/>
      <c r="I20" s="1284"/>
      <c r="J20" s="1284"/>
      <c r="K20" s="1284"/>
      <c r="L20" s="1285"/>
      <c r="M20" s="1283"/>
      <c r="N20" s="1284"/>
      <c r="O20" s="1284"/>
      <c r="P20" s="1284"/>
      <c r="Q20" s="1284"/>
      <c r="R20" s="1284"/>
      <c r="S20" s="1284"/>
      <c r="T20" s="1284"/>
      <c r="U20" s="1284"/>
      <c r="V20" s="1294"/>
      <c r="W20" s="1295"/>
      <c r="X20" s="1284"/>
      <c r="Y20" s="1284"/>
      <c r="Z20" s="1284"/>
      <c r="AA20" s="1284"/>
      <c r="AB20" s="1284"/>
      <c r="AC20" s="1284"/>
      <c r="AD20" s="1284"/>
      <c r="AE20" s="1284"/>
      <c r="AF20" s="1294"/>
      <c r="AJ20" s="1283"/>
      <c r="AK20" s="1284"/>
      <c r="AL20" s="1284"/>
      <c r="AM20" s="1284"/>
      <c r="AN20" s="1284"/>
      <c r="AO20" s="1284"/>
      <c r="AP20" s="1284"/>
      <c r="AQ20" s="1284"/>
      <c r="AR20" s="1284"/>
      <c r="AS20" s="1285"/>
      <c r="AT20" s="1283"/>
      <c r="AU20" s="1284"/>
      <c r="AV20" s="1284"/>
      <c r="AW20" s="1284"/>
      <c r="AX20" s="1284"/>
      <c r="AY20" s="1284"/>
      <c r="AZ20" s="1284"/>
      <c r="BA20" s="1284"/>
      <c r="BB20" s="1284"/>
      <c r="BC20" s="1294"/>
      <c r="BD20" s="1295"/>
      <c r="BE20" s="1284"/>
      <c r="BF20" s="1284"/>
      <c r="BG20" s="1284"/>
      <c r="BH20" s="1284"/>
      <c r="BI20" s="1284"/>
      <c r="BJ20" s="1284"/>
      <c r="BK20" s="1284"/>
      <c r="BL20" s="1284"/>
      <c r="BM20" s="1294"/>
      <c r="BQ20" s="1283"/>
      <c r="BR20" s="1284"/>
      <c r="BS20" s="1284"/>
      <c r="BT20" s="1284"/>
      <c r="BU20" s="1284"/>
      <c r="BV20" s="1284"/>
      <c r="BW20" s="1284"/>
      <c r="BX20" s="1284"/>
      <c r="BY20" s="1284"/>
      <c r="BZ20" s="1285"/>
      <c r="CA20" s="1283"/>
      <c r="CB20" s="1284"/>
      <c r="CC20" s="1284"/>
      <c r="CD20" s="1284"/>
      <c r="CE20" s="1284"/>
      <c r="CF20" s="1284"/>
      <c r="CG20" s="1284"/>
      <c r="CH20" s="1284"/>
      <c r="CI20" s="1284"/>
      <c r="CJ20" s="1294"/>
      <c r="CK20" s="1295"/>
      <c r="CL20" s="1284"/>
      <c r="CM20" s="1284"/>
      <c r="CN20" s="1284"/>
      <c r="CO20" s="1284"/>
      <c r="CP20" s="1284"/>
      <c r="CQ20" s="1284"/>
      <c r="CR20" s="1284"/>
      <c r="CS20" s="1284"/>
      <c r="CT20" s="1294"/>
    </row>
    <row r="21" spans="3:98">
      <c r="C21" s="1286"/>
      <c r="D21" s="1287"/>
      <c r="E21" s="1287"/>
      <c r="F21" s="1287"/>
      <c r="G21" s="1287"/>
      <c r="H21" s="1287"/>
      <c r="I21" s="1287"/>
      <c r="J21" s="1287"/>
      <c r="K21" s="1287"/>
      <c r="L21" s="1288"/>
      <c r="M21" s="1286"/>
      <c r="N21" s="1287"/>
      <c r="O21" s="1287"/>
      <c r="P21" s="1287"/>
      <c r="Q21" s="1287"/>
      <c r="R21" s="1287"/>
      <c r="S21" s="1287"/>
      <c r="T21" s="1287"/>
      <c r="U21" s="1287"/>
      <c r="V21" s="1288"/>
      <c r="W21" s="1286"/>
      <c r="X21" s="1287"/>
      <c r="Y21" s="1287"/>
      <c r="Z21" s="1287"/>
      <c r="AA21" s="1287"/>
      <c r="AB21" s="1287"/>
      <c r="AC21" s="1287"/>
      <c r="AD21" s="1287"/>
      <c r="AE21" s="1287"/>
      <c r="AF21" s="1288"/>
      <c r="AJ21" s="1286"/>
      <c r="AK21" s="1287"/>
      <c r="AL21" s="1287"/>
      <c r="AM21" s="1287"/>
      <c r="AN21" s="1287"/>
      <c r="AO21" s="1287"/>
      <c r="AP21" s="1287"/>
      <c r="AQ21" s="1287"/>
      <c r="AR21" s="1287"/>
      <c r="AS21" s="1288"/>
      <c r="AT21" s="1286"/>
      <c r="AU21" s="1287"/>
      <c r="AV21" s="1287"/>
      <c r="AW21" s="1287"/>
      <c r="AX21" s="1287"/>
      <c r="AY21" s="1287"/>
      <c r="AZ21" s="1287"/>
      <c r="BA21" s="1287"/>
      <c r="BB21" s="1287"/>
      <c r="BC21" s="1288"/>
      <c r="BD21" s="1286"/>
      <c r="BE21" s="1287"/>
      <c r="BF21" s="1287"/>
      <c r="BG21" s="1287"/>
      <c r="BH21" s="1287"/>
      <c r="BI21" s="1287"/>
      <c r="BJ21" s="1287"/>
      <c r="BK21" s="1287"/>
      <c r="BL21" s="1287"/>
      <c r="BM21" s="1288"/>
      <c r="BQ21" s="1286"/>
      <c r="BR21" s="1287"/>
      <c r="BS21" s="1287"/>
      <c r="BT21" s="1287"/>
      <c r="BU21" s="1287"/>
      <c r="BV21" s="1287"/>
      <c r="BW21" s="1287"/>
      <c r="BX21" s="1287"/>
      <c r="BY21" s="1287"/>
      <c r="BZ21" s="1288"/>
      <c r="CA21" s="1286"/>
      <c r="CB21" s="1287"/>
      <c r="CC21" s="1287"/>
      <c r="CD21" s="1287"/>
      <c r="CE21" s="1287"/>
      <c r="CF21" s="1287"/>
      <c r="CG21" s="1287"/>
      <c r="CH21" s="1287"/>
      <c r="CI21" s="1287"/>
      <c r="CJ21" s="1288"/>
      <c r="CK21" s="1286"/>
      <c r="CL21" s="1287"/>
      <c r="CM21" s="1287"/>
      <c r="CN21" s="1287"/>
      <c r="CO21" s="1287"/>
      <c r="CP21" s="1287"/>
      <c r="CQ21" s="1287"/>
      <c r="CR21" s="1287"/>
      <c r="CS21" s="1287"/>
      <c r="CT21" s="1288"/>
    </row>
    <row r="22" spans="3:98">
      <c r="C22" s="1289"/>
      <c r="D22" s="768"/>
      <c r="E22" s="768"/>
      <c r="F22" s="768"/>
      <c r="G22" s="768"/>
      <c r="H22" s="768"/>
      <c r="I22" s="768"/>
      <c r="J22" s="768"/>
      <c r="K22" s="768"/>
      <c r="L22" s="1290"/>
      <c r="M22" s="1289"/>
      <c r="N22" s="768"/>
      <c r="O22" s="768"/>
      <c r="P22" s="768"/>
      <c r="Q22" s="768"/>
      <c r="R22" s="768"/>
      <c r="S22" s="768"/>
      <c r="T22" s="768"/>
      <c r="U22" s="768"/>
      <c r="V22" s="1290"/>
      <c r="W22" s="1289"/>
      <c r="X22" s="768"/>
      <c r="Y22" s="768"/>
      <c r="Z22" s="768"/>
      <c r="AA22" s="768"/>
      <c r="AB22" s="768"/>
      <c r="AC22" s="768"/>
      <c r="AD22" s="768"/>
      <c r="AE22" s="768"/>
      <c r="AF22" s="1290"/>
      <c r="AJ22" s="1289"/>
      <c r="AK22" s="768"/>
      <c r="AL22" s="768"/>
      <c r="AM22" s="768"/>
      <c r="AN22" s="768"/>
      <c r="AO22" s="768"/>
      <c r="AP22" s="768"/>
      <c r="AQ22" s="768"/>
      <c r="AR22" s="768"/>
      <c r="AS22" s="1290"/>
      <c r="AT22" s="1289"/>
      <c r="AU22" s="768"/>
      <c r="AV22" s="768"/>
      <c r="AW22" s="768"/>
      <c r="AX22" s="768"/>
      <c r="AY22" s="768"/>
      <c r="AZ22" s="768"/>
      <c r="BA22" s="768"/>
      <c r="BB22" s="768"/>
      <c r="BC22" s="1290"/>
      <c r="BD22" s="1289"/>
      <c r="BE22" s="768"/>
      <c r="BF22" s="768"/>
      <c r="BG22" s="768"/>
      <c r="BH22" s="768"/>
      <c r="BI22" s="768"/>
      <c r="BJ22" s="768"/>
      <c r="BK22" s="768"/>
      <c r="BL22" s="768"/>
      <c r="BM22" s="1290"/>
      <c r="BQ22" s="1289"/>
      <c r="BR22" s="768"/>
      <c r="BS22" s="768"/>
      <c r="BT22" s="768"/>
      <c r="BU22" s="768"/>
      <c r="BV22" s="768"/>
      <c r="BW22" s="768"/>
      <c r="BX22" s="768"/>
      <c r="BY22" s="768"/>
      <c r="BZ22" s="1290"/>
      <c r="CA22" s="1289"/>
      <c r="CB22" s="768"/>
      <c r="CC22" s="768"/>
      <c r="CD22" s="768"/>
      <c r="CE22" s="768"/>
      <c r="CF22" s="768"/>
      <c r="CG22" s="768"/>
      <c r="CH22" s="768"/>
      <c r="CI22" s="768"/>
      <c r="CJ22" s="1290"/>
      <c r="CK22" s="1289"/>
      <c r="CL22" s="768"/>
      <c r="CM22" s="768"/>
      <c r="CN22" s="768"/>
      <c r="CO22" s="768"/>
      <c r="CP22" s="768"/>
      <c r="CQ22" s="768"/>
      <c r="CR22" s="768"/>
      <c r="CS22" s="768"/>
      <c r="CT22" s="1290"/>
    </row>
    <row r="23" spans="3:98">
      <c r="C23" s="1289"/>
      <c r="D23" s="768"/>
      <c r="E23" s="768"/>
      <c r="F23" s="768"/>
      <c r="G23" s="768"/>
      <c r="H23" s="768"/>
      <c r="I23" s="768"/>
      <c r="J23" s="768"/>
      <c r="K23" s="768"/>
      <c r="L23" s="1290"/>
      <c r="M23" s="1289"/>
      <c r="N23" s="768"/>
      <c r="O23" s="768"/>
      <c r="P23" s="768"/>
      <c r="Q23" s="768"/>
      <c r="R23" s="768"/>
      <c r="S23" s="768"/>
      <c r="T23" s="768"/>
      <c r="U23" s="768"/>
      <c r="V23" s="1290"/>
      <c r="W23" s="1289"/>
      <c r="X23" s="768"/>
      <c r="Y23" s="768"/>
      <c r="Z23" s="768"/>
      <c r="AA23" s="768"/>
      <c r="AB23" s="768"/>
      <c r="AC23" s="768"/>
      <c r="AD23" s="768"/>
      <c r="AE23" s="768"/>
      <c r="AF23" s="1290"/>
      <c r="AJ23" s="1289"/>
      <c r="AK23" s="768"/>
      <c r="AL23" s="768"/>
      <c r="AM23" s="768"/>
      <c r="AN23" s="768"/>
      <c r="AO23" s="768"/>
      <c r="AP23" s="768"/>
      <c r="AQ23" s="768"/>
      <c r="AR23" s="768"/>
      <c r="AS23" s="1290"/>
      <c r="AT23" s="1289"/>
      <c r="AU23" s="768"/>
      <c r="AV23" s="768"/>
      <c r="AW23" s="768"/>
      <c r="AX23" s="768"/>
      <c r="AY23" s="768"/>
      <c r="AZ23" s="768"/>
      <c r="BA23" s="768"/>
      <c r="BB23" s="768"/>
      <c r="BC23" s="1290"/>
      <c r="BD23" s="1289"/>
      <c r="BE23" s="768"/>
      <c r="BF23" s="768"/>
      <c r="BG23" s="768"/>
      <c r="BH23" s="768"/>
      <c r="BI23" s="768"/>
      <c r="BJ23" s="768"/>
      <c r="BK23" s="768"/>
      <c r="BL23" s="768"/>
      <c r="BM23" s="1290"/>
      <c r="BQ23" s="1289"/>
      <c r="BR23" s="768"/>
      <c r="BS23" s="768"/>
      <c r="BT23" s="768"/>
      <c r="BU23" s="768"/>
      <c r="BV23" s="768"/>
      <c r="BW23" s="768"/>
      <c r="BX23" s="768"/>
      <c r="BY23" s="768"/>
      <c r="BZ23" s="1290"/>
      <c r="CA23" s="1289"/>
      <c r="CB23" s="768"/>
      <c r="CC23" s="768"/>
      <c r="CD23" s="768"/>
      <c r="CE23" s="768"/>
      <c r="CF23" s="768"/>
      <c r="CG23" s="768"/>
      <c r="CH23" s="768"/>
      <c r="CI23" s="768"/>
      <c r="CJ23" s="1290"/>
      <c r="CK23" s="1289"/>
      <c r="CL23" s="768"/>
      <c r="CM23" s="768"/>
      <c r="CN23" s="768"/>
      <c r="CO23" s="768"/>
      <c r="CP23" s="768"/>
      <c r="CQ23" s="768"/>
      <c r="CR23" s="768"/>
      <c r="CS23" s="768"/>
      <c r="CT23" s="1290"/>
    </row>
    <row r="24" spans="3:98">
      <c r="C24" s="1289"/>
      <c r="D24" s="768"/>
      <c r="E24" s="768"/>
      <c r="F24" s="768"/>
      <c r="G24" s="768"/>
      <c r="H24" s="768"/>
      <c r="I24" s="768"/>
      <c r="J24" s="768"/>
      <c r="K24" s="768"/>
      <c r="L24" s="1290"/>
      <c r="M24" s="1289"/>
      <c r="N24" s="768"/>
      <c r="O24" s="768"/>
      <c r="P24" s="768"/>
      <c r="Q24" s="768"/>
      <c r="R24" s="768"/>
      <c r="S24" s="768"/>
      <c r="T24" s="768"/>
      <c r="U24" s="768"/>
      <c r="V24" s="1290"/>
      <c r="W24" s="1289"/>
      <c r="X24" s="768"/>
      <c r="Y24" s="768"/>
      <c r="Z24" s="768"/>
      <c r="AA24" s="768"/>
      <c r="AB24" s="768"/>
      <c r="AC24" s="768"/>
      <c r="AD24" s="768"/>
      <c r="AE24" s="768"/>
      <c r="AF24" s="1290"/>
      <c r="AJ24" s="1289"/>
      <c r="AK24" s="768"/>
      <c r="AL24" s="768"/>
      <c r="AM24" s="768"/>
      <c r="AN24" s="768"/>
      <c r="AO24" s="768"/>
      <c r="AP24" s="768"/>
      <c r="AQ24" s="768"/>
      <c r="AR24" s="768"/>
      <c r="AS24" s="1290"/>
      <c r="AT24" s="1289"/>
      <c r="AU24" s="768"/>
      <c r="AV24" s="768"/>
      <c r="AW24" s="768"/>
      <c r="AX24" s="768"/>
      <c r="AY24" s="768"/>
      <c r="AZ24" s="768"/>
      <c r="BA24" s="768"/>
      <c r="BB24" s="768"/>
      <c r="BC24" s="1290"/>
      <c r="BD24" s="1289"/>
      <c r="BE24" s="768"/>
      <c r="BF24" s="768"/>
      <c r="BG24" s="768"/>
      <c r="BH24" s="768"/>
      <c r="BI24" s="768"/>
      <c r="BJ24" s="768"/>
      <c r="BK24" s="768"/>
      <c r="BL24" s="768"/>
      <c r="BM24" s="1290"/>
      <c r="BQ24" s="1289"/>
      <c r="BR24" s="768"/>
      <c r="BS24" s="768"/>
      <c r="BT24" s="768"/>
      <c r="BU24" s="768"/>
      <c r="BV24" s="768"/>
      <c r="BW24" s="768"/>
      <c r="BX24" s="768"/>
      <c r="BY24" s="768"/>
      <c r="BZ24" s="1290"/>
      <c r="CA24" s="1289"/>
      <c r="CB24" s="768"/>
      <c r="CC24" s="768"/>
      <c r="CD24" s="768"/>
      <c r="CE24" s="768"/>
      <c r="CF24" s="768"/>
      <c r="CG24" s="768"/>
      <c r="CH24" s="768"/>
      <c r="CI24" s="768"/>
      <c r="CJ24" s="1290"/>
      <c r="CK24" s="1289"/>
      <c r="CL24" s="768"/>
      <c r="CM24" s="768"/>
      <c r="CN24" s="768"/>
      <c r="CO24" s="768"/>
      <c r="CP24" s="768"/>
      <c r="CQ24" s="768"/>
      <c r="CR24" s="768"/>
      <c r="CS24" s="768"/>
      <c r="CT24" s="1290"/>
    </row>
    <row r="25" spans="3:98">
      <c r="C25" s="1289"/>
      <c r="D25" s="768"/>
      <c r="E25" s="768"/>
      <c r="F25" s="768"/>
      <c r="G25" s="768"/>
      <c r="H25" s="768"/>
      <c r="I25" s="768"/>
      <c r="J25" s="768"/>
      <c r="K25" s="768"/>
      <c r="L25" s="1290"/>
      <c r="M25" s="1289"/>
      <c r="N25" s="768"/>
      <c r="O25" s="768"/>
      <c r="P25" s="768"/>
      <c r="Q25" s="768"/>
      <c r="R25" s="768"/>
      <c r="S25" s="768"/>
      <c r="T25" s="768"/>
      <c r="U25" s="768"/>
      <c r="V25" s="1290"/>
      <c r="W25" s="1289"/>
      <c r="X25" s="768"/>
      <c r="Y25" s="768"/>
      <c r="Z25" s="768"/>
      <c r="AA25" s="768"/>
      <c r="AB25" s="768"/>
      <c r="AC25" s="768"/>
      <c r="AD25" s="768"/>
      <c r="AE25" s="768"/>
      <c r="AF25" s="1290"/>
      <c r="AJ25" s="1289"/>
      <c r="AK25" s="768"/>
      <c r="AL25" s="768"/>
      <c r="AM25" s="768"/>
      <c r="AN25" s="768"/>
      <c r="AO25" s="768"/>
      <c r="AP25" s="768"/>
      <c r="AQ25" s="768"/>
      <c r="AR25" s="768"/>
      <c r="AS25" s="1290"/>
      <c r="AT25" s="1289"/>
      <c r="AU25" s="768"/>
      <c r="AV25" s="768"/>
      <c r="AW25" s="768"/>
      <c r="AX25" s="768"/>
      <c r="AY25" s="768"/>
      <c r="AZ25" s="768"/>
      <c r="BA25" s="768"/>
      <c r="BB25" s="768"/>
      <c r="BC25" s="1290"/>
      <c r="BD25" s="1289"/>
      <c r="BE25" s="768"/>
      <c r="BF25" s="768"/>
      <c r="BG25" s="768"/>
      <c r="BH25" s="768"/>
      <c r="BI25" s="768"/>
      <c r="BJ25" s="768"/>
      <c r="BK25" s="768"/>
      <c r="BL25" s="768"/>
      <c r="BM25" s="1290"/>
      <c r="BQ25" s="1289"/>
      <c r="BR25" s="768"/>
      <c r="BS25" s="768"/>
      <c r="BT25" s="768"/>
      <c r="BU25" s="768"/>
      <c r="BV25" s="768"/>
      <c r="BW25" s="768"/>
      <c r="BX25" s="768"/>
      <c r="BY25" s="768"/>
      <c r="BZ25" s="1290"/>
      <c r="CA25" s="1289"/>
      <c r="CB25" s="768"/>
      <c r="CC25" s="768"/>
      <c r="CD25" s="768"/>
      <c r="CE25" s="768"/>
      <c r="CF25" s="768"/>
      <c r="CG25" s="768"/>
      <c r="CH25" s="768"/>
      <c r="CI25" s="768"/>
      <c r="CJ25" s="1290"/>
      <c r="CK25" s="1289"/>
      <c r="CL25" s="768"/>
      <c r="CM25" s="768"/>
      <c r="CN25" s="768"/>
      <c r="CO25" s="768"/>
      <c r="CP25" s="768"/>
      <c r="CQ25" s="768"/>
      <c r="CR25" s="768"/>
      <c r="CS25" s="768"/>
      <c r="CT25" s="1290"/>
    </row>
    <row r="26" spans="3:98">
      <c r="C26" s="1289"/>
      <c r="D26" s="768"/>
      <c r="E26" s="768"/>
      <c r="F26" s="768"/>
      <c r="G26" s="768"/>
      <c r="H26" s="768"/>
      <c r="I26" s="768"/>
      <c r="J26" s="768"/>
      <c r="K26" s="768"/>
      <c r="L26" s="1290"/>
      <c r="M26" s="1289"/>
      <c r="N26" s="768"/>
      <c r="O26" s="768"/>
      <c r="P26" s="768"/>
      <c r="Q26" s="768"/>
      <c r="R26" s="768"/>
      <c r="S26" s="768"/>
      <c r="T26" s="768"/>
      <c r="U26" s="768"/>
      <c r="V26" s="1290"/>
      <c r="W26" s="1289"/>
      <c r="X26" s="768"/>
      <c r="Y26" s="768"/>
      <c r="Z26" s="768"/>
      <c r="AA26" s="768"/>
      <c r="AB26" s="768"/>
      <c r="AC26" s="768"/>
      <c r="AD26" s="768"/>
      <c r="AE26" s="768"/>
      <c r="AF26" s="1290"/>
      <c r="AJ26" s="1289"/>
      <c r="AK26" s="768"/>
      <c r="AL26" s="768"/>
      <c r="AM26" s="768"/>
      <c r="AN26" s="768"/>
      <c r="AO26" s="768"/>
      <c r="AP26" s="768"/>
      <c r="AQ26" s="768"/>
      <c r="AR26" s="768"/>
      <c r="AS26" s="1290"/>
      <c r="AT26" s="1289"/>
      <c r="AU26" s="768"/>
      <c r="AV26" s="768"/>
      <c r="AW26" s="768"/>
      <c r="AX26" s="768"/>
      <c r="AY26" s="768"/>
      <c r="AZ26" s="768"/>
      <c r="BA26" s="768"/>
      <c r="BB26" s="768"/>
      <c r="BC26" s="1290"/>
      <c r="BD26" s="1289"/>
      <c r="BE26" s="768"/>
      <c r="BF26" s="768"/>
      <c r="BG26" s="768"/>
      <c r="BH26" s="768"/>
      <c r="BI26" s="768"/>
      <c r="BJ26" s="768"/>
      <c r="BK26" s="768"/>
      <c r="BL26" s="768"/>
      <c r="BM26" s="1290"/>
      <c r="BQ26" s="1289"/>
      <c r="BR26" s="768"/>
      <c r="BS26" s="768"/>
      <c r="BT26" s="768"/>
      <c r="BU26" s="768"/>
      <c r="BV26" s="768"/>
      <c r="BW26" s="768"/>
      <c r="BX26" s="768"/>
      <c r="BY26" s="768"/>
      <c r="BZ26" s="1290"/>
      <c r="CA26" s="1289"/>
      <c r="CB26" s="768"/>
      <c r="CC26" s="768"/>
      <c r="CD26" s="768"/>
      <c r="CE26" s="768"/>
      <c r="CF26" s="768"/>
      <c r="CG26" s="768"/>
      <c r="CH26" s="768"/>
      <c r="CI26" s="768"/>
      <c r="CJ26" s="1290"/>
      <c r="CK26" s="1289"/>
      <c r="CL26" s="768"/>
      <c r="CM26" s="768"/>
      <c r="CN26" s="768"/>
      <c r="CO26" s="768"/>
      <c r="CP26" s="768"/>
      <c r="CQ26" s="768"/>
      <c r="CR26" s="768"/>
      <c r="CS26" s="768"/>
      <c r="CT26" s="1290"/>
    </row>
    <row r="27" spans="3:98">
      <c r="C27" s="1289"/>
      <c r="D27" s="768"/>
      <c r="E27" s="768"/>
      <c r="F27" s="768"/>
      <c r="G27" s="768"/>
      <c r="H27" s="768"/>
      <c r="I27" s="768"/>
      <c r="J27" s="768"/>
      <c r="K27" s="768"/>
      <c r="L27" s="1290"/>
      <c r="M27" s="1289"/>
      <c r="N27" s="768"/>
      <c r="O27" s="768"/>
      <c r="P27" s="768"/>
      <c r="Q27" s="768"/>
      <c r="R27" s="768"/>
      <c r="S27" s="768"/>
      <c r="T27" s="768"/>
      <c r="U27" s="768"/>
      <c r="V27" s="1290"/>
      <c r="W27" s="1289"/>
      <c r="X27" s="768"/>
      <c r="Y27" s="768"/>
      <c r="Z27" s="768"/>
      <c r="AA27" s="768"/>
      <c r="AB27" s="768"/>
      <c r="AC27" s="768"/>
      <c r="AD27" s="768"/>
      <c r="AE27" s="768"/>
      <c r="AF27" s="1290"/>
      <c r="AJ27" s="1289"/>
      <c r="AK27" s="768"/>
      <c r="AL27" s="768"/>
      <c r="AM27" s="768"/>
      <c r="AN27" s="768"/>
      <c r="AO27" s="768"/>
      <c r="AP27" s="768"/>
      <c r="AQ27" s="768"/>
      <c r="AR27" s="768"/>
      <c r="AS27" s="1290"/>
      <c r="AT27" s="1289"/>
      <c r="AU27" s="768"/>
      <c r="AV27" s="768"/>
      <c r="AW27" s="768"/>
      <c r="AX27" s="768"/>
      <c r="AY27" s="768"/>
      <c r="AZ27" s="768"/>
      <c r="BA27" s="768"/>
      <c r="BB27" s="768"/>
      <c r="BC27" s="1290"/>
      <c r="BD27" s="1289"/>
      <c r="BE27" s="768"/>
      <c r="BF27" s="768"/>
      <c r="BG27" s="768"/>
      <c r="BH27" s="768"/>
      <c r="BI27" s="768"/>
      <c r="BJ27" s="768"/>
      <c r="BK27" s="768"/>
      <c r="BL27" s="768"/>
      <c r="BM27" s="1290"/>
      <c r="BQ27" s="1289"/>
      <c r="BR27" s="768"/>
      <c r="BS27" s="768"/>
      <c r="BT27" s="768"/>
      <c r="BU27" s="768"/>
      <c r="BV27" s="768"/>
      <c r="BW27" s="768"/>
      <c r="BX27" s="768"/>
      <c r="BY27" s="768"/>
      <c r="BZ27" s="1290"/>
      <c r="CA27" s="1289"/>
      <c r="CB27" s="768"/>
      <c r="CC27" s="768"/>
      <c r="CD27" s="768"/>
      <c r="CE27" s="768"/>
      <c r="CF27" s="768"/>
      <c r="CG27" s="768"/>
      <c r="CH27" s="768"/>
      <c r="CI27" s="768"/>
      <c r="CJ27" s="1290"/>
      <c r="CK27" s="1289"/>
      <c r="CL27" s="768"/>
      <c r="CM27" s="768"/>
      <c r="CN27" s="768"/>
      <c r="CO27" s="768"/>
      <c r="CP27" s="768"/>
      <c r="CQ27" s="768"/>
      <c r="CR27" s="768"/>
      <c r="CS27" s="768"/>
      <c r="CT27" s="1290"/>
    </row>
    <row r="28" spans="3:98">
      <c r="C28" s="1289"/>
      <c r="D28" s="768"/>
      <c r="E28" s="768"/>
      <c r="F28" s="768"/>
      <c r="G28" s="768"/>
      <c r="H28" s="768"/>
      <c r="I28" s="768"/>
      <c r="J28" s="768"/>
      <c r="K28" s="768"/>
      <c r="L28" s="1290"/>
      <c r="M28" s="1289"/>
      <c r="N28" s="768"/>
      <c r="O28" s="768"/>
      <c r="P28" s="768"/>
      <c r="Q28" s="768"/>
      <c r="R28" s="768"/>
      <c r="S28" s="768"/>
      <c r="T28" s="768"/>
      <c r="U28" s="768"/>
      <c r="V28" s="1290"/>
      <c r="W28" s="1289"/>
      <c r="X28" s="768"/>
      <c r="Y28" s="768"/>
      <c r="Z28" s="768"/>
      <c r="AA28" s="768"/>
      <c r="AB28" s="768"/>
      <c r="AC28" s="768"/>
      <c r="AD28" s="768"/>
      <c r="AE28" s="768"/>
      <c r="AF28" s="1290"/>
      <c r="AJ28" s="1289"/>
      <c r="AK28" s="768"/>
      <c r="AL28" s="768"/>
      <c r="AM28" s="768"/>
      <c r="AN28" s="768"/>
      <c r="AO28" s="768"/>
      <c r="AP28" s="768"/>
      <c r="AQ28" s="768"/>
      <c r="AR28" s="768"/>
      <c r="AS28" s="1290"/>
      <c r="AT28" s="1289"/>
      <c r="AU28" s="768"/>
      <c r="AV28" s="768"/>
      <c r="AW28" s="768"/>
      <c r="AX28" s="768"/>
      <c r="AY28" s="768"/>
      <c r="AZ28" s="768"/>
      <c r="BA28" s="768"/>
      <c r="BB28" s="768"/>
      <c r="BC28" s="1290"/>
      <c r="BD28" s="1289"/>
      <c r="BE28" s="768"/>
      <c r="BF28" s="768"/>
      <c r="BG28" s="768"/>
      <c r="BH28" s="768"/>
      <c r="BI28" s="768"/>
      <c r="BJ28" s="768"/>
      <c r="BK28" s="768"/>
      <c r="BL28" s="768"/>
      <c r="BM28" s="1290"/>
      <c r="BQ28" s="1289"/>
      <c r="BR28" s="768"/>
      <c r="BS28" s="768"/>
      <c r="BT28" s="768"/>
      <c r="BU28" s="768"/>
      <c r="BV28" s="768"/>
      <c r="BW28" s="768"/>
      <c r="BX28" s="768"/>
      <c r="BY28" s="768"/>
      <c r="BZ28" s="1290"/>
      <c r="CA28" s="1289"/>
      <c r="CB28" s="768"/>
      <c r="CC28" s="768"/>
      <c r="CD28" s="768"/>
      <c r="CE28" s="768"/>
      <c r="CF28" s="768"/>
      <c r="CG28" s="768"/>
      <c r="CH28" s="768"/>
      <c r="CI28" s="768"/>
      <c r="CJ28" s="1290"/>
      <c r="CK28" s="1289"/>
      <c r="CL28" s="768"/>
      <c r="CM28" s="768"/>
      <c r="CN28" s="768"/>
      <c r="CO28" s="768"/>
      <c r="CP28" s="768"/>
      <c r="CQ28" s="768"/>
      <c r="CR28" s="768"/>
      <c r="CS28" s="768"/>
      <c r="CT28" s="1290"/>
    </row>
    <row r="29" spans="3:98">
      <c r="C29" s="1289"/>
      <c r="D29" s="768"/>
      <c r="E29" s="768"/>
      <c r="F29" s="768"/>
      <c r="G29" s="768"/>
      <c r="H29" s="768"/>
      <c r="I29" s="768"/>
      <c r="J29" s="768"/>
      <c r="K29" s="768"/>
      <c r="L29" s="1290"/>
      <c r="M29" s="1289"/>
      <c r="N29" s="768"/>
      <c r="O29" s="768"/>
      <c r="P29" s="768"/>
      <c r="Q29" s="768"/>
      <c r="R29" s="768"/>
      <c r="S29" s="768"/>
      <c r="T29" s="768"/>
      <c r="U29" s="768"/>
      <c r="V29" s="1290"/>
      <c r="W29" s="1289"/>
      <c r="X29" s="768"/>
      <c r="Y29" s="768"/>
      <c r="Z29" s="768"/>
      <c r="AA29" s="768"/>
      <c r="AB29" s="768"/>
      <c r="AC29" s="768"/>
      <c r="AD29" s="768"/>
      <c r="AE29" s="768"/>
      <c r="AF29" s="1290"/>
      <c r="AJ29" s="1289"/>
      <c r="AK29" s="768"/>
      <c r="AL29" s="768"/>
      <c r="AM29" s="768"/>
      <c r="AN29" s="768"/>
      <c r="AO29" s="768"/>
      <c r="AP29" s="768"/>
      <c r="AQ29" s="768"/>
      <c r="AR29" s="768"/>
      <c r="AS29" s="1290"/>
      <c r="AT29" s="1289"/>
      <c r="AU29" s="768"/>
      <c r="AV29" s="768"/>
      <c r="AW29" s="768"/>
      <c r="AX29" s="768"/>
      <c r="AY29" s="768"/>
      <c r="AZ29" s="768"/>
      <c r="BA29" s="768"/>
      <c r="BB29" s="768"/>
      <c r="BC29" s="1290"/>
      <c r="BD29" s="1289"/>
      <c r="BE29" s="768"/>
      <c r="BF29" s="768"/>
      <c r="BG29" s="768"/>
      <c r="BH29" s="768"/>
      <c r="BI29" s="768"/>
      <c r="BJ29" s="768"/>
      <c r="BK29" s="768"/>
      <c r="BL29" s="768"/>
      <c r="BM29" s="1290"/>
      <c r="BQ29" s="1289"/>
      <c r="BR29" s="768"/>
      <c r="BS29" s="768"/>
      <c r="BT29" s="768"/>
      <c r="BU29" s="768"/>
      <c r="BV29" s="768"/>
      <c r="BW29" s="768"/>
      <c r="BX29" s="768"/>
      <c r="BY29" s="768"/>
      <c r="BZ29" s="1290"/>
      <c r="CA29" s="1289"/>
      <c r="CB29" s="768"/>
      <c r="CC29" s="768"/>
      <c r="CD29" s="768"/>
      <c r="CE29" s="768"/>
      <c r="CF29" s="768"/>
      <c r="CG29" s="768"/>
      <c r="CH29" s="768"/>
      <c r="CI29" s="768"/>
      <c r="CJ29" s="1290"/>
      <c r="CK29" s="1289"/>
      <c r="CL29" s="768"/>
      <c r="CM29" s="768"/>
      <c r="CN29" s="768"/>
      <c r="CO29" s="768"/>
      <c r="CP29" s="768"/>
      <c r="CQ29" s="768"/>
      <c r="CR29" s="768"/>
      <c r="CS29" s="768"/>
      <c r="CT29" s="1290"/>
    </row>
    <row r="30" spans="3:98" ht="14.25" thickBot="1">
      <c r="C30" s="1291"/>
      <c r="D30" s="1292"/>
      <c r="E30" s="1292"/>
      <c r="F30" s="1292"/>
      <c r="G30" s="1292"/>
      <c r="H30" s="1292"/>
      <c r="I30" s="1292"/>
      <c r="J30" s="1292"/>
      <c r="K30" s="1292"/>
      <c r="L30" s="1293"/>
      <c r="M30" s="1291"/>
      <c r="N30" s="1292"/>
      <c r="O30" s="1292"/>
      <c r="P30" s="1292"/>
      <c r="Q30" s="1292"/>
      <c r="R30" s="1292"/>
      <c r="S30" s="1292"/>
      <c r="T30" s="1292"/>
      <c r="U30" s="1292"/>
      <c r="V30" s="1293"/>
      <c r="W30" s="1291"/>
      <c r="X30" s="1292"/>
      <c r="Y30" s="1292"/>
      <c r="Z30" s="1292"/>
      <c r="AA30" s="1292"/>
      <c r="AB30" s="1292"/>
      <c r="AC30" s="1292"/>
      <c r="AD30" s="1292"/>
      <c r="AE30" s="1292"/>
      <c r="AF30" s="1293"/>
      <c r="AJ30" s="1291"/>
      <c r="AK30" s="1292"/>
      <c r="AL30" s="1292"/>
      <c r="AM30" s="1292"/>
      <c r="AN30" s="1292"/>
      <c r="AO30" s="1292"/>
      <c r="AP30" s="1292"/>
      <c r="AQ30" s="1292"/>
      <c r="AR30" s="1292"/>
      <c r="AS30" s="1293"/>
      <c r="AT30" s="1291"/>
      <c r="AU30" s="1292"/>
      <c r="AV30" s="1292"/>
      <c r="AW30" s="1292"/>
      <c r="AX30" s="1292"/>
      <c r="AY30" s="1292"/>
      <c r="AZ30" s="1292"/>
      <c r="BA30" s="1292"/>
      <c r="BB30" s="1292"/>
      <c r="BC30" s="1293"/>
      <c r="BD30" s="1291"/>
      <c r="BE30" s="1292"/>
      <c r="BF30" s="1292"/>
      <c r="BG30" s="1292"/>
      <c r="BH30" s="1292"/>
      <c r="BI30" s="1292"/>
      <c r="BJ30" s="1292"/>
      <c r="BK30" s="1292"/>
      <c r="BL30" s="1292"/>
      <c r="BM30" s="1293"/>
      <c r="BQ30" s="1291"/>
      <c r="BR30" s="1292"/>
      <c r="BS30" s="1292"/>
      <c r="BT30" s="1292"/>
      <c r="BU30" s="1292"/>
      <c r="BV30" s="1292"/>
      <c r="BW30" s="1292"/>
      <c r="BX30" s="1292"/>
      <c r="BY30" s="1292"/>
      <c r="BZ30" s="1293"/>
      <c r="CA30" s="1291"/>
      <c r="CB30" s="1292"/>
      <c r="CC30" s="1292"/>
      <c r="CD30" s="1292"/>
      <c r="CE30" s="1292"/>
      <c r="CF30" s="1292"/>
      <c r="CG30" s="1292"/>
      <c r="CH30" s="1292"/>
      <c r="CI30" s="1292"/>
      <c r="CJ30" s="1293"/>
      <c r="CK30" s="1291"/>
      <c r="CL30" s="1292"/>
      <c r="CM30" s="1292"/>
      <c r="CN30" s="1292"/>
      <c r="CO30" s="1292"/>
      <c r="CP30" s="1292"/>
      <c r="CQ30" s="1292"/>
      <c r="CR30" s="1292"/>
      <c r="CS30" s="1292"/>
      <c r="CT30" s="1293"/>
    </row>
    <row r="31" spans="3:98">
      <c r="C31" s="1296"/>
      <c r="D31" s="1297"/>
      <c r="E31" s="1297"/>
      <c r="F31" s="1297"/>
      <c r="G31" s="1297"/>
      <c r="H31" s="1297"/>
      <c r="I31" s="1297"/>
      <c r="J31" s="1297"/>
      <c r="K31" s="1297"/>
      <c r="L31" s="1298"/>
      <c r="M31" s="1296"/>
      <c r="N31" s="1297"/>
      <c r="O31" s="1297"/>
      <c r="P31" s="1297"/>
      <c r="Q31" s="1297"/>
      <c r="R31" s="1297"/>
      <c r="S31" s="1297"/>
      <c r="T31" s="1297"/>
      <c r="U31" s="1297"/>
      <c r="V31" s="1299"/>
      <c r="W31" s="1300"/>
      <c r="X31" s="1297"/>
      <c r="Y31" s="1297"/>
      <c r="Z31" s="1297"/>
      <c r="AA31" s="1297"/>
      <c r="AB31" s="1297"/>
      <c r="AC31" s="1297"/>
      <c r="AD31" s="1297"/>
      <c r="AE31" s="1297"/>
      <c r="AF31" s="1299"/>
      <c r="AJ31" s="1296"/>
      <c r="AK31" s="1297"/>
      <c r="AL31" s="1297"/>
      <c r="AM31" s="1297"/>
      <c r="AN31" s="1297"/>
      <c r="AO31" s="1297"/>
      <c r="AP31" s="1297"/>
      <c r="AQ31" s="1297"/>
      <c r="AR31" s="1297"/>
      <c r="AS31" s="1298"/>
      <c r="AT31" s="1296"/>
      <c r="AU31" s="1297"/>
      <c r="AV31" s="1297"/>
      <c r="AW31" s="1297"/>
      <c r="AX31" s="1297"/>
      <c r="AY31" s="1297"/>
      <c r="AZ31" s="1297"/>
      <c r="BA31" s="1297"/>
      <c r="BB31" s="1297"/>
      <c r="BC31" s="1299"/>
      <c r="BD31" s="1300"/>
      <c r="BE31" s="1297"/>
      <c r="BF31" s="1297"/>
      <c r="BG31" s="1297"/>
      <c r="BH31" s="1297"/>
      <c r="BI31" s="1297"/>
      <c r="BJ31" s="1297"/>
      <c r="BK31" s="1297"/>
      <c r="BL31" s="1297"/>
      <c r="BM31" s="1299"/>
      <c r="BQ31" s="1296"/>
      <c r="BR31" s="1297"/>
      <c r="BS31" s="1297"/>
      <c r="BT31" s="1297"/>
      <c r="BU31" s="1297"/>
      <c r="BV31" s="1297"/>
      <c r="BW31" s="1297"/>
      <c r="BX31" s="1297"/>
      <c r="BY31" s="1297"/>
      <c r="BZ31" s="1298"/>
      <c r="CA31" s="1296"/>
      <c r="CB31" s="1297"/>
      <c r="CC31" s="1297"/>
      <c r="CD31" s="1297"/>
      <c r="CE31" s="1297"/>
      <c r="CF31" s="1297"/>
      <c r="CG31" s="1297"/>
      <c r="CH31" s="1297"/>
      <c r="CI31" s="1297"/>
      <c r="CJ31" s="1299"/>
      <c r="CK31" s="1300"/>
      <c r="CL31" s="1297"/>
      <c r="CM31" s="1297"/>
      <c r="CN31" s="1297"/>
      <c r="CO31" s="1297"/>
      <c r="CP31" s="1297"/>
      <c r="CQ31" s="1297"/>
      <c r="CR31" s="1297"/>
      <c r="CS31" s="1297"/>
      <c r="CT31" s="1299"/>
    </row>
    <row r="32" spans="3:98">
      <c r="C32" s="1286"/>
      <c r="D32" s="1287"/>
      <c r="E32" s="1287"/>
      <c r="F32" s="1287"/>
      <c r="G32" s="1287"/>
      <c r="H32" s="1287"/>
      <c r="I32" s="1287"/>
      <c r="J32" s="1287"/>
      <c r="K32" s="1287"/>
      <c r="L32" s="1288"/>
      <c r="M32" s="1286"/>
      <c r="N32" s="1287"/>
      <c r="O32" s="1287"/>
      <c r="P32" s="1287"/>
      <c r="Q32" s="1287"/>
      <c r="R32" s="1287"/>
      <c r="S32" s="1287"/>
      <c r="T32" s="1287"/>
      <c r="U32" s="1287"/>
      <c r="V32" s="1288"/>
      <c r="W32" s="1286"/>
      <c r="X32" s="1287"/>
      <c r="Y32" s="1287"/>
      <c r="Z32" s="1287"/>
      <c r="AA32" s="1287"/>
      <c r="AB32" s="1287"/>
      <c r="AC32" s="1287"/>
      <c r="AD32" s="1287"/>
      <c r="AE32" s="1287"/>
      <c r="AF32" s="1288"/>
      <c r="AJ32" s="1286"/>
      <c r="AK32" s="1287"/>
      <c r="AL32" s="1287"/>
      <c r="AM32" s="1287"/>
      <c r="AN32" s="1287"/>
      <c r="AO32" s="1287"/>
      <c r="AP32" s="1287"/>
      <c r="AQ32" s="1287"/>
      <c r="AR32" s="1287"/>
      <c r="AS32" s="1288"/>
      <c r="AT32" s="1286"/>
      <c r="AU32" s="1287"/>
      <c r="AV32" s="1287"/>
      <c r="AW32" s="1287"/>
      <c r="AX32" s="1287"/>
      <c r="AY32" s="1287"/>
      <c r="AZ32" s="1287"/>
      <c r="BA32" s="1287"/>
      <c r="BB32" s="1287"/>
      <c r="BC32" s="1288"/>
      <c r="BD32" s="1286"/>
      <c r="BE32" s="1287"/>
      <c r="BF32" s="1287"/>
      <c r="BG32" s="1287"/>
      <c r="BH32" s="1287"/>
      <c r="BI32" s="1287"/>
      <c r="BJ32" s="1287"/>
      <c r="BK32" s="1287"/>
      <c r="BL32" s="1287"/>
      <c r="BM32" s="1288"/>
      <c r="BQ32" s="1286"/>
      <c r="BR32" s="1287"/>
      <c r="BS32" s="1287"/>
      <c r="BT32" s="1287"/>
      <c r="BU32" s="1287"/>
      <c r="BV32" s="1287"/>
      <c r="BW32" s="1287"/>
      <c r="BX32" s="1287"/>
      <c r="BY32" s="1287"/>
      <c r="BZ32" s="1288"/>
      <c r="CA32" s="1286"/>
      <c r="CB32" s="1287"/>
      <c r="CC32" s="1287"/>
      <c r="CD32" s="1287"/>
      <c r="CE32" s="1287"/>
      <c r="CF32" s="1287"/>
      <c r="CG32" s="1287"/>
      <c r="CH32" s="1287"/>
      <c r="CI32" s="1287"/>
      <c r="CJ32" s="1288"/>
      <c r="CK32" s="1286"/>
      <c r="CL32" s="1287"/>
      <c r="CM32" s="1287"/>
      <c r="CN32" s="1287"/>
      <c r="CO32" s="1287"/>
      <c r="CP32" s="1287"/>
      <c r="CQ32" s="1287"/>
      <c r="CR32" s="1287"/>
      <c r="CS32" s="1287"/>
      <c r="CT32" s="1288"/>
    </row>
    <row r="33" spans="3:98">
      <c r="C33" s="1289"/>
      <c r="D33" s="768"/>
      <c r="E33" s="768"/>
      <c r="F33" s="768"/>
      <c r="G33" s="768"/>
      <c r="H33" s="768"/>
      <c r="I33" s="768"/>
      <c r="J33" s="768"/>
      <c r="K33" s="768"/>
      <c r="L33" s="1290"/>
      <c r="M33" s="1289"/>
      <c r="N33" s="768"/>
      <c r="O33" s="768"/>
      <c r="P33" s="768"/>
      <c r="Q33" s="768"/>
      <c r="R33" s="768"/>
      <c r="S33" s="768"/>
      <c r="T33" s="768"/>
      <c r="U33" s="768"/>
      <c r="V33" s="1290"/>
      <c r="W33" s="1289"/>
      <c r="X33" s="768"/>
      <c r="Y33" s="768"/>
      <c r="Z33" s="768"/>
      <c r="AA33" s="768"/>
      <c r="AB33" s="768"/>
      <c r="AC33" s="768"/>
      <c r="AD33" s="768"/>
      <c r="AE33" s="768"/>
      <c r="AF33" s="1290"/>
      <c r="AJ33" s="1289"/>
      <c r="AK33" s="768"/>
      <c r="AL33" s="768"/>
      <c r="AM33" s="768"/>
      <c r="AN33" s="768"/>
      <c r="AO33" s="768"/>
      <c r="AP33" s="768"/>
      <c r="AQ33" s="768"/>
      <c r="AR33" s="768"/>
      <c r="AS33" s="1290"/>
      <c r="AT33" s="1289"/>
      <c r="AU33" s="768"/>
      <c r="AV33" s="768"/>
      <c r="AW33" s="768"/>
      <c r="AX33" s="768"/>
      <c r="AY33" s="768"/>
      <c r="AZ33" s="768"/>
      <c r="BA33" s="768"/>
      <c r="BB33" s="768"/>
      <c r="BC33" s="1290"/>
      <c r="BD33" s="1289"/>
      <c r="BE33" s="768"/>
      <c r="BF33" s="768"/>
      <c r="BG33" s="768"/>
      <c r="BH33" s="768"/>
      <c r="BI33" s="768"/>
      <c r="BJ33" s="768"/>
      <c r="BK33" s="768"/>
      <c r="BL33" s="768"/>
      <c r="BM33" s="1290"/>
      <c r="BQ33" s="1289"/>
      <c r="BR33" s="768"/>
      <c r="BS33" s="768"/>
      <c r="BT33" s="768"/>
      <c r="BU33" s="768"/>
      <c r="BV33" s="768"/>
      <c r="BW33" s="768"/>
      <c r="BX33" s="768"/>
      <c r="BY33" s="768"/>
      <c r="BZ33" s="1290"/>
      <c r="CA33" s="1289"/>
      <c r="CB33" s="768"/>
      <c r="CC33" s="768"/>
      <c r="CD33" s="768"/>
      <c r="CE33" s="768"/>
      <c r="CF33" s="768"/>
      <c r="CG33" s="768"/>
      <c r="CH33" s="768"/>
      <c r="CI33" s="768"/>
      <c r="CJ33" s="1290"/>
      <c r="CK33" s="1289"/>
      <c r="CL33" s="768"/>
      <c r="CM33" s="768"/>
      <c r="CN33" s="768"/>
      <c r="CO33" s="768"/>
      <c r="CP33" s="768"/>
      <c r="CQ33" s="768"/>
      <c r="CR33" s="768"/>
      <c r="CS33" s="768"/>
      <c r="CT33" s="1290"/>
    </row>
    <row r="34" spans="3:98">
      <c r="C34" s="1289"/>
      <c r="D34" s="768"/>
      <c r="E34" s="768"/>
      <c r="F34" s="768"/>
      <c r="G34" s="768"/>
      <c r="H34" s="768"/>
      <c r="I34" s="768"/>
      <c r="J34" s="768"/>
      <c r="K34" s="768"/>
      <c r="L34" s="1290"/>
      <c r="M34" s="1289"/>
      <c r="N34" s="768"/>
      <c r="O34" s="768"/>
      <c r="P34" s="768"/>
      <c r="Q34" s="768"/>
      <c r="R34" s="768"/>
      <c r="S34" s="768"/>
      <c r="T34" s="768"/>
      <c r="U34" s="768"/>
      <c r="V34" s="1290"/>
      <c r="W34" s="1289"/>
      <c r="X34" s="768"/>
      <c r="Y34" s="768"/>
      <c r="Z34" s="768"/>
      <c r="AA34" s="768"/>
      <c r="AB34" s="768"/>
      <c r="AC34" s="768"/>
      <c r="AD34" s="768"/>
      <c r="AE34" s="768"/>
      <c r="AF34" s="1290"/>
      <c r="AJ34" s="1289"/>
      <c r="AK34" s="768"/>
      <c r="AL34" s="768"/>
      <c r="AM34" s="768"/>
      <c r="AN34" s="768"/>
      <c r="AO34" s="768"/>
      <c r="AP34" s="768"/>
      <c r="AQ34" s="768"/>
      <c r="AR34" s="768"/>
      <c r="AS34" s="1290"/>
      <c r="AT34" s="1289"/>
      <c r="AU34" s="768"/>
      <c r="AV34" s="768"/>
      <c r="AW34" s="768"/>
      <c r="AX34" s="768"/>
      <c r="AY34" s="768"/>
      <c r="AZ34" s="768"/>
      <c r="BA34" s="768"/>
      <c r="BB34" s="768"/>
      <c r="BC34" s="1290"/>
      <c r="BD34" s="1289"/>
      <c r="BE34" s="768"/>
      <c r="BF34" s="768"/>
      <c r="BG34" s="768"/>
      <c r="BH34" s="768"/>
      <c r="BI34" s="768"/>
      <c r="BJ34" s="768"/>
      <c r="BK34" s="768"/>
      <c r="BL34" s="768"/>
      <c r="BM34" s="1290"/>
      <c r="BQ34" s="1289"/>
      <c r="BR34" s="768"/>
      <c r="BS34" s="768"/>
      <c r="BT34" s="768"/>
      <c r="BU34" s="768"/>
      <c r="BV34" s="768"/>
      <c r="BW34" s="768"/>
      <c r="BX34" s="768"/>
      <c r="BY34" s="768"/>
      <c r="BZ34" s="1290"/>
      <c r="CA34" s="1289"/>
      <c r="CB34" s="768"/>
      <c r="CC34" s="768"/>
      <c r="CD34" s="768"/>
      <c r="CE34" s="768"/>
      <c r="CF34" s="768"/>
      <c r="CG34" s="768"/>
      <c r="CH34" s="768"/>
      <c r="CI34" s="768"/>
      <c r="CJ34" s="1290"/>
      <c r="CK34" s="1289"/>
      <c r="CL34" s="768"/>
      <c r="CM34" s="768"/>
      <c r="CN34" s="768"/>
      <c r="CO34" s="768"/>
      <c r="CP34" s="768"/>
      <c r="CQ34" s="768"/>
      <c r="CR34" s="768"/>
      <c r="CS34" s="768"/>
      <c r="CT34" s="1290"/>
    </row>
    <row r="35" spans="3:98">
      <c r="C35" s="1289"/>
      <c r="D35" s="768"/>
      <c r="E35" s="768"/>
      <c r="F35" s="768"/>
      <c r="G35" s="768"/>
      <c r="H35" s="768"/>
      <c r="I35" s="768"/>
      <c r="J35" s="768"/>
      <c r="K35" s="768"/>
      <c r="L35" s="1290"/>
      <c r="M35" s="1289"/>
      <c r="N35" s="768"/>
      <c r="O35" s="768"/>
      <c r="P35" s="768"/>
      <c r="Q35" s="768"/>
      <c r="R35" s="768"/>
      <c r="S35" s="768"/>
      <c r="T35" s="768"/>
      <c r="U35" s="768"/>
      <c r="V35" s="1290"/>
      <c r="W35" s="1289"/>
      <c r="X35" s="768"/>
      <c r="Y35" s="768"/>
      <c r="Z35" s="768"/>
      <c r="AA35" s="768"/>
      <c r="AB35" s="768"/>
      <c r="AC35" s="768"/>
      <c r="AD35" s="768"/>
      <c r="AE35" s="768"/>
      <c r="AF35" s="1290"/>
      <c r="AJ35" s="1289"/>
      <c r="AK35" s="768"/>
      <c r="AL35" s="768"/>
      <c r="AM35" s="768"/>
      <c r="AN35" s="768"/>
      <c r="AO35" s="768"/>
      <c r="AP35" s="768"/>
      <c r="AQ35" s="768"/>
      <c r="AR35" s="768"/>
      <c r="AS35" s="1290"/>
      <c r="AT35" s="1289"/>
      <c r="AU35" s="768"/>
      <c r="AV35" s="768"/>
      <c r="AW35" s="768"/>
      <c r="AX35" s="768"/>
      <c r="AY35" s="768"/>
      <c r="AZ35" s="768"/>
      <c r="BA35" s="768"/>
      <c r="BB35" s="768"/>
      <c r="BC35" s="1290"/>
      <c r="BD35" s="1289"/>
      <c r="BE35" s="768"/>
      <c r="BF35" s="768"/>
      <c r="BG35" s="768"/>
      <c r="BH35" s="768"/>
      <c r="BI35" s="768"/>
      <c r="BJ35" s="768"/>
      <c r="BK35" s="768"/>
      <c r="BL35" s="768"/>
      <c r="BM35" s="1290"/>
      <c r="BQ35" s="1289"/>
      <c r="BR35" s="768"/>
      <c r="BS35" s="768"/>
      <c r="BT35" s="768"/>
      <c r="BU35" s="768"/>
      <c r="BV35" s="768"/>
      <c r="BW35" s="768"/>
      <c r="BX35" s="768"/>
      <c r="BY35" s="768"/>
      <c r="BZ35" s="1290"/>
      <c r="CA35" s="1289"/>
      <c r="CB35" s="768"/>
      <c r="CC35" s="768"/>
      <c r="CD35" s="768"/>
      <c r="CE35" s="768"/>
      <c r="CF35" s="768"/>
      <c r="CG35" s="768"/>
      <c r="CH35" s="768"/>
      <c r="CI35" s="768"/>
      <c r="CJ35" s="1290"/>
      <c r="CK35" s="1289"/>
      <c r="CL35" s="768"/>
      <c r="CM35" s="768"/>
      <c r="CN35" s="768"/>
      <c r="CO35" s="768"/>
      <c r="CP35" s="768"/>
      <c r="CQ35" s="768"/>
      <c r="CR35" s="768"/>
      <c r="CS35" s="768"/>
      <c r="CT35" s="1290"/>
    </row>
    <row r="36" spans="3:98">
      <c r="C36" s="1289"/>
      <c r="D36" s="768"/>
      <c r="E36" s="768"/>
      <c r="F36" s="768"/>
      <c r="G36" s="768"/>
      <c r="H36" s="768"/>
      <c r="I36" s="768"/>
      <c r="J36" s="768"/>
      <c r="K36" s="768"/>
      <c r="L36" s="1290"/>
      <c r="M36" s="1289"/>
      <c r="N36" s="768"/>
      <c r="O36" s="768"/>
      <c r="P36" s="768"/>
      <c r="Q36" s="768"/>
      <c r="R36" s="768"/>
      <c r="S36" s="768"/>
      <c r="T36" s="768"/>
      <c r="U36" s="768"/>
      <c r="V36" s="1290"/>
      <c r="W36" s="1289"/>
      <c r="X36" s="768"/>
      <c r="Y36" s="768"/>
      <c r="Z36" s="768"/>
      <c r="AA36" s="768"/>
      <c r="AB36" s="768"/>
      <c r="AC36" s="768"/>
      <c r="AD36" s="768"/>
      <c r="AE36" s="768"/>
      <c r="AF36" s="1290"/>
      <c r="AJ36" s="1289"/>
      <c r="AK36" s="768"/>
      <c r="AL36" s="768"/>
      <c r="AM36" s="768"/>
      <c r="AN36" s="768"/>
      <c r="AO36" s="768"/>
      <c r="AP36" s="768"/>
      <c r="AQ36" s="768"/>
      <c r="AR36" s="768"/>
      <c r="AS36" s="1290"/>
      <c r="AT36" s="1289"/>
      <c r="AU36" s="768"/>
      <c r="AV36" s="768"/>
      <c r="AW36" s="768"/>
      <c r="AX36" s="768"/>
      <c r="AY36" s="768"/>
      <c r="AZ36" s="768"/>
      <c r="BA36" s="768"/>
      <c r="BB36" s="768"/>
      <c r="BC36" s="1290"/>
      <c r="BD36" s="1289"/>
      <c r="BE36" s="768"/>
      <c r="BF36" s="768"/>
      <c r="BG36" s="768"/>
      <c r="BH36" s="768"/>
      <c r="BI36" s="768"/>
      <c r="BJ36" s="768"/>
      <c r="BK36" s="768"/>
      <c r="BL36" s="768"/>
      <c r="BM36" s="1290"/>
      <c r="BQ36" s="1289"/>
      <c r="BR36" s="768"/>
      <c r="BS36" s="768"/>
      <c r="BT36" s="768"/>
      <c r="BU36" s="768"/>
      <c r="BV36" s="768"/>
      <c r="BW36" s="768"/>
      <c r="BX36" s="768"/>
      <c r="BY36" s="768"/>
      <c r="BZ36" s="1290"/>
      <c r="CA36" s="1289"/>
      <c r="CB36" s="768"/>
      <c r="CC36" s="768"/>
      <c r="CD36" s="768"/>
      <c r="CE36" s="768"/>
      <c r="CF36" s="768"/>
      <c r="CG36" s="768"/>
      <c r="CH36" s="768"/>
      <c r="CI36" s="768"/>
      <c r="CJ36" s="1290"/>
      <c r="CK36" s="1289"/>
      <c r="CL36" s="768"/>
      <c r="CM36" s="768"/>
      <c r="CN36" s="768"/>
      <c r="CO36" s="768"/>
      <c r="CP36" s="768"/>
      <c r="CQ36" s="768"/>
      <c r="CR36" s="768"/>
      <c r="CS36" s="768"/>
      <c r="CT36" s="1290"/>
    </row>
    <row r="37" spans="3:98">
      <c r="C37" s="1289"/>
      <c r="D37" s="768"/>
      <c r="E37" s="768"/>
      <c r="F37" s="768"/>
      <c r="G37" s="768"/>
      <c r="H37" s="768"/>
      <c r="I37" s="768"/>
      <c r="J37" s="768"/>
      <c r="K37" s="768"/>
      <c r="L37" s="1290"/>
      <c r="M37" s="1289"/>
      <c r="N37" s="768"/>
      <c r="O37" s="768"/>
      <c r="P37" s="768"/>
      <c r="Q37" s="768"/>
      <c r="R37" s="768"/>
      <c r="S37" s="768"/>
      <c r="T37" s="768"/>
      <c r="U37" s="768"/>
      <c r="V37" s="1290"/>
      <c r="W37" s="1289"/>
      <c r="X37" s="768"/>
      <c r="Y37" s="768"/>
      <c r="Z37" s="768"/>
      <c r="AA37" s="768"/>
      <c r="AB37" s="768"/>
      <c r="AC37" s="768"/>
      <c r="AD37" s="768"/>
      <c r="AE37" s="768"/>
      <c r="AF37" s="1290"/>
      <c r="AJ37" s="1289"/>
      <c r="AK37" s="768"/>
      <c r="AL37" s="768"/>
      <c r="AM37" s="768"/>
      <c r="AN37" s="768"/>
      <c r="AO37" s="768"/>
      <c r="AP37" s="768"/>
      <c r="AQ37" s="768"/>
      <c r="AR37" s="768"/>
      <c r="AS37" s="1290"/>
      <c r="AT37" s="1289"/>
      <c r="AU37" s="768"/>
      <c r="AV37" s="768"/>
      <c r="AW37" s="768"/>
      <c r="AX37" s="768"/>
      <c r="AY37" s="768"/>
      <c r="AZ37" s="768"/>
      <c r="BA37" s="768"/>
      <c r="BB37" s="768"/>
      <c r="BC37" s="1290"/>
      <c r="BD37" s="1289"/>
      <c r="BE37" s="768"/>
      <c r="BF37" s="768"/>
      <c r="BG37" s="768"/>
      <c r="BH37" s="768"/>
      <c r="BI37" s="768"/>
      <c r="BJ37" s="768"/>
      <c r="BK37" s="768"/>
      <c r="BL37" s="768"/>
      <c r="BM37" s="1290"/>
      <c r="BQ37" s="1289"/>
      <c r="BR37" s="768"/>
      <c r="BS37" s="768"/>
      <c r="BT37" s="768"/>
      <c r="BU37" s="768"/>
      <c r="BV37" s="768"/>
      <c r="BW37" s="768"/>
      <c r="BX37" s="768"/>
      <c r="BY37" s="768"/>
      <c r="BZ37" s="1290"/>
      <c r="CA37" s="1289"/>
      <c r="CB37" s="768"/>
      <c r="CC37" s="768"/>
      <c r="CD37" s="768"/>
      <c r="CE37" s="768"/>
      <c r="CF37" s="768"/>
      <c r="CG37" s="768"/>
      <c r="CH37" s="768"/>
      <c r="CI37" s="768"/>
      <c r="CJ37" s="1290"/>
      <c r="CK37" s="1289"/>
      <c r="CL37" s="768"/>
      <c r="CM37" s="768"/>
      <c r="CN37" s="768"/>
      <c r="CO37" s="768"/>
      <c r="CP37" s="768"/>
      <c r="CQ37" s="768"/>
      <c r="CR37" s="768"/>
      <c r="CS37" s="768"/>
      <c r="CT37" s="1290"/>
    </row>
    <row r="38" spans="3:98">
      <c r="C38" s="1289"/>
      <c r="D38" s="768"/>
      <c r="E38" s="768"/>
      <c r="F38" s="768"/>
      <c r="G38" s="768"/>
      <c r="H38" s="768"/>
      <c r="I38" s="768"/>
      <c r="J38" s="768"/>
      <c r="K38" s="768"/>
      <c r="L38" s="1290"/>
      <c r="M38" s="1289"/>
      <c r="N38" s="768"/>
      <c r="O38" s="768"/>
      <c r="P38" s="768"/>
      <c r="Q38" s="768"/>
      <c r="R38" s="768"/>
      <c r="S38" s="768"/>
      <c r="T38" s="768"/>
      <c r="U38" s="768"/>
      <c r="V38" s="1290"/>
      <c r="W38" s="1289"/>
      <c r="X38" s="768"/>
      <c r="Y38" s="768"/>
      <c r="Z38" s="768"/>
      <c r="AA38" s="768"/>
      <c r="AB38" s="768"/>
      <c r="AC38" s="768"/>
      <c r="AD38" s="768"/>
      <c r="AE38" s="768"/>
      <c r="AF38" s="1290"/>
      <c r="AJ38" s="1289"/>
      <c r="AK38" s="768"/>
      <c r="AL38" s="768"/>
      <c r="AM38" s="768"/>
      <c r="AN38" s="768"/>
      <c r="AO38" s="768"/>
      <c r="AP38" s="768"/>
      <c r="AQ38" s="768"/>
      <c r="AR38" s="768"/>
      <c r="AS38" s="1290"/>
      <c r="AT38" s="1289"/>
      <c r="AU38" s="768"/>
      <c r="AV38" s="768"/>
      <c r="AW38" s="768"/>
      <c r="AX38" s="768"/>
      <c r="AY38" s="768"/>
      <c r="AZ38" s="768"/>
      <c r="BA38" s="768"/>
      <c r="BB38" s="768"/>
      <c r="BC38" s="1290"/>
      <c r="BD38" s="1289"/>
      <c r="BE38" s="768"/>
      <c r="BF38" s="768"/>
      <c r="BG38" s="768"/>
      <c r="BH38" s="768"/>
      <c r="BI38" s="768"/>
      <c r="BJ38" s="768"/>
      <c r="BK38" s="768"/>
      <c r="BL38" s="768"/>
      <c r="BM38" s="1290"/>
      <c r="BQ38" s="1289"/>
      <c r="BR38" s="768"/>
      <c r="BS38" s="768"/>
      <c r="BT38" s="768"/>
      <c r="BU38" s="768"/>
      <c r="BV38" s="768"/>
      <c r="BW38" s="768"/>
      <c r="BX38" s="768"/>
      <c r="BY38" s="768"/>
      <c r="BZ38" s="1290"/>
      <c r="CA38" s="1289"/>
      <c r="CB38" s="768"/>
      <c r="CC38" s="768"/>
      <c r="CD38" s="768"/>
      <c r="CE38" s="768"/>
      <c r="CF38" s="768"/>
      <c r="CG38" s="768"/>
      <c r="CH38" s="768"/>
      <c r="CI38" s="768"/>
      <c r="CJ38" s="1290"/>
      <c r="CK38" s="1289"/>
      <c r="CL38" s="768"/>
      <c r="CM38" s="768"/>
      <c r="CN38" s="768"/>
      <c r="CO38" s="768"/>
      <c r="CP38" s="768"/>
      <c r="CQ38" s="768"/>
      <c r="CR38" s="768"/>
      <c r="CS38" s="768"/>
      <c r="CT38" s="1290"/>
    </row>
    <row r="39" spans="3:98">
      <c r="C39" s="1289"/>
      <c r="D39" s="768"/>
      <c r="E39" s="768"/>
      <c r="F39" s="768"/>
      <c r="G39" s="768"/>
      <c r="H39" s="768"/>
      <c r="I39" s="768"/>
      <c r="J39" s="768"/>
      <c r="K39" s="768"/>
      <c r="L39" s="1290"/>
      <c r="M39" s="1289"/>
      <c r="N39" s="768"/>
      <c r="O39" s="768"/>
      <c r="P39" s="768"/>
      <c r="Q39" s="768"/>
      <c r="R39" s="768"/>
      <c r="S39" s="768"/>
      <c r="T39" s="768"/>
      <c r="U39" s="768"/>
      <c r="V39" s="1290"/>
      <c r="W39" s="1289"/>
      <c r="X39" s="768"/>
      <c r="Y39" s="768"/>
      <c r="Z39" s="768"/>
      <c r="AA39" s="768"/>
      <c r="AB39" s="768"/>
      <c r="AC39" s="768"/>
      <c r="AD39" s="768"/>
      <c r="AE39" s="768"/>
      <c r="AF39" s="1290"/>
      <c r="AJ39" s="1289"/>
      <c r="AK39" s="768"/>
      <c r="AL39" s="768"/>
      <c r="AM39" s="768"/>
      <c r="AN39" s="768"/>
      <c r="AO39" s="768"/>
      <c r="AP39" s="768"/>
      <c r="AQ39" s="768"/>
      <c r="AR39" s="768"/>
      <c r="AS39" s="1290"/>
      <c r="AT39" s="1289"/>
      <c r="AU39" s="768"/>
      <c r="AV39" s="768"/>
      <c r="AW39" s="768"/>
      <c r="AX39" s="768"/>
      <c r="AY39" s="768"/>
      <c r="AZ39" s="768"/>
      <c r="BA39" s="768"/>
      <c r="BB39" s="768"/>
      <c r="BC39" s="1290"/>
      <c r="BD39" s="1289"/>
      <c r="BE39" s="768"/>
      <c r="BF39" s="768"/>
      <c r="BG39" s="768"/>
      <c r="BH39" s="768"/>
      <c r="BI39" s="768"/>
      <c r="BJ39" s="768"/>
      <c r="BK39" s="768"/>
      <c r="BL39" s="768"/>
      <c r="BM39" s="1290"/>
      <c r="BQ39" s="1289"/>
      <c r="BR39" s="768"/>
      <c r="BS39" s="768"/>
      <c r="BT39" s="768"/>
      <c r="BU39" s="768"/>
      <c r="BV39" s="768"/>
      <c r="BW39" s="768"/>
      <c r="BX39" s="768"/>
      <c r="BY39" s="768"/>
      <c r="BZ39" s="1290"/>
      <c r="CA39" s="1289"/>
      <c r="CB39" s="768"/>
      <c r="CC39" s="768"/>
      <c r="CD39" s="768"/>
      <c r="CE39" s="768"/>
      <c r="CF39" s="768"/>
      <c r="CG39" s="768"/>
      <c r="CH39" s="768"/>
      <c r="CI39" s="768"/>
      <c r="CJ39" s="1290"/>
      <c r="CK39" s="1289"/>
      <c r="CL39" s="768"/>
      <c r="CM39" s="768"/>
      <c r="CN39" s="768"/>
      <c r="CO39" s="768"/>
      <c r="CP39" s="768"/>
      <c r="CQ39" s="768"/>
      <c r="CR39" s="768"/>
      <c r="CS39" s="768"/>
      <c r="CT39" s="1290"/>
    </row>
    <row r="40" spans="3:98">
      <c r="C40" s="1289"/>
      <c r="D40" s="768"/>
      <c r="E40" s="768"/>
      <c r="F40" s="768"/>
      <c r="G40" s="768"/>
      <c r="H40" s="768"/>
      <c r="I40" s="768"/>
      <c r="J40" s="768"/>
      <c r="K40" s="768"/>
      <c r="L40" s="1290"/>
      <c r="M40" s="1289"/>
      <c r="N40" s="768"/>
      <c r="O40" s="768"/>
      <c r="P40" s="768"/>
      <c r="Q40" s="768"/>
      <c r="R40" s="768"/>
      <c r="S40" s="768"/>
      <c r="T40" s="768"/>
      <c r="U40" s="768"/>
      <c r="V40" s="1290"/>
      <c r="W40" s="1289"/>
      <c r="X40" s="768"/>
      <c r="Y40" s="768"/>
      <c r="Z40" s="768"/>
      <c r="AA40" s="768"/>
      <c r="AB40" s="768"/>
      <c r="AC40" s="768"/>
      <c r="AD40" s="768"/>
      <c r="AE40" s="768"/>
      <c r="AF40" s="1290"/>
      <c r="AJ40" s="1289"/>
      <c r="AK40" s="768"/>
      <c r="AL40" s="768"/>
      <c r="AM40" s="768"/>
      <c r="AN40" s="768"/>
      <c r="AO40" s="768"/>
      <c r="AP40" s="768"/>
      <c r="AQ40" s="768"/>
      <c r="AR40" s="768"/>
      <c r="AS40" s="1290"/>
      <c r="AT40" s="1289"/>
      <c r="AU40" s="768"/>
      <c r="AV40" s="768"/>
      <c r="AW40" s="768"/>
      <c r="AX40" s="768"/>
      <c r="AY40" s="768"/>
      <c r="AZ40" s="768"/>
      <c r="BA40" s="768"/>
      <c r="BB40" s="768"/>
      <c r="BC40" s="1290"/>
      <c r="BD40" s="1289"/>
      <c r="BE40" s="768"/>
      <c r="BF40" s="768"/>
      <c r="BG40" s="768"/>
      <c r="BH40" s="768"/>
      <c r="BI40" s="768"/>
      <c r="BJ40" s="768"/>
      <c r="BK40" s="768"/>
      <c r="BL40" s="768"/>
      <c r="BM40" s="1290"/>
      <c r="BQ40" s="1289"/>
      <c r="BR40" s="768"/>
      <c r="BS40" s="768"/>
      <c r="BT40" s="768"/>
      <c r="BU40" s="768"/>
      <c r="BV40" s="768"/>
      <c r="BW40" s="768"/>
      <c r="BX40" s="768"/>
      <c r="BY40" s="768"/>
      <c r="BZ40" s="1290"/>
      <c r="CA40" s="1289"/>
      <c r="CB40" s="768"/>
      <c r="CC40" s="768"/>
      <c r="CD40" s="768"/>
      <c r="CE40" s="768"/>
      <c r="CF40" s="768"/>
      <c r="CG40" s="768"/>
      <c r="CH40" s="768"/>
      <c r="CI40" s="768"/>
      <c r="CJ40" s="1290"/>
      <c r="CK40" s="1289"/>
      <c r="CL40" s="768"/>
      <c r="CM40" s="768"/>
      <c r="CN40" s="768"/>
      <c r="CO40" s="768"/>
      <c r="CP40" s="768"/>
      <c r="CQ40" s="768"/>
      <c r="CR40" s="768"/>
      <c r="CS40" s="768"/>
      <c r="CT40" s="1290"/>
    </row>
    <row r="41" spans="3:98" ht="14.25" thickBot="1">
      <c r="C41" s="1291"/>
      <c r="D41" s="1292"/>
      <c r="E41" s="1292"/>
      <c r="F41" s="1292"/>
      <c r="G41" s="1292"/>
      <c r="H41" s="1292"/>
      <c r="I41" s="1292"/>
      <c r="J41" s="1292"/>
      <c r="K41" s="1292"/>
      <c r="L41" s="1293"/>
      <c r="M41" s="1291"/>
      <c r="N41" s="1292"/>
      <c r="O41" s="1292"/>
      <c r="P41" s="1292"/>
      <c r="Q41" s="1292"/>
      <c r="R41" s="1292"/>
      <c r="S41" s="1292"/>
      <c r="T41" s="1292"/>
      <c r="U41" s="1292"/>
      <c r="V41" s="1293"/>
      <c r="W41" s="1291"/>
      <c r="X41" s="1292"/>
      <c r="Y41" s="1292"/>
      <c r="Z41" s="1292"/>
      <c r="AA41" s="1292"/>
      <c r="AB41" s="1292"/>
      <c r="AC41" s="1292"/>
      <c r="AD41" s="1292"/>
      <c r="AE41" s="1292"/>
      <c r="AF41" s="1293"/>
      <c r="AJ41" s="1291"/>
      <c r="AK41" s="1292"/>
      <c r="AL41" s="1292"/>
      <c r="AM41" s="1292"/>
      <c r="AN41" s="1292"/>
      <c r="AO41" s="1292"/>
      <c r="AP41" s="1292"/>
      <c r="AQ41" s="1292"/>
      <c r="AR41" s="1292"/>
      <c r="AS41" s="1293"/>
      <c r="AT41" s="1291"/>
      <c r="AU41" s="1292"/>
      <c r="AV41" s="1292"/>
      <c r="AW41" s="1292"/>
      <c r="AX41" s="1292"/>
      <c r="AY41" s="1292"/>
      <c r="AZ41" s="1292"/>
      <c r="BA41" s="1292"/>
      <c r="BB41" s="1292"/>
      <c r="BC41" s="1293"/>
      <c r="BD41" s="1291"/>
      <c r="BE41" s="1292"/>
      <c r="BF41" s="1292"/>
      <c r="BG41" s="1292"/>
      <c r="BH41" s="1292"/>
      <c r="BI41" s="1292"/>
      <c r="BJ41" s="1292"/>
      <c r="BK41" s="1292"/>
      <c r="BL41" s="1292"/>
      <c r="BM41" s="1293"/>
      <c r="BQ41" s="1291"/>
      <c r="BR41" s="1292"/>
      <c r="BS41" s="1292"/>
      <c r="BT41" s="1292"/>
      <c r="BU41" s="1292"/>
      <c r="BV41" s="1292"/>
      <c r="BW41" s="1292"/>
      <c r="BX41" s="1292"/>
      <c r="BY41" s="1292"/>
      <c r="BZ41" s="1293"/>
      <c r="CA41" s="1291"/>
      <c r="CB41" s="1292"/>
      <c r="CC41" s="1292"/>
      <c r="CD41" s="1292"/>
      <c r="CE41" s="1292"/>
      <c r="CF41" s="1292"/>
      <c r="CG41" s="1292"/>
      <c r="CH41" s="1292"/>
      <c r="CI41" s="1292"/>
      <c r="CJ41" s="1293"/>
      <c r="CK41" s="1291"/>
      <c r="CL41" s="1292"/>
      <c r="CM41" s="1292"/>
      <c r="CN41" s="1292"/>
      <c r="CO41" s="1292"/>
      <c r="CP41" s="1292"/>
      <c r="CQ41" s="1292"/>
      <c r="CR41" s="1292"/>
      <c r="CS41" s="1292"/>
      <c r="CT41" s="1293"/>
    </row>
    <row r="45" spans="3:98" ht="14.25" thickBot="1"/>
    <row r="46" spans="3:98">
      <c r="C46" s="1283"/>
      <c r="D46" s="1284"/>
      <c r="E46" s="1284"/>
      <c r="F46" s="1284"/>
      <c r="G46" s="1284"/>
      <c r="H46" s="1284"/>
      <c r="I46" s="1284"/>
      <c r="J46" s="1284"/>
      <c r="K46" s="1284"/>
      <c r="L46" s="1285"/>
      <c r="M46" s="1283"/>
      <c r="N46" s="1284"/>
      <c r="O46" s="1284"/>
      <c r="P46" s="1284"/>
      <c r="Q46" s="1284"/>
      <c r="R46" s="1284"/>
      <c r="S46" s="1284"/>
      <c r="T46" s="1284"/>
      <c r="U46" s="1284"/>
      <c r="V46" s="1294"/>
      <c r="W46" s="1295"/>
      <c r="X46" s="1284"/>
      <c r="Y46" s="1284"/>
      <c r="Z46" s="1284"/>
      <c r="AA46" s="1284"/>
      <c r="AB46" s="1284"/>
      <c r="AC46" s="1284"/>
      <c r="AD46" s="1284"/>
      <c r="AE46" s="1284"/>
      <c r="AF46" s="1294"/>
      <c r="AJ46" s="1283"/>
      <c r="AK46" s="1284"/>
      <c r="AL46" s="1284"/>
      <c r="AM46" s="1284"/>
      <c r="AN46" s="1284"/>
      <c r="AO46" s="1284"/>
      <c r="AP46" s="1284"/>
      <c r="AQ46" s="1284"/>
      <c r="AR46" s="1284"/>
      <c r="AS46" s="1285"/>
      <c r="AT46" s="1283"/>
      <c r="AU46" s="1284"/>
      <c r="AV46" s="1284"/>
      <c r="AW46" s="1284"/>
      <c r="AX46" s="1284"/>
      <c r="AY46" s="1284"/>
      <c r="AZ46" s="1284"/>
      <c r="BA46" s="1284"/>
      <c r="BB46" s="1284"/>
      <c r="BC46" s="1294"/>
      <c r="BD46" s="1295"/>
      <c r="BE46" s="1284"/>
      <c r="BF46" s="1284"/>
      <c r="BG46" s="1284"/>
      <c r="BH46" s="1284"/>
      <c r="BI46" s="1284"/>
      <c r="BJ46" s="1284"/>
      <c r="BK46" s="1284"/>
      <c r="BL46" s="1284"/>
      <c r="BM46" s="1294"/>
      <c r="BQ46" s="1283"/>
      <c r="BR46" s="1284"/>
      <c r="BS46" s="1284"/>
      <c r="BT46" s="1284"/>
      <c r="BU46" s="1284"/>
      <c r="BV46" s="1284"/>
      <c r="BW46" s="1284"/>
      <c r="BX46" s="1284"/>
      <c r="BY46" s="1284"/>
      <c r="BZ46" s="1285"/>
      <c r="CA46" s="1283"/>
      <c r="CB46" s="1284"/>
      <c r="CC46" s="1284"/>
      <c r="CD46" s="1284"/>
      <c r="CE46" s="1284"/>
      <c r="CF46" s="1284"/>
      <c r="CG46" s="1284"/>
      <c r="CH46" s="1284"/>
      <c r="CI46" s="1284"/>
      <c r="CJ46" s="1294"/>
      <c r="CK46" s="1295"/>
      <c r="CL46" s="1284"/>
      <c r="CM46" s="1284"/>
      <c r="CN46" s="1284"/>
      <c r="CO46" s="1284"/>
      <c r="CP46" s="1284"/>
      <c r="CQ46" s="1284"/>
      <c r="CR46" s="1284"/>
      <c r="CS46" s="1284"/>
      <c r="CT46" s="1294"/>
    </row>
    <row r="47" spans="3:98">
      <c r="C47" s="1286"/>
      <c r="D47" s="1287"/>
      <c r="E47" s="1287"/>
      <c r="F47" s="1287"/>
      <c r="G47" s="1287"/>
      <c r="H47" s="1287"/>
      <c r="I47" s="1287"/>
      <c r="J47" s="1287"/>
      <c r="K47" s="1287"/>
      <c r="L47" s="1288"/>
      <c r="M47" s="1286"/>
      <c r="N47" s="1287"/>
      <c r="O47" s="1287"/>
      <c r="P47" s="1287"/>
      <c r="Q47" s="1287"/>
      <c r="R47" s="1287"/>
      <c r="S47" s="1287"/>
      <c r="T47" s="1287"/>
      <c r="U47" s="1287"/>
      <c r="V47" s="1288"/>
      <c r="W47" s="1286"/>
      <c r="X47" s="1287"/>
      <c r="Y47" s="1287"/>
      <c r="Z47" s="1287"/>
      <c r="AA47" s="1287"/>
      <c r="AB47" s="1287"/>
      <c r="AC47" s="1287"/>
      <c r="AD47" s="1287"/>
      <c r="AE47" s="1287"/>
      <c r="AF47" s="1288"/>
      <c r="AJ47" s="1286"/>
      <c r="AK47" s="1287"/>
      <c r="AL47" s="1287"/>
      <c r="AM47" s="1287"/>
      <c r="AN47" s="1287"/>
      <c r="AO47" s="1287"/>
      <c r="AP47" s="1287"/>
      <c r="AQ47" s="1287"/>
      <c r="AR47" s="1287"/>
      <c r="AS47" s="1288"/>
      <c r="AT47" s="1286"/>
      <c r="AU47" s="1287"/>
      <c r="AV47" s="1287"/>
      <c r="AW47" s="1287"/>
      <c r="AX47" s="1287"/>
      <c r="AY47" s="1287"/>
      <c r="AZ47" s="1287"/>
      <c r="BA47" s="1287"/>
      <c r="BB47" s="1287"/>
      <c r="BC47" s="1288"/>
      <c r="BD47" s="1286"/>
      <c r="BE47" s="1287"/>
      <c r="BF47" s="1287"/>
      <c r="BG47" s="1287"/>
      <c r="BH47" s="1287"/>
      <c r="BI47" s="1287"/>
      <c r="BJ47" s="1287"/>
      <c r="BK47" s="1287"/>
      <c r="BL47" s="1287"/>
      <c r="BM47" s="1288"/>
      <c r="BQ47" s="1286"/>
      <c r="BR47" s="1287"/>
      <c r="BS47" s="1287"/>
      <c r="BT47" s="1287"/>
      <c r="BU47" s="1287"/>
      <c r="BV47" s="1287"/>
      <c r="BW47" s="1287"/>
      <c r="BX47" s="1287"/>
      <c r="BY47" s="1287"/>
      <c r="BZ47" s="1288"/>
      <c r="CA47" s="1286"/>
      <c r="CB47" s="1287"/>
      <c r="CC47" s="1287"/>
      <c r="CD47" s="1287"/>
      <c r="CE47" s="1287"/>
      <c r="CF47" s="1287"/>
      <c r="CG47" s="1287"/>
      <c r="CH47" s="1287"/>
      <c r="CI47" s="1287"/>
      <c r="CJ47" s="1288"/>
      <c r="CK47" s="1286"/>
      <c r="CL47" s="1287"/>
      <c r="CM47" s="1287"/>
      <c r="CN47" s="1287"/>
      <c r="CO47" s="1287"/>
      <c r="CP47" s="1287"/>
      <c r="CQ47" s="1287"/>
      <c r="CR47" s="1287"/>
      <c r="CS47" s="1287"/>
      <c r="CT47" s="1288"/>
    </row>
    <row r="48" spans="3:98">
      <c r="C48" s="1289"/>
      <c r="D48" s="768"/>
      <c r="E48" s="768"/>
      <c r="F48" s="768"/>
      <c r="G48" s="768"/>
      <c r="H48" s="768"/>
      <c r="I48" s="768"/>
      <c r="J48" s="768"/>
      <c r="K48" s="768"/>
      <c r="L48" s="1290"/>
      <c r="M48" s="1289"/>
      <c r="N48" s="768"/>
      <c r="O48" s="768"/>
      <c r="P48" s="768"/>
      <c r="Q48" s="768"/>
      <c r="R48" s="768"/>
      <c r="S48" s="768"/>
      <c r="T48" s="768"/>
      <c r="U48" s="768"/>
      <c r="V48" s="1290"/>
      <c r="W48" s="1289"/>
      <c r="X48" s="768"/>
      <c r="Y48" s="768"/>
      <c r="Z48" s="768"/>
      <c r="AA48" s="768"/>
      <c r="AB48" s="768"/>
      <c r="AC48" s="768"/>
      <c r="AD48" s="768"/>
      <c r="AE48" s="768"/>
      <c r="AF48" s="1290"/>
      <c r="AJ48" s="1289"/>
      <c r="AK48" s="768"/>
      <c r="AL48" s="768"/>
      <c r="AM48" s="768"/>
      <c r="AN48" s="768"/>
      <c r="AO48" s="768"/>
      <c r="AP48" s="768"/>
      <c r="AQ48" s="768"/>
      <c r="AR48" s="768"/>
      <c r="AS48" s="1290"/>
      <c r="AT48" s="1289"/>
      <c r="AU48" s="768"/>
      <c r="AV48" s="768"/>
      <c r="AW48" s="768"/>
      <c r="AX48" s="768"/>
      <c r="AY48" s="768"/>
      <c r="AZ48" s="768"/>
      <c r="BA48" s="768"/>
      <c r="BB48" s="768"/>
      <c r="BC48" s="1290"/>
      <c r="BD48" s="1289"/>
      <c r="BE48" s="768"/>
      <c r="BF48" s="768"/>
      <c r="BG48" s="768"/>
      <c r="BH48" s="768"/>
      <c r="BI48" s="768"/>
      <c r="BJ48" s="768"/>
      <c r="BK48" s="768"/>
      <c r="BL48" s="768"/>
      <c r="BM48" s="1290"/>
      <c r="BQ48" s="1289"/>
      <c r="BR48" s="768"/>
      <c r="BS48" s="768"/>
      <c r="BT48" s="768"/>
      <c r="BU48" s="768"/>
      <c r="BV48" s="768"/>
      <c r="BW48" s="768"/>
      <c r="BX48" s="768"/>
      <c r="BY48" s="768"/>
      <c r="BZ48" s="1290"/>
      <c r="CA48" s="1289"/>
      <c r="CB48" s="768"/>
      <c r="CC48" s="768"/>
      <c r="CD48" s="768"/>
      <c r="CE48" s="768"/>
      <c r="CF48" s="768"/>
      <c r="CG48" s="768"/>
      <c r="CH48" s="768"/>
      <c r="CI48" s="768"/>
      <c r="CJ48" s="1290"/>
      <c r="CK48" s="1289"/>
      <c r="CL48" s="768"/>
      <c r="CM48" s="768"/>
      <c r="CN48" s="768"/>
      <c r="CO48" s="768"/>
      <c r="CP48" s="768"/>
      <c r="CQ48" s="768"/>
      <c r="CR48" s="768"/>
      <c r="CS48" s="768"/>
      <c r="CT48" s="1290"/>
    </row>
    <row r="49" spans="3:98">
      <c r="C49" s="1289"/>
      <c r="D49" s="768"/>
      <c r="E49" s="768"/>
      <c r="F49" s="768"/>
      <c r="G49" s="768"/>
      <c r="H49" s="768"/>
      <c r="I49" s="768"/>
      <c r="J49" s="768"/>
      <c r="K49" s="768"/>
      <c r="L49" s="1290"/>
      <c r="M49" s="1289"/>
      <c r="N49" s="768"/>
      <c r="O49" s="768"/>
      <c r="P49" s="768"/>
      <c r="Q49" s="768"/>
      <c r="R49" s="768"/>
      <c r="S49" s="768"/>
      <c r="T49" s="768"/>
      <c r="U49" s="768"/>
      <c r="V49" s="1290"/>
      <c r="W49" s="1289"/>
      <c r="X49" s="768"/>
      <c r="Y49" s="768"/>
      <c r="Z49" s="768"/>
      <c r="AA49" s="768"/>
      <c r="AB49" s="768"/>
      <c r="AC49" s="768"/>
      <c r="AD49" s="768"/>
      <c r="AE49" s="768"/>
      <c r="AF49" s="1290"/>
      <c r="AJ49" s="1289"/>
      <c r="AK49" s="768"/>
      <c r="AL49" s="768"/>
      <c r="AM49" s="768"/>
      <c r="AN49" s="768"/>
      <c r="AO49" s="768"/>
      <c r="AP49" s="768"/>
      <c r="AQ49" s="768"/>
      <c r="AR49" s="768"/>
      <c r="AS49" s="1290"/>
      <c r="AT49" s="1289"/>
      <c r="AU49" s="768"/>
      <c r="AV49" s="768"/>
      <c r="AW49" s="768"/>
      <c r="AX49" s="768"/>
      <c r="AY49" s="768"/>
      <c r="AZ49" s="768"/>
      <c r="BA49" s="768"/>
      <c r="BB49" s="768"/>
      <c r="BC49" s="1290"/>
      <c r="BD49" s="1289"/>
      <c r="BE49" s="768"/>
      <c r="BF49" s="768"/>
      <c r="BG49" s="768"/>
      <c r="BH49" s="768"/>
      <c r="BI49" s="768"/>
      <c r="BJ49" s="768"/>
      <c r="BK49" s="768"/>
      <c r="BL49" s="768"/>
      <c r="BM49" s="1290"/>
      <c r="BQ49" s="1289"/>
      <c r="BR49" s="768"/>
      <c r="BS49" s="768"/>
      <c r="BT49" s="768"/>
      <c r="BU49" s="768"/>
      <c r="BV49" s="768"/>
      <c r="BW49" s="768"/>
      <c r="BX49" s="768"/>
      <c r="BY49" s="768"/>
      <c r="BZ49" s="1290"/>
      <c r="CA49" s="1289"/>
      <c r="CB49" s="768"/>
      <c r="CC49" s="768"/>
      <c r="CD49" s="768"/>
      <c r="CE49" s="768"/>
      <c r="CF49" s="768"/>
      <c r="CG49" s="768"/>
      <c r="CH49" s="768"/>
      <c r="CI49" s="768"/>
      <c r="CJ49" s="1290"/>
      <c r="CK49" s="1289"/>
      <c r="CL49" s="768"/>
      <c r="CM49" s="768"/>
      <c r="CN49" s="768"/>
      <c r="CO49" s="768"/>
      <c r="CP49" s="768"/>
      <c r="CQ49" s="768"/>
      <c r="CR49" s="768"/>
      <c r="CS49" s="768"/>
      <c r="CT49" s="1290"/>
    </row>
    <row r="50" spans="3:98">
      <c r="C50" s="1289"/>
      <c r="D50" s="768"/>
      <c r="E50" s="768"/>
      <c r="F50" s="768"/>
      <c r="G50" s="768"/>
      <c r="H50" s="768"/>
      <c r="I50" s="768"/>
      <c r="J50" s="768"/>
      <c r="K50" s="768"/>
      <c r="L50" s="1290"/>
      <c r="M50" s="1289"/>
      <c r="N50" s="768"/>
      <c r="O50" s="768"/>
      <c r="P50" s="768"/>
      <c r="Q50" s="768"/>
      <c r="R50" s="768"/>
      <c r="S50" s="768"/>
      <c r="T50" s="768"/>
      <c r="U50" s="768"/>
      <c r="V50" s="1290"/>
      <c r="W50" s="1289"/>
      <c r="X50" s="768"/>
      <c r="Y50" s="768"/>
      <c r="Z50" s="768"/>
      <c r="AA50" s="768"/>
      <c r="AB50" s="768"/>
      <c r="AC50" s="768"/>
      <c r="AD50" s="768"/>
      <c r="AE50" s="768"/>
      <c r="AF50" s="1290"/>
      <c r="AJ50" s="1289"/>
      <c r="AK50" s="768"/>
      <c r="AL50" s="768"/>
      <c r="AM50" s="768"/>
      <c r="AN50" s="768"/>
      <c r="AO50" s="768"/>
      <c r="AP50" s="768"/>
      <c r="AQ50" s="768"/>
      <c r="AR50" s="768"/>
      <c r="AS50" s="1290"/>
      <c r="AT50" s="1289"/>
      <c r="AU50" s="768"/>
      <c r="AV50" s="768"/>
      <c r="AW50" s="768"/>
      <c r="AX50" s="768"/>
      <c r="AY50" s="768"/>
      <c r="AZ50" s="768"/>
      <c r="BA50" s="768"/>
      <c r="BB50" s="768"/>
      <c r="BC50" s="1290"/>
      <c r="BD50" s="1289"/>
      <c r="BE50" s="768"/>
      <c r="BF50" s="768"/>
      <c r="BG50" s="768"/>
      <c r="BH50" s="768"/>
      <c r="BI50" s="768"/>
      <c r="BJ50" s="768"/>
      <c r="BK50" s="768"/>
      <c r="BL50" s="768"/>
      <c r="BM50" s="1290"/>
      <c r="BQ50" s="1289"/>
      <c r="BR50" s="768"/>
      <c r="BS50" s="768"/>
      <c r="BT50" s="768"/>
      <c r="BU50" s="768"/>
      <c r="BV50" s="768"/>
      <c r="BW50" s="768"/>
      <c r="BX50" s="768"/>
      <c r="BY50" s="768"/>
      <c r="BZ50" s="1290"/>
      <c r="CA50" s="1289"/>
      <c r="CB50" s="768"/>
      <c r="CC50" s="768"/>
      <c r="CD50" s="768"/>
      <c r="CE50" s="768"/>
      <c r="CF50" s="768"/>
      <c r="CG50" s="768"/>
      <c r="CH50" s="768"/>
      <c r="CI50" s="768"/>
      <c r="CJ50" s="1290"/>
      <c r="CK50" s="1289"/>
      <c r="CL50" s="768"/>
      <c r="CM50" s="768"/>
      <c r="CN50" s="768"/>
      <c r="CO50" s="768"/>
      <c r="CP50" s="768"/>
      <c r="CQ50" s="768"/>
      <c r="CR50" s="768"/>
      <c r="CS50" s="768"/>
      <c r="CT50" s="1290"/>
    </row>
    <row r="51" spans="3:98">
      <c r="C51" s="1289"/>
      <c r="D51" s="768"/>
      <c r="E51" s="768"/>
      <c r="F51" s="768"/>
      <c r="G51" s="768"/>
      <c r="H51" s="768"/>
      <c r="I51" s="768"/>
      <c r="J51" s="768"/>
      <c r="K51" s="768"/>
      <c r="L51" s="1290"/>
      <c r="M51" s="1289"/>
      <c r="N51" s="768"/>
      <c r="O51" s="768"/>
      <c r="P51" s="768"/>
      <c r="Q51" s="768"/>
      <c r="R51" s="768"/>
      <c r="S51" s="768"/>
      <c r="T51" s="768"/>
      <c r="U51" s="768"/>
      <c r="V51" s="1290"/>
      <c r="W51" s="1289"/>
      <c r="X51" s="768"/>
      <c r="Y51" s="768"/>
      <c r="Z51" s="768"/>
      <c r="AA51" s="768"/>
      <c r="AB51" s="768"/>
      <c r="AC51" s="768"/>
      <c r="AD51" s="768"/>
      <c r="AE51" s="768"/>
      <c r="AF51" s="1290"/>
      <c r="AJ51" s="1289"/>
      <c r="AK51" s="768"/>
      <c r="AL51" s="768"/>
      <c r="AM51" s="768"/>
      <c r="AN51" s="768"/>
      <c r="AO51" s="768"/>
      <c r="AP51" s="768"/>
      <c r="AQ51" s="768"/>
      <c r="AR51" s="768"/>
      <c r="AS51" s="1290"/>
      <c r="AT51" s="1289"/>
      <c r="AU51" s="768"/>
      <c r="AV51" s="768"/>
      <c r="AW51" s="768"/>
      <c r="AX51" s="768"/>
      <c r="AY51" s="768"/>
      <c r="AZ51" s="768"/>
      <c r="BA51" s="768"/>
      <c r="BB51" s="768"/>
      <c r="BC51" s="1290"/>
      <c r="BD51" s="1289"/>
      <c r="BE51" s="768"/>
      <c r="BF51" s="768"/>
      <c r="BG51" s="768"/>
      <c r="BH51" s="768"/>
      <c r="BI51" s="768"/>
      <c r="BJ51" s="768"/>
      <c r="BK51" s="768"/>
      <c r="BL51" s="768"/>
      <c r="BM51" s="1290"/>
      <c r="BQ51" s="1289"/>
      <c r="BR51" s="768"/>
      <c r="BS51" s="768"/>
      <c r="BT51" s="768"/>
      <c r="BU51" s="768"/>
      <c r="BV51" s="768"/>
      <c r="BW51" s="768"/>
      <c r="BX51" s="768"/>
      <c r="BY51" s="768"/>
      <c r="BZ51" s="1290"/>
      <c r="CA51" s="1289"/>
      <c r="CB51" s="768"/>
      <c r="CC51" s="768"/>
      <c r="CD51" s="768"/>
      <c r="CE51" s="768"/>
      <c r="CF51" s="768"/>
      <c r="CG51" s="768"/>
      <c r="CH51" s="768"/>
      <c r="CI51" s="768"/>
      <c r="CJ51" s="1290"/>
      <c r="CK51" s="1289"/>
      <c r="CL51" s="768"/>
      <c r="CM51" s="768"/>
      <c r="CN51" s="768"/>
      <c r="CO51" s="768"/>
      <c r="CP51" s="768"/>
      <c r="CQ51" s="768"/>
      <c r="CR51" s="768"/>
      <c r="CS51" s="768"/>
      <c r="CT51" s="1290"/>
    </row>
    <row r="52" spans="3:98">
      <c r="C52" s="1289"/>
      <c r="D52" s="768"/>
      <c r="E52" s="768"/>
      <c r="F52" s="768"/>
      <c r="G52" s="768"/>
      <c r="H52" s="768"/>
      <c r="I52" s="768"/>
      <c r="J52" s="768"/>
      <c r="K52" s="768"/>
      <c r="L52" s="1290"/>
      <c r="M52" s="1289"/>
      <c r="N52" s="768"/>
      <c r="O52" s="768"/>
      <c r="P52" s="768"/>
      <c r="Q52" s="768"/>
      <c r="R52" s="768"/>
      <c r="S52" s="768"/>
      <c r="T52" s="768"/>
      <c r="U52" s="768"/>
      <c r="V52" s="1290"/>
      <c r="W52" s="1289"/>
      <c r="X52" s="768"/>
      <c r="Y52" s="768"/>
      <c r="Z52" s="768"/>
      <c r="AA52" s="768"/>
      <c r="AB52" s="768"/>
      <c r="AC52" s="768"/>
      <c r="AD52" s="768"/>
      <c r="AE52" s="768"/>
      <c r="AF52" s="1290"/>
      <c r="AJ52" s="1289"/>
      <c r="AK52" s="768"/>
      <c r="AL52" s="768"/>
      <c r="AM52" s="768"/>
      <c r="AN52" s="768"/>
      <c r="AO52" s="768"/>
      <c r="AP52" s="768"/>
      <c r="AQ52" s="768"/>
      <c r="AR52" s="768"/>
      <c r="AS52" s="1290"/>
      <c r="AT52" s="1289"/>
      <c r="AU52" s="768"/>
      <c r="AV52" s="768"/>
      <c r="AW52" s="768"/>
      <c r="AX52" s="768"/>
      <c r="AY52" s="768"/>
      <c r="AZ52" s="768"/>
      <c r="BA52" s="768"/>
      <c r="BB52" s="768"/>
      <c r="BC52" s="1290"/>
      <c r="BD52" s="1289"/>
      <c r="BE52" s="768"/>
      <c r="BF52" s="768"/>
      <c r="BG52" s="768"/>
      <c r="BH52" s="768"/>
      <c r="BI52" s="768"/>
      <c r="BJ52" s="768"/>
      <c r="BK52" s="768"/>
      <c r="BL52" s="768"/>
      <c r="BM52" s="1290"/>
      <c r="BQ52" s="1289"/>
      <c r="BR52" s="768"/>
      <c r="BS52" s="768"/>
      <c r="BT52" s="768"/>
      <c r="BU52" s="768"/>
      <c r="BV52" s="768"/>
      <c r="BW52" s="768"/>
      <c r="BX52" s="768"/>
      <c r="BY52" s="768"/>
      <c r="BZ52" s="1290"/>
      <c r="CA52" s="1289"/>
      <c r="CB52" s="768"/>
      <c r="CC52" s="768"/>
      <c r="CD52" s="768"/>
      <c r="CE52" s="768"/>
      <c r="CF52" s="768"/>
      <c r="CG52" s="768"/>
      <c r="CH52" s="768"/>
      <c r="CI52" s="768"/>
      <c r="CJ52" s="1290"/>
      <c r="CK52" s="1289"/>
      <c r="CL52" s="768"/>
      <c r="CM52" s="768"/>
      <c r="CN52" s="768"/>
      <c r="CO52" s="768"/>
      <c r="CP52" s="768"/>
      <c r="CQ52" s="768"/>
      <c r="CR52" s="768"/>
      <c r="CS52" s="768"/>
      <c r="CT52" s="1290"/>
    </row>
    <row r="53" spans="3:98">
      <c r="C53" s="1289"/>
      <c r="D53" s="768"/>
      <c r="E53" s="768"/>
      <c r="F53" s="768"/>
      <c r="G53" s="768"/>
      <c r="H53" s="768"/>
      <c r="I53" s="768"/>
      <c r="J53" s="768"/>
      <c r="K53" s="768"/>
      <c r="L53" s="1290"/>
      <c r="M53" s="1289"/>
      <c r="N53" s="768"/>
      <c r="O53" s="768"/>
      <c r="P53" s="768"/>
      <c r="Q53" s="768"/>
      <c r="R53" s="768"/>
      <c r="S53" s="768"/>
      <c r="T53" s="768"/>
      <c r="U53" s="768"/>
      <c r="V53" s="1290"/>
      <c r="W53" s="1289"/>
      <c r="X53" s="768"/>
      <c r="Y53" s="768"/>
      <c r="Z53" s="768"/>
      <c r="AA53" s="768"/>
      <c r="AB53" s="768"/>
      <c r="AC53" s="768"/>
      <c r="AD53" s="768"/>
      <c r="AE53" s="768"/>
      <c r="AF53" s="1290"/>
      <c r="AJ53" s="1289"/>
      <c r="AK53" s="768"/>
      <c r="AL53" s="768"/>
      <c r="AM53" s="768"/>
      <c r="AN53" s="768"/>
      <c r="AO53" s="768"/>
      <c r="AP53" s="768"/>
      <c r="AQ53" s="768"/>
      <c r="AR53" s="768"/>
      <c r="AS53" s="1290"/>
      <c r="AT53" s="1289"/>
      <c r="AU53" s="768"/>
      <c r="AV53" s="768"/>
      <c r="AW53" s="768"/>
      <c r="AX53" s="768"/>
      <c r="AY53" s="768"/>
      <c r="AZ53" s="768"/>
      <c r="BA53" s="768"/>
      <c r="BB53" s="768"/>
      <c r="BC53" s="1290"/>
      <c r="BD53" s="1289"/>
      <c r="BE53" s="768"/>
      <c r="BF53" s="768"/>
      <c r="BG53" s="768"/>
      <c r="BH53" s="768"/>
      <c r="BI53" s="768"/>
      <c r="BJ53" s="768"/>
      <c r="BK53" s="768"/>
      <c r="BL53" s="768"/>
      <c r="BM53" s="1290"/>
      <c r="BQ53" s="1289"/>
      <c r="BR53" s="768"/>
      <c r="BS53" s="768"/>
      <c r="BT53" s="768"/>
      <c r="BU53" s="768"/>
      <c r="BV53" s="768"/>
      <c r="BW53" s="768"/>
      <c r="BX53" s="768"/>
      <c r="BY53" s="768"/>
      <c r="BZ53" s="1290"/>
      <c r="CA53" s="1289"/>
      <c r="CB53" s="768"/>
      <c r="CC53" s="768"/>
      <c r="CD53" s="768"/>
      <c r="CE53" s="768"/>
      <c r="CF53" s="768"/>
      <c r="CG53" s="768"/>
      <c r="CH53" s="768"/>
      <c r="CI53" s="768"/>
      <c r="CJ53" s="1290"/>
      <c r="CK53" s="1289"/>
      <c r="CL53" s="768"/>
      <c r="CM53" s="768"/>
      <c r="CN53" s="768"/>
      <c r="CO53" s="768"/>
      <c r="CP53" s="768"/>
      <c r="CQ53" s="768"/>
      <c r="CR53" s="768"/>
      <c r="CS53" s="768"/>
      <c r="CT53" s="1290"/>
    </row>
    <row r="54" spans="3:98">
      <c r="C54" s="1289"/>
      <c r="D54" s="768"/>
      <c r="E54" s="768"/>
      <c r="F54" s="768"/>
      <c r="G54" s="768"/>
      <c r="H54" s="768"/>
      <c r="I54" s="768"/>
      <c r="J54" s="768"/>
      <c r="K54" s="768"/>
      <c r="L54" s="1290"/>
      <c r="M54" s="1289"/>
      <c r="N54" s="768"/>
      <c r="O54" s="768"/>
      <c r="P54" s="768"/>
      <c r="Q54" s="768"/>
      <c r="R54" s="768"/>
      <c r="S54" s="768"/>
      <c r="T54" s="768"/>
      <c r="U54" s="768"/>
      <c r="V54" s="1290"/>
      <c r="W54" s="1289"/>
      <c r="X54" s="768"/>
      <c r="Y54" s="768"/>
      <c r="Z54" s="768"/>
      <c r="AA54" s="768"/>
      <c r="AB54" s="768"/>
      <c r="AC54" s="768"/>
      <c r="AD54" s="768"/>
      <c r="AE54" s="768"/>
      <c r="AF54" s="1290"/>
      <c r="AJ54" s="1289"/>
      <c r="AK54" s="768"/>
      <c r="AL54" s="768"/>
      <c r="AM54" s="768"/>
      <c r="AN54" s="768"/>
      <c r="AO54" s="768"/>
      <c r="AP54" s="768"/>
      <c r="AQ54" s="768"/>
      <c r="AR54" s="768"/>
      <c r="AS54" s="1290"/>
      <c r="AT54" s="1289"/>
      <c r="AU54" s="768"/>
      <c r="AV54" s="768"/>
      <c r="AW54" s="768"/>
      <c r="AX54" s="768"/>
      <c r="AY54" s="768"/>
      <c r="AZ54" s="768"/>
      <c r="BA54" s="768"/>
      <c r="BB54" s="768"/>
      <c r="BC54" s="1290"/>
      <c r="BD54" s="1289"/>
      <c r="BE54" s="768"/>
      <c r="BF54" s="768"/>
      <c r="BG54" s="768"/>
      <c r="BH54" s="768"/>
      <c r="BI54" s="768"/>
      <c r="BJ54" s="768"/>
      <c r="BK54" s="768"/>
      <c r="BL54" s="768"/>
      <c r="BM54" s="1290"/>
      <c r="BQ54" s="1289"/>
      <c r="BR54" s="768"/>
      <c r="BS54" s="768"/>
      <c r="BT54" s="768"/>
      <c r="BU54" s="768"/>
      <c r="BV54" s="768"/>
      <c r="BW54" s="768"/>
      <c r="BX54" s="768"/>
      <c r="BY54" s="768"/>
      <c r="BZ54" s="1290"/>
      <c r="CA54" s="1289"/>
      <c r="CB54" s="768"/>
      <c r="CC54" s="768"/>
      <c r="CD54" s="768"/>
      <c r="CE54" s="768"/>
      <c r="CF54" s="768"/>
      <c r="CG54" s="768"/>
      <c r="CH54" s="768"/>
      <c r="CI54" s="768"/>
      <c r="CJ54" s="1290"/>
      <c r="CK54" s="1289"/>
      <c r="CL54" s="768"/>
      <c r="CM54" s="768"/>
      <c r="CN54" s="768"/>
      <c r="CO54" s="768"/>
      <c r="CP54" s="768"/>
      <c r="CQ54" s="768"/>
      <c r="CR54" s="768"/>
      <c r="CS54" s="768"/>
      <c r="CT54" s="1290"/>
    </row>
    <row r="55" spans="3:98">
      <c r="C55" s="1289"/>
      <c r="D55" s="768"/>
      <c r="E55" s="768"/>
      <c r="F55" s="768"/>
      <c r="G55" s="768"/>
      <c r="H55" s="768"/>
      <c r="I55" s="768"/>
      <c r="J55" s="768"/>
      <c r="K55" s="768"/>
      <c r="L55" s="1290"/>
      <c r="M55" s="1289"/>
      <c r="N55" s="768"/>
      <c r="O55" s="768"/>
      <c r="P55" s="768"/>
      <c r="Q55" s="768"/>
      <c r="R55" s="768"/>
      <c r="S55" s="768"/>
      <c r="T55" s="768"/>
      <c r="U55" s="768"/>
      <c r="V55" s="1290"/>
      <c r="W55" s="1289"/>
      <c r="X55" s="768"/>
      <c r="Y55" s="768"/>
      <c r="Z55" s="768"/>
      <c r="AA55" s="768"/>
      <c r="AB55" s="768"/>
      <c r="AC55" s="768"/>
      <c r="AD55" s="768"/>
      <c r="AE55" s="768"/>
      <c r="AF55" s="1290"/>
      <c r="AJ55" s="1289"/>
      <c r="AK55" s="768"/>
      <c r="AL55" s="768"/>
      <c r="AM55" s="768"/>
      <c r="AN55" s="768"/>
      <c r="AO55" s="768"/>
      <c r="AP55" s="768"/>
      <c r="AQ55" s="768"/>
      <c r="AR55" s="768"/>
      <c r="AS55" s="1290"/>
      <c r="AT55" s="1289"/>
      <c r="AU55" s="768"/>
      <c r="AV55" s="768"/>
      <c r="AW55" s="768"/>
      <c r="AX55" s="768"/>
      <c r="AY55" s="768"/>
      <c r="AZ55" s="768"/>
      <c r="BA55" s="768"/>
      <c r="BB55" s="768"/>
      <c r="BC55" s="1290"/>
      <c r="BD55" s="1289"/>
      <c r="BE55" s="768"/>
      <c r="BF55" s="768"/>
      <c r="BG55" s="768"/>
      <c r="BH55" s="768"/>
      <c r="BI55" s="768"/>
      <c r="BJ55" s="768"/>
      <c r="BK55" s="768"/>
      <c r="BL55" s="768"/>
      <c r="BM55" s="1290"/>
      <c r="BQ55" s="1289"/>
      <c r="BR55" s="768"/>
      <c r="BS55" s="768"/>
      <c r="BT55" s="768"/>
      <c r="BU55" s="768"/>
      <c r="BV55" s="768"/>
      <c r="BW55" s="768"/>
      <c r="BX55" s="768"/>
      <c r="BY55" s="768"/>
      <c r="BZ55" s="1290"/>
      <c r="CA55" s="1289"/>
      <c r="CB55" s="768"/>
      <c r="CC55" s="768"/>
      <c r="CD55" s="768"/>
      <c r="CE55" s="768"/>
      <c r="CF55" s="768"/>
      <c r="CG55" s="768"/>
      <c r="CH55" s="768"/>
      <c r="CI55" s="768"/>
      <c r="CJ55" s="1290"/>
      <c r="CK55" s="1289"/>
      <c r="CL55" s="768"/>
      <c r="CM55" s="768"/>
      <c r="CN55" s="768"/>
      <c r="CO55" s="768"/>
      <c r="CP55" s="768"/>
      <c r="CQ55" s="768"/>
      <c r="CR55" s="768"/>
      <c r="CS55" s="768"/>
      <c r="CT55" s="1290"/>
    </row>
    <row r="56" spans="3:98" ht="14.25" thickBot="1">
      <c r="C56" s="1291"/>
      <c r="D56" s="1292"/>
      <c r="E56" s="1292"/>
      <c r="F56" s="1292"/>
      <c r="G56" s="1292"/>
      <c r="H56" s="1292"/>
      <c r="I56" s="1292"/>
      <c r="J56" s="1292"/>
      <c r="K56" s="1292"/>
      <c r="L56" s="1293"/>
      <c r="M56" s="1291"/>
      <c r="N56" s="1292"/>
      <c r="O56" s="1292"/>
      <c r="P56" s="1292"/>
      <c r="Q56" s="1292"/>
      <c r="R56" s="1292"/>
      <c r="S56" s="1292"/>
      <c r="T56" s="1292"/>
      <c r="U56" s="1292"/>
      <c r="V56" s="1293"/>
      <c r="W56" s="1291"/>
      <c r="X56" s="1292"/>
      <c r="Y56" s="1292"/>
      <c r="Z56" s="1292"/>
      <c r="AA56" s="1292"/>
      <c r="AB56" s="1292"/>
      <c r="AC56" s="1292"/>
      <c r="AD56" s="1292"/>
      <c r="AE56" s="1292"/>
      <c r="AF56" s="1293"/>
      <c r="AJ56" s="1291"/>
      <c r="AK56" s="1292"/>
      <c r="AL56" s="1292"/>
      <c r="AM56" s="1292"/>
      <c r="AN56" s="1292"/>
      <c r="AO56" s="1292"/>
      <c r="AP56" s="1292"/>
      <c r="AQ56" s="1292"/>
      <c r="AR56" s="1292"/>
      <c r="AS56" s="1293"/>
      <c r="AT56" s="1291"/>
      <c r="AU56" s="1292"/>
      <c r="AV56" s="1292"/>
      <c r="AW56" s="1292"/>
      <c r="AX56" s="1292"/>
      <c r="AY56" s="1292"/>
      <c r="AZ56" s="1292"/>
      <c r="BA56" s="1292"/>
      <c r="BB56" s="1292"/>
      <c r="BC56" s="1293"/>
      <c r="BD56" s="1291"/>
      <c r="BE56" s="1292"/>
      <c r="BF56" s="1292"/>
      <c r="BG56" s="1292"/>
      <c r="BH56" s="1292"/>
      <c r="BI56" s="1292"/>
      <c r="BJ56" s="1292"/>
      <c r="BK56" s="1292"/>
      <c r="BL56" s="1292"/>
      <c r="BM56" s="1293"/>
      <c r="BQ56" s="1291"/>
      <c r="BR56" s="1292"/>
      <c r="BS56" s="1292"/>
      <c r="BT56" s="1292"/>
      <c r="BU56" s="1292"/>
      <c r="BV56" s="1292"/>
      <c r="BW56" s="1292"/>
      <c r="BX56" s="1292"/>
      <c r="BY56" s="1292"/>
      <c r="BZ56" s="1293"/>
      <c r="CA56" s="1291"/>
      <c r="CB56" s="1292"/>
      <c r="CC56" s="1292"/>
      <c r="CD56" s="1292"/>
      <c r="CE56" s="1292"/>
      <c r="CF56" s="1292"/>
      <c r="CG56" s="1292"/>
      <c r="CH56" s="1292"/>
      <c r="CI56" s="1292"/>
      <c r="CJ56" s="1293"/>
      <c r="CK56" s="1291"/>
      <c r="CL56" s="1292"/>
      <c r="CM56" s="1292"/>
      <c r="CN56" s="1292"/>
      <c r="CO56" s="1292"/>
      <c r="CP56" s="1292"/>
      <c r="CQ56" s="1292"/>
      <c r="CR56" s="1292"/>
      <c r="CS56" s="1292"/>
      <c r="CT56" s="1293"/>
    </row>
    <row r="57" spans="3:98">
      <c r="C57" s="1283"/>
      <c r="D57" s="1284"/>
      <c r="E57" s="1284"/>
      <c r="F57" s="1284"/>
      <c r="G57" s="1284"/>
      <c r="H57" s="1284"/>
      <c r="I57" s="1284"/>
      <c r="J57" s="1284"/>
      <c r="K57" s="1284"/>
      <c r="L57" s="1285"/>
      <c r="M57" s="1283"/>
      <c r="N57" s="1284"/>
      <c r="O57" s="1284"/>
      <c r="P57" s="1284"/>
      <c r="Q57" s="1284"/>
      <c r="R57" s="1284"/>
      <c r="S57" s="1284"/>
      <c r="T57" s="1284"/>
      <c r="U57" s="1284"/>
      <c r="V57" s="1294"/>
      <c r="W57" s="1295"/>
      <c r="X57" s="1284"/>
      <c r="Y57" s="1284"/>
      <c r="Z57" s="1284"/>
      <c r="AA57" s="1284"/>
      <c r="AB57" s="1284"/>
      <c r="AC57" s="1284"/>
      <c r="AD57" s="1284"/>
      <c r="AE57" s="1284"/>
      <c r="AF57" s="1294"/>
      <c r="AJ57" s="1283"/>
      <c r="AK57" s="1284"/>
      <c r="AL57" s="1284"/>
      <c r="AM57" s="1284"/>
      <c r="AN57" s="1284"/>
      <c r="AO57" s="1284"/>
      <c r="AP57" s="1284"/>
      <c r="AQ57" s="1284"/>
      <c r="AR57" s="1284"/>
      <c r="AS57" s="1285"/>
      <c r="AT57" s="1283"/>
      <c r="AU57" s="1284"/>
      <c r="AV57" s="1284"/>
      <c r="AW57" s="1284"/>
      <c r="AX57" s="1284"/>
      <c r="AY57" s="1284"/>
      <c r="AZ57" s="1284"/>
      <c r="BA57" s="1284"/>
      <c r="BB57" s="1284"/>
      <c r="BC57" s="1294"/>
      <c r="BD57" s="1295"/>
      <c r="BE57" s="1284"/>
      <c r="BF57" s="1284"/>
      <c r="BG57" s="1284"/>
      <c r="BH57" s="1284"/>
      <c r="BI57" s="1284"/>
      <c r="BJ57" s="1284"/>
      <c r="BK57" s="1284"/>
      <c r="BL57" s="1284"/>
      <c r="BM57" s="1294"/>
      <c r="BQ57" s="1283"/>
      <c r="BR57" s="1284"/>
      <c r="BS57" s="1284"/>
      <c r="BT57" s="1284"/>
      <c r="BU57" s="1284"/>
      <c r="BV57" s="1284"/>
      <c r="BW57" s="1284"/>
      <c r="BX57" s="1284"/>
      <c r="BY57" s="1284"/>
      <c r="BZ57" s="1285"/>
      <c r="CA57" s="1283"/>
      <c r="CB57" s="1284"/>
      <c r="CC57" s="1284"/>
      <c r="CD57" s="1284"/>
      <c r="CE57" s="1284"/>
      <c r="CF57" s="1284"/>
      <c r="CG57" s="1284"/>
      <c r="CH57" s="1284"/>
      <c r="CI57" s="1284"/>
      <c r="CJ57" s="1294"/>
      <c r="CK57" s="1295"/>
      <c r="CL57" s="1284"/>
      <c r="CM57" s="1284"/>
      <c r="CN57" s="1284"/>
      <c r="CO57" s="1284"/>
      <c r="CP57" s="1284"/>
      <c r="CQ57" s="1284"/>
      <c r="CR57" s="1284"/>
      <c r="CS57" s="1284"/>
      <c r="CT57" s="1294"/>
    </row>
    <row r="58" spans="3:98">
      <c r="C58" s="1286"/>
      <c r="D58" s="1287"/>
      <c r="E58" s="1287"/>
      <c r="F58" s="1287"/>
      <c r="G58" s="1287"/>
      <c r="H58" s="1287"/>
      <c r="I58" s="1287"/>
      <c r="J58" s="1287"/>
      <c r="K58" s="1287"/>
      <c r="L58" s="1288"/>
      <c r="M58" s="1286"/>
      <c r="N58" s="1287"/>
      <c r="O58" s="1287"/>
      <c r="P58" s="1287"/>
      <c r="Q58" s="1287"/>
      <c r="R58" s="1287"/>
      <c r="S58" s="1287"/>
      <c r="T58" s="1287"/>
      <c r="U58" s="1287"/>
      <c r="V58" s="1288"/>
      <c r="W58" s="1286"/>
      <c r="X58" s="1287"/>
      <c r="Y58" s="1287"/>
      <c r="Z58" s="1287"/>
      <c r="AA58" s="1287"/>
      <c r="AB58" s="1287"/>
      <c r="AC58" s="1287"/>
      <c r="AD58" s="1287"/>
      <c r="AE58" s="1287"/>
      <c r="AF58" s="1288"/>
      <c r="AJ58" s="1286"/>
      <c r="AK58" s="1287"/>
      <c r="AL58" s="1287"/>
      <c r="AM58" s="1287"/>
      <c r="AN58" s="1287"/>
      <c r="AO58" s="1287"/>
      <c r="AP58" s="1287"/>
      <c r="AQ58" s="1287"/>
      <c r="AR58" s="1287"/>
      <c r="AS58" s="1288"/>
      <c r="AT58" s="1286"/>
      <c r="AU58" s="1287"/>
      <c r="AV58" s="1287"/>
      <c r="AW58" s="1287"/>
      <c r="AX58" s="1287"/>
      <c r="AY58" s="1287"/>
      <c r="AZ58" s="1287"/>
      <c r="BA58" s="1287"/>
      <c r="BB58" s="1287"/>
      <c r="BC58" s="1288"/>
      <c r="BD58" s="1286"/>
      <c r="BE58" s="1287"/>
      <c r="BF58" s="1287"/>
      <c r="BG58" s="1287"/>
      <c r="BH58" s="1287"/>
      <c r="BI58" s="1287"/>
      <c r="BJ58" s="1287"/>
      <c r="BK58" s="1287"/>
      <c r="BL58" s="1287"/>
      <c r="BM58" s="1288"/>
      <c r="BQ58" s="1286"/>
      <c r="BR58" s="1287"/>
      <c r="BS58" s="1287"/>
      <c r="BT58" s="1287"/>
      <c r="BU58" s="1287"/>
      <c r="BV58" s="1287"/>
      <c r="BW58" s="1287"/>
      <c r="BX58" s="1287"/>
      <c r="BY58" s="1287"/>
      <c r="BZ58" s="1288"/>
      <c r="CA58" s="1286"/>
      <c r="CB58" s="1287"/>
      <c r="CC58" s="1287"/>
      <c r="CD58" s="1287"/>
      <c r="CE58" s="1287"/>
      <c r="CF58" s="1287"/>
      <c r="CG58" s="1287"/>
      <c r="CH58" s="1287"/>
      <c r="CI58" s="1287"/>
      <c r="CJ58" s="1288"/>
      <c r="CK58" s="1286"/>
      <c r="CL58" s="1287"/>
      <c r="CM58" s="1287"/>
      <c r="CN58" s="1287"/>
      <c r="CO58" s="1287"/>
      <c r="CP58" s="1287"/>
      <c r="CQ58" s="1287"/>
      <c r="CR58" s="1287"/>
      <c r="CS58" s="1287"/>
      <c r="CT58" s="1288"/>
    </row>
    <row r="59" spans="3:98">
      <c r="C59" s="1289"/>
      <c r="D59" s="768"/>
      <c r="E59" s="768"/>
      <c r="F59" s="768"/>
      <c r="G59" s="768"/>
      <c r="H59" s="768"/>
      <c r="I59" s="768"/>
      <c r="J59" s="768"/>
      <c r="K59" s="768"/>
      <c r="L59" s="1290"/>
      <c r="M59" s="1289"/>
      <c r="N59" s="768"/>
      <c r="O59" s="768"/>
      <c r="P59" s="768"/>
      <c r="Q59" s="768"/>
      <c r="R59" s="768"/>
      <c r="S59" s="768"/>
      <c r="T59" s="768"/>
      <c r="U59" s="768"/>
      <c r="V59" s="1290"/>
      <c r="W59" s="1289"/>
      <c r="X59" s="768"/>
      <c r="Y59" s="768"/>
      <c r="Z59" s="768"/>
      <c r="AA59" s="768"/>
      <c r="AB59" s="768"/>
      <c r="AC59" s="768"/>
      <c r="AD59" s="768"/>
      <c r="AE59" s="768"/>
      <c r="AF59" s="1290"/>
      <c r="AJ59" s="1289"/>
      <c r="AK59" s="768"/>
      <c r="AL59" s="768"/>
      <c r="AM59" s="768"/>
      <c r="AN59" s="768"/>
      <c r="AO59" s="768"/>
      <c r="AP59" s="768"/>
      <c r="AQ59" s="768"/>
      <c r="AR59" s="768"/>
      <c r="AS59" s="1290"/>
      <c r="AT59" s="1289"/>
      <c r="AU59" s="768"/>
      <c r="AV59" s="768"/>
      <c r="AW59" s="768"/>
      <c r="AX59" s="768"/>
      <c r="AY59" s="768"/>
      <c r="AZ59" s="768"/>
      <c r="BA59" s="768"/>
      <c r="BB59" s="768"/>
      <c r="BC59" s="1290"/>
      <c r="BD59" s="1289"/>
      <c r="BE59" s="768"/>
      <c r="BF59" s="768"/>
      <c r="BG59" s="768"/>
      <c r="BH59" s="768"/>
      <c r="BI59" s="768"/>
      <c r="BJ59" s="768"/>
      <c r="BK59" s="768"/>
      <c r="BL59" s="768"/>
      <c r="BM59" s="1290"/>
      <c r="BQ59" s="1289"/>
      <c r="BR59" s="768"/>
      <c r="BS59" s="768"/>
      <c r="BT59" s="768"/>
      <c r="BU59" s="768"/>
      <c r="BV59" s="768"/>
      <c r="BW59" s="768"/>
      <c r="BX59" s="768"/>
      <c r="BY59" s="768"/>
      <c r="BZ59" s="1290"/>
      <c r="CA59" s="1289"/>
      <c r="CB59" s="768"/>
      <c r="CC59" s="768"/>
      <c r="CD59" s="768"/>
      <c r="CE59" s="768"/>
      <c r="CF59" s="768"/>
      <c r="CG59" s="768"/>
      <c r="CH59" s="768"/>
      <c r="CI59" s="768"/>
      <c r="CJ59" s="1290"/>
      <c r="CK59" s="1289"/>
      <c r="CL59" s="768"/>
      <c r="CM59" s="768"/>
      <c r="CN59" s="768"/>
      <c r="CO59" s="768"/>
      <c r="CP59" s="768"/>
      <c r="CQ59" s="768"/>
      <c r="CR59" s="768"/>
      <c r="CS59" s="768"/>
      <c r="CT59" s="1290"/>
    </row>
    <row r="60" spans="3:98">
      <c r="C60" s="1289"/>
      <c r="D60" s="768"/>
      <c r="E60" s="768"/>
      <c r="F60" s="768"/>
      <c r="G60" s="768"/>
      <c r="H60" s="768"/>
      <c r="I60" s="768"/>
      <c r="J60" s="768"/>
      <c r="K60" s="768"/>
      <c r="L60" s="1290"/>
      <c r="M60" s="1289"/>
      <c r="N60" s="768"/>
      <c r="O60" s="768"/>
      <c r="P60" s="768"/>
      <c r="Q60" s="768"/>
      <c r="R60" s="768"/>
      <c r="S60" s="768"/>
      <c r="T60" s="768"/>
      <c r="U60" s="768"/>
      <c r="V60" s="1290"/>
      <c r="W60" s="1289"/>
      <c r="X60" s="768"/>
      <c r="Y60" s="768"/>
      <c r="Z60" s="768"/>
      <c r="AA60" s="768"/>
      <c r="AB60" s="768"/>
      <c r="AC60" s="768"/>
      <c r="AD60" s="768"/>
      <c r="AE60" s="768"/>
      <c r="AF60" s="1290"/>
      <c r="AJ60" s="1289"/>
      <c r="AK60" s="768"/>
      <c r="AL60" s="768"/>
      <c r="AM60" s="768"/>
      <c r="AN60" s="768"/>
      <c r="AO60" s="768"/>
      <c r="AP60" s="768"/>
      <c r="AQ60" s="768"/>
      <c r="AR60" s="768"/>
      <c r="AS60" s="1290"/>
      <c r="AT60" s="1289"/>
      <c r="AU60" s="768"/>
      <c r="AV60" s="768"/>
      <c r="AW60" s="768"/>
      <c r="AX60" s="768"/>
      <c r="AY60" s="768"/>
      <c r="AZ60" s="768"/>
      <c r="BA60" s="768"/>
      <c r="BB60" s="768"/>
      <c r="BC60" s="1290"/>
      <c r="BD60" s="1289"/>
      <c r="BE60" s="768"/>
      <c r="BF60" s="768"/>
      <c r="BG60" s="768"/>
      <c r="BH60" s="768"/>
      <c r="BI60" s="768"/>
      <c r="BJ60" s="768"/>
      <c r="BK60" s="768"/>
      <c r="BL60" s="768"/>
      <c r="BM60" s="1290"/>
      <c r="BQ60" s="1289"/>
      <c r="BR60" s="768"/>
      <c r="BS60" s="768"/>
      <c r="BT60" s="768"/>
      <c r="BU60" s="768"/>
      <c r="BV60" s="768"/>
      <c r="BW60" s="768"/>
      <c r="BX60" s="768"/>
      <c r="BY60" s="768"/>
      <c r="BZ60" s="1290"/>
      <c r="CA60" s="1289"/>
      <c r="CB60" s="768"/>
      <c r="CC60" s="768"/>
      <c r="CD60" s="768"/>
      <c r="CE60" s="768"/>
      <c r="CF60" s="768"/>
      <c r="CG60" s="768"/>
      <c r="CH60" s="768"/>
      <c r="CI60" s="768"/>
      <c r="CJ60" s="1290"/>
      <c r="CK60" s="1289"/>
      <c r="CL60" s="768"/>
      <c r="CM60" s="768"/>
      <c r="CN60" s="768"/>
      <c r="CO60" s="768"/>
      <c r="CP60" s="768"/>
      <c r="CQ60" s="768"/>
      <c r="CR60" s="768"/>
      <c r="CS60" s="768"/>
      <c r="CT60" s="1290"/>
    </row>
    <row r="61" spans="3:98">
      <c r="C61" s="1289"/>
      <c r="D61" s="768"/>
      <c r="E61" s="768"/>
      <c r="F61" s="768"/>
      <c r="G61" s="768"/>
      <c r="H61" s="768"/>
      <c r="I61" s="768"/>
      <c r="J61" s="768"/>
      <c r="K61" s="768"/>
      <c r="L61" s="1290"/>
      <c r="M61" s="1289"/>
      <c r="N61" s="768"/>
      <c r="O61" s="768"/>
      <c r="P61" s="768"/>
      <c r="Q61" s="768"/>
      <c r="R61" s="768"/>
      <c r="S61" s="768"/>
      <c r="T61" s="768"/>
      <c r="U61" s="768"/>
      <c r="V61" s="1290"/>
      <c r="W61" s="1289"/>
      <c r="X61" s="768"/>
      <c r="Y61" s="768"/>
      <c r="Z61" s="768"/>
      <c r="AA61" s="768"/>
      <c r="AB61" s="768"/>
      <c r="AC61" s="768"/>
      <c r="AD61" s="768"/>
      <c r="AE61" s="768"/>
      <c r="AF61" s="1290"/>
      <c r="AJ61" s="1289"/>
      <c r="AK61" s="768"/>
      <c r="AL61" s="768"/>
      <c r="AM61" s="768"/>
      <c r="AN61" s="768"/>
      <c r="AO61" s="768"/>
      <c r="AP61" s="768"/>
      <c r="AQ61" s="768"/>
      <c r="AR61" s="768"/>
      <c r="AS61" s="1290"/>
      <c r="AT61" s="1289"/>
      <c r="AU61" s="768"/>
      <c r="AV61" s="768"/>
      <c r="AW61" s="768"/>
      <c r="AX61" s="768"/>
      <c r="AY61" s="768"/>
      <c r="AZ61" s="768"/>
      <c r="BA61" s="768"/>
      <c r="BB61" s="768"/>
      <c r="BC61" s="1290"/>
      <c r="BD61" s="1289"/>
      <c r="BE61" s="768"/>
      <c r="BF61" s="768"/>
      <c r="BG61" s="768"/>
      <c r="BH61" s="768"/>
      <c r="BI61" s="768"/>
      <c r="BJ61" s="768"/>
      <c r="BK61" s="768"/>
      <c r="BL61" s="768"/>
      <c r="BM61" s="1290"/>
      <c r="BQ61" s="1289"/>
      <c r="BR61" s="768"/>
      <c r="BS61" s="768"/>
      <c r="BT61" s="768"/>
      <c r="BU61" s="768"/>
      <c r="BV61" s="768"/>
      <c r="BW61" s="768"/>
      <c r="BX61" s="768"/>
      <c r="BY61" s="768"/>
      <c r="BZ61" s="1290"/>
      <c r="CA61" s="1289"/>
      <c r="CB61" s="768"/>
      <c r="CC61" s="768"/>
      <c r="CD61" s="768"/>
      <c r="CE61" s="768"/>
      <c r="CF61" s="768"/>
      <c r="CG61" s="768"/>
      <c r="CH61" s="768"/>
      <c r="CI61" s="768"/>
      <c r="CJ61" s="1290"/>
      <c r="CK61" s="1289"/>
      <c r="CL61" s="768"/>
      <c r="CM61" s="768"/>
      <c r="CN61" s="768"/>
      <c r="CO61" s="768"/>
      <c r="CP61" s="768"/>
      <c r="CQ61" s="768"/>
      <c r="CR61" s="768"/>
      <c r="CS61" s="768"/>
      <c r="CT61" s="1290"/>
    </row>
    <row r="62" spans="3:98">
      <c r="C62" s="1289"/>
      <c r="D62" s="768"/>
      <c r="E62" s="768"/>
      <c r="F62" s="768"/>
      <c r="G62" s="768"/>
      <c r="H62" s="768"/>
      <c r="I62" s="768"/>
      <c r="J62" s="768"/>
      <c r="K62" s="768"/>
      <c r="L62" s="1290"/>
      <c r="M62" s="1289"/>
      <c r="N62" s="768"/>
      <c r="O62" s="768"/>
      <c r="P62" s="768"/>
      <c r="Q62" s="768"/>
      <c r="R62" s="768"/>
      <c r="S62" s="768"/>
      <c r="T62" s="768"/>
      <c r="U62" s="768"/>
      <c r="V62" s="1290"/>
      <c r="W62" s="1289"/>
      <c r="X62" s="768"/>
      <c r="Y62" s="768"/>
      <c r="Z62" s="768"/>
      <c r="AA62" s="768"/>
      <c r="AB62" s="768"/>
      <c r="AC62" s="768"/>
      <c r="AD62" s="768"/>
      <c r="AE62" s="768"/>
      <c r="AF62" s="1290"/>
      <c r="AJ62" s="1289"/>
      <c r="AK62" s="768"/>
      <c r="AL62" s="768"/>
      <c r="AM62" s="768"/>
      <c r="AN62" s="768"/>
      <c r="AO62" s="768"/>
      <c r="AP62" s="768"/>
      <c r="AQ62" s="768"/>
      <c r="AR62" s="768"/>
      <c r="AS62" s="1290"/>
      <c r="AT62" s="1289"/>
      <c r="AU62" s="768"/>
      <c r="AV62" s="768"/>
      <c r="AW62" s="768"/>
      <c r="AX62" s="768"/>
      <c r="AY62" s="768"/>
      <c r="AZ62" s="768"/>
      <c r="BA62" s="768"/>
      <c r="BB62" s="768"/>
      <c r="BC62" s="1290"/>
      <c r="BD62" s="1289"/>
      <c r="BE62" s="768"/>
      <c r="BF62" s="768"/>
      <c r="BG62" s="768"/>
      <c r="BH62" s="768"/>
      <c r="BI62" s="768"/>
      <c r="BJ62" s="768"/>
      <c r="BK62" s="768"/>
      <c r="BL62" s="768"/>
      <c r="BM62" s="1290"/>
      <c r="BQ62" s="1289"/>
      <c r="BR62" s="768"/>
      <c r="BS62" s="768"/>
      <c r="BT62" s="768"/>
      <c r="BU62" s="768"/>
      <c r="BV62" s="768"/>
      <c r="BW62" s="768"/>
      <c r="BX62" s="768"/>
      <c r="BY62" s="768"/>
      <c r="BZ62" s="1290"/>
      <c r="CA62" s="1289"/>
      <c r="CB62" s="768"/>
      <c r="CC62" s="768"/>
      <c r="CD62" s="768"/>
      <c r="CE62" s="768"/>
      <c r="CF62" s="768"/>
      <c r="CG62" s="768"/>
      <c r="CH62" s="768"/>
      <c r="CI62" s="768"/>
      <c r="CJ62" s="1290"/>
      <c r="CK62" s="1289"/>
      <c r="CL62" s="768"/>
      <c r="CM62" s="768"/>
      <c r="CN62" s="768"/>
      <c r="CO62" s="768"/>
      <c r="CP62" s="768"/>
      <c r="CQ62" s="768"/>
      <c r="CR62" s="768"/>
      <c r="CS62" s="768"/>
      <c r="CT62" s="1290"/>
    </row>
    <row r="63" spans="3:98">
      <c r="C63" s="1289"/>
      <c r="D63" s="768"/>
      <c r="E63" s="768"/>
      <c r="F63" s="768"/>
      <c r="G63" s="768"/>
      <c r="H63" s="768"/>
      <c r="I63" s="768"/>
      <c r="J63" s="768"/>
      <c r="K63" s="768"/>
      <c r="L63" s="1290"/>
      <c r="M63" s="1289"/>
      <c r="N63" s="768"/>
      <c r="O63" s="768"/>
      <c r="P63" s="768"/>
      <c r="Q63" s="768"/>
      <c r="R63" s="768"/>
      <c r="S63" s="768"/>
      <c r="T63" s="768"/>
      <c r="U63" s="768"/>
      <c r="V63" s="1290"/>
      <c r="W63" s="1289"/>
      <c r="X63" s="768"/>
      <c r="Y63" s="768"/>
      <c r="Z63" s="768"/>
      <c r="AA63" s="768"/>
      <c r="AB63" s="768"/>
      <c r="AC63" s="768"/>
      <c r="AD63" s="768"/>
      <c r="AE63" s="768"/>
      <c r="AF63" s="1290"/>
      <c r="AJ63" s="1289"/>
      <c r="AK63" s="768"/>
      <c r="AL63" s="768"/>
      <c r="AM63" s="768"/>
      <c r="AN63" s="768"/>
      <c r="AO63" s="768"/>
      <c r="AP63" s="768"/>
      <c r="AQ63" s="768"/>
      <c r="AR63" s="768"/>
      <c r="AS63" s="1290"/>
      <c r="AT63" s="1289"/>
      <c r="AU63" s="768"/>
      <c r="AV63" s="768"/>
      <c r="AW63" s="768"/>
      <c r="AX63" s="768"/>
      <c r="AY63" s="768"/>
      <c r="AZ63" s="768"/>
      <c r="BA63" s="768"/>
      <c r="BB63" s="768"/>
      <c r="BC63" s="1290"/>
      <c r="BD63" s="1289"/>
      <c r="BE63" s="768"/>
      <c r="BF63" s="768"/>
      <c r="BG63" s="768"/>
      <c r="BH63" s="768"/>
      <c r="BI63" s="768"/>
      <c r="BJ63" s="768"/>
      <c r="BK63" s="768"/>
      <c r="BL63" s="768"/>
      <c r="BM63" s="1290"/>
      <c r="BQ63" s="1289"/>
      <c r="BR63" s="768"/>
      <c r="BS63" s="768"/>
      <c r="BT63" s="768"/>
      <c r="BU63" s="768"/>
      <c r="BV63" s="768"/>
      <c r="BW63" s="768"/>
      <c r="BX63" s="768"/>
      <c r="BY63" s="768"/>
      <c r="BZ63" s="1290"/>
      <c r="CA63" s="1289"/>
      <c r="CB63" s="768"/>
      <c r="CC63" s="768"/>
      <c r="CD63" s="768"/>
      <c r="CE63" s="768"/>
      <c r="CF63" s="768"/>
      <c r="CG63" s="768"/>
      <c r="CH63" s="768"/>
      <c r="CI63" s="768"/>
      <c r="CJ63" s="1290"/>
      <c r="CK63" s="1289"/>
      <c r="CL63" s="768"/>
      <c r="CM63" s="768"/>
      <c r="CN63" s="768"/>
      <c r="CO63" s="768"/>
      <c r="CP63" s="768"/>
      <c r="CQ63" s="768"/>
      <c r="CR63" s="768"/>
      <c r="CS63" s="768"/>
      <c r="CT63" s="1290"/>
    </row>
    <row r="64" spans="3:98">
      <c r="C64" s="1289"/>
      <c r="D64" s="768"/>
      <c r="E64" s="768"/>
      <c r="F64" s="768"/>
      <c r="G64" s="768"/>
      <c r="H64" s="768"/>
      <c r="I64" s="768"/>
      <c r="J64" s="768"/>
      <c r="K64" s="768"/>
      <c r="L64" s="1290"/>
      <c r="M64" s="1289"/>
      <c r="N64" s="768"/>
      <c r="O64" s="768"/>
      <c r="P64" s="768"/>
      <c r="Q64" s="768"/>
      <c r="R64" s="768"/>
      <c r="S64" s="768"/>
      <c r="T64" s="768"/>
      <c r="U64" s="768"/>
      <c r="V64" s="1290"/>
      <c r="W64" s="1289"/>
      <c r="X64" s="768"/>
      <c r="Y64" s="768"/>
      <c r="Z64" s="768"/>
      <c r="AA64" s="768"/>
      <c r="AB64" s="768"/>
      <c r="AC64" s="768"/>
      <c r="AD64" s="768"/>
      <c r="AE64" s="768"/>
      <c r="AF64" s="1290"/>
      <c r="AJ64" s="1289"/>
      <c r="AK64" s="768"/>
      <c r="AL64" s="768"/>
      <c r="AM64" s="768"/>
      <c r="AN64" s="768"/>
      <c r="AO64" s="768"/>
      <c r="AP64" s="768"/>
      <c r="AQ64" s="768"/>
      <c r="AR64" s="768"/>
      <c r="AS64" s="1290"/>
      <c r="AT64" s="1289"/>
      <c r="AU64" s="768"/>
      <c r="AV64" s="768"/>
      <c r="AW64" s="768"/>
      <c r="AX64" s="768"/>
      <c r="AY64" s="768"/>
      <c r="AZ64" s="768"/>
      <c r="BA64" s="768"/>
      <c r="BB64" s="768"/>
      <c r="BC64" s="1290"/>
      <c r="BD64" s="1289"/>
      <c r="BE64" s="768"/>
      <c r="BF64" s="768"/>
      <c r="BG64" s="768"/>
      <c r="BH64" s="768"/>
      <c r="BI64" s="768"/>
      <c r="BJ64" s="768"/>
      <c r="BK64" s="768"/>
      <c r="BL64" s="768"/>
      <c r="BM64" s="1290"/>
      <c r="BQ64" s="1289"/>
      <c r="BR64" s="768"/>
      <c r="BS64" s="768"/>
      <c r="BT64" s="768"/>
      <c r="BU64" s="768"/>
      <c r="BV64" s="768"/>
      <c r="BW64" s="768"/>
      <c r="BX64" s="768"/>
      <c r="BY64" s="768"/>
      <c r="BZ64" s="1290"/>
      <c r="CA64" s="1289"/>
      <c r="CB64" s="768"/>
      <c r="CC64" s="768"/>
      <c r="CD64" s="768"/>
      <c r="CE64" s="768"/>
      <c r="CF64" s="768"/>
      <c r="CG64" s="768"/>
      <c r="CH64" s="768"/>
      <c r="CI64" s="768"/>
      <c r="CJ64" s="1290"/>
      <c r="CK64" s="1289"/>
      <c r="CL64" s="768"/>
      <c r="CM64" s="768"/>
      <c r="CN64" s="768"/>
      <c r="CO64" s="768"/>
      <c r="CP64" s="768"/>
      <c r="CQ64" s="768"/>
      <c r="CR64" s="768"/>
      <c r="CS64" s="768"/>
      <c r="CT64" s="1290"/>
    </row>
    <row r="65" spans="3:98">
      <c r="C65" s="1289"/>
      <c r="D65" s="768"/>
      <c r="E65" s="768"/>
      <c r="F65" s="768"/>
      <c r="G65" s="768"/>
      <c r="H65" s="768"/>
      <c r="I65" s="768"/>
      <c r="J65" s="768"/>
      <c r="K65" s="768"/>
      <c r="L65" s="1290"/>
      <c r="M65" s="1289"/>
      <c r="N65" s="768"/>
      <c r="O65" s="768"/>
      <c r="P65" s="768"/>
      <c r="Q65" s="768"/>
      <c r="R65" s="768"/>
      <c r="S65" s="768"/>
      <c r="T65" s="768"/>
      <c r="U65" s="768"/>
      <c r="V65" s="1290"/>
      <c r="W65" s="1289"/>
      <c r="X65" s="768"/>
      <c r="Y65" s="768"/>
      <c r="Z65" s="768"/>
      <c r="AA65" s="768"/>
      <c r="AB65" s="768"/>
      <c r="AC65" s="768"/>
      <c r="AD65" s="768"/>
      <c r="AE65" s="768"/>
      <c r="AF65" s="1290"/>
      <c r="AJ65" s="1289"/>
      <c r="AK65" s="768"/>
      <c r="AL65" s="768"/>
      <c r="AM65" s="768"/>
      <c r="AN65" s="768"/>
      <c r="AO65" s="768"/>
      <c r="AP65" s="768"/>
      <c r="AQ65" s="768"/>
      <c r="AR65" s="768"/>
      <c r="AS65" s="1290"/>
      <c r="AT65" s="1289"/>
      <c r="AU65" s="768"/>
      <c r="AV65" s="768"/>
      <c r="AW65" s="768"/>
      <c r="AX65" s="768"/>
      <c r="AY65" s="768"/>
      <c r="AZ65" s="768"/>
      <c r="BA65" s="768"/>
      <c r="BB65" s="768"/>
      <c r="BC65" s="1290"/>
      <c r="BD65" s="1289"/>
      <c r="BE65" s="768"/>
      <c r="BF65" s="768"/>
      <c r="BG65" s="768"/>
      <c r="BH65" s="768"/>
      <c r="BI65" s="768"/>
      <c r="BJ65" s="768"/>
      <c r="BK65" s="768"/>
      <c r="BL65" s="768"/>
      <c r="BM65" s="1290"/>
      <c r="BQ65" s="1289"/>
      <c r="BR65" s="768"/>
      <c r="BS65" s="768"/>
      <c r="BT65" s="768"/>
      <c r="BU65" s="768"/>
      <c r="BV65" s="768"/>
      <c r="BW65" s="768"/>
      <c r="BX65" s="768"/>
      <c r="BY65" s="768"/>
      <c r="BZ65" s="1290"/>
      <c r="CA65" s="1289"/>
      <c r="CB65" s="768"/>
      <c r="CC65" s="768"/>
      <c r="CD65" s="768"/>
      <c r="CE65" s="768"/>
      <c r="CF65" s="768"/>
      <c r="CG65" s="768"/>
      <c r="CH65" s="768"/>
      <c r="CI65" s="768"/>
      <c r="CJ65" s="1290"/>
      <c r="CK65" s="1289"/>
      <c r="CL65" s="768"/>
      <c r="CM65" s="768"/>
      <c r="CN65" s="768"/>
      <c r="CO65" s="768"/>
      <c r="CP65" s="768"/>
      <c r="CQ65" s="768"/>
      <c r="CR65" s="768"/>
      <c r="CS65" s="768"/>
      <c r="CT65" s="1290"/>
    </row>
    <row r="66" spans="3:98">
      <c r="C66" s="1289"/>
      <c r="D66" s="768"/>
      <c r="E66" s="768"/>
      <c r="F66" s="768"/>
      <c r="G66" s="768"/>
      <c r="H66" s="768"/>
      <c r="I66" s="768"/>
      <c r="J66" s="768"/>
      <c r="K66" s="768"/>
      <c r="L66" s="1290"/>
      <c r="M66" s="1289"/>
      <c r="N66" s="768"/>
      <c r="O66" s="768"/>
      <c r="P66" s="768"/>
      <c r="Q66" s="768"/>
      <c r="R66" s="768"/>
      <c r="S66" s="768"/>
      <c r="T66" s="768"/>
      <c r="U66" s="768"/>
      <c r="V66" s="1290"/>
      <c r="W66" s="1289"/>
      <c r="X66" s="768"/>
      <c r="Y66" s="768"/>
      <c r="Z66" s="768"/>
      <c r="AA66" s="768"/>
      <c r="AB66" s="768"/>
      <c r="AC66" s="768"/>
      <c r="AD66" s="768"/>
      <c r="AE66" s="768"/>
      <c r="AF66" s="1290"/>
      <c r="AJ66" s="1289"/>
      <c r="AK66" s="768"/>
      <c r="AL66" s="768"/>
      <c r="AM66" s="768"/>
      <c r="AN66" s="768"/>
      <c r="AO66" s="768"/>
      <c r="AP66" s="768"/>
      <c r="AQ66" s="768"/>
      <c r="AR66" s="768"/>
      <c r="AS66" s="1290"/>
      <c r="AT66" s="1289"/>
      <c r="AU66" s="768"/>
      <c r="AV66" s="768"/>
      <c r="AW66" s="768"/>
      <c r="AX66" s="768"/>
      <c r="AY66" s="768"/>
      <c r="AZ66" s="768"/>
      <c r="BA66" s="768"/>
      <c r="BB66" s="768"/>
      <c r="BC66" s="1290"/>
      <c r="BD66" s="1289"/>
      <c r="BE66" s="768"/>
      <c r="BF66" s="768"/>
      <c r="BG66" s="768"/>
      <c r="BH66" s="768"/>
      <c r="BI66" s="768"/>
      <c r="BJ66" s="768"/>
      <c r="BK66" s="768"/>
      <c r="BL66" s="768"/>
      <c r="BM66" s="1290"/>
      <c r="BQ66" s="1289"/>
      <c r="BR66" s="768"/>
      <c r="BS66" s="768"/>
      <c r="BT66" s="768"/>
      <c r="BU66" s="768"/>
      <c r="BV66" s="768"/>
      <c r="BW66" s="768"/>
      <c r="BX66" s="768"/>
      <c r="BY66" s="768"/>
      <c r="BZ66" s="1290"/>
      <c r="CA66" s="1289"/>
      <c r="CB66" s="768"/>
      <c r="CC66" s="768"/>
      <c r="CD66" s="768"/>
      <c r="CE66" s="768"/>
      <c r="CF66" s="768"/>
      <c r="CG66" s="768"/>
      <c r="CH66" s="768"/>
      <c r="CI66" s="768"/>
      <c r="CJ66" s="1290"/>
      <c r="CK66" s="1289"/>
      <c r="CL66" s="768"/>
      <c r="CM66" s="768"/>
      <c r="CN66" s="768"/>
      <c r="CO66" s="768"/>
      <c r="CP66" s="768"/>
      <c r="CQ66" s="768"/>
      <c r="CR66" s="768"/>
      <c r="CS66" s="768"/>
      <c r="CT66" s="1290"/>
    </row>
    <row r="67" spans="3:98" ht="14.25" thickBot="1">
      <c r="C67" s="1291"/>
      <c r="D67" s="1292"/>
      <c r="E67" s="1292"/>
      <c r="F67" s="1292"/>
      <c r="G67" s="1292"/>
      <c r="H67" s="1292"/>
      <c r="I67" s="1292"/>
      <c r="J67" s="1292"/>
      <c r="K67" s="1292"/>
      <c r="L67" s="1293"/>
      <c r="M67" s="1291"/>
      <c r="N67" s="1292"/>
      <c r="O67" s="1292"/>
      <c r="P67" s="1292"/>
      <c r="Q67" s="1292"/>
      <c r="R67" s="1292"/>
      <c r="S67" s="1292"/>
      <c r="T67" s="1292"/>
      <c r="U67" s="1292"/>
      <c r="V67" s="1293"/>
      <c r="W67" s="1291"/>
      <c r="X67" s="1292"/>
      <c r="Y67" s="1292"/>
      <c r="Z67" s="1292"/>
      <c r="AA67" s="1292"/>
      <c r="AB67" s="1292"/>
      <c r="AC67" s="1292"/>
      <c r="AD67" s="1292"/>
      <c r="AE67" s="1292"/>
      <c r="AF67" s="1293"/>
      <c r="AJ67" s="1291"/>
      <c r="AK67" s="1292"/>
      <c r="AL67" s="1292"/>
      <c r="AM67" s="1292"/>
      <c r="AN67" s="1292"/>
      <c r="AO67" s="1292"/>
      <c r="AP67" s="1292"/>
      <c r="AQ67" s="1292"/>
      <c r="AR67" s="1292"/>
      <c r="AS67" s="1293"/>
      <c r="AT67" s="1291"/>
      <c r="AU67" s="1292"/>
      <c r="AV67" s="1292"/>
      <c r="AW67" s="1292"/>
      <c r="AX67" s="1292"/>
      <c r="AY67" s="1292"/>
      <c r="AZ67" s="1292"/>
      <c r="BA67" s="1292"/>
      <c r="BB67" s="1292"/>
      <c r="BC67" s="1293"/>
      <c r="BD67" s="1291"/>
      <c r="BE67" s="1292"/>
      <c r="BF67" s="1292"/>
      <c r="BG67" s="1292"/>
      <c r="BH67" s="1292"/>
      <c r="BI67" s="1292"/>
      <c r="BJ67" s="1292"/>
      <c r="BK67" s="1292"/>
      <c r="BL67" s="1292"/>
      <c r="BM67" s="1293"/>
      <c r="BQ67" s="1291"/>
      <c r="BR67" s="1292"/>
      <c r="BS67" s="1292"/>
      <c r="BT67" s="1292"/>
      <c r="BU67" s="1292"/>
      <c r="BV67" s="1292"/>
      <c r="BW67" s="1292"/>
      <c r="BX67" s="1292"/>
      <c r="BY67" s="1292"/>
      <c r="BZ67" s="1293"/>
      <c r="CA67" s="1291"/>
      <c r="CB67" s="1292"/>
      <c r="CC67" s="1292"/>
      <c r="CD67" s="1292"/>
      <c r="CE67" s="1292"/>
      <c r="CF67" s="1292"/>
      <c r="CG67" s="1292"/>
      <c r="CH67" s="1292"/>
      <c r="CI67" s="1292"/>
      <c r="CJ67" s="1293"/>
      <c r="CK67" s="1291"/>
      <c r="CL67" s="1292"/>
      <c r="CM67" s="1292"/>
      <c r="CN67" s="1292"/>
      <c r="CO67" s="1292"/>
      <c r="CP67" s="1292"/>
      <c r="CQ67" s="1292"/>
      <c r="CR67" s="1292"/>
      <c r="CS67" s="1292"/>
      <c r="CT67" s="1293"/>
    </row>
    <row r="68" spans="3:98">
      <c r="C68" s="1296"/>
      <c r="D68" s="1297"/>
      <c r="E68" s="1297"/>
      <c r="F68" s="1297"/>
      <c r="G68" s="1297"/>
      <c r="H68" s="1297"/>
      <c r="I68" s="1297"/>
      <c r="J68" s="1297"/>
      <c r="K68" s="1297"/>
      <c r="L68" s="1298"/>
      <c r="M68" s="1296"/>
      <c r="N68" s="1297"/>
      <c r="O68" s="1297"/>
      <c r="P68" s="1297"/>
      <c r="Q68" s="1297"/>
      <c r="R68" s="1297"/>
      <c r="S68" s="1297"/>
      <c r="T68" s="1297"/>
      <c r="U68" s="1297"/>
      <c r="V68" s="1299"/>
      <c r="W68" s="1300"/>
      <c r="X68" s="1297"/>
      <c r="Y68" s="1297"/>
      <c r="Z68" s="1297"/>
      <c r="AA68" s="1297"/>
      <c r="AB68" s="1297"/>
      <c r="AC68" s="1297"/>
      <c r="AD68" s="1297"/>
      <c r="AE68" s="1297"/>
      <c r="AF68" s="1299"/>
      <c r="AJ68" s="1296"/>
      <c r="AK68" s="1297"/>
      <c r="AL68" s="1297"/>
      <c r="AM68" s="1297"/>
      <c r="AN68" s="1297"/>
      <c r="AO68" s="1297"/>
      <c r="AP68" s="1297"/>
      <c r="AQ68" s="1297"/>
      <c r="AR68" s="1297"/>
      <c r="AS68" s="1298"/>
      <c r="AT68" s="1296"/>
      <c r="AU68" s="1297"/>
      <c r="AV68" s="1297"/>
      <c r="AW68" s="1297"/>
      <c r="AX68" s="1297"/>
      <c r="AY68" s="1297"/>
      <c r="AZ68" s="1297"/>
      <c r="BA68" s="1297"/>
      <c r="BB68" s="1297"/>
      <c r="BC68" s="1299"/>
      <c r="BD68" s="1300"/>
      <c r="BE68" s="1297"/>
      <c r="BF68" s="1297"/>
      <c r="BG68" s="1297"/>
      <c r="BH68" s="1297"/>
      <c r="BI68" s="1297"/>
      <c r="BJ68" s="1297"/>
      <c r="BK68" s="1297"/>
      <c r="BL68" s="1297"/>
      <c r="BM68" s="1299"/>
      <c r="BQ68" s="1296"/>
      <c r="BR68" s="1297"/>
      <c r="BS68" s="1297"/>
      <c r="BT68" s="1297"/>
      <c r="BU68" s="1297"/>
      <c r="BV68" s="1297"/>
      <c r="BW68" s="1297"/>
      <c r="BX68" s="1297"/>
      <c r="BY68" s="1297"/>
      <c r="BZ68" s="1298"/>
      <c r="CA68" s="1296"/>
      <c r="CB68" s="1297"/>
      <c r="CC68" s="1297"/>
      <c r="CD68" s="1297"/>
      <c r="CE68" s="1297"/>
      <c r="CF68" s="1297"/>
      <c r="CG68" s="1297"/>
      <c r="CH68" s="1297"/>
      <c r="CI68" s="1297"/>
      <c r="CJ68" s="1299"/>
      <c r="CK68" s="1300"/>
      <c r="CL68" s="1297"/>
      <c r="CM68" s="1297"/>
      <c r="CN68" s="1297"/>
      <c r="CO68" s="1297"/>
      <c r="CP68" s="1297"/>
      <c r="CQ68" s="1297"/>
      <c r="CR68" s="1297"/>
      <c r="CS68" s="1297"/>
      <c r="CT68" s="1299"/>
    </row>
    <row r="69" spans="3:98">
      <c r="C69" s="1286"/>
      <c r="D69" s="1287"/>
      <c r="E69" s="1287"/>
      <c r="F69" s="1287"/>
      <c r="G69" s="1287"/>
      <c r="H69" s="1287"/>
      <c r="I69" s="1287"/>
      <c r="J69" s="1287"/>
      <c r="K69" s="1287"/>
      <c r="L69" s="1288"/>
      <c r="M69" s="1286"/>
      <c r="N69" s="1287"/>
      <c r="O69" s="1287"/>
      <c r="P69" s="1287"/>
      <c r="Q69" s="1287"/>
      <c r="R69" s="1287"/>
      <c r="S69" s="1287"/>
      <c r="T69" s="1287"/>
      <c r="U69" s="1287"/>
      <c r="V69" s="1288"/>
      <c r="W69" s="1286"/>
      <c r="X69" s="1287"/>
      <c r="Y69" s="1287"/>
      <c r="Z69" s="1287"/>
      <c r="AA69" s="1287"/>
      <c r="AB69" s="1287"/>
      <c r="AC69" s="1287"/>
      <c r="AD69" s="1287"/>
      <c r="AE69" s="1287"/>
      <c r="AF69" s="1288"/>
      <c r="AJ69" s="1286"/>
      <c r="AK69" s="1287"/>
      <c r="AL69" s="1287"/>
      <c r="AM69" s="1287"/>
      <c r="AN69" s="1287"/>
      <c r="AO69" s="1287"/>
      <c r="AP69" s="1287"/>
      <c r="AQ69" s="1287"/>
      <c r="AR69" s="1287"/>
      <c r="AS69" s="1288"/>
      <c r="AT69" s="1286"/>
      <c r="AU69" s="1287"/>
      <c r="AV69" s="1287"/>
      <c r="AW69" s="1287"/>
      <c r="AX69" s="1287"/>
      <c r="AY69" s="1287"/>
      <c r="AZ69" s="1287"/>
      <c r="BA69" s="1287"/>
      <c r="BB69" s="1287"/>
      <c r="BC69" s="1288"/>
      <c r="BD69" s="1286"/>
      <c r="BE69" s="1287"/>
      <c r="BF69" s="1287"/>
      <c r="BG69" s="1287"/>
      <c r="BH69" s="1287"/>
      <c r="BI69" s="1287"/>
      <c r="BJ69" s="1287"/>
      <c r="BK69" s="1287"/>
      <c r="BL69" s="1287"/>
      <c r="BM69" s="1288"/>
      <c r="BQ69" s="1286"/>
      <c r="BR69" s="1287"/>
      <c r="BS69" s="1287"/>
      <c r="BT69" s="1287"/>
      <c r="BU69" s="1287"/>
      <c r="BV69" s="1287"/>
      <c r="BW69" s="1287"/>
      <c r="BX69" s="1287"/>
      <c r="BY69" s="1287"/>
      <c r="BZ69" s="1288"/>
      <c r="CA69" s="1286"/>
      <c r="CB69" s="1287"/>
      <c r="CC69" s="1287"/>
      <c r="CD69" s="1287"/>
      <c r="CE69" s="1287"/>
      <c r="CF69" s="1287"/>
      <c r="CG69" s="1287"/>
      <c r="CH69" s="1287"/>
      <c r="CI69" s="1287"/>
      <c r="CJ69" s="1288"/>
      <c r="CK69" s="1286"/>
      <c r="CL69" s="1287"/>
      <c r="CM69" s="1287"/>
      <c r="CN69" s="1287"/>
      <c r="CO69" s="1287"/>
      <c r="CP69" s="1287"/>
      <c r="CQ69" s="1287"/>
      <c r="CR69" s="1287"/>
      <c r="CS69" s="1287"/>
      <c r="CT69" s="1288"/>
    </row>
    <row r="70" spans="3:98">
      <c r="C70" s="1289"/>
      <c r="D70" s="768"/>
      <c r="E70" s="768"/>
      <c r="F70" s="768"/>
      <c r="G70" s="768"/>
      <c r="H70" s="768"/>
      <c r="I70" s="768"/>
      <c r="J70" s="768"/>
      <c r="K70" s="768"/>
      <c r="L70" s="1290"/>
      <c r="M70" s="1289"/>
      <c r="N70" s="768"/>
      <c r="O70" s="768"/>
      <c r="P70" s="768"/>
      <c r="Q70" s="768"/>
      <c r="R70" s="768"/>
      <c r="S70" s="768"/>
      <c r="T70" s="768"/>
      <c r="U70" s="768"/>
      <c r="V70" s="1290"/>
      <c r="W70" s="1289"/>
      <c r="X70" s="768"/>
      <c r="Y70" s="768"/>
      <c r="Z70" s="768"/>
      <c r="AA70" s="768"/>
      <c r="AB70" s="768"/>
      <c r="AC70" s="768"/>
      <c r="AD70" s="768"/>
      <c r="AE70" s="768"/>
      <c r="AF70" s="1290"/>
      <c r="AJ70" s="1289"/>
      <c r="AK70" s="768"/>
      <c r="AL70" s="768"/>
      <c r="AM70" s="768"/>
      <c r="AN70" s="768"/>
      <c r="AO70" s="768"/>
      <c r="AP70" s="768"/>
      <c r="AQ70" s="768"/>
      <c r="AR70" s="768"/>
      <c r="AS70" s="1290"/>
      <c r="AT70" s="1289"/>
      <c r="AU70" s="768"/>
      <c r="AV70" s="768"/>
      <c r="AW70" s="768"/>
      <c r="AX70" s="768"/>
      <c r="AY70" s="768"/>
      <c r="AZ70" s="768"/>
      <c r="BA70" s="768"/>
      <c r="BB70" s="768"/>
      <c r="BC70" s="1290"/>
      <c r="BD70" s="1289"/>
      <c r="BE70" s="768"/>
      <c r="BF70" s="768"/>
      <c r="BG70" s="768"/>
      <c r="BH70" s="768"/>
      <c r="BI70" s="768"/>
      <c r="BJ70" s="768"/>
      <c r="BK70" s="768"/>
      <c r="BL70" s="768"/>
      <c r="BM70" s="1290"/>
      <c r="BQ70" s="1289"/>
      <c r="BR70" s="768"/>
      <c r="BS70" s="768"/>
      <c r="BT70" s="768"/>
      <c r="BU70" s="768"/>
      <c r="BV70" s="768"/>
      <c r="BW70" s="768"/>
      <c r="BX70" s="768"/>
      <c r="BY70" s="768"/>
      <c r="BZ70" s="1290"/>
      <c r="CA70" s="1289"/>
      <c r="CB70" s="768"/>
      <c r="CC70" s="768"/>
      <c r="CD70" s="768"/>
      <c r="CE70" s="768"/>
      <c r="CF70" s="768"/>
      <c r="CG70" s="768"/>
      <c r="CH70" s="768"/>
      <c r="CI70" s="768"/>
      <c r="CJ70" s="1290"/>
      <c r="CK70" s="1289"/>
      <c r="CL70" s="768"/>
      <c r="CM70" s="768"/>
      <c r="CN70" s="768"/>
      <c r="CO70" s="768"/>
      <c r="CP70" s="768"/>
      <c r="CQ70" s="768"/>
      <c r="CR70" s="768"/>
      <c r="CS70" s="768"/>
      <c r="CT70" s="1290"/>
    </row>
    <row r="71" spans="3:98">
      <c r="C71" s="1289"/>
      <c r="D71" s="768"/>
      <c r="E71" s="768"/>
      <c r="F71" s="768"/>
      <c r="G71" s="768"/>
      <c r="H71" s="768"/>
      <c r="I71" s="768"/>
      <c r="J71" s="768"/>
      <c r="K71" s="768"/>
      <c r="L71" s="1290"/>
      <c r="M71" s="1289"/>
      <c r="N71" s="768"/>
      <c r="O71" s="768"/>
      <c r="P71" s="768"/>
      <c r="Q71" s="768"/>
      <c r="R71" s="768"/>
      <c r="S71" s="768"/>
      <c r="T71" s="768"/>
      <c r="U71" s="768"/>
      <c r="V71" s="1290"/>
      <c r="W71" s="1289"/>
      <c r="X71" s="768"/>
      <c r="Y71" s="768"/>
      <c r="Z71" s="768"/>
      <c r="AA71" s="768"/>
      <c r="AB71" s="768"/>
      <c r="AC71" s="768"/>
      <c r="AD71" s="768"/>
      <c r="AE71" s="768"/>
      <c r="AF71" s="1290"/>
      <c r="AJ71" s="1289"/>
      <c r="AK71" s="768"/>
      <c r="AL71" s="768"/>
      <c r="AM71" s="768"/>
      <c r="AN71" s="768"/>
      <c r="AO71" s="768"/>
      <c r="AP71" s="768"/>
      <c r="AQ71" s="768"/>
      <c r="AR71" s="768"/>
      <c r="AS71" s="1290"/>
      <c r="AT71" s="1289"/>
      <c r="AU71" s="768"/>
      <c r="AV71" s="768"/>
      <c r="AW71" s="768"/>
      <c r="AX71" s="768"/>
      <c r="AY71" s="768"/>
      <c r="AZ71" s="768"/>
      <c r="BA71" s="768"/>
      <c r="BB71" s="768"/>
      <c r="BC71" s="1290"/>
      <c r="BD71" s="1289"/>
      <c r="BE71" s="768"/>
      <c r="BF71" s="768"/>
      <c r="BG71" s="768"/>
      <c r="BH71" s="768"/>
      <c r="BI71" s="768"/>
      <c r="BJ71" s="768"/>
      <c r="BK71" s="768"/>
      <c r="BL71" s="768"/>
      <c r="BM71" s="1290"/>
      <c r="BQ71" s="1289"/>
      <c r="BR71" s="768"/>
      <c r="BS71" s="768"/>
      <c r="BT71" s="768"/>
      <c r="BU71" s="768"/>
      <c r="BV71" s="768"/>
      <c r="BW71" s="768"/>
      <c r="BX71" s="768"/>
      <c r="BY71" s="768"/>
      <c r="BZ71" s="1290"/>
      <c r="CA71" s="1289"/>
      <c r="CB71" s="768"/>
      <c r="CC71" s="768"/>
      <c r="CD71" s="768"/>
      <c r="CE71" s="768"/>
      <c r="CF71" s="768"/>
      <c r="CG71" s="768"/>
      <c r="CH71" s="768"/>
      <c r="CI71" s="768"/>
      <c r="CJ71" s="1290"/>
      <c r="CK71" s="1289"/>
      <c r="CL71" s="768"/>
      <c r="CM71" s="768"/>
      <c r="CN71" s="768"/>
      <c r="CO71" s="768"/>
      <c r="CP71" s="768"/>
      <c r="CQ71" s="768"/>
      <c r="CR71" s="768"/>
      <c r="CS71" s="768"/>
      <c r="CT71" s="1290"/>
    </row>
    <row r="72" spans="3:98">
      <c r="C72" s="1289"/>
      <c r="D72" s="768"/>
      <c r="E72" s="768"/>
      <c r="F72" s="768"/>
      <c r="G72" s="768"/>
      <c r="H72" s="768"/>
      <c r="I72" s="768"/>
      <c r="J72" s="768"/>
      <c r="K72" s="768"/>
      <c r="L72" s="1290"/>
      <c r="M72" s="1289"/>
      <c r="N72" s="768"/>
      <c r="O72" s="768"/>
      <c r="P72" s="768"/>
      <c r="Q72" s="768"/>
      <c r="R72" s="768"/>
      <c r="S72" s="768"/>
      <c r="T72" s="768"/>
      <c r="U72" s="768"/>
      <c r="V72" s="1290"/>
      <c r="W72" s="1289"/>
      <c r="X72" s="768"/>
      <c r="Y72" s="768"/>
      <c r="Z72" s="768"/>
      <c r="AA72" s="768"/>
      <c r="AB72" s="768"/>
      <c r="AC72" s="768"/>
      <c r="AD72" s="768"/>
      <c r="AE72" s="768"/>
      <c r="AF72" s="1290"/>
      <c r="AJ72" s="1289"/>
      <c r="AK72" s="768"/>
      <c r="AL72" s="768"/>
      <c r="AM72" s="768"/>
      <c r="AN72" s="768"/>
      <c r="AO72" s="768"/>
      <c r="AP72" s="768"/>
      <c r="AQ72" s="768"/>
      <c r="AR72" s="768"/>
      <c r="AS72" s="1290"/>
      <c r="AT72" s="1289"/>
      <c r="AU72" s="768"/>
      <c r="AV72" s="768"/>
      <c r="AW72" s="768"/>
      <c r="AX72" s="768"/>
      <c r="AY72" s="768"/>
      <c r="AZ72" s="768"/>
      <c r="BA72" s="768"/>
      <c r="BB72" s="768"/>
      <c r="BC72" s="1290"/>
      <c r="BD72" s="1289"/>
      <c r="BE72" s="768"/>
      <c r="BF72" s="768"/>
      <c r="BG72" s="768"/>
      <c r="BH72" s="768"/>
      <c r="BI72" s="768"/>
      <c r="BJ72" s="768"/>
      <c r="BK72" s="768"/>
      <c r="BL72" s="768"/>
      <c r="BM72" s="1290"/>
      <c r="BQ72" s="1289"/>
      <c r="BR72" s="768"/>
      <c r="BS72" s="768"/>
      <c r="BT72" s="768"/>
      <c r="BU72" s="768"/>
      <c r="BV72" s="768"/>
      <c r="BW72" s="768"/>
      <c r="BX72" s="768"/>
      <c r="BY72" s="768"/>
      <c r="BZ72" s="1290"/>
      <c r="CA72" s="1289"/>
      <c r="CB72" s="768"/>
      <c r="CC72" s="768"/>
      <c r="CD72" s="768"/>
      <c r="CE72" s="768"/>
      <c r="CF72" s="768"/>
      <c r="CG72" s="768"/>
      <c r="CH72" s="768"/>
      <c r="CI72" s="768"/>
      <c r="CJ72" s="1290"/>
      <c r="CK72" s="1289"/>
      <c r="CL72" s="768"/>
      <c r="CM72" s="768"/>
      <c r="CN72" s="768"/>
      <c r="CO72" s="768"/>
      <c r="CP72" s="768"/>
      <c r="CQ72" s="768"/>
      <c r="CR72" s="768"/>
      <c r="CS72" s="768"/>
      <c r="CT72" s="1290"/>
    </row>
    <row r="73" spans="3:98">
      <c r="C73" s="1289"/>
      <c r="D73" s="768"/>
      <c r="E73" s="768"/>
      <c r="F73" s="768"/>
      <c r="G73" s="768"/>
      <c r="H73" s="768"/>
      <c r="I73" s="768"/>
      <c r="J73" s="768"/>
      <c r="K73" s="768"/>
      <c r="L73" s="1290"/>
      <c r="M73" s="1289"/>
      <c r="N73" s="768"/>
      <c r="O73" s="768"/>
      <c r="P73" s="768"/>
      <c r="Q73" s="768"/>
      <c r="R73" s="768"/>
      <c r="S73" s="768"/>
      <c r="T73" s="768"/>
      <c r="U73" s="768"/>
      <c r="V73" s="1290"/>
      <c r="W73" s="1289"/>
      <c r="X73" s="768"/>
      <c r="Y73" s="768"/>
      <c r="Z73" s="768"/>
      <c r="AA73" s="768"/>
      <c r="AB73" s="768"/>
      <c r="AC73" s="768"/>
      <c r="AD73" s="768"/>
      <c r="AE73" s="768"/>
      <c r="AF73" s="1290"/>
      <c r="AJ73" s="1289"/>
      <c r="AK73" s="768"/>
      <c r="AL73" s="768"/>
      <c r="AM73" s="768"/>
      <c r="AN73" s="768"/>
      <c r="AO73" s="768"/>
      <c r="AP73" s="768"/>
      <c r="AQ73" s="768"/>
      <c r="AR73" s="768"/>
      <c r="AS73" s="1290"/>
      <c r="AT73" s="1289"/>
      <c r="AU73" s="768"/>
      <c r="AV73" s="768"/>
      <c r="AW73" s="768"/>
      <c r="AX73" s="768"/>
      <c r="AY73" s="768"/>
      <c r="AZ73" s="768"/>
      <c r="BA73" s="768"/>
      <c r="BB73" s="768"/>
      <c r="BC73" s="1290"/>
      <c r="BD73" s="1289"/>
      <c r="BE73" s="768"/>
      <c r="BF73" s="768"/>
      <c r="BG73" s="768"/>
      <c r="BH73" s="768"/>
      <c r="BI73" s="768"/>
      <c r="BJ73" s="768"/>
      <c r="BK73" s="768"/>
      <c r="BL73" s="768"/>
      <c r="BM73" s="1290"/>
      <c r="BQ73" s="1289"/>
      <c r="BR73" s="768"/>
      <c r="BS73" s="768"/>
      <c r="BT73" s="768"/>
      <c r="BU73" s="768"/>
      <c r="BV73" s="768"/>
      <c r="BW73" s="768"/>
      <c r="BX73" s="768"/>
      <c r="BY73" s="768"/>
      <c r="BZ73" s="1290"/>
      <c r="CA73" s="1289"/>
      <c r="CB73" s="768"/>
      <c r="CC73" s="768"/>
      <c r="CD73" s="768"/>
      <c r="CE73" s="768"/>
      <c r="CF73" s="768"/>
      <c r="CG73" s="768"/>
      <c r="CH73" s="768"/>
      <c r="CI73" s="768"/>
      <c r="CJ73" s="1290"/>
      <c r="CK73" s="1289"/>
      <c r="CL73" s="768"/>
      <c r="CM73" s="768"/>
      <c r="CN73" s="768"/>
      <c r="CO73" s="768"/>
      <c r="CP73" s="768"/>
      <c r="CQ73" s="768"/>
      <c r="CR73" s="768"/>
      <c r="CS73" s="768"/>
      <c r="CT73" s="1290"/>
    </row>
    <row r="74" spans="3:98">
      <c r="C74" s="1289"/>
      <c r="D74" s="768"/>
      <c r="E74" s="768"/>
      <c r="F74" s="768"/>
      <c r="G74" s="768"/>
      <c r="H74" s="768"/>
      <c r="I74" s="768"/>
      <c r="J74" s="768"/>
      <c r="K74" s="768"/>
      <c r="L74" s="1290"/>
      <c r="M74" s="1289"/>
      <c r="N74" s="768"/>
      <c r="O74" s="768"/>
      <c r="P74" s="768"/>
      <c r="Q74" s="768"/>
      <c r="R74" s="768"/>
      <c r="S74" s="768"/>
      <c r="T74" s="768"/>
      <c r="U74" s="768"/>
      <c r="V74" s="1290"/>
      <c r="W74" s="1289"/>
      <c r="X74" s="768"/>
      <c r="Y74" s="768"/>
      <c r="Z74" s="768"/>
      <c r="AA74" s="768"/>
      <c r="AB74" s="768"/>
      <c r="AC74" s="768"/>
      <c r="AD74" s="768"/>
      <c r="AE74" s="768"/>
      <c r="AF74" s="1290"/>
      <c r="AJ74" s="1289"/>
      <c r="AK74" s="768"/>
      <c r="AL74" s="768"/>
      <c r="AM74" s="768"/>
      <c r="AN74" s="768"/>
      <c r="AO74" s="768"/>
      <c r="AP74" s="768"/>
      <c r="AQ74" s="768"/>
      <c r="AR74" s="768"/>
      <c r="AS74" s="1290"/>
      <c r="AT74" s="1289"/>
      <c r="AU74" s="768"/>
      <c r="AV74" s="768"/>
      <c r="AW74" s="768"/>
      <c r="AX74" s="768"/>
      <c r="AY74" s="768"/>
      <c r="AZ74" s="768"/>
      <c r="BA74" s="768"/>
      <c r="BB74" s="768"/>
      <c r="BC74" s="1290"/>
      <c r="BD74" s="1289"/>
      <c r="BE74" s="768"/>
      <c r="BF74" s="768"/>
      <c r="BG74" s="768"/>
      <c r="BH74" s="768"/>
      <c r="BI74" s="768"/>
      <c r="BJ74" s="768"/>
      <c r="BK74" s="768"/>
      <c r="BL74" s="768"/>
      <c r="BM74" s="1290"/>
      <c r="BQ74" s="1289"/>
      <c r="BR74" s="768"/>
      <c r="BS74" s="768"/>
      <c r="BT74" s="768"/>
      <c r="BU74" s="768"/>
      <c r="BV74" s="768"/>
      <c r="BW74" s="768"/>
      <c r="BX74" s="768"/>
      <c r="BY74" s="768"/>
      <c r="BZ74" s="1290"/>
      <c r="CA74" s="1289"/>
      <c r="CB74" s="768"/>
      <c r="CC74" s="768"/>
      <c r="CD74" s="768"/>
      <c r="CE74" s="768"/>
      <c r="CF74" s="768"/>
      <c r="CG74" s="768"/>
      <c r="CH74" s="768"/>
      <c r="CI74" s="768"/>
      <c r="CJ74" s="1290"/>
      <c r="CK74" s="1289"/>
      <c r="CL74" s="768"/>
      <c r="CM74" s="768"/>
      <c r="CN74" s="768"/>
      <c r="CO74" s="768"/>
      <c r="CP74" s="768"/>
      <c r="CQ74" s="768"/>
      <c r="CR74" s="768"/>
      <c r="CS74" s="768"/>
      <c r="CT74" s="1290"/>
    </row>
    <row r="75" spans="3:98">
      <c r="C75" s="1289"/>
      <c r="D75" s="768"/>
      <c r="E75" s="768"/>
      <c r="F75" s="768"/>
      <c r="G75" s="768"/>
      <c r="H75" s="768"/>
      <c r="I75" s="768"/>
      <c r="J75" s="768"/>
      <c r="K75" s="768"/>
      <c r="L75" s="1290"/>
      <c r="M75" s="1289"/>
      <c r="N75" s="768"/>
      <c r="O75" s="768"/>
      <c r="P75" s="768"/>
      <c r="Q75" s="768"/>
      <c r="R75" s="768"/>
      <c r="S75" s="768"/>
      <c r="T75" s="768"/>
      <c r="U75" s="768"/>
      <c r="V75" s="1290"/>
      <c r="W75" s="1289"/>
      <c r="X75" s="768"/>
      <c r="Y75" s="768"/>
      <c r="Z75" s="768"/>
      <c r="AA75" s="768"/>
      <c r="AB75" s="768"/>
      <c r="AC75" s="768"/>
      <c r="AD75" s="768"/>
      <c r="AE75" s="768"/>
      <c r="AF75" s="1290"/>
      <c r="AJ75" s="1289"/>
      <c r="AK75" s="768"/>
      <c r="AL75" s="768"/>
      <c r="AM75" s="768"/>
      <c r="AN75" s="768"/>
      <c r="AO75" s="768"/>
      <c r="AP75" s="768"/>
      <c r="AQ75" s="768"/>
      <c r="AR75" s="768"/>
      <c r="AS75" s="1290"/>
      <c r="AT75" s="1289"/>
      <c r="AU75" s="768"/>
      <c r="AV75" s="768"/>
      <c r="AW75" s="768"/>
      <c r="AX75" s="768"/>
      <c r="AY75" s="768"/>
      <c r="AZ75" s="768"/>
      <c r="BA75" s="768"/>
      <c r="BB75" s="768"/>
      <c r="BC75" s="1290"/>
      <c r="BD75" s="1289"/>
      <c r="BE75" s="768"/>
      <c r="BF75" s="768"/>
      <c r="BG75" s="768"/>
      <c r="BH75" s="768"/>
      <c r="BI75" s="768"/>
      <c r="BJ75" s="768"/>
      <c r="BK75" s="768"/>
      <c r="BL75" s="768"/>
      <c r="BM75" s="1290"/>
      <c r="BQ75" s="1289"/>
      <c r="BR75" s="768"/>
      <c r="BS75" s="768"/>
      <c r="BT75" s="768"/>
      <c r="BU75" s="768"/>
      <c r="BV75" s="768"/>
      <c r="BW75" s="768"/>
      <c r="BX75" s="768"/>
      <c r="BY75" s="768"/>
      <c r="BZ75" s="1290"/>
      <c r="CA75" s="1289"/>
      <c r="CB75" s="768"/>
      <c r="CC75" s="768"/>
      <c r="CD75" s="768"/>
      <c r="CE75" s="768"/>
      <c r="CF75" s="768"/>
      <c r="CG75" s="768"/>
      <c r="CH75" s="768"/>
      <c r="CI75" s="768"/>
      <c r="CJ75" s="1290"/>
      <c r="CK75" s="1289"/>
      <c r="CL75" s="768"/>
      <c r="CM75" s="768"/>
      <c r="CN75" s="768"/>
      <c r="CO75" s="768"/>
      <c r="CP75" s="768"/>
      <c r="CQ75" s="768"/>
      <c r="CR75" s="768"/>
      <c r="CS75" s="768"/>
      <c r="CT75" s="1290"/>
    </row>
    <row r="76" spans="3:98">
      <c r="C76" s="1289"/>
      <c r="D76" s="768"/>
      <c r="E76" s="768"/>
      <c r="F76" s="768"/>
      <c r="G76" s="768"/>
      <c r="H76" s="768"/>
      <c r="I76" s="768"/>
      <c r="J76" s="768"/>
      <c r="K76" s="768"/>
      <c r="L76" s="1290"/>
      <c r="M76" s="1289"/>
      <c r="N76" s="768"/>
      <c r="O76" s="768"/>
      <c r="P76" s="768"/>
      <c r="Q76" s="768"/>
      <c r="R76" s="768"/>
      <c r="S76" s="768"/>
      <c r="T76" s="768"/>
      <c r="U76" s="768"/>
      <c r="V76" s="1290"/>
      <c r="W76" s="1289"/>
      <c r="X76" s="768"/>
      <c r="Y76" s="768"/>
      <c r="Z76" s="768"/>
      <c r="AA76" s="768"/>
      <c r="AB76" s="768"/>
      <c r="AC76" s="768"/>
      <c r="AD76" s="768"/>
      <c r="AE76" s="768"/>
      <c r="AF76" s="1290"/>
      <c r="AJ76" s="1289"/>
      <c r="AK76" s="768"/>
      <c r="AL76" s="768"/>
      <c r="AM76" s="768"/>
      <c r="AN76" s="768"/>
      <c r="AO76" s="768"/>
      <c r="AP76" s="768"/>
      <c r="AQ76" s="768"/>
      <c r="AR76" s="768"/>
      <c r="AS76" s="1290"/>
      <c r="AT76" s="1289"/>
      <c r="AU76" s="768"/>
      <c r="AV76" s="768"/>
      <c r="AW76" s="768"/>
      <c r="AX76" s="768"/>
      <c r="AY76" s="768"/>
      <c r="AZ76" s="768"/>
      <c r="BA76" s="768"/>
      <c r="BB76" s="768"/>
      <c r="BC76" s="1290"/>
      <c r="BD76" s="1289"/>
      <c r="BE76" s="768"/>
      <c r="BF76" s="768"/>
      <c r="BG76" s="768"/>
      <c r="BH76" s="768"/>
      <c r="BI76" s="768"/>
      <c r="BJ76" s="768"/>
      <c r="BK76" s="768"/>
      <c r="BL76" s="768"/>
      <c r="BM76" s="1290"/>
      <c r="BQ76" s="1289"/>
      <c r="BR76" s="768"/>
      <c r="BS76" s="768"/>
      <c r="BT76" s="768"/>
      <c r="BU76" s="768"/>
      <c r="BV76" s="768"/>
      <c r="BW76" s="768"/>
      <c r="BX76" s="768"/>
      <c r="BY76" s="768"/>
      <c r="BZ76" s="1290"/>
      <c r="CA76" s="1289"/>
      <c r="CB76" s="768"/>
      <c r="CC76" s="768"/>
      <c r="CD76" s="768"/>
      <c r="CE76" s="768"/>
      <c r="CF76" s="768"/>
      <c r="CG76" s="768"/>
      <c r="CH76" s="768"/>
      <c r="CI76" s="768"/>
      <c r="CJ76" s="1290"/>
      <c r="CK76" s="1289"/>
      <c r="CL76" s="768"/>
      <c r="CM76" s="768"/>
      <c r="CN76" s="768"/>
      <c r="CO76" s="768"/>
      <c r="CP76" s="768"/>
      <c r="CQ76" s="768"/>
      <c r="CR76" s="768"/>
      <c r="CS76" s="768"/>
      <c r="CT76" s="1290"/>
    </row>
    <row r="77" spans="3:98">
      <c r="C77" s="1289"/>
      <c r="D77" s="768"/>
      <c r="E77" s="768"/>
      <c r="F77" s="768"/>
      <c r="G77" s="768"/>
      <c r="H77" s="768"/>
      <c r="I77" s="768"/>
      <c r="J77" s="768"/>
      <c r="K77" s="768"/>
      <c r="L77" s="1290"/>
      <c r="M77" s="1289"/>
      <c r="N77" s="768"/>
      <c r="O77" s="768"/>
      <c r="P77" s="768"/>
      <c r="Q77" s="768"/>
      <c r="R77" s="768"/>
      <c r="S77" s="768"/>
      <c r="T77" s="768"/>
      <c r="U77" s="768"/>
      <c r="V77" s="1290"/>
      <c r="W77" s="1289"/>
      <c r="X77" s="768"/>
      <c r="Y77" s="768"/>
      <c r="Z77" s="768"/>
      <c r="AA77" s="768"/>
      <c r="AB77" s="768"/>
      <c r="AC77" s="768"/>
      <c r="AD77" s="768"/>
      <c r="AE77" s="768"/>
      <c r="AF77" s="1290"/>
      <c r="AJ77" s="1289"/>
      <c r="AK77" s="768"/>
      <c r="AL77" s="768"/>
      <c r="AM77" s="768"/>
      <c r="AN77" s="768"/>
      <c r="AO77" s="768"/>
      <c r="AP77" s="768"/>
      <c r="AQ77" s="768"/>
      <c r="AR77" s="768"/>
      <c r="AS77" s="1290"/>
      <c r="AT77" s="1289"/>
      <c r="AU77" s="768"/>
      <c r="AV77" s="768"/>
      <c r="AW77" s="768"/>
      <c r="AX77" s="768"/>
      <c r="AY77" s="768"/>
      <c r="AZ77" s="768"/>
      <c r="BA77" s="768"/>
      <c r="BB77" s="768"/>
      <c r="BC77" s="1290"/>
      <c r="BD77" s="1289"/>
      <c r="BE77" s="768"/>
      <c r="BF77" s="768"/>
      <c r="BG77" s="768"/>
      <c r="BH77" s="768"/>
      <c r="BI77" s="768"/>
      <c r="BJ77" s="768"/>
      <c r="BK77" s="768"/>
      <c r="BL77" s="768"/>
      <c r="BM77" s="1290"/>
      <c r="BQ77" s="1289"/>
      <c r="BR77" s="768"/>
      <c r="BS77" s="768"/>
      <c r="BT77" s="768"/>
      <c r="BU77" s="768"/>
      <c r="BV77" s="768"/>
      <c r="BW77" s="768"/>
      <c r="BX77" s="768"/>
      <c r="BY77" s="768"/>
      <c r="BZ77" s="1290"/>
      <c r="CA77" s="1289"/>
      <c r="CB77" s="768"/>
      <c r="CC77" s="768"/>
      <c r="CD77" s="768"/>
      <c r="CE77" s="768"/>
      <c r="CF77" s="768"/>
      <c r="CG77" s="768"/>
      <c r="CH77" s="768"/>
      <c r="CI77" s="768"/>
      <c r="CJ77" s="1290"/>
      <c r="CK77" s="1289"/>
      <c r="CL77" s="768"/>
      <c r="CM77" s="768"/>
      <c r="CN77" s="768"/>
      <c r="CO77" s="768"/>
      <c r="CP77" s="768"/>
      <c r="CQ77" s="768"/>
      <c r="CR77" s="768"/>
      <c r="CS77" s="768"/>
      <c r="CT77" s="1290"/>
    </row>
    <row r="78" spans="3:98" ht="14.25" thickBot="1">
      <c r="C78" s="1291"/>
      <c r="D78" s="1292"/>
      <c r="E78" s="1292"/>
      <c r="F78" s="1292"/>
      <c r="G78" s="1292"/>
      <c r="H78" s="1292"/>
      <c r="I78" s="1292"/>
      <c r="J78" s="1292"/>
      <c r="K78" s="1292"/>
      <c r="L78" s="1293"/>
      <c r="M78" s="1291"/>
      <c r="N78" s="1292"/>
      <c r="O78" s="1292"/>
      <c r="P78" s="1292"/>
      <c r="Q78" s="1292"/>
      <c r="R78" s="1292"/>
      <c r="S78" s="1292"/>
      <c r="T78" s="1292"/>
      <c r="U78" s="1292"/>
      <c r="V78" s="1293"/>
      <c r="W78" s="1291"/>
      <c r="X78" s="1292"/>
      <c r="Y78" s="1292"/>
      <c r="Z78" s="1292"/>
      <c r="AA78" s="1292"/>
      <c r="AB78" s="1292"/>
      <c r="AC78" s="1292"/>
      <c r="AD78" s="1292"/>
      <c r="AE78" s="1292"/>
      <c r="AF78" s="1293"/>
      <c r="AJ78" s="1291"/>
      <c r="AK78" s="1292"/>
      <c r="AL78" s="1292"/>
      <c r="AM78" s="1292"/>
      <c r="AN78" s="1292"/>
      <c r="AO78" s="1292"/>
      <c r="AP78" s="1292"/>
      <c r="AQ78" s="1292"/>
      <c r="AR78" s="1292"/>
      <c r="AS78" s="1293"/>
      <c r="AT78" s="1291"/>
      <c r="AU78" s="1292"/>
      <c r="AV78" s="1292"/>
      <c r="AW78" s="1292"/>
      <c r="AX78" s="1292"/>
      <c r="AY78" s="1292"/>
      <c r="AZ78" s="1292"/>
      <c r="BA78" s="1292"/>
      <c r="BB78" s="1292"/>
      <c r="BC78" s="1293"/>
      <c r="BD78" s="1291"/>
      <c r="BE78" s="1292"/>
      <c r="BF78" s="1292"/>
      <c r="BG78" s="1292"/>
      <c r="BH78" s="1292"/>
      <c r="BI78" s="1292"/>
      <c r="BJ78" s="1292"/>
      <c r="BK78" s="1292"/>
      <c r="BL78" s="1292"/>
      <c r="BM78" s="1293"/>
      <c r="BQ78" s="1291"/>
      <c r="BR78" s="1292"/>
      <c r="BS78" s="1292"/>
      <c r="BT78" s="1292"/>
      <c r="BU78" s="1292"/>
      <c r="BV78" s="1292"/>
      <c r="BW78" s="1292"/>
      <c r="BX78" s="1292"/>
      <c r="BY78" s="1292"/>
      <c r="BZ78" s="1293"/>
      <c r="CA78" s="1291"/>
      <c r="CB78" s="1292"/>
      <c r="CC78" s="1292"/>
      <c r="CD78" s="1292"/>
      <c r="CE78" s="1292"/>
      <c r="CF78" s="1292"/>
      <c r="CG78" s="1292"/>
      <c r="CH78" s="1292"/>
      <c r="CI78" s="1292"/>
      <c r="CJ78" s="1293"/>
      <c r="CK78" s="1291"/>
      <c r="CL78" s="1292"/>
      <c r="CM78" s="1292"/>
      <c r="CN78" s="1292"/>
      <c r="CO78" s="1292"/>
      <c r="CP78" s="1292"/>
      <c r="CQ78" s="1292"/>
      <c r="CR78" s="1292"/>
      <c r="CS78" s="1292"/>
      <c r="CT78" s="1293"/>
    </row>
    <row r="82" spans="3:98" ht="14.25" thickBot="1"/>
    <row r="83" spans="3:98">
      <c r="C83" s="1283"/>
      <c r="D83" s="1284"/>
      <c r="E83" s="1284"/>
      <c r="F83" s="1284"/>
      <c r="G83" s="1284"/>
      <c r="H83" s="1284"/>
      <c r="I83" s="1284"/>
      <c r="J83" s="1284"/>
      <c r="K83" s="1284"/>
      <c r="L83" s="1285"/>
      <c r="M83" s="1283"/>
      <c r="N83" s="1284"/>
      <c r="O83" s="1284"/>
      <c r="P83" s="1284"/>
      <c r="Q83" s="1284"/>
      <c r="R83" s="1284"/>
      <c r="S83" s="1284"/>
      <c r="T83" s="1284"/>
      <c r="U83" s="1284"/>
      <c r="V83" s="1294"/>
      <c r="W83" s="1295"/>
      <c r="X83" s="1284"/>
      <c r="Y83" s="1284"/>
      <c r="Z83" s="1284"/>
      <c r="AA83" s="1284"/>
      <c r="AB83" s="1284"/>
      <c r="AC83" s="1284"/>
      <c r="AD83" s="1284"/>
      <c r="AE83" s="1284"/>
      <c r="AF83" s="1294"/>
      <c r="AJ83" s="1283"/>
      <c r="AK83" s="1284"/>
      <c r="AL83" s="1284"/>
      <c r="AM83" s="1284"/>
      <c r="AN83" s="1284"/>
      <c r="AO83" s="1284"/>
      <c r="AP83" s="1284"/>
      <c r="AQ83" s="1284"/>
      <c r="AR83" s="1284"/>
      <c r="AS83" s="1285"/>
      <c r="AT83" s="1283"/>
      <c r="AU83" s="1284"/>
      <c r="AV83" s="1284"/>
      <c r="AW83" s="1284"/>
      <c r="AX83" s="1284"/>
      <c r="AY83" s="1284"/>
      <c r="AZ83" s="1284"/>
      <c r="BA83" s="1284"/>
      <c r="BB83" s="1284"/>
      <c r="BC83" s="1294"/>
      <c r="BD83" s="1295"/>
      <c r="BE83" s="1284"/>
      <c r="BF83" s="1284"/>
      <c r="BG83" s="1284"/>
      <c r="BH83" s="1284"/>
      <c r="BI83" s="1284"/>
      <c r="BJ83" s="1284"/>
      <c r="BK83" s="1284"/>
      <c r="BL83" s="1284"/>
      <c r="BM83" s="1294"/>
      <c r="BQ83" s="1283"/>
      <c r="BR83" s="1284"/>
      <c r="BS83" s="1284"/>
      <c r="BT83" s="1284"/>
      <c r="BU83" s="1284"/>
      <c r="BV83" s="1284"/>
      <c r="BW83" s="1284"/>
      <c r="BX83" s="1284"/>
      <c r="BY83" s="1284"/>
      <c r="BZ83" s="1285"/>
      <c r="CA83" s="1283"/>
      <c r="CB83" s="1284"/>
      <c r="CC83" s="1284"/>
      <c r="CD83" s="1284"/>
      <c r="CE83" s="1284"/>
      <c r="CF83" s="1284"/>
      <c r="CG83" s="1284"/>
      <c r="CH83" s="1284"/>
      <c r="CI83" s="1284"/>
      <c r="CJ83" s="1294"/>
      <c r="CK83" s="1295"/>
      <c r="CL83" s="1284"/>
      <c r="CM83" s="1284"/>
      <c r="CN83" s="1284"/>
      <c r="CO83" s="1284"/>
      <c r="CP83" s="1284"/>
      <c r="CQ83" s="1284"/>
      <c r="CR83" s="1284"/>
      <c r="CS83" s="1284"/>
      <c r="CT83" s="1294"/>
    </row>
    <row r="84" spans="3:98">
      <c r="C84" s="1286"/>
      <c r="D84" s="1287"/>
      <c r="E84" s="1287"/>
      <c r="F84" s="1287"/>
      <c r="G84" s="1287"/>
      <c r="H84" s="1287"/>
      <c r="I84" s="1287"/>
      <c r="J84" s="1287"/>
      <c r="K84" s="1287"/>
      <c r="L84" s="1288"/>
      <c r="M84" s="1286"/>
      <c r="N84" s="1287"/>
      <c r="O84" s="1287"/>
      <c r="P84" s="1287"/>
      <c r="Q84" s="1287"/>
      <c r="R84" s="1287"/>
      <c r="S84" s="1287"/>
      <c r="T84" s="1287"/>
      <c r="U84" s="1287"/>
      <c r="V84" s="1288"/>
      <c r="W84" s="1286"/>
      <c r="X84" s="1287"/>
      <c r="Y84" s="1287"/>
      <c r="Z84" s="1287"/>
      <c r="AA84" s="1287"/>
      <c r="AB84" s="1287"/>
      <c r="AC84" s="1287"/>
      <c r="AD84" s="1287"/>
      <c r="AE84" s="1287"/>
      <c r="AF84" s="1288"/>
      <c r="AJ84" s="1286"/>
      <c r="AK84" s="1287"/>
      <c r="AL84" s="1287"/>
      <c r="AM84" s="1287"/>
      <c r="AN84" s="1287"/>
      <c r="AO84" s="1287"/>
      <c r="AP84" s="1287"/>
      <c r="AQ84" s="1287"/>
      <c r="AR84" s="1287"/>
      <c r="AS84" s="1288"/>
      <c r="AT84" s="1286"/>
      <c r="AU84" s="1287"/>
      <c r="AV84" s="1287"/>
      <c r="AW84" s="1287"/>
      <c r="AX84" s="1287"/>
      <c r="AY84" s="1287"/>
      <c r="AZ84" s="1287"/>
      <c r="BA84" s="1287"/>
      <c r="BB84" s="1287"/>
      <c r="BC84" s="1288"/>
      <c r="BD84" s="1286"/>
      <c r="BE84" s="1287"/>
      <c r="BF84" s="1287"/>
      <c r="BG84" s="1287"/>
      <c r="BH84" s="1287"/>
      <c r="BI84" s="1287"/>
      <c r="BJ84" s="1287"/>
      <c r="BK84" s="1287"/>
      <c r="BL84" s="1287"/>
      <c r="BM84" s="1288"/>
      <c r="BQ84" s="1286"/>
      <c r="BR84" s="1287"/>
      <c r="BS84" s="1287"/>
      <c r="BT84" s="1287"/>
      <c r="BU84" s="1287"/>
      <c r="BV84" s="1287"/>
      <c r="BW84" s="1287"/>
      <c r="BX84" s="1287"/>
      <c r="BY84" s="1287"/>
      <c r="BZ84" s="1288"/>
      <c r="CA84" s="1286"/>
      <c r="CB84" s="1287"/>
      <c r="CC84" s="1287"/>
      <c r="CD84" s="1287"/>
      <c r="CE84" s="1287"/>
      <c r="CF84" s="1287"/>
      <c r="CG84" s="1287"/>
      <c r="CH84" s="1287"/>
      <c r="CI84" s="1287"/>
      <c r="CJ84" s="1288"/>
      <c r="CK84" s="1286"/>
      <c r="CL84" s="1287"/>
      <c r="CM84" s="1287"/>
      <c r="CN84" s="1287"/>
      <c r="CO84" s="1287"/>
      <c r="CP84" s="1287"/>
      <c r="CQ84" s="1287"/>
      <c r="CR84" s="1287"/>
      <c r="CS84" s="1287"/>
      <c r="CT84" s="1288"/>
    </row>
    <row r="85" spans="3:98">
      <c r="C85" s="1289"/>
      <c r="D85" s="768"/>
      <c r="E85" s="768"/>
      <c r="F85" s="768"/>
      <c r="G85" s="768"/>
      <c r="H85" s="768"/>
      <c r="I85" s="768"/>
      <c r="J85" s="768"/>
      <c r="K85" s="768"/>
      <c r="L85" s="1290"/>
      <c r="M85" s="1289"/>
      <c r="N85" s="768"/>
      <c r="O85" s="768"/>
      <c r="P85" s="768"/>
      <c r="Q85" s="768"/>
      <c r="R85" s="768"/>
      <c r="S85" s="768"/>
      <c r="T85" s="768"/>
      <c r="U85" s="768"/>
      <c r="V85" s="1290"/>
      <c r="W85" s="1289"/>
      <c r="X85" s="768"/>
      <c r="Y85" s="768"/>
      <c r="Z85" s="768"/>
      <c r="AA85" s="768"/>
      <c r="AB85" s="768"/>
      <c r="AC85" s="768"/>
      <c r="AD85" s="768"/>
      <c r="AE85" s="768"/>
      <c r="AF85" s="1290"/>
      <c r="AJ85" s="1289"/>
      <c r="AK85" s="768"/>
      <c r="AL85" s="768"/>
      <c r="AM85" s="768"/>
      <c r="AN85" s="768"/>
      <c r="AO85" s="768"/>
      <c r="AP85" s="768"/>
      <c r="AQ85" s="768"/>
      <c r="AR85" s="768"/>
      <c r="AS85" s="1290"/>
      <c r="AT85" s="1289"/>
      <c r="AU85" s="768"/>
      <c r="AV85" s="768"/>
      <c r="AW85" s="768"/>
      <c r="AX85" s="768"/>
      <c r="AY85" s="768"/>
      <c r="AZ85" s="768"/>
      <c r="BA85" s="768"/>
      <c r="BB85" s="768"/>
      <c r="BC85" s="1290"/>
      <c r="BD85" s="1289"/>
      <c r="BE85" s="768"/>
      <c r="BF85" s="768"/>
      <c r="BG85" s="768"/>
      <c r="BH85" s="768"/>
      <c r="BI85" s="768"/>
      <c r="BJ85" s="768"/>
      <c r="BK85" s="768"/>
      <c r="BL85" s="768"/>
      <c r="BM85" s="1290"/>
      <c r="BQ85" s="1289"/>
      <c r="BR85" s="768"/>
      <c r="BS85" s="768"/>
      <c r="BT85" s="768"/>
      <c r="BU85" s="768"/>
      <c r="BV85" s="768"/>
      <c r="BW85" s="768"/>
      <c r="BX85" s="768"/>
      <c r="BY85" s="768"/>
      <c r="BZ85" s="1290"/>
      <c r="CA85" s="1289"/>
      <c r="CB85" s="768"/>
      <c r="CC85" s="768"/>
      <c r="CD85" s="768"/>
      <c r="CE85" s="768"/>
      <c r="CF85" s="768"/>
      <c r="CG85" s="768"/>
      <c r="CH85" s="768"/>
      <c r="CI85" s="768"/>
      <c r="CJ85" s="1290"/>
      <c r="CK85" s="1289"/>
      <c r="CL85" s="768"/>
      <c r="CM85" s="768"/>
      <c r="CN85" s="768"/>
      <c r="CO85" s="768"/>
      <c r="CP85" s="768"/>
      <c r="CQ85" s="768"/>
      <c r="CR85" s="768"/>
      <c r="CS85" s="768"/>
      <c r="CT85" s="1290"/>
    </row>
    <row r="86" spans="3:98">
      <c r="C86" s="1289"/>
      <c r="D86" s="768"/>
      <c r="E86" s="768"/>
      <c r="F86" s="768"/>
      <c r="G86" s="768"/>
      <c r="H86" s="768"/>
      <c r="I86" s="768"/>
      <c r="J86" s="768"/>
      <c r="K86" s="768"/>
      <c r="L86" s="1290"/>
      <c r="M86" s="1289"/>
      <c r="N86" s="768"/>
      <c r="O86" s="768"/>
      <c r="P86" s="768"/>
      <c r="Q86" s="768"/>
      <c r="R86" s="768"/>
      <c r="S86" s="768"/>
      <c r="T86" s="768"/>
      <c r="U86" s="768"/>
      <c r="V86" s="1290"/>
      <c r="W86" s="1289"/>
      <c r="X86" s="768"/>
      <c r="Y86" s="768"/>
      <c r="Z86" s="768"/>
      <c r="AA86" s="768"/>
      <c r="AB86" s="768"/>
      <c r="AC86" s="768"/>
      <c r="AD86" s="768"/>
      <c r="AE86" s="768"/>
      <c r="AF86" s="1290"/>
      <c r="AJ86" s="1289"/>
      <c r="AK86" s="768"/>
      <c r="AL86" s="768"/>
      <c r="AM86" s="768"/>
      <c r="AN86" s="768"/>
      <c r="AO86" s="768"/>
      <c r="AP86" s="768"/>
      <c r="AQ86" s="768"/>
      <c r="AR86" s="768"/>
      <c r="AS86" s="1290"/>
      <c r="AT86" s="1289"/>
      <c r="AU86" s="768"/>
      <c r="AV86" s="768"/>
      <c r="AW86" s="768"/>
      <c r="AX86" s="768"/>
      <c r="AY86" s="768"/>
      <c r="AZ86" s="768"/>
      <c r="BA86" s="768"/>
      <c r="BB86" s="768"/>
      <c r="BC86" s="1290"/>
      <c r="BD86" s="1289"/>
      <c r="BE86" s="768"/>
      <c r="BF86" s="768"/>
      <c r="BG86" s="768"/>
      <c r="BH86" s="768"/>
      <c r="BI86" s="768"/>
      <c r="BJ86" s="768"/>
      <c r="BK86" s="768"/>
      <c r="BL86" s="768"/>
      <c r="BM86" s="1290"/>
      <c r="BQ86" s="1289"/>
      <c r="BR86" s="768"/>
      <c r="BS86" s="768"/>
      <c r="BT86" s="768"/>
      <c r="BU86" s="768"/>
      <c r="BV86" s="768"/>
      <c r="BW86" s="768"/>
      <c r="BX86" s="768"/>
      <c r="BY86" s="768"/>
      <c r="BZ86" s="1290"/>
      <c r="CA86" s="1289"/>
      <c r="CB86" s="768"/>
      <c r="CC86" s="768"/>
      <c r="CD86" s="768"/>
      <c r="CE86" s="768"/>
      <c r="CF86" s="768"/>
      <c r="CG86" s="768"/>
      <c r="CH86" s="768"/>
      <c r="CI86" s="768"/>
      <c r="CJ86" s="1290"/>
      <c r="CK86" s="1289"/>
      <c r="CL86" s="768"/>
      <c r="CM86" s="768"/>
      <c r="CN86" s="768"/>
      <c r="CO86" s="768"/>
      <c r="CP86" s="768"/>
      <c r="CQ86" s="768"/>
      <c r="CR86" s="768"/>
      <c r="CS86" s="768"/>
      <c r="CT86" s="1290"/>
    </row>
    <row r="87" spans="3:98">
      <c r="C87" s="1289"/>
      <c r="D87" s="768"/>
      <c r="E87" s="768"/>
      <c r="F87" s="768"/>
      <c r="G87" s="768"/>
      <c r="H87" s="768"/>
      <c r="I87" s="768"/>
      <c r="J87" s="768"/>
      <c r="K87" s="768"/>
      <c r="L87" s="1290"/>
      <c r="M87" s="1289"/>
      <c r="N87" s="768"/>
      <c r="O87" s="768"/>
      <c r="P87" s="768"/>
      <c r="Q87" s="768"/>
      <c r="R87" s="768"/>
      <c r="S87" s="768"/>
      <c r="T87" s="768"/>
      <c r="U87" s="768"/>
      <c r="V87" s="1290"/>
      <c r="W87" s="1289"/>
      <c r="X87" s="768"/>
      <c r="Y87" s="768"/>
      <c r="Z87" s="768"/>
      <c r="AA87" s="768"/>
      <c r="AB87" s="768"/>
      <c r="AC87" s="768"/>
      <c r="AD87" s="768"/>
      <c r="AE87" s="768"/>
      <c r="AF87" s="1290"/>
      <c r="AJ87" s="1289"/>
      <c r="AK87" s="768"/>
      <c r="AL87" s="768"/>
      <c r="AM87" s="768"/>
      <c r="AN87" s="768"/>
      <c r="AO87" s="768"/>
      <c r="AP87" s="768"/>
      <c r="AQ87" s="768"/>
      <c r="AR87" s="768"/>
      <c r="AS87" s="1290"/>
      <c r="AT87" s="1289"/>
      <c r="AU87" s="768"/>
      <c r="AV87" s="768"/>
      <c r="AW87" s="768"/>
      <c r="AX87" s="768"/>
      <c r="AY87" s="768"/>
      <c r="AZ87" s="768"/>
      <c r="BA87" s="768"/>
      <c r="BB87" s="768"/>
      <c r="BC87" s="1290"/>
      <c r="BD87" s="1289"/>
      <c r="BE87" s="768"/>
      <c r="BF87" s="768"/>
      <c r="BG87" s="768"/>
      <c r="BH87" s="768"/>
      <c r="BI87" s="768"/>
      <c r="BJ87" s="768"/>
      <c r="BK87" s="768"/>
      <c r="BL87" s="768"/>
      <c r="BM87" s="1290"/>
      <c r="BQ87" s="1289"/>
      <c r="BR87" s="768"/>
      <c r="BS87" s="768"/>
      <c r="BT87" s="768"/>
      <c r="BU87" s="768"/>
      <c r="BV87" s="768"/>
      <c r="BW87" s="768"/>
      <c r="BX87" s="768"/>
      <c r="BY87" s="768"/>
      <c r="BZ87" s="1290"/>
      <c r="CA87" s="1289"/>
      <c r="CB87" s="768"/>
      <c r="CC87" s="768"/>
      <c r="CD87" s="768"/>
      <c r="CE87" s="768"/>
      <c r="CF87" s="768"/>
      <c r="CG87" s="768"/>
      <c r="CH87" s="768"/>
      <c r="CI87" s="768"/>
      <c r="CJ87" s="1290"/>
      <c r="CK87" s="1289"/>
      <c r="CL87" s="768"/>
      <c r="CM87" s="768"/>
      <c r="CN87" s="768"/>
      <c r="CO87" s="768"/>
      <c r="CP87" s="768"/>
      <c r="CQ87" s="768"/>
      <c r="CR87" s="768"/>
      <c r="CS87" s="768"/>
      <c r="CT87" s="1290"/>
    </row>
    <row r="88" spans="3:98">
      <c r="C88" s="1289"/>
      <c r="D88" s="768"/>
      <c r="E88" s="768"/>
      <c r="F88" s="768"/>
      <c r="G88" s="768"/>
      <c r="H88" s="768"/>
      <c r="I88" s="768"/>
      <c r="J88" s="768"/>
      <c r="K88" s="768"/>
      <c r="L88" s="1290"/>
      <c r="M88" s="1289"/>
      <c r="N88" s="768"/>
      <c r="O88" s="768"/>
      <c r="P88" s="768"/>
      <c r="Q88" s="768"/>
      <c r="R88" s="768"/>
      <c r="S88" s="768"/>
      <c r="T88" s="768"/>
      <c r="U88" s="768"/>
      <c r="V88" s="1290"/>
      <c r="W88" s="1289"/>
      <c r="X88" s="768"/>
      <c r="Y88" s="768"/>
      <c r="Z88" s="768"/>
      <c r="AA88" s="768"/>
      <c r="AB88" s="768"/>
      <c r="AC88" s="768"/>
      <c r="AD88" s="768"/>
      <c r="AE88" s="768"/>
      <c r="AF88" s="1290"/>
      <c r="AJ88" s="1289"/>
      <c r="AK88" s="768"/>
      <c r="AL88" s="768"/>
      <c r="AM88" s="768"/>
      <c r="AN88" s="768"/>
      <c r="AO88" s="768"/>
      <c r="AP88" s="768"/>
      <c r="AQ88" s="768"/>
      <c r="AR88" s="768"/>
      <c r="AS88" s="1290"/>
      <c r="AT88" s="1289"/>
      <c r="AU88" s="768"/>
      <c r="AV88" s="768"/>
      <c r="AW88" s="768"/>
      <c r="AX88" s="768"/>
      <c r="AY88" s="768"/>
      <c r="AZ88" s="768"/>
      <c r="BA88" s="768"/>
      <c r="BB88" s="768"/>
      <c r="BC88" s="1290"/>
      <c r="BD88" s="1289"/>
      <c r="BE88" s="768"/>
      <c r="BF88" s="768"/>
      <c r="BG88" s="768"/>
      <c r="BH88" s="768"/>
      <c r="BI88" s="768"/>
      <c r="BJ88" s="768"/>
      <c r="BK88" s="768"/>
      <c r="BL88" s="768"/>
      <c r="BM88" s="1290"/>
      <c r="BQ88" s="1289"/>
      <c r="BR88" s="768"/>
      <c r="BS88" s="768"/>
      <c r="BT88" s="768"/>
      <c r="BU88" s="768"/>
      <c r="BV88" s="768"/>
      <c r="BW88" s="768"/>
      <c r="BX88" s="768"/>
      <c r="BY88" s="768"/>
      <c r="BZ88" s="1290"/>
      <c r="CA88" s="1289"/>
      <c r="CB88" s="768"/>
      <c r="CC88" s="768"/>
      <c r="CD88" s="768"/>
      <c r="CE88" s="768"/>
      <c r="CF88" s="768"/>
      <c r="CG88" s="768"/>
      <c r="CH88" s="768"/>
      <c r="CI88" s="768"/>
      <c r="CJ88" s="1290"/>
      <c r="CK88" s="1289"/>
      <c r="CL88" s="768"/>
      <c r="CM88" s="768"/>
      <c r="CN88" s="768"/>
      <c r="CO88" s="768"/>
      <c r="CP88" s="768"/>
      <c r="CQ88" s="768"/>
      <c r="CR88" s="768"/>
      <c r="CS88" s="768"/>
      <c r="CT88" s="1290"/>
    </row>
    <row r="89" spans="3:98">
      <c r="C89" s="1289"/>
      <c r="D89" s="768"/>
      <c r="E89" s="768"/>
      <c r="F89" s="768"/>
      <c r="G89" s="768"/>
      <c r="H89" s="768"/>
      <c r="I89" s="768"/>
      <c r="J89" s="768"/>
      <c r="K89" s="768"/>
      <c r="L89" s="1290"/>
      <c r="M89" s="1289"/>
      <c r="N89" s="768"/>
      <c r="O89" s="768"/>
      <c r="P89" s="768"/>
      <c r="Q89" s="768"/>
      <c r="R89" s="768"/>
      <c r="S89" s="768"/>
      <c r="T89" s="768"/>
      <c r="U89" s="768"/>
      <c r="V89" s="1290"/>
      <c r="W89" s="1289"/>
      <c r="X89" s="768"/>
      <c r="Y89" s="768"/>
      <c r="Z89" s="768"/>
      <c r="AA89" s="768"/>
      <c r="AB89" s="768"/>
      <c r="AC89" s="768"/>
      <c r="AD89" s="768"/>
      <c r="AE89" s="768"/>
      <c r="AF89" s="1290"/>
      <c r="AJ89" s="1289"/>
      <c r="AK89" s="768"/>
      <c r="AL89" s="768"/>
      <c r="AM89" s="768"/>
      <c r="AN89" s="768"/>
      <c r="AO89" s="768"/>
      <c r="AP89" s="768"/>
      <c r="AQ89" s="768"/>
      <c r="AR89" s="768"/>
      <c r="AS89" s="1290"/>
      <c r="AT89" s="1289"/>
      <c r="AU89" s="768"/>
      <c r="AV89" s="768"/>
      <c r="AW89" s="768"/>
      <c r="AX89" s="768"/>
      <c r="AY89" s="768"/>
      <c r="AZ89" s="768"/>
      <c r="BA89" s="768"/>
      <c r="BB89" s="768"/>
      <c r="BC89" s="1290"/>
      <c r="BD89" s="1289"/>
      <c r="BE89" s="768"/>
      <c r="BF89" s="768"/>
      <c r="BG89" s="768"/>
      <c r="BH89" s="768"/>
      <c r="BI89" s="768"/>
      <c r="BJ89" s="768"/>
      <c r="BK89" s="768"/>
      <c r="BL89" s="768"/>
      <c r="BM89" s="1290"/>
      <c r="BQ89" s="1289"/>
      <c r="BR89" s="768"/>
      <c r="BS89" s="768"/>
      <c r="BT89" s="768"/>
      <c r="BU89" s="768"/>
      <c r="BV89" s="768"/>
      <c r="BW89" s="768"/>
      <c r="BX89" s="768"/>
      <c r="BY89" s="768"/>
      <c r="BZ89" s="1290"/>
      <c r="CA89" s="1289"/>
      <c r="CB89" s="768"/>
      <c r="CC89" s="768"/>
      <c r="CD89" s="768"/>
      <c r="CE89" s="768"/>
      <c r="CF89" s="768"/>
      <c r="CG89" s="768"/>
      <c r="CH89" s="768"/>
      <c r="CI89" s="768"/>
      <c r="CJ89" s="1290"/>
      <c r="CK89" s="1289"/>
      <c r="CL89" s="768"/>
      <c r="CM89" s="768"/>
      <c r="CN89" s="768"/>
      <c r="CO89" s="768"/>
      <c r="CP89" s="768"/>
      <c r="CQ89" s="768"/>
      <c r="CR89" s="768"/>
      <c r="CS89" s="768"/>
      <c r="CT89" s="1290"/>
    </row>
    <row r="90" spans="3:98">
      <c r="C90" s="1289"/>
      <c r="D90" s="768"/>
      <c r="E90" s="768"/>
      <c r="F90" s="768"/>
      <c r="G90" s="768"/>
      <c r="H90" s="768"/>
      <c r="I90" s="768"/>
      <c r="J90" s="768"/>
      <c r="K90" s="768"/>
      <c r="L90" s="1290"/>
      <c r="M90" s="1289"/>
      <c r="N90" s="768"/>
      <c r="O90" s="768"/>
      <c r="P90" s="768"/>
      <c r="Q90" s="768"/>
      <c r="R90" s="768"/>
      <c r="S90" s="768"/>
      <c r="T90" s="768"/>
      <c r="U90" s="768"/>
      <c r="V90" s="1290"/>
      <c r="W90" s="1289"/>
      <c r="X90" s="768"/>
      <c r="Y90" s="768"/>
      <c r="Z90" s="768"/>
      <c r="AA90" s="768"/>
      <c r="AB90" s="768"/>
      <c r="AC90" s="768"/>
      <c r="AD90" s="768"/>
      <c r="AE90" s="768"/>
      <c r="AF90" s="1290"/>
      <c r="AJ90" s="1289"/>
      <c r="AK90" s="768"/>
      <c r="AL90" s="768"/>
      <c r="AM90" s="768"/>
      <c r="AN90" s="768"/>
      <c r="AO90" s="768"/>
      <c r="AP90" s="768"/>
      <c r="AQ90" s="768"/>
      <c r="AR90" s="768"/>
      <c r="AS90" s="1290"/>
      <c r="AT90" s="1289"/>
      <c r="AU90" s="768"/>
      <c r="AV90" s="768"/>
      <c r="AW90" s="768"/>
      <c r="AX90" s="768"/>
      <c r="AY90" s="768"/>
      <c r="AZ90" s="768"/>
      <c r="BA90" s="768"/>
      <c r="BB90" s="768"/>
      <c r="BC90" s="1290"/>
      <c r="BD90" s="1289"/>
      <c r="BE90" s="768"/>
      <c r="BF90" s="768"/>
      <c r="BG90" s="768"/>
      <c r="BH90" s="768"/>
      <c r="BI90" s="768"/>
      <c r="BJ90" s="768"/>
      <c r="BK90" s="768"/>
      <c r="BL90" s="768"/>
      <c r="BM90" s="1290"/>
      <c r="BQ90" s="1289"/>
      <c r="BR90" s="768"/>
      <c r="BS90" s="768"/>
      <c r="BT90" s="768"/>
      <c r="BU90" s="768"/>
      <c r="BV90" s="768"/>
      <c r="BW90" s="768"/>
      <c r="BX90" s="768"/>
      <c r="BY90" s="768"/>
      <c r="BZ90" s="1290"/>
      <c r="CA90" s="1289"/>
      <c r="CB90" s="768"/>
      <c r="CC90" s="768"/>
      <c r="CD90" s="768"/>
      <c r="CE90" s="768"/>
      <c r="CF90" s="768"/>
      <c r="CG90" s="768"/>
      <c r="CH90" s="768"/>
      <c r="CI90" s="768"/>
      <c r="CJ90" s="1290"/>
      <c r="CK90" s="1289"/>
      <c r="CL90" s="768"/>
      <c r="CM90" s="768"/>
      <c r="CN90" s="768"/>
      <c r="CO90" s="768"/>
      <c r="CP90" s="768"/>
      <c r="CQ90" s="768"/>
      <c r="CR90" s="768"/>
      <c r="CS90" s="768"/>
      <c r="CT90" s="1290"/>
    </row>
    <row r="91" spans="3:98">
      <c r="C91" s="1289"/>
      <c r="D91" s="768"/>
      <c r="E91" s="768"/>
      <c r="F91" s="768"/>
      <c r="G91" s="768"/>
      <c r="H91" s="768"/>
      <c r="I91" s="768"/>
      <c r="J91" s="768"/>
      <c r="K91" s="768"/>
      <c r="L91" s="1290"/>
      <c r="M91" s="1289"/>
      <c r="N91" s="768"/>
      <c r="O91" s="768"/>
      <c r="P91" s="768"/>
      <c r="Q91" s="768"/>
      <c r="R91" s="768"/>
      <c r="S91" s="768"/>
      <c r="T91" s="768"/>
      <c r="U91" s="768"/>
      <c r="V91" s="1290"/>
      <c r="W91" s="1289"/>
      <c r="X91" s="768"/>
      <c r="Y91" s="768"/>
      <c r="Z91" s="768"/>
      <c r="AA91" s="768"/>
      <c r="AB91" s="768"/>
      <c r="AC91" s="768"/>
      <c r="AD91" s="768"/>
      <c r="AE91" s="768"/>
      <c r="AF91" s="1290"/>
      <c r="AJ91" s="1289"/>
      <c r="AK91" s="768"/>
      <c r="AL91" s="768"/>
      <c r="AM91" s="768"/>
      <c r="AN91" s="768"/>
      <c r="AO91" s="768"/>
      <c r="AP91" s="768"/>
      <c r="AQ91" s="768"/>
      <c r="AR91" s="768"/>
      <c r="AS91" s="1290"/>
      <c r="AT91" s="1289"/>
      <c r="AU91" s="768"/>
      <c r="AV91" s="768"/>
      <c r="AW91" s="768"/>
      <c r="AX91" s="768"/>
      <c r="AY91" s="768"/>
      <c r="AZ91" s="768"/>
      <c r="BA91" s="768"/>
      <c r="BB91" s="768"/>
      <c r="BC91" s="1290"/>
      <c r="BD91" s="1289"/>
      <c r="BE91" s="768"/>
      <c r="BF91" s="768"/>
      <c r="BG91" s="768"/>
      <c r="BH91" s="768"/>
      <c r="BI91" s="768"/>
      <c r="BJ91" s="768"/>
      <c r="BK91" s="768"/>
      <c r="BL91" s="768"/>
      <c r="BM91" s="1290"/>
      <c r="BQ91" s="1289"/>
      <c r="BR91" s="768"/>
      <c r="BS91" s="768"/>
      <c r="BT91" s="768"/>
      <c r="BU91" s="768"/>
      <c r="BV91" s="768"/>
      <c r="BW91" s="768"/>
      <c r="BX91" s="768"/>
      <c r="BY91" s="768"/>
      <c r="BZ91" s="1290"/>
      <c r="CA91" s="1289"/>
      <c r="CB91" s="768"/>
      <c r="CC91" s="768"/>
      <c r="CD91" s="768"/>
      <c r="CE91" s="768"/>
      <c r="CF91" s="768"/>
      <c r="CG91" s="768"/>
      <c r="CH91" s="768"/>
      <c r="CI91" s="768"/>
      <c r="CJ91" s="1290"/>
      <c r="CK91" s="1289"/>
      <c r="CL91" s="768"/>
      <c r="CM91" s="768"/>
      <c r="CN91" s="768"/>
      <c r="CO91" s="768"/>
      <c r="CP91" s="768"/>
      <c r="CQ91" s="768"/>
      <c r="CR91" s="768"/>
      <c r="CS91" s="768"/>
      <c r="CT91" s="1290"/>
    </row>
    <row r="92" spans="3:98">
      <c r="C92" s="1289"/>
      <c r="D92" s="768"/>
      <c r="E92" s="768"/>
      <c r="F92" s="768"/>
      <c r="G92" s="768"/>
      <c r="H92" s="768"/>
      <c r="I92" s="768"/>
      <c r="J92" s="768"/>
      <c r="K92" s="768"/>
      <c r="L92" s="1290"/>
      <c r="M92" s="1289"/>
      <c r="N92" s="768"/>
      <c r="O92" s="768"/>
      <c r="P92" s="768"/>
      <c r="Q92" s="768"/>
      <c r="R92" s="768"/>
      <c r="S92" s="768"/>
      <c r="T92" s="768"/>
      <c r="U92" s="768"/>
      <c r="V92" s="1290"/>
      <c r="W92" s="1289"/>
      <c r="X92" s="768"/>
      <c r="Y92" s="768"/>
      <c r="Z92" s="768"/>
      <c r="AA92" s="768"/>
      <c r="AB92" s="768"/>
      <c r="AC92" s="768"/>
      <c r="AD92" s="768"/>
      <c r="AE92" s="768"/>
      <c r="AF92" s="1290"/>
      <c r="AJ92" s="1289"/>
      <c r="AK92" s="768"/>
      <c r="AL92" s="768"/>
      <c r="AM92" s="768"/>
      <c r="AN92" s="768"/>
      <c r="AO92" s="768"/>
      <c r="AP92" s="768"/>
      <c r="AQ92" s="768"/>
      <c r="AR92" s="768"/>
      <c r="AS92" s="1290"/>
      <c r="AT92" s="1289"/>
      <c r="AU92" s="768"/>
      <c r="AV92" s="768"/>
      <c r="AW92" s="768"/>
      <c r="AX92" s="768"/>
      <c r="AY92" s="768"/>
      <c r="AZ92" s="768"/>
      <c r="BA92" s="768"/>
      <c r="BB92" s="768"/>
      <c r="BC92" s="1290"/>
      <c r="BD92" s="1289"/>
      <c r="BE92" s="768"/>
      <c r="BF92" s="768"/>
      <c r="BG92" s="768"/>
      <c r="BH92" s="768"/>
      <c r="BI92" s="768"/>
      <c r="BJ92" s="768"/>
      <c r="BK92" s="768"/>
      <c r="BL92" s="768"/>
      <c r="BM92" s="1290"/>
      <c r="BQ92" s="1289"/>
      <c r="BR92" s="768"/>
      <c r="BS92" s="768"/>
      <c r="BT92" s="768"/>
      <c r="BU92" s="768"/>
      <c r="BV92" s="768"/>
      <c r="BW92" s="768"/>
      <c r="BX92" s="768"/>
      <c r="BY92" s="768"/>
      <c r="BZ92" s="1290"/>
      <c r="CA92" s="1289"/>
      <c r="CB92" s="768"/>
      <c r="CC92" s="768"/>
      <c r="CD92" s="768"/>
      <c r="CE92" s="768"/>
      <c r="CF92" s="768"/>
      <c r="CG92" s="768"/>
      <c r="CH92" s="768"/>
      <c r="CI92" s="768"/>
      <c r="CJ92" s="1290"/>
      <c r="CK92" s="1289"/>
      <c r="CL92" s="768"/>
      <c r="CM92" s="768"/>
      <c r="CN92" s="768"/>
      <c r="CO92" s="768"/>
      <c r="CP92" s="768"/>
      <c r="CQ92" s="768"/>
      <c r="CR92" s="768"/>
      <c r="CS92" s="768"/>
      <c r="CT92" s="1290"/>
    </row>
    <row r="93" spans="3:98" ht="14.25" thickBot="1">
      <c r="C93" s="1291"/>
      <c r="D93" s="1292"/>
      <c r="E93" s="1292"/>
      <c r="F93" s="1292"/>
      <c r="G93" s="1292"/>
      <c r="H93" s="1292"/>
      <c r="I93" s="1292"/>
      <c r="J93" s="1292"/>
      <c r="K93" s="1292"/>
      <c r="L93" s="1293"/>
      <c r="M93" s="1291"/>
      <c r="N93" s="1292"/>
      <c r="O93" s="1292"/>
      <c r="P93" s="1292"/>
      <c r="Q93" s="1292"/>
      <c r="R93" s="1292"/>
      <c r="S93" s="1292"/>
      <c r="T93" s="1292"/>
      <c r="U93" s="1292"/>
      <c r="V93" s="1293"/>
      <c r="W93" s="1291"/>
      <c r="X93" s="1292"/>
      <c r="Y93" s="1292"/>
      <c r="Z93" s="1292"/>
      <c r="AA93" s="1292"/>
      <c r="AB93" s="1292"/>
      <c r="AC93" s="1292"/>
      <c r="AD93" s="1292"/>
      <c r="AE93" s="1292"/>
      <c r="AF93" s="1293"/>
      <c r="AJ93" s="1291"/>
      <c r="AK93" s="1292"/>
      <c r="AL93" s="1292"/>
      <c r="AM93" s="1292"/>
      <c r="AN93" s="1292"/>
      <c r="AO93" s="1292"/>
      <c r="AP93" s="1292"/>
      <c r="AQ93" s="1292"/>
      <c r="AR93" s="1292"/>
      <c r="AS93" s="1293"/>
      <c r="AT93" s="1291"/>
      <c r="AU93" s="1292"/>
      <c r="AV93" s="1292"/>
      <c r="AW93" s="1292"/>
      <c r="AX93" s="1292"/>
      <c r="AY93" s="1292"/>
      <c r="AZ93" s="1292"/>
      <c r="BA93" s="1292"/>
      <c r="BB93" s="1292"/>
      <c r="BC93" s="1293"/>
      <c r="BD93" s="1291"/>
      <c r="BE93" s="1292"/>
      <c r="BF93" s="1292"/>
      <c r="BG93" s="1292"/>
      <c r="BH93" s="1292"/>
      <c r="BI93" s="1292"/>
      <c r="BJ93" s="1292"/>
      <c r="BK93" s="1292"/>
      <c r="BL93" s="1292"/>
      <c r="BM93" s="1293"/>
      <c r="BQ93" s="1291"/>
      <c r="BR93" s="1292"/>
      <c r="BS93" s="1292"/>
      <c r="BT93" s="1292"/>
      <c r="BU93" s="1292"/>
      <c r="BV93" s="1292"/>
      <c r="BW93" s="1292"/>
      <c r="BX93" s="1292"/>
      <c r="BY93" s="1292"/>
      <c r="BZ93" s="1293"/>
      <c r="CA93" s="1291"/>
      <c r="CB93" s="1292"/>
      <c r="CC93" s="1292"/>
      <c r="CD93" s="1292"/>
      <c r="CE93" s="1292"/>
      <c r="CF93" s="1292"/>
      <c r="CG93" s="1292"/>
      <c r="CH93" s="1292"/>
      <c r="CI93" s="1292"/>
      <c r="CJ93" s="1293"/>
      <c r="CK93" s="1291"/>
      <c r="CL93" s="1292"/>
      <c r="CM93" s="1292"/>
      <c r="CN93" s="1292"/>
      <c r="CO93" s="1292"/>
      <c r="CP93" s="1292"/>
      <c r="CQ93" s="1292"/>
      <c r="CR93" s="1292"/>
      <c r="CS93" s="1292"/>
      <c r="CT93" s="1293"/>
    </row>
    <row r="94" spans="3:98">
      <c r="C94" s="1283"/>
      <c r="D94" s="1284"/>
      <c r="E94" s="1284"/>
      <c r="F94" s="1284"/>
      <c r="G94" s="1284"/>
      <c r="H94" s="1284"/>
      <c r="I94" s="1284"/>
      <c r="J94" s="1284"/>
      <c r="K94" s="1284"/>
      <c r="L94" s="1285"/>
      <c r="M94" s="1283"/>
      <c r="N94" s="1284"/>
      <c r="O94" s="1284"/>
      <c r="P94" s="1284"/>
      <c r="Q94" s="1284"/>
      <c r="R94" s="1284"/>
      <c r="S94" s="1284"/>
      <c r="T94" s="1284"/>
      <c r="U94" s="1284"/>
      <c r="V94" s="1294"/>
      <c r="W94" s="1295"/>
      <c r="X94" s="1284"/>
      <c r="Y94" s="1284"/>
      <c r="Z94" s="1284"/>
      <c r="AA94" s="1284"/>
      <c r="AB94" s="1284"/>
      <c r="AC94" s="1284"/>
      <c r="AD94" s="1284"/>
      <c r="AE94" s="1284"/>
      <c r="AF94" s="1294"/>
      <c r="AJ94" s="1283"/>
      <c r="AK94" s="1284"/>
      <c r="AL94" s="1284"/>
      <c r="AM94" s="1284"/>
      <c r="AN94" s="1284"/>
      <c r="AO94" s="1284"/>
      <c r="AP94" s="1284"/>
      <c r="AQ94" s="1284"/>
      <c r="AR94" s="1284"/>
      <c r="AS94" s="1285"/>
      <c r="AT94" s="1283"/>
      <c r="AU94" s="1284"/>
      <c r="AV94" s="1284"/>
      <c r="AW94" s="1284"/>
      <c r="AX94" s="1284"/>
      <c r="AY94" s="1284"/>
      <c r="AZ94" s="1284"/>
      <c r="BA94" s="1284"/>
      <c r="BB94" s="1284"/>
      <c r="BC94" s="1294"/>
      <c r="BD94" s="1295"/>
      <c r="BE94" s="1284"/>
      <c r="BF94" s="1284"/>
      <c r="BG94" s="1284"/>
      <c r="BH94" s="1284"/>
      <c r="BI94" s="1284"/>
      <c r="BJ94" s="1284"/>
      <c r="BK94" s="1284"/>
      <c r="BL94" s="1284"/>
      <c r="BM94" s="1294"/>
      <c r="BQ94" s="1283"/>
      <c r="BR94" s="1284"/>
      <c r="BS94" s="1284"/>
      <c r="BT94" s="1284"/>
      <c r="BU94" s="1284"/>
      <c r="BV94" s="1284"/>
      <c r="BW94" s="1284"/>
      <c r="BX94" s="1284"/>
      <c r="BY94" s="1284"/>
      <c r="BZ94" s="1285"/>
      <c r="CA94" s="1283"/>
      <c r="CB94" s="1284"/>
      <c r="CC94" s="1284"/>
      <c r="CD94" s="1284"/>
      <c r="CE94" s="1284"/>
      <c r="CF94" s="1284"/>
      <c r="CG94" s="1284"/>
      <c r="CH94" s="1284"/>
      <c r="CI94" s="1284"/>
      <c r="CJ94" s="1294"/>
      <c r="CK94" s="1295"/>
      <c r="CL94" s="1284"/>
      <c r="CM94" s="1284"/>
      <c r="CN94" s="1284"/>
      <c r="CO94" s="1284"/>
      <c r="CP94" s="1284"/>
      <c r="CQ94" s="1284"/>
      <c r="CR94" s="1284"/>
      <c r="CS94" s="1284"/>
      <c r="CT94" s="1294"/>
    </row>
    <row r="95" spans="3:98">
      <c r="C95" s="1286"/>
      <c r="D95" s="1287"/>
      <c r="E95" s="1287"/>
      <c r="F95" s="1287"/>
      <c r="G95" s="1287"/>
      <c r="H95" s="1287"/>
      <c r="I95" s="1287"/>
      <c r="J95" s="1287"/>
      <c r="K95" s="1287"/>
      <c r="L95" s="1288"/>
      <c r="M95" s="1286"/>
      <c r="N95" s="1287"/>
      <c r="O95" s="1287"/>
      <c r="P95" s="1287"/>
      <c r="Q95" s="1287"/>
      <c r="R95" s="1287"/>
      <c r="S95" s="1287"/>
      <c r="T95" s="1287"/>
      <c r="U95" s="1287"/>
      <c r="V95" s="1288"/>
      <c r="W95" s="1286"/>
      <c r="X95" s="1287"/>
      <c r="Y95" s="1287"/>
      <c r="Z95" s="1287"/>
      <c r="AA95" s="1287"/>
      <c r="AB95" s="1287"/>
      <c r="AC95" s="1287"/>
      <c r="AD95" s="1287"/>
      <c r="AE95" s="1287"/>
      <c r="AF95" s="1288"/>
      <c r="AJ95" s="1286"/>
      <c r="AK95" s="1287"/>
      <c r="AL95" s="1287"/>
      <c r="AM95" s="1287"/>
      <c r="AN95" s="1287"/>
      <c r="AO95" s="1287"/>
      <c r="AP95" s="1287"/>
      <c r="AQ95" s="1287"/>
      <c r="AR95" s="1287"/>
      <c r="AS95" s="1288"/>
      <c r="AT95" s="1286"/>
      <c r="AU95" s="1287"/>
      <c r="AV95" s="1287"/>
      <c r="AW95" s="1287"/>
      <c r="AX95" s="1287"/>
      <c r="AY95" s="1287"/>
      <c r="AZ95" s="1287"/>
      <c r="BA95" s="1287"/>
      <c r="BB95" s="1287"/>
      <c r="BC95" s="1288"/>
      <c r="BD95" s="1286"/>
      <c r="BE95" s="1287"/>
      <c r="BF95" s="1287"/>
      <c r="BG95" s="1287"/>
      <c r="BH95" s="1287"/>
      <c r="BI95" s="1287"/>
      <c r="BJ95" s="1287"/>
      <c r="BK95" s="1287"/>
      <c r="BL95" s="1287"/>
      <c r="BM95" s="1288"/>
      <c r="BQ95" s="1286"/>
      <c r="BR95" s="1287"/>
      <c r="BS95" s="1287"/>
      <c r="BT95" s="1287"/>
      <c r="BU95" s="1287"/>
      <c r="BV95" s="1287"/>
      <c r="BW95" s="1287"/>
      <c r="BX95" s="1287"/>
      <c r="BY95" s="1287"/>
      <c r="BZ95" s="1288"/>
      <c r="CA95" s="1286"/>
      <c r="CB95" s="1287"/>
      <c r="CC95" s="1287"/>
      <c r="CD95" s="1287"/>
      <c r="CE95" s="1287"/>
      <c r="CF95" s="1287"/>
      <c r="CG95" s="1287"/>
      <c r="CH95" s="1287"/>
      <c r="CI95" s="1287"/>
      <c r="CJ95" s="1288"/>
      <c r="CK95" s="1286"/>
      <c r="CL95" s="1287"/>
      <c r="CM95" s="1287"/>
      <c r="CN95" s="1287"/>
      <c r="CO95" s="1287"/>
      <c r="CP95" s="1287"/>
      <c r="CQ95" s="1287"/>
      <c r="CR95" s="1287"/>
      <c r="CS95" s="1287"/>
      <c r="CT95" s="1288"/>
    </row>
    <row r="96" spans="3:98">
      <c r="C96" s="1289"/>
      <c r="D96" s="768"/>
      <c r="E96" s="768"/>
      <c r="F96" s="768"/>
      <c r="G96" s="768"/>
      <c r="H96" s="768"/>
      <c r="I96" s="768"/>
      <c r="J96" s="768"/>
      <c r="K96" s="768"/>
      <c r="L96" s="1290"/>
      <c r="M96" s="1289"/>
      <c r="N96" s="768"/>
      <c r="O96" s="768"/>
      <c r="P96" s="768"/>
      <c r="Q96" s="768"/>
      <c r="R96" s="768"/>
      <c r="S96" s="768"/>
      <c r="T96" s="768"/>
      <c r="U96" s="768"/>
      <c r="V96" s="1290"/>
      <c r="W96" s="1289"/>
      <c r="X96" s="768"/>
      <c r="Y96" s="768"/>
      <c r="Z96" s="768"/>
      <c r="AA96" s="768"/>
      <c r="AB96" s="768"/>
      <c r="AC96" s="768"/>
      <c r="AD96" s="768"/>
      <c r="AE96" s="768"/>
      <c r="AF96" s="1290"/>
      <c r="AJ96" s="1289"/>
      <c r="AK96" s="768"/>
      <c r="AL96" s="768"/>
      <c r="AM96" s="768"/>
      <c r="AN96" s="768"/>
      <c r="AO96" s="768"/>
      <c r="AP96" s="768"/>
      <c r="AQ96" s="768"/>
      <c r="AR96" s="768"/>
      <c r="AS96" s="1290"/>
      <c r="AT96" s="1289"/>
      <c r="AU96" s="768"/>
      <c r="AV96" s="768"/>
      <c r="AW96" s="768"/>
      <c r="AX96" s="768"/>
      <c r="AY96" s="768"/>
      <c r="AZ96" s="768"/>
      <c r="BA96" s="768"/>
      <c r="BB96" s="768"/>
      <c r="BC96" s="1290"/>
      <c r="BD96" s="1289"/>
      <c r="BE96" s="768"/>
      <c r="BF96" s="768"/>
      <c r="BG96" s="768"/>
      <c r="BH96" s="768"/>
      <c r="BI96" s="768"/>
      <c r="BJ96" s="768"/>
      <c r="BK96" s="768"/>
      <c r="BL96" s="768"/>
      <c r="BM96" s="1290"/>
      <c r="BQ96" s="1289"/>
      <c r="BR96" s="768"/>
      <c r="BS96" s="768"/>
      <c r="BT96" s="768"/>
      <c r="BU96" s="768"/>
      <c r="BV96" s="768"/>
      <c r="BW96" s="768"/>
      <c r="BX96" s="768"/>
      <c r="BY96" s="768"/>
      <c r="BZ96" s="1290"/>
      <c r="CA96" s="1289"/>
      <c r="CB96" s="768"/>
      <c r="CC96" s="768"/>
      <c r="CD96" s="768"/>
      <c r="CE96" s="768"/>
      <c r="CF96" s="768"/>
      <c r="CG96" s="768"/>
      <c r="CH96" s="768"/>
      <c r="CI96" s="768"/>
      <c r="CJ96" s="1290"/>
      <c r="CK96" s="1289"/>
      <c r="CL96" s="768"/>
      <c r="CM96" s="768"/>
      <c r="CN96" s="768"/>
      <c r="CO96" s="768"/>
      <c r="CP96" s="768"/>
      <c r="CQ96" s="768"/>
      <c r="CR96" s="768"/>
      <c r="CS96" s="768"/>
      <c r="CT96" s="1290"/>
    </row>
    <row r="97" spans="3:98">
      <c r="C97" s="1289"/>
      <c r="D97" s="768"/>
      <c r="E97" s="768"/>
      <c r="F97" s="768"/>
      <c r="G97" s="768"/>
      <c r="H97" s="768"/>
      <c r="I97" s="768"/>
      <c r="J97" s="768"/>
      <c r="K97" s="768"/>
      <c r="L97" s="1290"/>
      <c r="M97" s="1289"/>
      <c r="N97" s="768"/>
      <c r="O97" s="768"/>
      <c r="P97" s="768"/>
      <c r="Q97" s="768"/>
      <c r="R97" s="768"/>
      <c r="S97" s="768"/>
      <c r="T97" s="768"/>
      <c r="U97" s="768"/>
      <c r="V97" s="1290"/>
      <c r="W97" s="1289"/>
      <c r="X97" s="768"/>
      <c r="Y97" s="768"/>
      <c r="Z97" s="768"/>
      <c r="AA97" s="768"/>
      <c r="AB97" s="768"/>
      <c r="AC97" s="768"/>
      <c r="AD97" s="768"/>
      <c r="AE97" s="768"/>
      <c r="AF97" s="1290"/>
      <c r="AJ97" s="1289"/>
      <c r="AK97" s="768"/>
      <c r="AL97" s="768"/>
      <c r="AM97" s="768"/>
      <c r="AN97" s="768"/>
      <c r="AO97" s="768"/>
      <c r="AP97" s="768"/>
      <c r="AQ97" s="768"/>
      <c r="AR97" s="768"/>
      <c r="AS97" s="1290"/>
      <c r="AT97" s="1289"/>
      <c r="AU97" s="768"/>
      <c r="AV97" s="768"/>
      <c r="AW97" s="768"/>
      <c r="AX97" s="768"/>
      <c r="AY97" s="768"/>
      <c r="AZ97" s="768"/>
      <c r="BA97" s="768"/>
      <c r="BB97" s="768"/>
      <c r="BC97" s="1290"/>
      <c r="BD97" s="1289"/>
      <c r="BE97" s="768"/>
      <c r="BF97" s="768"/>
      <c r="BG97" s="768"/>
      <c r="BH97" s="768"/>
      <c r="BI97" s="768"/>
      <c r="BJ97" s="768"/>
      <c r="BK97" s="768"/>
      <c r="BL97" s="768"/>
      <c r="BM97" s="1290"/>
      <c r="BQ97" s="1289"/>
      <c r="BR97" s="768"/>
      <c r="BS97" s="768"/>
      <c r="BT97" s="768"/>
      <c r="BU97" s="768"/>
      <c r="BV97" s="768"/>
      <c r="BW97" s="768"/>
      <c r="BX97" s="768"/>
      <c r="BY97" s="768"/>
      <c r="BZ97" s="1290"/>
      <c r="CA97" s="1289"/>
      <c r="CB97" s="768"/>
      <c r="CC97" s="768"/>
      <c r="CD97" s="768"/>
      <c r="CE97" s="768"/>
      <c r="CF97" s="768"/>
      <c r="CG97" s="768"/>
      <c r="CH97" s="768"/>
      <c r="CI97" s="768"/>
      <c r="CJ97" s="1290"/>
      <c r="CK97" s="1289"/>
      <c r="CL97" s="768"/>
      <c r="CM97" s="768"/>
      <c r="CN97" s="768"/>
      <c r="CO97" s="768"/>
      <c r="CP97" s="768"/>
      <c r="CQ97" s="768"/>
      <c r="CR97" s="768"/>
      <c r="CS97" s="768"/>
      <c r="CT97" s="1290"/>
    </row>
    <row r="98" spans="3:98">
      <c r="C98" s="1289"/>
      <c r="D98" s="768"/>
      <c r="E98" s="768"/>
      <c r="F98" s="768"/>
      <c r="G98" s="768"/>
      <c r="H98" s="768"/>
      <c r="I98" s="768"/>
      <c r="J98" s="768"/>
      <c r="K98" s="768"/>
      <c r="L98" s="1290"/>
      <c r="M98" s="1289"/>
      <c r="N98" s="768"/>
      <c r="O98" s="768"/>
      <c r="P98" s="768"/>
      <c r="Q98" s="768"/>
      <c r="R98" s="768"/>
      <c r="S98" s="768"/>
      <c r="T98" s="768"/>
      <c r="U98" s="768"/>
      <c r="V98" s="1290"/>
      <c r="W98" s="1289"/>
      <c r="X98" s="768"/>
      <c r="Y98" s="768"/>
      <c r="Z98" s="768"/>
      <c r="AA98" s="768"/>
      <c r="AB98" s="768"/>
      <c r="AC98" s="768"/>
      <c r="AD98" s="768"/>
      <c r="AE98" s="768"/>
      <c r="AF98" s="1290"/>
      <c r="AJ98" s="1289"/>
      <c r="AK98" s="768"/>
      <c r="AL98" s="768"/>
      <c r="AM98" s="768"/>
      <c r="AN98" s="768"/>
      <c r="AO98" s="768"/>
      <c r="AP98" s="768"/>
      <c r="AQ98" s="768"/>
      <c r="AR98" s="768"/>
      <c r="AS98" s="1290"/>
      <c r="AT98" s="1289"/>
      <c r="AU98" s="768"/>
      <c r="AV98" s="768"/>
      <c r="AW98" s="768"/>
      <c r="AX98" s="768"/>
      <c r="AY98" s="768"/>
      <c r="AZ98" s="768"/>
      <c r="BA98" s="768"/>
      <c r="BB98" s="768"/>
      <c r="BC98" s="1290"/>
      <c r="BD98" s="1289"/>
      <c r="BE98" s="768"/>
      <c r="BF98" s="768"/>
      <c r="BG98" s="768"/>
      <c r="BH98" s="768"/>
      <c r="BI98" s="768"/>
      <c r="BJ98" s="768"/>
      <c r="BK98" s="768"/>
      <c r="BL98" s="768"/>
      <c r="BM98" s="1290"/>
      <c r="BQ98" s="1289"/>
      <c r="BR98" s="768"/>
      <c r="BS98" s="768"/>
      <c r="BT98" s="768"/>
      <c r="BU98" s="768"/>
      <c r="BV98" s="768"/>
      <c r="BW98" s="768"/>
      <c r="BX98" s="768"/>
      <c r="BY98" s="768"/>
      <c r="BZ98" s="1290"/>
      <c r="CA98" s="1289"/>
      <c r="CB98" s="768"/>
      <c r="CC98" s="768"/>
      <c r="CD98" s="768"/>
      <c r="CE98" s="768"/>
      <c r="CF98" s="768"/>
      <c r="CG98" s="768"/>
      <c r="CH98" s="768"/>
      <c r="CI98" s="768"/>
      <c r="CJ98" s="1290"/>
      <c r="CK98" s="1289"/>
      <c r="CL98" s="768"/>
      <c r="CM98" s="768"/>
      <c r="CN98" s="768"/>
      <c r="CO98" s="768"/>
      <c r="CP98" s="768"/>
      <c r="CQ98" s="768"/>
      <c r="CR98" s="768"/>
      <c r="CS98" s="768"/>
      <c r="CT98" s="1290"/>
    </row>
    <row r="99" spans="3:98">
      <c r="C99" s="1289"/>
      <c r="D99" s="768"/>
      <c r="E99" s="768"/>
      <c r="F99" s="768"/>
      <c r="G99" s="768"/>
      <c r="H99" s="768"/>
      <c r="I99" s="768"/>
      <c r="J99" s="768"/>
      <c r="K99" s="768"/>
      <c r="L99" s="1290"/>
      <c r="M99" s="1289"/>
      <c r="N99" s="768"/>
      <c r="O99" s="768"/>
      <c r="P99" s="768"/>
      <c r="Q99" s="768"/>
      <c r="R99" s="768"/>
      <c r="S99" s="768"/>
      <c r="T99" s="768"/>
      <c r="U99" s="768"/>
      <c r="V99" s="1290"/>
      <c r="W99" s="1289"/>
      <c r="X99" s="768"/>
      <c r="Y99" s="768"/>
      <c r="Z99" s="768"/>
      <c r="AA99" s="768"/>
      <c r="AB99" s="768"/>
      <c r="AC99" s="768"/>
      <c r="AD99" s="768"/>
      <c r="AE99" s="768"/>
      <c r="AF99" s="1290"/>
      <c r="AJ99" s="1289"/>
      <c r="AK99" s="768"/>
      <c r="AL99" s="768"/>
      <c r="AM99" s="768"/>
      <c r="AN99" s="768"/>
      <c r="AO99" s="768"/>
      <c r="AP99" s="768"/>
      <c r="AQ99" s="768"/>
      <c r="AR99" s="768"/>
      <c r="AS99" s="1290"/>
      <c r="AT99" s="1289"/>
      <c r="AU99" s="768"/>
      <c r="AV99" s="768"/>
      <c r="AW99" s="768"/>
      <c r="AX99" s="768"/>
      <c r="AY99" s="768"/>
      <c r="AZ99" s="768"/>
      <c r="BA99" s="768"/>
      <c r="BB99" s="768"/>
      <c r="BC99" s="1290"/>
      <c r="BD99" s="1289"/>
      <c r="BE99" s="768"/>
      <c r="BF99" s="768"/>
      <c r="BG99" s="768"/>
      <c r="BH99" s="768"/>
      <c r="BI99" s="768"/>
      <c r="BJ99" s="768"/>
      <c r="BK99" s="768"/>
      <c r="BL99" s="768"/>
      <c r="BM99" s="1290"/>
      <c r="BQ99" s="1289"/>
      <c r="BR99" s="768"/>
      <c r="BS99" s="768"/>
      <c r="BT99" s="768"/>
      <c r="BU99" s="768"/>
      <c r="BV99" s="768"/>
      <c r="BW99" s="768"/>
      <c r="BX99" s="768"/>
      <c r="BY99" s="768"/>
      <c r="BZ99" s="1290"/>
      <c r="CA99" s="1289"/>
      <c r="CB99" s="768"/>
      <c r="CC99" s="768"/>
      <c r="CD99" s="768"/>
      <c r="CE99" s="768"/>
      <c r="CF99" s="768"/>
      <c r="CG99" s="768"/>
      <c r="CH99" s="768"/>
      <c r="CI99" s="768"/>
      <c r="CJ99" s="1290"/>
      <c r="CK99" s="1289"/>
      <c r="CL99" s="768"/>
      <c r="CM99" s="768"/>
      <c r="CN99" s="768"/>
      <c r="CO99" s="768"/>
      <c r="CP99" s="768"/>
      <c r="CQ99" s="768"/>
      <c r="CR99" s="768"/>
      <c r="CS99" s="768"/>
      <c r="CT99" s="1290"/>
    </row>
    <row r="100" spans="3:98">
      <c r="C100" s="1289"/>
      <c r="D100" s="768"/>
      <c r="E100" s="768"/>
      <c r="F100" s="768"/>
      <c r="G100" s="768"/>
      <c r="H100" s="768"/>
      <c r="I100" s="768"/>
      <c r="J100" s="768"/>
      <c r="K100" s="768"/>
      <c r="L100" s="1290"/>
      <c r="M100" s="1289"/>
      <c r="N100" s="768"/>
      <c r="O100" s="768"/>
      <c r="P100" s="768"/>
      <c r="Q100" s="768"/>
      <c r="R100" s="768"/>
      <c r="S100" s="768"/>
      <c r="T100" s="768"/>
      <c r="U100" s="768"/>
      <c r="V100" s="1290"/>
      <c r="W100" s="1289"/>
      <c r="X100" s="768"/>
      <c r="Y100" s="768"/>
      <c r="Z100" s="768"/>
      <c r="AA100" s="768"/>
      <c r="AB100" s="768"/>
      <c r="AC100" s="768"/>
      <c r="AD100" s="768"/>
      <c r="AE100" s="768"/>
      <c r="AF100" s="1290"/>
      <c r="AJ100" s="1289"/>
      <c r="AK100" s="768"/>
      <c r="AL100" s="768"/>
      <c r="AM100" s="768"/>
      <c r="AN100" s="768"/>
      <c r="AO100" s="768"/>
      <c r="AP100" s="768"/>
      <c r="AQ100" s="768"/>
      <c r="AR100" s="768"/>
      <c r="AS100" s="1290"/>
      <c r="AT100" s="1289"/>
      <c r="AU100" s="768"/>
      <c r="AV100" s="768"/>
      <c r="AW100" s="768"/>
      <c r="AX100" s="768"/>
      <c r="AY100" s="768"/>
      <c r="AZ100" s="768"/>
      <c r="BA100" s="768"/>
      <c r="BB100" s="768"/>
      <c r="BC100" s="1290"/>
      <c r="BD100" s="1289"/>
      <c r="BE100" s="768"/>
      <c r="BF100" s="768"/>
      <c r="BG100" s="768"/>
      <c r="BH100" s="768"/>
      <c r="BI100" s="768"/>
      <c r="BJ100" s="768"/>
      <c r="BK100" s="768"/>
      <c r="BL100" s="768"/>
      <c r="BM100" s="1290"/>
      <c r="BQ100" s="1289"/>
      <c r="BR100" s="768"/>
      <c r="BS100" s="768"/>
      <c r="BT100" s="768"/>
      <c r="BU100" s="768"/>
      <c r="BV100" s="768"/>
      <c r="BW100" s="768"/>
      <c r="BX100" s="768"/>
      <c r="BY100" s="768"/>
      <c r="BZ100" s="1290"/>
      <c r="CA100" s="1289"/>
      <c r="CB100" s="768"/>
      <c r="CC100" s="768"/>
      <c r="CD100" s="768"/>
      <c r="CE100" s="768"/>
      <c r="CF100" s="768"/>
      <c r="CG100" s="768"/>
      <c r="CH100" s="768"/>
      <c r="CI100" s="768"/>
      <c r="CJ100" s="1290"/>
      <c r="CK100" s="1289"/>
      <c r="CL100" s="768"/>
      <c r="CM100" s="768"/>
      <c r="CN100" s="768"/>
      <c r="CO100" s="768"/>
      <c r="CP100" s="768"/>
      <c r="CQ100" s="768"/>
      <c r="CR100" s="768"/>
      <c r="CS100" s="768"/>
      <c r="CT100" s="1290"/>
    </row>
    <row r="101" spans="3:98">
      <c r="C101" s="1289"/>
      <c r="D101" s="768"/>
      <c r="E101" s="768"/>
      <c r="F101" s="768"/>
      <c r="G101" s="768"/>
      <c r="H101" s="768"/>
      <c r="I101" s="768"/>
      <c r="J101" s="768"/>
      <c r="K101" s="768"/>
      <c r="L101" s="1290"/>
      <c r="M101" s="1289"/>
      <c r="N101" s="768"/>
      <c r="O101" s="768"/>
      <c r="P101" s="768"/>
      <c r="Q101" s="768"/>
      <c r="R101" s="768"/>
      <c r="S101" s="768"/>
      <c r="T101" s="768"/>
      <c r="U101" s="768"/>
      <c r="V101" s="1290"/>
      <c r="W101" s="1289"/>
      <c r="X101" s="768"/>
      <c r="Y101" s="768"/>
      <c r="Z101" s="768"/>
      <c r="AA101" s="768"/>
      <c r="AB101" s="768"/>
      <c r="AC101" s="768"/>
      <c r="AD101" s="768"/>
      <c r="AE101" s="768"/>
      <c r="AF101" s="1290"/>
      <c r="AJ101" s="1289"/>
      <c r="AK101" s="768"/>
      <c r="AL101" s="768"/>
      <c r="AM101" s="768"/>
      <c r="AN101" s="768"/>
      <c r="AO101" s="768"/>
      <c r="AP101" s="768"/>
      <c r="AQ101" s="768"/>
      <c r="AR101" s="768"/>
      <c r="AS101" s="1290"/>
      <c r="AT101" s="1289"/>
      <c r="AU101" s="768"/>
      <c r="AV101" s="768"/>
      <c r="AW101" s="768"/>
      <c r="AX101" s="768"/>
      <c r="AY101" s="768"/>
      <c r="AZ101" s="768"/>
      <c r="BA101" s="768"/>
      <c r="BB101" s="768"/>
      <c r="BC101" s="1290"/>
      <c r="BD101" s="1289"/>
      <c r="BE101" s="768"/>
      <c r="BF101" s="768"/>
      <c r="BG101" s="768"/>
      <c r="BH101" s="768"/>
      <c r="BI101" s="768"/>
      <c r="BJ101" s="768"/>
      <c r="BK101" s="768"/>
      <c r="BL101" s="768"/>
      <c r="BM101" s="1290"/>
      <c r="BQ101" s="1289"/>
      <c r="BR101" s="768"/>
      <c r="BS101" s="768"/>
      <c r="BT101" s="768"/>
      <c r="BU101" s="768"/>
      <c r="BV101" s="768"/>
      <c r="BW101" s="768"/>
      <c r="BX101" s="768"/>
      <c r="BY101" s="768"/>
      <c r="BZ101" s="1290"/>
      <c r="CA101" s="1289"/>
      <c r="CB101" s="768"/>
      <c r="CC101" s="768"/>
      <c r="CD101" s="768"/>
      <c r="CE101" s="768"/>
      <c r="CF101" s="768"/>
      <c r="CG101" s="768"/>
      <c r="CH101" s="768"/>
      <c r="CI101" s="768"/>
      <c r="CJ101" s="1290"/>
      <c r="CK101" s="1289"/>
      <c r="CL101" s="768"/>
      <c r="CM101" s="768"/>
      <c r="CN101" s="768"/>
      <c r="CO101" s="768"/>
      <c r="CP101" s="768"/>
      <c r="CQ101" s="768"/>
      <c r="CR101" s="768"/>
      <c r="CS101" s="768"/>
      <c r="CT101" s="1290"/>
    </row>
    <row r="102" spans="3:98">
      <c r="C102" s="1289"/>
      <c r="D102" s="768"/>
      <c r="E102" s="768"/>
      <c r="F102" s="768"/>
      <c r="G102" s="768"/>
      <c r="H102" s="768"/>
      <c r="I102" s="768"/>
      <c r="J102" s="768"/>
      <c r="K102" s="768"/>
      <c r="L102" s="1290"/>
      <c r="M102" s="1289"/>
      <c r="N102" s="768"/>
      <c r="O102" s="768"/>
      <c r="P102" s="768"/>
      <c r="Q102" s="768"/>
      <c r="R102" s="768"/>
      <c r="S102" s="768"/>
      <c r="T102" s="768"/>
      <c r="U102" s="768"/>
      <c r="V102" s="1290"/>
      <c r="W102" s="1289"/>
      <c r="X102" s="768"/>
      <c r="Y102" s="768"/>
      <c r="Z102" s="768"/>
      <c r="AA102" s="768"/>
      <c r="AB102" s="768"/>
      <c r="AC102" s="768"/>
      <c r="AD102" s="768"/>
      <c r="AE102" s="768"/>
      <c r="AF102" s="1290"/>
      <c r="AJ102" s="1289"/>
      <c r="AK102" s="768"/>
      <c r="AL102" s="768"/>
      <c r="AM102" s="768"/>
      <c r="AN102" s="768"/>
      <c r="AO102" s="768"/>
      <c r="AP102" s="768"/>
      <c r="AQ102" s="768"/>
      <c r="AR102" s="768"/>
      <c r="AS102" s="1290"/>
      <c r="AT102" s="1289"/>
      <c r="AU102" s="768"/>
      <c r="AV102" s="768"/>
      <c r="AW102" s="768"/>
      <c r="AX102" s="768"/>
      <c r="AY102" s="768"/>
      <c r="AZ102" s="768"/>
      <c r="BA102" s="768"/>
      <c r="BB102" s="768"/>
      <c r="BC102" s="1290"/>
      <c r="BD102" s="1289"/>
      <c r="BE102" s="768"/>
      <c r="BF102" s="768"/>
      <c r="BG102" s="768"/>
      <c r="BH102" s="768"/>
      <c r="BI102" s="768"/>
      <c r="BJ102" s="768"/>
      <c r="BK102" s="768"/>
      <c r="BL102" s="768"/>
      <c r="BM102" s="1290"/>
      <c r="BQ102" s="1289"/>
      <c r="BR102" s="768"/>
      <c r="BS102" s="768"/>
      <c r="BT102" s="768"/>
      <c r="BU102" s="768"/>
      <c r="BV102" s="768"/>
      <c r="BW102" s="768"/>
      <c r="BX102" s="768"/>
      <c r="BY102" s="768"/>
      <c r="BZ102" s="1290"/>
      <c r="CA102" s="1289"/>
      <c r="CB102" s="768"/>
      <c r="CC102" s="768"/>
      <c r="CD102" s="768"/>
      <c r="CE102" s="768"/>
      <c r="CF102" s="768"/>
      <c r="CG102" s="768"/>
      <c r="CH102" s="768"/>
      <c r="CI102" s="768"/>
      <c r="CJ102" s="1290"/>
      <c r="CK102" s="1289"/>
      <c r="CL102" s="768"/>
      <c r="CM102" s="768"/>
      <c r="CN102" s="768"/>
      <c r="CO102" s="768"/>
      <c r="CP102" s="768"/>
      <c r="CQ102" s="768"/>
      <c r="CR102" s="768"/>
      <c r="CS102" s="768"/>
      <c r="CT102" s="1290"/>
    </row>
    <row r="103" spans="3:98">
      <c r="C103" s="1289"/>
      <c r="D103" s="768"/>
      <c r="E103" s="768"/>
      <c r="F103" s="768"/>
      <c r="G103" s="768"/>
      <c r="H103" s="768"/>
      <c r="I103" s="768"/>
      <c r="J103" s="768"/>
      <c r="K103" s="768"/>
      <c r="L103" s="1290"/>
      <c r="M103" s="1289"/>
      <c r="N103" s="768"/>
      <c r="O103" s="768"/>
      <c r="P103" s="768"/>
      <c r="Q103" s="768"/>
      <c r="R103" s="768"/>
      <c r="S103" s="768"/>
      <c r="T103" s="768"/>
      <c r="U103" s="768"/>
      <c r="V103" s="1290"/>
      <c r="W103" s="1289"/>
      <c r="X103" s="768"/>
      <c r="Y103" s="768"/>
      <c r="Z103" s="768"/>
      <c r="AA103" s="768"/>
      <c r="AB103" s="768"/>
      <c r="AC103" s="768"/>
      <c r="AD103" s="768"/>
      <c r="AE103" s="768"/>
      <c r="AF103" s="1290"/>
      <c r="AJ103" s="1289"/>
      <c r="AK103" s="768"/>
      <c r="AL103" s="768"/>
      <c r="AM103" s="768"/>
      <c r="AN103" s="768"/>
      <c r="AO103" s="768"/>
      <c r="AP103" s="768"/>
      <c r="AQ103" s="768"/>
      <c r="AR103" s="768"/>
      <c r="AS103" s="1290"/>
      <c r="AT103" s="1289"/>
      <c r="AU103" s="768"/>
      <c r="AV103" s="768"/>
      <c r="AW103" s="768"/>
      <c r="AX103" s="768"/>
      <c r="AY103" s="768"/>
      <c r="AZ103" s="768"/>
      <c r="BA103" s="768"/>
      <c r="BB103" s="768"/>
      <c r="BC103" s="1290"/>
      <c r="BD103" s="1289"/>
      <c r="BE103" s="768"/>
      <c r="BF103" s="768"/>
      <c r="BG103" s="768"/>
      <c r="BH103" s="768"/>
      <c r="BI103" s="768"/>
      <c r="BJ103" s="768"/>
      <c r="BK103" s="768"/>
      <c r="BL103" s="768"/>
      <c r="BM103" s="1290"/>
      <c r="BQ103" s="1289"/>
      <c r="BR103" s="768"/>
      <c r="BS103" s="768"/>
      <c r="BT103" s="768"/>
      <c r="BU103" s="768"/>
      <c r="BV103" s="768"/>
      <c r="BW103" s="768"/>
      <c r="BX103" s="768"/>
      <c r="BY103" s="768"/>
      <c r="BZ103" s="1290"/>
      <c r="CA103" s="1289"/>
      <c r="CB103" s="768"/>
      <c r="CC103" s="768"/>
      <c r="CD103" s="768"/>
      <c r="CE103" s="768"/>
      <c r="CF103" s="768"/>
      <c r="CG103" s="768"/>
      <c r="CH103" s="768"/>
      <c r="CI103" s="768"/>
      <c r="CJ103" s="1290"/>
      <c r="CK103" s="1289"/>
      <c r="CL103" s="768"/>
      <c r="CM103" s="768"/>
      <c r="CN103" s="768"/>
      <c r="CO103" s="768"/>
      <c r="CP103" s="768"/>
      <c r="CQ103" s="768"/>
      <c r="CR103" s="768"/>
      <c r="CS103" s="768"/>
      <c r="CT103" s="1290"/>
    </row>
    <row r="104" spans="3:98" ht="14.25" thickBot="1">
      <c r="C104" s="1291"/>
      <c r="D104" s="1292"/>
      <c r="E104" s="1292"/>
      <c r="F104" s="1292"/>
      <c r="G104" s="1292"/>
      <c r="H104" s="1292"/>
      <c r="I104" s="1292"/>
      <c r="J104" s="1292"/>
      <c r="K104" s="1292"/>
      <c r="L104" s="1293"/>
      <c r="M104" s="1291"/>
      <c r="N104" s="1292"/>
      <c r="O104" s="1292"/>
      <c r="P104" s="1292"/>
      <c r="Q104" s="1292"/>
      <c r="R104" s="1292"/>
      <c r="S104" s="1292"/>
      <c r="T104" s="1292"/>
      <c r="U104" s="1292"/>
      <c r="V104" s="1293"/>
      <c r="W104" s="1291"/>
      <c r="X104" s="1292"/>
      <c r="Y104" s="1292"/>
      <c r="Z104" s="1292"/>
      <c r="AA104" s="1292"/>
      <c r="AB104" s="1292"/>
      <c r="AC104" s="1292"/>
      <c r="AD104" s="1292"/>
      <c r="AE104" s="1292"/>
      <c r="AF104" s="1293"/>
      <c r="AJ104" s="1291"/>
      <c r="AK104" s="1292"/>
      <c r="AL104" s="1292"/>
      <c r="AM104" s="1292"/>
      <c r="AN104" s="1292"/>
      <c r="AO104" s="1292"/>
      <c r="AP104" s="1292"/>
      <c r="AQ104" s="1292"/>
      <c r="AR104" s="1292"/>
      <c r="AS104" s="1293"/>
      <c r="AT104" s="1291"/>
      <c r="AU104" s="1292"/>
      <c r="AV104" s="1292"/>
      <c r="AW104" s="1292"/>
      <c r="AX104" s="1292"/>
      <c r="AY104" s="1292"/>
      <c r="AZ104" s="1292"/>
      <c r="BA104" s="1292"/>
      <c r="BB104" s="1292"/>
      <c r="BC104" s="1293"/>
      <c r="BD104" s="1291"/>
      <c r="BE104" s="1292"/>
      <c r="BF104" s="1292"/>
      <c r="BG104" s="1292"/>
      <c r="BH104" s="1292"/>
      <c r="BI104" s="1292"/>
      <c r="BJ104" s="1292"/>
      <c r="BK104" s="1292"/>
      <c r="BL104" s="1292"/>
      <c r="BM104" s="1293"/>
      <c r="BQ104" s="1291"/>
      <c r="BR104" s="1292"/>
      <c r="BS104" s="1292"/>
      <c r="BT104" s="1292"/>
      <c r="BU104" s="1292"/>
      <c r="BV104" s="1292"/>
      <c r="BW104" s="1292"/>
      <c r="BX104" s="1292"/>
      <c r="BY104" s="1292"/>
      <c r="BZ104" s="1293"/>
      <c r="CA104" s="1291"/>
      <c r="CB104" s="1292"/>
      <c r="CC104" s="1292"/>
      <c r="CD104" s="1292"/>
      <c r="CE104" s="1292"/>
      <c r="CF104" s="1292"/>
      <c r="CG104" s="1292"/>
      <c r="CH104" s="1292"/>
      <c r="CI104" s="1292"/>
      <c r="CJ104" s="1293"/>
      <c r="CK104" s="1291"/>
      <c r="CL104" s="1292"/>
      <c r="CM104" s="1292"/>
      <c r="CN104" s="1292"/>
      <c r="CO104" s="1292"/>
      <c r="CP104" s="1292"/>
      <c r="CQ104" s="1292"/>
      <c r="CR104" s="1292"/>
      <c r="CS104" s="1292"/>
      <c r="CT104" s="1293"/>
    </row>
    <row r="105" spans="3:98">
      <c r="C105" s="1296"/>
      <c r="D105" s="1297"/>
      <c r="E105" s="1297"/>
      <c r="F105" s="1297"/>
      <c r="G105" s="1297"/>
      <c r="H105" s="1297"/>
      <c r="I105" s="1297"/>
      <c r="J105" s="1297"/>
      <c r="K105" s="1297"/>
      <c r="L105" s="1298"/>
      <c r="M105" s="1296"/>
      <c r="N105" s="1297"/>
      <c r="O105" s="1297"/>
      <c r="P105" s="1297"/>
      <c r="Q105" s="1297"/>
      <c r="R105" s="1297"/>
      <c r="S105" s="1297"/>
      <c r="T105" s="1297"/>
      <c r="U105" s="1297"/>
      <c r="V105" s="1299"/>
      <c r="W105" s="1300"/>
      <c r="X105" s="1297"/>
      <c r="Y105" s="1297"/>
      <c r="Z105" s="1297"/>
      <c r="AA105" s="1297"/>
      <c r="AB105" s="1297"/>
      <c r="AC105" s="1297"/>
      <c r="AD105" s="1297"/>
      <c r="AE105" s="1297"/>
      <c r="AF105" s="1299"/>
      <c r="AJ105" s="1296"/>
      <c r="AK105" s="1297"/>
      <c r="AL105" s="1297"/>
      <c r="AM105" s="1297"/>
      <c r="AN105" s="1297"/>
      <c r="AO105" s="1297"/>
      <c r="AP105" s="1297"/>
      <c r="AQ105" s="1297"/>
      <c r="AR105" s="1297"/>
      <c r="AS105" s="1298"/>
      <c r="AT105" s="1296"/>
      <c r="AU105" s="1297"/>
      <c r="AV105" s="1297"/>
      <c r="AW105" s="1297"/>
      <c r="AX105" s="1297"/>
      <c r="AY105" s="1297"/>
      <c r="AZ105" s="1297"/>
      <c r="BA105" s="1297"/>
      <c r="BB105" s="1297"/>
      <c r="BC105" s="1299"/>
      <c r="BD105" s="1300"/>
      <c r="BE105" s="1297"/>
      <c r="BF105" s="1297"/>
      <c r="BG105" s="1297"/>
      <c r="BH105" s="1297"/>
      <c r="BI105" s="1297"/>
      <c r="BJ105" s="1297"/>
      <c r="BK105" s="1297"/>
      <c r="BL105" s="1297"/>
      <c r="BM105" s="1299"/>
      <c r="BQ105" s="1296"/>
      <c r="BR105" s="1297"/>
      <c r="BS105" s="1297"/>
      <c r="BT105" s="1297"/>
      <c r="BU105" s="1297"/>
      <c r="BV105" s="1297"/>
      <c r="BW105" s="1297"/>
      <c r="BX105" s="1297"/>
      <c r="BY105" s="1297"/>
      <c r="BZ105" s="1298"/>
      <c r="CA105" s="1296"/>
      <c r="CB105" s="1297"/>
      <c r="CC105" s="1297"/>
      <c r="CD105" s="1297"/>
      <c r="CE105" s="1297"/>
      <c r="CF105" s="1297"/>
      <c r="CG105" s="1297"/>
      <c r="CH105" s="1297"/>
      <c r="CI105" s="1297"/>
      <c r="CJ105" s="1299"/>
      <c r="CK105" s="1300"/>
      <c r="CL105" s="1297"/>
      <c r="CM105" s="1297"/>
      <c r="CN105" s="1297"/>
      <c r="CO105" s="1297"/>
      <c r="CP105" s="1297"/>
      <c r="CQ105" s="1297"/>
      <c r="CR105" s="1297"/>
      <c r="CS105" s="1297"/>
      <c r="CT105" s="1299"/>
    </row>
    <row r="106" spans="3:98">
      <c r="C106" s="1286"/>
      <c r="D106" s="1287"/>
      <c r="E106" s="1287"/>
      <c r="F106" s="1287"/>
      <c r="G106" s="1287"/>
      <c r="H106" s="1287"/>
      <c r="I106" s="1287"/>
      <c r="J106" s="1287"/>
      <c r="K106" s="1287"/>
      <c r="L106" s="1288"/>
      <c r="M106" s="1286"/>
      <c r="N106" s="1287"/>
      <c r="O106" s="1287"/>
      <c r="P106" s="1287"/>
      <c r="Q106" s="1287"/>
      <c r="R106" s="1287"/>
      <c r="S106" s="1287"/>
      <c r="T106" s="1287"/>
      <c r="U106" s="1287"/>
      <c r="V106" s="1288"/>
      <c r="W106" s="1286"/>
      <c r="X106" s="1287"/>
      <c r="Y106" s="1287"/>
      <c r="Z106" s="1287"/>
      <c r="AA106" s="1287"/>
      <c r="AB106" s="1287"/>
      <c r="AC106" s="1287"/>
      <c r="AD106" s="1287"/>
      <c r="AE106" s="1287"/>
      <c r="AF106" s="1288"/>
      <c r="AJ106" s="1286"/>
      <c r="AK106" s="1287"/>
      <c r="AL106" s="1287"/>
      <c r="AM106" s="1287"/>
      <c r="AN106" s="1287"/>
      <c r="AO106" s="1287"/>
      <c r="AP106" s="1287"/>
      <c r="AQ106" s="1287"/>
      <c r="AR106" s="1287"/>
      <c r="AS106" s="1288"/>
      <c r="AT106" s="1286"/>
      <c r="AU106" s="1287"/>
      <c r="AV106" s="1287"/>
      <c r="AW106" s="1287"/>
      <c r="AX106" s="1287"/>
      <c r="AY106" s="1287"/>
      <c r="AZ106" s="1287"/>
      <c r="BA106" s="1287"/>
      <c r="BB106" s="1287"/>
      <c r="BC106" s="1288"/>
      <c r="BD106" s="1286"/>
      <c r="BE106" s="1287"/>
      <c r="BF106" s="1287"/>
      <c r="BG106" s="1287"/>
      <c r="BH106" s="1287"/>
      <c r="BI106" s="1287"/>
      <c r="BJ106" s="1287"/>
      <c r="BK106" s="1287"/>
      <c r="BL106" s="1287"/>
      <c r="BM106" s="1288"/>
      <c r="BQ106" s="1286"/>
      <c r="BR106" s="1287"/>
      <c r="BS106" s="1287"/>
      <c r="BT106" s="1287"/>
      <c r="BU106" s="1287"/>
      <c r="BV106" s="1287"/>
      <c r="BW106" s="1287"/>
      <c r="BX106" s="1287"/>
      <c r="BY106" s="1287"/>
      <c r="BZ106" s="1288"/>
      <c r="CA106" s="1286"/>
      <c r="CB106" s="1287"/>
      <c r="CC106" s="1287"/>
      <c r="CD106" s="1287"/>
      <c r="CE106" s="1287"/>
      <c r="CF106" s="1287"/>
      <c r="CG106" s="1287"/>
      <c r="CH106" s="1287"/>
      <c r="CI106" s="1287"/>
      <c r="CJ106" s="1288"/>
      <c r="CK106" s="1286"/>
      <c r="CL106" s="1287"/>
      <c r="CM106" s="1287"/>
      <c r="CN106" s="1287"/>
      <c r="CO106" s="1287"/>
      <c r="CP106" s="1287"/>
      <c r="CQ106" s="1287"/>
      <c r="CR106" s="1287"/>
      <c r="CS106" s="1287"/>
      <c r="CT106" s="1288"/>
    </row>
    <row r="107" spans="3:98">
      <c r="C107" s="1289"/>
      <c r="D107" s="768"/>
      <c r="E107" s="768"/>
      <c r="F107" s="768"/>
      <c r="G107" s="768"/>
      <c r="H107" s="768"/>
      <c r="I107" s="768"/>
      <c r="J107" s="768"/>
      <c r="K107" s="768"/>
      <c r="L107" s="1290"/>
      <c r="M107" s="1289"/>
      <c r="N107" s="768"/>
      <c r="O107" s="768"/>
      <c r="P107" s="768"/>
      <c r="Q107" s="768"/>
      <c r="R107" s="768"/>
      <c r="S107" s="768"/>
      <c r="T107" s="768"/>
      <c r="U107" s="768"/>
      <c r="V107" s="1290"/>
      <c r="W107" s="1289"/>
      <c r="X107" s="768"/>
      <c r="Y107" s="768"/>
      <c r="Z107" s="768"/>
      <c r="AA107" s="768"/>
      <c r="AB107" s="768"/>
      <c r="AC107" s="768"/>
      <c r="AD107" s="768"/>
      <c r="AE107" s="768"/>
      <c r="AF107" s="1290"/>
      <c r="AJ107" s="1289"/>
      <c r="AK107" s="768"/>
      <c r="AL107" s="768"/>
      <c r="AM107" s="768"/>
      <c r="AN107" s="768"/>
      <c r="AO107" s="768"/>
      <c r="AP107" s="768"/>
      <c r="AQ107" s="768"/>
      <c r="AR107" s="768"/>
      <c r="AS107" s="1290"/>
      <c r="AT107" s="1289"/>
      <c r="AU107" s="768"/>
      <c r="AV107" s="768"/>
      <c r="AW107" s="768"/>
      <c r="AX107" s="768"/>
      <c r="AY107" s="768"/>
      <c r="AZ107" s="768"/>
      <c r="BA107" s="768"/>
      <c r="BB107" s="768"/>
      <c r="BC107" s="1290"/>
      <c r="BD107" s="1289"/>
      <c r="BE107" s="768"/>
      <c r="BF107" s="768"/>
      <c r="BG107" s="768"/>
      <c r="BH107" s="768"/>
      <c r="BI107" s="768"/>
      <c r="BJ107" s="768"/>
      <c r="BK107" s="768"/>
      <c r="BL107" s="768"/>
      <c r="BM107" s="1290"/>
      <c r="BQ107" s="1289"/>
      <c r="BR107" s="768"/>
      <c r="BS107" s="768"/>
      <c r="BT107" s="768"/>
      <c r="BU107" s="768"/>
      <c r="BV107" s="768"/>
      <c r="BW107" s="768"/>
      <c r="BX107" s="768"/>
      <c r="BY107" s="768"/>
      <c r="BZ107" s="1290"/>
      <c r="CA107" s="1289"/>
      <c r="CB107" s="768"/>
      <c r="CC107" s="768"/>
      <c r="CD107" s="768"/>
      <c r="CE107" s="768"/>
      <c r="CF107" s="768"/>
      <c r="CG107" s="768"/>
      <c r="CH107" s="768"/>
      <c r="CI107" s="768"/>
      <c r="CJ107" s="1290"/>
      <c r="CK107" s="1289"/>
      <c r="CL107" s="768"/>
      <c r="CM107" s="768"/>
      <c r="CN107" s="768"/>
      <c r="CO107" s="768"/>
      <c r="CP107" s="768"/>
      <c r="CQ107" s="768"/>
      <c r="CR107" s="768"/>
      <c r="CS107" s="768"/>
      <c r="CT107" s="1290"/>
    </row>
    <row r="108" spans="3:98">
      <c r="C108" s="1289"/>
      <c r="D108" s="768"/>
      <c r="E108" s="768"/>
      <c r="F108" s="768"/>
      <c r="G108" s="768"/>
      <c r="H108" s="768"/>
      <c r="I108" s="768"/>
      <c r="J108" s="768"/>
      <c r="K108" s="768"/>
      <c r="L108" s="1290"/>
      <c r="M108" s="1289"/>
      <c r="N108" s="768"/>
      <c r="O108" s="768"/>
      <c r="P108" s="768"/>
      <c r="Q108" s="768"/>
      <c r="R108" s="768"/>
      <c r="S108" s="768"/>
      <c r="T108" s="768"/>
      <c r="U108" s="768"/>
      <c r="V108" s="1290"/>
      <c r="W108" s="1289"/>
      <c r="X108" s="768"/>
      <c r="Y108" s="768"/>
      <c r="Z108" s="768"/>
      <c r="AA108" s="768"/>
      <c r="AB108" s="768"/>
      <c r="AC108" s="768"/>
      <c r="AD108" s="768"/>
      <c r="AE108" s="768"/>
      <c r="AF108" s="1290"/>
      <c r="AJ108" s="1289"/>
      <c r="AK108" s="768"/>
      <c r="AL108" s="768"/>
      <c r="AM108" s="768"/>
      <c r="AN108" s="768"/>
      <c r="AO108" s="768"/>
      <c r="AP108" s="768"/>
      <c r="AQ108" s="768"/>
      <c r="AR108" s="768"/>
      <c r="AS108" s="1290"/>
      <c r="AT108" s="1289"/>
      <c r="AU108" s="768"/>
      <c r="AV108" s="768"/>
      <c r="AW108" s="768"/>
      <c r="AX108" s="768"/>
      <c r="AY108" s="768"/>
      <c r="AZ108" s="768"/>
      <c r="BA108" s="768"/>
      <c r="BB108" s="768"/>
      <c r="BC108" s="1290"/>
      <c r="BD108" s="1289"/>
      <c r="BE108" s="768"/>
      <c r="BF108" s="768"/>
      <c r="BG108" s="768"/>
      <c r="BH108" s="768"/>
      <c r="BI108" s="768"/>
      <c r="BJ108" s="768"/>
      <c r="BK108" s="768"/>
      <c r="BL108" s="768"/>
      <c r="BM108" s="1290"/>
      <c r="BQ108" s="1289"/>
      <c r="BR108" s="768"/>
      <c r="BS108" s="768"/>
      <c r="BT108" s="768"/>
      <c r="BU108" s="768"/>
      <c r="BV108" s="768"/>
      <c r="BW108" s="768"/>
      <c r="BX108" s="768"/>
      <c r="BY108" s="768"/>
      <c r="BZ108" s="1290"/>
      <c r="CA108" s="1289"/>
      <c r="CB108" s="768"/>
      <c r="CC108" s="768"/>
      <c r="CD108" s="768"/>
      <c r="CE108" s="768"/>
      <c r="CF108" s="768"/>
      <c r="CG108" s="768"/>
      <c r="CH108" s="768"/>
      <c r="CI108" s="768"/>
      <c r="CJ108" s="1290"/>
      <c r="CK108" s="1289"/>
      <c r="CL108" s="768"/>
      <c r="CM108" s="768"/>
      <c r="CN108" s="768"/>
      <c r="CO108" s="768"/>
      <c r="CP108" s="768"/>
      <c r="CQ108" s="768"/>
      <c r="CR108" s="768"/>
      <c r="CS108" s="768"/>
      <c r="CT108" s="1290"/>
    </row>
    <row r="109" spans="3:98">
      <c r="C109" s="1289"/>
      <c r="D109" s="768"/>
      <c r="E109" s="768"/>
      <c r="F109" s="768"/>
      <c r="G109" s="768"/>
      <c r="H109" s="768"/>
      <c r="I109" s="768"/>
      <c r="J109" s="768"/>
      <c r="K109" s="768"/>
      <c r="L109" s="1290"/>
      <c r="M109" s="1289"/>
      <c r="N109" s="768"/>
      <c r="O109" s="768"/>
      <c r="P109" s="768"/>
      <c r="Q109" s="768"/>
      <c r="R109" s="768"/>
      <c r="S109" s="768"/>
      <c r="T109" s="768"/>
      <c r="U109" s="768"/>
      <c r="V109" s="1290"/>
      <c r="W109" s="1289"/>
      <c r="X109" s="768"/>
      <c r="Y109" s="768"/>
      <c r="Z109" s="768"/>
      <c r="AA109" s="768"/>
      <c r="AB109" s="768"/>
      <c r="AC109" s="768"/>
      <c r="AD109" s="768"/>
      <c r="AE109" s="768"/>
      <c r="AF109" s="1290"/>
      <c r="AJ109" s="1289"/>
      <c r="AK109" s="768"/>
      <c r="AL109" s="768"/>
      <c r="AM109" s="768"/>
      <c r="AN109" s="768"/>
      <c r="AO109" s="768"/>
      <c r="AP109" s="768"/>
      <c r="AQ109" s="768"/>
      <c r="AR109" s="768"/>
      <c r="AS109" s="1290"/>
      <c r="AT109" s="1289"/>
      <c r="AU109" s="768"/>
      <c r="AV109" s="768"/>
      <c r="AW109" s="768"/>
      <c r="AX109" s="768"/>
      <c r="AY109" s="768"/>
      <c r="AZ109" s="768"/>
      <c r="BA109" s="768"/>
      <c r="BB109" s="768"/>
      <c r="BC109" s="1290"/>
      <c r="BD109" s="1289"/>
      <c r="BE109" s="768"/>
      <c r="BF109" s="768"/>
      <c r="BG109" s="768"/>
      <c r="BH109" s="768"/>
      <c r="BI109" s="768"/>
      <c r="BJ109" s="768"/>
      <c r="BK109" s="768"/>
      <c r="BL109" s="768"/>
      <c r="BM109" s="1290"/>
      <c r="BQ109" s="1289"/>
      <c r="BR109" s="768"/>
      <c r="BS109" s="768"/>
      <c r="BT109" s="768"/>
      <c r="BU109" s="768"/>
      <c r="BV109" s="768"/>
      <c r="BW109" s="768"/>
      <c r="BX109" s="768"/>
      <c r="BY109" s="768"/>
      <c r="BZ109" s="1290"/>
      <c r="CA109" s="1289"/>
      <c r="CB109" s="768"/>
      <c r="CC109" s="768"/>
      <c r="CD109" s="768"/>
      <c r="CE109" s="768"/>
      <c r="CF109" s="768"/>
      <c r="CG109" s="768"/>
      <c r="CH109" s="768"/>
      <c r="CI109" s="768"/>
      <c r="CJ109" s="1290"/>
      <c r="CK109" s="1289"/>
      <c r="CL109" s="768"/>
      <c r="CM109" s="768"/>
      <c r="CN109" s="768"/>
      <c r="CO109" s="768"/>
      <c r="CP109" s="768"/>
      <c r="CQ109" s="768"/>
      <c r="CR109" s="768"/>
      <c r="CS109" s="768"/>
      <c r="CT109" s="1290"/>
    </row>
    <row r="110" spans="3:98">
      <c r="C110" s="1289"/>
      <c r="D110" s="768"/>
      <c r="E110" s="768"/>
      <c r="F110" s="768"/>
      <c r="G110" s="768"/>
      <c r="H110" s="768"/>
      <c r="I110" s="768"/>
      <c r="J110" s="768"/>
      <c r="K110" s="768"/>
      <c r="L110" s="1290"/>
      <c r="M110" s="1289"/>
      <c r="N110" s="768"/>
      <c r="O110" s="768"/>
      <c r="P110" s="768"/>
      <c r="Q110" s="768"/>
      <c r="R110" s="768"/>
      <c r="S110" s="768"/>
      <c r="T110" s="768"/>
      <c r="U110" s="768"/>
      <c r="V110" s="1290"/>
      <c r="W110" s="1289"/>
      <c r="X110" s="768"/>
      <c r="Y110" s="768"/>
      <c r="Z110" s="768"/>
      <c r="AA110" s="768"/>
      <c r="AB110" s="768"/>
      <c r="AC110" s="768"/>
      <c r="AD110" s="768"/>
      <c r="AE110" s="768"/>
      <c r="AF110" s="1290"/>
      <c r="AJ110" s="1289"/>
      <c r="AK110" s="768"/>
      <c r="AL110" s="768"/>
      <c r="AM110" s="768"/>
      <c r="AN110" s="768"/>
      <c r="AO110" s="768"/>
      <c r="AP110" s="768"/>
      <c r="AQ110" s="768"/>
      <c r="AR110" s="768"/>
      <c r="AS110" s="1290"/>
      <c r="AT110" s="1289"/>
      <c r="AU110" s="768"/>
      <c r="AV110" s="768"/>
      <c r="AW110" s="768"/>
      <c r="AX110" s="768"/>
      <c r="AY110" s="768"/>
      <c r="AZ110" s="768"/>
      <c r="BA110" s="768"/>
      <c r="BB110" s="768"/>
      <c r="BC110" s="1290"/>
      <c r="BD110" s="1289"/>
      <c r="BE110" s="768"/>
      <c r="BF110" s="768"/>
      <c r="BG110" s="768"/>
      <c r="BH110" s="768"/>
      <c r="BI110" s="768"/>
      <c r="BJ110" s="768"/>
      <c r="BK110" s="768"/>
      <c r="BL110" s="768"/>
      <c r="BM110" s="1290"/>
      <c r="BQ110" s="1289"/>
      <c r="BR110" s="768"/>
      <c r="BS110" s="768"/>
      <c r="BT110" s="768"/>
      <c r="BU110" s="768"/>
      <c r="BV110" s="768"/>
      <c r="BW110" s="768"/>
      <c r="BX110" s="768"/>
      <c r="BY110" s="768"/>
      <c r="BZ110" s="1290"/>
      <c r="CA110" s="1289"/>
      <c r="CB110" s="768"/>
      <c r="CC110" s="768"/>
      <c r="CD110" s="768"/>
      <c r="CE110" s="768"/>
      <c r="CF110" s="768"/>
      <c r="CG110" s="768"/>
      <c r="CH110" s="768"/>
      <c r="CI110" s="768"/>
      <c r="CJ110" s="1290"/>
      <c r="CK110" s="1289"/>
      <c r="CL110" s="768"/>
      <c r="CM110" s="768"/>
      <c r="CN110" s="768"/>
      <c r="CO110" s="768"/>
      <c r="CP110" s="768"/>
      <c r="CQ110" s="768"/>
      <c r="CR110" s="768"/>
      <c r="CS110" s="768"/>
      <c r="CT110" s="1290"/>
    </row>
    <row r="111" spans="3:98">
      <c r="C111" s="1289"/>
      <c r="D111" s="768"/>
      <c r="E111" s="768"/>
      <c r="F111" s="768"/>
      <c r="G111" s="768"/>
      <c r="H111" s="768"/>
      <c r="I111" s="768"/>
      <c r="J111" s="768"/>
      <c r="K111" s="768"/>
      <c r="L111" s="1290"/>
      <c r="M111" s="1289"/>
      <c r="N111" s="768"/>
      <c r="O111" s="768"/>
      <c r="P111" s="768"/>
      <c r="Q111" s="768"/>
      <c r="R111" s="768"/>
      <c r="S111" s="768"/>
      <c r="T111" s="768"/>
      <c r="U111" s="768"/>
      <c r="V111" s="1290"/>
      <c r="W111" s="1289"/>
      <c r="X111" s="768"/>
      <c r="Y111" s="768"/>
      <c r="Z111" s="768"/>
      <c r="AA111" s="768"/>
      <c r="AB111" s="768"/>
      <c r="AC111" s="768"/>
      <c r="AD111" s="768"/>
      <c r="AE111" s="768"/>
      <c r="AF111" s="1290"/>
      <c r="AJ111" s="1289"/>
      <c r="AK111" s="768"/>
      <c r="AL111" s="768"/>
      <c r="AM111" s="768"/>
      <c r="AN111" s="768"/>
      <c r="AO111" s="768"/>
      <c r="AP111" s="768"/>
      <c r="AQ111" s="768"/>
      <c r="AR111" s="768"/>
      <c r="AS111" s="1290"/>
      <c r="AT111" s="1289"/>
      <c r="AU111" s="768"/>
      <c r="AV111" s="768"/>
      <c r="AW111" s="768"/>
      <c r="AX111" s="768"/>
      <c r="AY111" s="768"/>
      <c r="AZ111" s="768"/>
      <c r="BA111" s="768"/>
      <c r="BB111" s="768"/>
      <c r="BC111" s="1290"/>
      <c r="BD111" s="1289"/>
      <c r="BE111" s="768"/>
      <c r="BF111" s="768"/>
      <c r="BG111" s="768"/>
      <c r="BH111" s="768"/>
      <c r="BI111" s="768"/>
      <c r="BJ111" s="768"/>
      <c r="BK111" s="768"/>
      <c r="BL111" s="768"/>
      <c r="BM111" s="1290"/>
      <c r="BQ111" s="1289"/>
      <c r="BR111" s="768"/>
      <c r="BS111" s="768"/>
      <c r="BT111" s="768"/>
      <c r="BU111" s="768"/>
      <c r="BV111" s="768"/>
      <c r="BW111" s="768"/>
      <c r="BX111" s="768"/>
      <c r="BY111" s="768"/>
      <c r="BZ111" s="1290"/>
      <c r="CA111" s="1289"/>
      <c r="CB111" s="768"/>
      <c r="CC111" s="768"/>
      <c r="CD111" s="768"/>
      <c r="CE111" s="768"/>
      <c r="CF111" s="768"/>
      <c r="CG111" s="768"/>
      <c r="CH111" s="768"/>
      <c r="CI111" s="768"/>
      <c r="CJ111" s="1290"/>
      <c r="CK111" s="1289"/>
      <c r="CL111" s="768"/>
      <c r="CM111" s="768"/>
      <c r="CN111" s="768"/>
      <c r="CO111" s="768"/>
      <c r="CP111" s="768"/>
      <c r="CQ111" s="768"/>
      <c r="CR111" s="768"/>
      <c r="CS111" s="768"/>
      <c r="CT111" s="1290"/>
    </row>
    <row r="112" spans="3:98">
      <c r="C112" s="1289"/>
      <c r="D112" s="768"/>
      <c r="E112" s="768"/>
      <c r="F112" s="768"/>
      <c r="G112" s="768"/>
      <c r="H112" s="768"/>
      <c r="I112" s="768"/>
      <c r="J112" s="768"/>
      <c r="K112" s="768"/>
      <c r="L112" s="1290"/>
      <c r="M112" s="1289"/>
      <c r="N112" s="768"/>
      <c r="O112" s="768"/>
      <c r="P112" s="768"/>
      <c r="Q112" s="768"/>
      <c r="R112" s="768"/>
      <c r="S112" s="768"/>
      <c r="T112" s="768"/>
      <c r="U112" s="768"/>
      <c r="V112" s="1290"/>
      <c r="W112" s="1289"/>
      <c r="X112" s="768"/>
      <c r="Y112" s="768"/>
      <c r="Z112" s="768"/>
      <c r="AA112" s="768"/>
      <c r="AB112" s="768"/>
      <c r="AC112" s="768"/>
      <c r="AD112" s="768"/>
      <c r="AE112" s="768"/>
      <c r="AF112" s="1290"/>
      <c r="AJ112" s="1289"/>
      <c r="AK112" s="768"/>
      <c r="AL112" s="768"/>
      <c r="AM112" s="768"/>
      <c r="AN112" s="768"/>
      <c r="AO112" s="768"/>
      <c r="AP112" s="768"/>
      <c r="AQ112" s="768"/>
      <c r="AR112" s="768"/>
      <c r="AS112" s="1290"/>
      <c r="AT112" s="1289"/>
      <c r="AU112" s="768"/>
      <c r="AV112" s="768"/>
      <c r="AW112" s="768"/>
      <c r="AX112" s="768"/>
      <c r="AY112" s="768"/>
      <c r="AZ112" s="768"/>
      <c r="BA112" s="768"/>
      <c r="BB112" s="768"/>
      <c r="BC112" s="1290"/>
      <c r="BD112" s="1289"/>
      <c r="BE112" s="768"/>
      <c r="BF112" s="768"/>
      <c r="BG112" s="768"/>
      <c r="BH112" s="768"/>
      <c r="BI112" s="768"/>
      <c r="BJ112" s="768"/>
      <c r="BK112" s="768"/>
      <c r="BL112" s="768"/>
      <c r="BM112" s="1290"/>
      <c r="BQ112" s="1289"/>
      <c r="BR112" s="768"/>
      <c r="BS112" s="768"/>
      <c r="BT112" s="768"/>
      <c r="BU112" s="768"/>
      <c r="BV112" s="768"/>
      <c r="BW112" s="768"/>
      <c r="BX112" s="768"/>
      <c r="BY112" s="768"/>
      <c r="BZ112" s="1290"/>
      <c r="CA112" s="1289"/>
      <c r="CB112" s="768"/>
      <c r="CC112" s="768"/>
      <c r="CD112" s="768"/>
      <c r="CE112" s="768"/>
      <c r="CF112" s="768"/>
      <c r="CG112" s="768"/>
      <c r="CH112" s="768"/>
      <c r="CI112" s="768"/>
      <c r="CJ112" s="1290"/>
      <c r="CK112" s="1289"/>
      <c r="CL112" s="768"/>
      <c r="CM112" s="768"/>
      <c r="CN112" s="768"/>
      <c r="CO112" s="768"/>
      <c r="CP112" s="768"/>
      <c r="CQ112" s="768"/>
      <c r="CR112" s="768"/>
      <c r="CS112" s="768"/>
      <c r="CT112" s="1290"/>
    </row>
    <row r="113" spans="3:98">
      <c r="C113" s="1289"/>
      <c r="D113" s="768"/>
      <c r="E113" s="768"/>
      <c r="F113" s="768"/>
      <c r="G113" s="768"/>
      <c r="H113" s="768"/>
      <c r="I113" s="768"/>
      <c r="J113" s="768"/>
      <c r="K113" s="768"/>
      <c r="L113" s="1290"/>
      <c r="M113" s="1289"/>
      <c r="N113" s="768"/>
      <c r="O113" s="768"/>
      <c r="P113" s="768"/>
      <c r="Q113" s="768"/>
      <c r="R113" s="768"/>
      <c r="S113" s="768"/>
      <c r="T113" s="768"/>
      <c r="U113" s="768"/>
      <c r="V113" s="1290"/>
      <c r="W113" s="1289"/>
      <c r="X113" s="768"/>
      <c r="Y113" s="768"/>
      <c r="Z113" s="768"/>
      <c r="AA113" s="768"/>
      <c r="AB113" s="768"/>
      <c r="AC113" s="768"/>
      <c r="AD113" s="768"/>
      <c r="AE113" s="768"/>
      <c r="AF113" s="1290"/>
      <c r="AJ113" s="1289"/>
      <c r="AK113" s="768"/>
      <c r="AL113" s="768"/>
      <c r="AM113" s="768"/>
      <c r="AN113" s="768"/>
      <c r="AO113" s="768"/>
      <c r="AP113" s="768"/>
      <c r="AQ113" s="768"/>
      <c r="AR113" s="768"/>
      <c r="AS113" s="1290"/>
      <c r="AT113" s="1289"/>
      <c r="AU113" s="768"/>
      <c r="AV113" s="768"/>
      <c r="AW113" s="768"/>
      <c r="AX113" s="768"/>
      <c r="AY113" s="768"/>
      <c r="AZ113" s="768"/>
      <c r="BA113" s="768"/>
      <c r="BB113" s="768"/>
      <c r="BC113" s="1290"/>
      <c r="BD113" s="1289"/>
      <c r="BE113" s="768"/>
      <c r="BF113" s="768"/>
      <c r="BG113" s="768"/>
      <c r="BH113" s="768"/>
      <c r="BI113" s="768"/>
      <c r="BJ113" s="768"/>
      <c r="BK113" s="768"/>
      <c r="BL113" s="768"/>
      <c r="BM113" s="1290"/>
      <c r="BQ113" s="1289"/>
      <c r="BR113" s="768"/>
      <c r="BS113" s="768"/>
      <c r="BT113" s="768"/>
      <c r="BU113" s="768"/>
      <c r="BV113" s="768"/>
      <c r="BW113" s="768"/>
      <c r="BX113" s="768"/>
      <c r="BY113" s="768"/>
      <c r="BZ113" s="1290"/>
      <c r="CA113" s="1289"/>
      <c r="CB113" s="768"/>
      <c r="CC113" s="768"/>
      <c r="CD113" s="768"/>
      <c r="CE113" s="768"/>
      <c r="CF113" s="768"/>
      <c r="CG113" s="768"/>
      <c r="CH113" s="768"/>
      <c r="CI113" s="768"/>
      <c r="CJ113" s="1290"/>
      <c r="CK113" s="1289"/>
      <c r="CL113" s="768"/>
      <c r="CM113" s="768"/>
      <c r="CN113" s="768"/>
      <c r="CO113" s="768"/>
      <c r="CP113" s="768"/>
      <c r="CQ113" s="768"/>
      <c r="CR113" s="768"/>
      <c r="CS113" s="768"/>
      <c r="CT113" s="1290"/>
    </row>
    <row r="114" spans="3:98">
      <c r="C114" s="1289"/>
      <c r="D114" s="768"/>
      <c r="E114" s="768"/>
      <c r="F114" s="768"/>
      <c r="G114" s="768"/>
      <c r="H114" s="768"/>
      <c r="I114" s="768"/>
      <c r="J114" s="768"/>
      <c r="K114" s="768"/>
      <c r="L114" s="1290"/>
      <c r="M114" s="1289"/>
      <c r="N114" s="768"/>
      <c r="O114" s="768"/>
      <c r="P114" s="768"/>
      <c r="Q114" s="768"/>
      <c r="R114" s="768"/>
      <c r="S114" s="768"/>
      <c r="T114" s="768"/>
      <c r="U114" s="768"/>
      <c r="V114" s="1290"/>
      <c r="W114" s="1289"/>
      <c r="X114" s="768"/>
      <c r="Y114" s="768"/>
      <c r="Z114" s="768"/>
      <c r="AA114" s="768"/>
      <c r="AB114" s="768"/>
      <c r="AC114" s="768"/>
      <c r="AD114" s="768"/>
      <c r="AE114" s="768"/>
      <c r="AF114" s="1290"/>
      <c r="AJ114" s="1289"/>
      <c r="AK114" s="768"/>
      <c r="AL114" s="768"/>
      <c r="AM114" s="768"/>
      <c r="AN114" s="768"/>
      <c r="AO114" s="768"/>
      <c r="AP114" s="768"/>
      <c r="AQ114" s="768"/>
      <c r="AR114" s="768"/>
      <c r="AS114" s="1290"/>
      <c r="AT114" s="1289"/>
      <c r="AU114" s="768"/>
      <c r="AV114" s="768"/>
      <c r="AW114" s="768"/>
      <c r="AX114" s="768"/>
      <c r="AY114" s="768"/>
      <c r="AZ114" s="768"/>
      <c r="BA114" s="768"/>
      <c r="BB114" s="768"/>
      <c r="BC114" s="1290"/>
      <c r="BD114" s="1289"/>
      <c r="BE114" s="768"/>
      <c r="BF114" s="768"/>
      <c r="BG114" s="768"/>
      <c r="BH114" s="768"/>
      <c r="BI114" s="768"/>
      <c r="BJ114" s="768"/>
      <c r="BK114" s="768"/>
      <c r="BL114" s="768"/>
      <c r="BM114" s="1290"/>
      <c r="BQ114" s="1289"/>
      <c r="BR114" s="768"/>
      <c r="BS114" s="768"/>
      <c r="BT114" s="768"/>
      <c r="BU114" s="768"/>
      <c r="BV114" s="768"/>
      <c r="BW114" s="768"/>
      <c r="BX114" s="768"/>
      <c r="BY114" s="768"/>
      <c r="BZ114" s="1290"/>
      <c r="CA114" s="1289"/>
      <c r="CB114" s="768"/>
      <c r="CC114" s="768"/>
      <c r="CD114" s="768"/>
      <c r="CE114" s="768"/>
      <c r="CF114" s="768"/>
      <c r="CG114" s="768"/>
      <c r="CH114" s="768"/>
      <c r="CI114" s="768"/>
      <c r="CJ114" s="1290"/>
      <c r="CK114" s="1289"/>
      <c r="CL114" s="768"/>
      <c r="CM114" s="768"/>
      <c r="CN114" s="768"/>
      <c r="CO114" s="768"/>
      <c r="CP114" s="768"/>
      <c r="CQ114" s="768"/>
      <c r="CR114" s="768"/>
      <c r="CS114" s="768"/>
      <c r="CT114" s="1290"/>
    </row>
    <row r="115" spans="3:98" ht="14.25" thickBot="1">
      <c r="C115" s="1291"/>
      <c r="D115" s="1292"/>
      <c r="E115" s="1292"/>
      <c r="F115" s="1292"/>
      <c r="G115" s="1292"/>
      <c r="H115" s="1292"/>
      <c r="I115" s="1292"/>
      <c r="J115" s="1292"/>
      <c r="K115" s="1292"/>
      <c r="L115" s="1293"/>
      <c r="M115" s="1291"/>
      <c r="N115" s="1292"/>
      <c r="O115" s="1292"/>
      <c r="P115" s="1292"/>
      <c r="Q115" s="1292"/>
      <c r="R115" s="1292"/>
      <c r="S115" s="1292"/>
      <c r="T115" s="1292"/>
      <c r="U115" s="1292"/>
      <c r="V115" s="1293"/>
      <c r="W115" s="1291"/>
      <c r="X115" s="1292"/>
      <c r="Y115" s="1292"/>
      <c r="Z115" s="1292"/>
      <c r="AA115" s="1292"/>
      <c r="AB115" s="1292"/>
      <c r="AC115" s="1292"/>
      <c r="AD115" s="1292"/>
      <c r="AE115" s="1292"/>
      <c r="AF115" s="1293"/>
      <c r="AJ115" s="1291"/>
      <c r="AK115" s="1292"/>
      <c r="AL115" s="1292"/>
      <c r="AM115" s="1292"/>
      <c r="AN115" s="1292"/>
      <c r="AO115" s="1292"/>
      <c r="AP115" s="1292"/>
      <c r="AQ115" s="1292"/>
      <c r="AR115" s="1292"/>
      <c r="AS115" s="1293"/>
      <c r="AT115" s="1291"/>
      <c r="AU115" s="1292"/>
      <c r="AV115" s="1292"/>
      <c r="AW115" s="1292"/>
      <c r="AX115" s="1292"/>
      <c r="AY115" s="1292"/>
      <c r="AZ115" s="1292"/>
      <c r="BA115" s="1292"/>
      <c r="BB115" s="1292"/>
      <c r="BC115" s="1293"/>
      <c r="BD115" s="1291"/>
      <c r="BE115" s="1292"/>
      <c r="BF115" s="1292"/>
      <c r="BG115" s="1292"/>
      <c r="BH115" s="1292"/>
      <c r="BI115" s="1292"/>
      <c r="BJ115" s="1292"/>
      <c r="BK115" s="1292"/>
      <c r="BL115" s="1292"/>
      <c r="BM115" s="1293"/>
      <c r="BQ115" s="1291"/>
      <c r="BR115" s="1292"/>
      <c r="BS115" s="1292"/>
      <c r="BT115" s="1292"/>
      <c r="BU115" s="1292"/>
      <c r="BV115" s="1292"/>
      <c r="BW115" s="1292"/>
      <c r="BX115" s="1292"/>
      <c r="BY115" s="1292"/>
      <c r="BZ115" s="1293"/>
      <c r="CA115" s="1291"/>
      <c r="CB115" s="1292"/>
      <c r="CC115" s="1292"/>
      <c r="CD115" s="1292"/>
      <c r="CE115" s="1292"/>
      <c r="CF115" s="1292"/>
      <c r="CG115" s="1292"/>
      <c r="CH115" s="1292"/>
      <c r="CI115" s="1292"/>
      <c r="CJ115" s="1293"/>
      <c r="CK115" s="1291"/>
      <c r="CL115" s="1292"/>
      <c r="CM115" s="1292"/>
      <c r="CN115" s="1292"/>
      <c r="CO115" s="1292"/>
      <c r="CP115" s="1292"/>
      <c r="CQ115" s="1292"/>
      <c r="CR115" s="1292"/>
      <c r="CS115" s="1292"/>
      <c r="CT115" s="1293"/>
    </row>
  </sheetData>
  <mergeCells count="163">
    <mergeCell ref="BQ105:BZ105"/>
    <mergeCell ref="CA105:CJ105"/>
    <mergeCell ref="CK105:CT105"/>
    <mergeCell ref="BQ106:BZ115"/>
    <mergeCell ref="CA106:CJ115"/>
    <mergeCell ref="CK106:CT115"/>
    <mergeCell ref="BQ94:BZ94"/>
    <mergeCell ref="CA94:CJ94"/>
    <mergeCell ref="CK94:CT94"/>
    <mergeCell ref="BQ95:BZ104"/>
    <mergeCell ref="CA95:CJ104"/>
    <mergeCell ref="CK95:CT104"/>
    <mergeCell ref="BQ83:BZ83"/>
    <mergeCell ref="CA83:CJ83"/>
    <mergeCell ref="CK83:CT83"/>
    <mergeCell ref="BQ84:BZ93"/>
    <mergeCell ref="CA84:CJ93"/>
    <mergeCell ref="CK84:CT93"/>
    <mergeCell ref="BQ68:BZ68"/>
    <mergeCell ref="CA68:CJ68"/>
    <mergeCell ref="CK68:CT68"/>
    <mergeCell ref="BQ69:BZ78"/>
    <mergeCell ref="CA69:CJ78"/>
    <mergeCell ref="CK69:CT78"/>
    <mergeCell ref="BQ57:BZ57"/>
    <mergeCell ref="CA57:CJ57"/>
    <mergeCell ref="CK57:CT57"/>
    <mergeCell ref="BQ58:BZ67"/>
    <mergeCell ref="CA58:CJ67"/>
    <mergeCell ref="CK58:CT67"/>
    <mergeCell ref="BQ46:BZ46"/>
    <mergeCell ref="CA46:CJ46"/>
    <mergeCell ref="CK46:CT46"/>
    <mergeCell ref="BQ47:BZ56"/>
    <mergeCell ref="CA47:CJ56"/>
    <mergeCell ref="CK47:CT56"/>
    <mergeCell ref="BQ31:BZ31"/>
    <mergeCell ref="CA31:CJ31"/>
    <mergeCell ref="CK31:CT31"/>
    <mergeCell ref="BQ32:BZ41"/>
    <mergeCell ref="CA32:CJ41"/>
    <mergeCell ref="CK32:CT41"/>
    <mergeCell ref="BQ20:BZ20"/>
    <mergeCell ref="CA20:CJ20"/>
    <mergeCell ref="CK20:CT20"/>
    <mergeCell ref="BQ21:BZ30"/>
    <mergeCell ref="CA21:CJ30"/>
    <mergeCell ref="CK21:CT30"/>
    <mergeCell ref="BQ9:BZ9"/>
    <mergeCell ref="CA9:CJ9"/>
    <mergeCell ref="CK9:CT9"/>
    <mergeCell ref="BQ10:BZ19"/>
    <mergeCell ref="CA10:CJ19"/>
    <mergeCell ref="CK10:CT19"/>
    <mergeCell ref="AJ105:AS105"/>
    <mergeCell ref="AT105:BC105"/>
    <mergeCell ref="BD105:BM105"/>
    <mergeCell ref="AJ83:AS83"/>
    <mergeCell ref="AT83:BC83"/>
    <mergeCell ref="BD83:BM83"/>
    <mergeCell ref="AJ84:AS93"/>
    <mergeCell ref="AT84:BC93"/>
    <mergeCell ref="BD84:BM93"/>
    <mergeCell ref="AJ68:AS68"/>
    <mergeCell ref="AT68:BC68"/>
    <mergeCell ref="BD68:BM68"/>
    <mergeCell ref="AJ69:AS78"/>
    <mergeCell ref="AT69:BC78"/>
    <mergeCell ref="BD69:BM78"/>
    <mergeCell ref="AJ57:AS57"/>
    <mergeCell ref="AT57:BC57"/>
    <mergeCell ref="BD57:BM57"/>
    <mergeCell ref="AJ106:AS115"/>
    <mergeCell ref="AT106:BC115"/>
    <mergeCell ref="BD106:BM115"/>
    <mergeCell ref="AJ94:AS94"/>
    <mergeCell ref="AT94:BC94"/>
    <mergeCell ref="BD94:BM94"/>
    <mergeCell ref="AJ95:AS104"/>
    <mergeCell ref="AT95:BC104"/>
    <mergeCell ref="BD95:BM104"/>
    <mergeCell ref="AJ58:AS67"/>
    <mergeCell ref="AT58:BC67"/>
    <mergeCell ref="BD58:BM67"/>
    <mergeCell ref="AJ46:AS46"/>
    <mergeCell ref="AT46:BC46"/>
    <mergeCell ref="BD46:BM46"/>
    <mergeCell ref="AJ47:AS56"/>
    <mergeCell ref="AT47:BC56"/>
    <mergeCell ref="BD47:BM56"/>
    <mergeCell ref="AJ31:AS31"/>
    <mergeCell ref="AT31:BC31"/>
    <mergeCell ref="BD31:BM31"/>
    <mergeCell ref="AJ32:AS41"/>
    <mergeCell ref="AT32:BC41"/>
    <mergeCell ref="BD32:BM41"/>
    <mergeCell ref="AJ20:AS20"/>
    <mergeCell ref="AT20:BC20"/>
    <mergeCell ref="BD20:BM20"/>
    <mergeCell ref="AJ21:AS30"/>
    <mergeCell ref="AT21:BC30"/>
    <mergeCell ref="BD21:BM30"/>
    <mergeCell ref="AJ9:AS9"/>
    <mergeCell ref="AT9:BC9"/>
    <mergeCell ref="BD9:BM9"/>
    <mergeCell ref="AJ10:AS19"/>
    <mergeCell ref="AT10:BC19"/>
    <mergeCell ref="BD10:BM19"/>
    <mergeCell ref="C105:L105"/>
    <mergeCell ref="M105:V105"/>
    <mergeCell ref="W105:AF105"/>
    <mergeCell ref="C83:L83"/>
    <mergeCell ref="M83:V83"/>
    <mergeCell ref="W83:AF83"/>
    <mergeCell ref="C84:L93"/>
    <mergeCell ref="M84:V93"/>
    <mergeCell ref="W84:AF93"/>
    <mergeCell ref="C68:L68"/>
    <mergeCell ref="M68:V68"/>
    <mergeCell ref="W68:AF68"/>
    <mergeCell ref="C69:L78"/>
    <mergeCell ref="M69:V78"/>
    <mergeCell ref="W69:AF78"/>
    <mergeCell ref="C57:L57"/>
    <mergeCell ref="M57:V57"/>
    <mergeCell ref="W57:AF57"/>
    <mergeCell ref="C106:L115"/>
    <mergeCell ref="M106:V115"/>
    <mergeCell ref="W106:AF115"/>
    <mergeCell ref="C94:L94"/>
    <mergeCell ref="M94:V94"/>
    <mergeCell ref="W94:AF94"/>
    <mergeCell ref="C95:L104"/>
    <mergeCell ref="M95:V104"/>
    <mergeCell ref="W95:AF104"/>
    <mergeCell ref="C58:L67"/>
    <mergeCell ref="M58:V67"/>
    <mergeCell ref="W58:AF67"/>
    <mergeCell ref="C46:L46"/>
    <mergeCell ref="M46:V46"/>
    <mergeCell ref="W46:AF46"/>
    <mergeCell ref="C47:L56"/>
    <mergeCell ref="M47:V56"/>
    <mergeCell ref="W47:AF56"/>
    <mergeCell ref="A1:D1"/>
    <mergeCell ref="C9:L9"/>
    <mergeCell ref="C10:L19"/>
    <mergeCell ref="M9:V9"/>
    <mergeCell ref="M10:V19"/>
    <mergeCell ref="W9:AF9"/>
    <mergeCell ref="W10:AF19"/>
    <mergeCell ref="C31:L31"/>
    <mergeCell ref="C32:L41"/>
    <mergeCell ref="M31:V31"/>
    <mergeCell ref="M32:V41"/>
    <mergeCell ref="W31:AF31"/>
    <mergeCell ref="W32:AF41"/>
    <mergeCell ref="C20:L20"/>
    <mergeCell ref="C21:L30"/>
    <mergeCell ref="M20:V20"/>
    <mergeCell ref="M21:V30"/>
    <mergeCell ref="W20:AF20"/>
    <mergeCell ref="W21:AF30"/>
  </mergeCells>
  <phoneticPr fontId="42"/>
  <hyperlinks>
    <hyperlink ref="A1:D1" location="目次!A1" display="　目次　" xr:uid="{CF50BF1F-5C9A-427A-AE9C-FD9CEB76A7E4}"/>
  </hyperlinks>
  <pageMargins left="0.69930555555555596" right="0.69930555555555596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57C0-1A57-40BA-BED1-2C0D5B45BA4A}">
  <dimension ref="A1:X105"/>
  <sheetViews>
    <sheetView topLeftCell="A25" zoomScale="115" zoomScaleNormal="115" workbookViewId="0">
      <selection activeCell="T8" sqref="T8"/>
    </sheetView>
  </sheetViews>
  <sheetFormatPr defaultColWidth="3.75" defaultRowHeight="13.5"/>
  <cols>
    <col min="1" max="2" width="3.75" style="478"/>
    <col min="3" max="3" width="3.75" style="478" customWidth="1"/>
    <col min="4" max="8" width="3.75" style="486"/>
    <col min="9" max="16384" width="3.75" style="478"/>
  </cols>
  <sheetData>
    <row r="1" spans="1:14">
      <c r="A1" s="686" t="s">
        <v>61</v>
      </c>
      <c r="B1" s="686"/>
      <c r="C1" s="686"/>
      <c r="D1" s="686"/>
      <c r="E1" s="686"/>
      <c r="F1" s="490"/>
      <c r="G1" s="490"/>
    </row>
    <row r="2" spans="1:14">
      <c r="C2" s="480"/>
      <c r="D2" s="487"/>
      <c r="E2" s="486" t="s">
        <v>364</v>
      </c>
      <c r="I2" s="481"/>
    </row>
    <row r="3" spans="1:14">
      <c r="C3" s="36"/>
      <c r="D3" s="488"/>
      <c r="E3" s="486" t="s">
        <v>395</v>
      </c>
      <c r="I3" s="481"/>
    </row>
    <row r="4" spans="1:14">
      <c r="C4" s="35"/>
      <c r="D4" s="489"/>
      <c r="E4" s="486" t="s">
        <v>404</v>
      </c>
      <c r="I4" s="481"/>
    </row>
    <row r="5" spans="1:14">
      <c r="C5" s="479" t="s">
        <v>1389</v>
      </c>
    </row>
    <row r="7" spans="1:14" s="1303" customFormat="1">
      <c r="A7" s="1302" t="s">
        <v>1366</v>
      </c>
    </row>
    <row r="8" spans="1:14">
      <c r="B8" s="1301" t="s">
        <v>1374</v>
      </c>
      <c r="C8" s="1301"/>
      <c r="D8" s="1301" t="s">
        <v>1121</v>
      </c>
      <c r="E8" s="1301"/>
      <c r="F8" s="1301"/>
      <c r="G8" s="1301"/>
      <c r="H8" s="1301"/>
      <c r="I8" s="709">
        <v>200</v>
      </c>
      <c r="J8" s="709"/>
      <c r="K8" s="709"/>
      <c r="L8" s="707" t="s">
        <v>1064</v>
      </c>
      <c r="M8" s="710"/>
    </row>
    <row r="9" spans="1:14">
      <c r="B9" s="1301" t="s">
        <v>1402</v>
      </c>
      <c r="C9" s="1301"/>
      <c r="D9" s="1301" t="s">
        <v>1466</v>
      </c>
      <c r="E9" s="1301"/>
      <c r="F9" s="1301"/>
      <c r="G9" s="1301"/>
      <c r="H9" s="1301"/>
      <c r="I9" s="709">
        <v>150</v>
      </c>
      <c r="J9" s="709"/>
      <c r="K9" s="709"/>
      <c r="L9" s="707" t="s">
        <v>1064</v>
      </c>
      <c r="M9" s="710"/>
    </row>
    <row r="10" spans="1:14">
      <c r="B10" s="1301" t="s">
        <v>1386</v>
      </c>
      <c r="C10" s="1301"/>
      <c r="D10" s="1301" t="s">
        <v>1467</v>
      </c>
      <c r="E10" s="1301"/>
      <c r="F10" s="1301"/>
      <c r="G10" s="1301"/>
      <c r="H10" s="1301"/>
      <c r="I10" s="709">
        <v>300</v>
      </c>
      <c r="J10" s="709"/>
      <c r="K10" s="709"/>
      <c r="L10" s="707" t="s">
        <v>1064</v>
      </c>
      <c r="M10" s="710"/>
    </row>
    <row r="11" spans="1:14">
      <c r="B11" s="1301" t="s">
        <v>1375</v>
      </c>
      <c r="C11" s="1301"/>
      <c r="D11" s="1301" t="s">
        <v>1063</v>
      </c>
      <c r="E11" s="1301"/>
      <c r="F11" s="1301"/>
      <c r="G11" s="1301"/>
      <c r="H11" s="1301"/>
      <c r="I11" s="709">
        <v>12</v>
      </c>
      <c r="J11" s="709"/>
      <c r="K11" s="709"/>
      <c r="L11" s="707" t="s">
        <v>1064</v>
      </c>
      <c r="M11" s="710"/>
    </row>
    <row r="12" spans="1:14">
      <c r="B12" s="1301"/>
      <c r="C12" s="1301"/>
      <c r="D12" s="1301" t="s">
        <v>1120</v>
      </c>
      <c r="E12" s="1301"/>
      <c r="F12" s="1301"/>
      <c r="G12" s="1301"/>
      <c r="H12" s="1301"/>
      <c r="I12" s="709">
        <v>3</v>
      </c>
      <c r="J12" s="709"/>
      <c r="K12" s="709"/>
      <c r="L12" s="707" t="s">
        <v>1269</v>
      </c>
      <c r="M12" s="710"/>
    </row>
    <row r="13" spans="1:14">
      <c r="B13" s="1301"/>
      <c r="C13" s="1301"/>
      <c r="D13" s="1301" t="s">
        <v>913</v>
      </c>
      <c r="E13" s="1301"/>
      <c r="F13" s="1301"/>
      <c r="G13" s="1301"/>
      <c r="H13" s="1301"/>
      <c r="I13" s="836">
        <v>1000000</v>
      </c>
      <c r="J13" s="836"/>
      <c r="K13" s="836"/>
      <c r="L13" s="844" t="s">
        <v>914</v>
      </c>
      <c r="M13" s="844"/>
    </row>
    <row r="14" spans="1:14">
      <c r="B14" s="1301" t="s">
        <v>1373</v>
      </c>
      <c r="C14" s="1301"/>
      <c r="D14" s="1301" t="s">
        <v>1354</v>
      </c>
      <c r="E14" s="1301"/>
      <c r="F14" s="1301"/>
      <c r="G14" s="1301"/>
      <c r="H14" s="1301"/>
      <c r="I14" s="836">
        <v>50</v>
      </c>
      <c r="J14" s="836"/>
      <c r="K14" s="836"/>
      <c r="L14" s="844" t="s">
        <v>1067</v>
      </c>
      <c r="M14" s="844"/>
      <c r="N14" s="481" t="s">
        <v>1381</v>
      </c>
    </row>
    <row r="15" spans="1:14">
      <c r="B15" s="1301"/>
      <c r="C15" s="1301"/>
      <c r="D15" s="1301" t="s">
        <v>1127</v>
      </c>
      <c r="E15" s="1301"/>
      <c r="F15" s="1301"/>
      <c r="G15" s="1301"/>
      <c r="H15" s="1301"/>
      <c r="I15" s="836">
        <v>90</v>
      </c>
      <c r="J15" s="836"/>
      <c r="K15" s="836"/>
      <c r="L15" s="844" t="s">
        <v>1067</v>
      </c>
      <c r="M15" s="844"/>
    </row>
    <row r="16" spans="1:14">
      <c r="B16" s="1301"/>
      <c r="C16" s="1301"/>
      <c r="D16" s="1301"/>
      <c r="E16" s="1301"/>
      <c r="F16" s="1301"/>
      <c r="G16" s="1301"/>
      <c r="H16" s="1301"/>
      <c r="I16" s="710"/>
      <c r="J16" s="710"/>
      <c r="K16" s="710"/>
      <c r="L16" s="710"/>
      <c r="M16" s="710"/>
    </row>
    <row r="17" spans="1:14" s="1305" customFormat="1" ht="13.5" customHeight="1">
      <c r="A17" s="1305" t="s">
        <v>1365</v>
      </c>
    </row>
    <row r="18" spans="1:14">
      <c r="B18" s="1301" t="s">
        <v>1361</v>
      </c>
      <c r="C18" s="1301"/>
      <c r="D18" s="1304" t="s">
        <v>1356</v>
      </c>
      <c r="E18" s="1304"/>
      <c r="F18" s="1304"/>
      <c r="G18" s="1304"/>
      <c r="H18" s="1304"/>
      <c r="I18" s="709">
        <v>490</v>
      </c>
      <c r="J18" s="709"/>
      <c r="K18" s="709"/>
      <c r="L18" s="880" t="s">
        <v>1355</v>
      </c>
      <c r="M18" s="880"/>
    </row>
    <row r="19" spans="1:14">
      <c r="B19" s="1301" t="s">
        <v>1362</v>
      </c>
      <c r="C19" s="1301"/>
      <c r="D19" s="1304" t="s">
        <v>1357</v>
      </c>
      <c r="E19" s="1304"/>
      <c r="F19" s="1304"/>
      <c r="G19" s="1304"/>
      <c r="H19" s="1304"/>
      <c r="I19" s="709">
        <v>60</v>
      </c>
      <c r="J19" s="709"/>
      <c r="K19" s="709"/>
      <c r="L19" s="880" t="s">
        <v>1355</v>
      </c>
      <c r="M19" s="880"/>
    </row>
    <row r="20" spans="1:14">
      <c r="B20" s="1301"/>
      <c r="C20" s="1301"/>
      <c r="D20" s="1304" t="s">
        <v>1358</v>
      </c>
      <c r="E20" s="1304"/>
      <c r="F20" s="1304"/>
      <c r="G20" s="1304"/>
      <c r="H20" s="1304"/>
      <c r="I20" s="709">
        <v>20</v>
      </c>
      <c r="J20" s="709"/>
      <c r="K20" s="709"/>
      <c r="L20" s="880" t="s">
        <v>1067</v>
      </c>
      <c r="M20" s="880"/>
    </row>
    <row r="21" spans="1:14">
      <c r="B21" s="1301" t="s">
        <v>1363</v>
      </c>
      <c r="C21" s="1301"/>
      <c r="D21" s="1304" t="s">
        <v>1359</v>
      </c>
      <c r="E21" s="1304"/>
      <c r="F21" s="1304"/>
      <c r="G21" s="1304"/>
      <c r="H21" s="1304"/>
      <c r="I21" s="875">
        <f>I18*(1-I20/100)</f>
        <v>392</v>
      </c>
      <c r="J21" s="875"/>
      <c r="K21" s="875"/>
      <c r="L21" s="880" t="s">
        <v>1355</v>
      </c>
      <c r="M21" s="880"/>
      <c r="N21" s="481"/>
    </row>
    <row r="22" spans="1:14">
      <c r="B22" s="1301" t="s">
        <v>1364</v>
      </c>
      <c r="C22" s="1301"/>
      <c r="D22" s="1304" t="s">
        <v>1360</v>
      </c>
      <c r="E22" s="1304"/>
      <c r="F22" s="1304"/>
      <c r="G22" s="1304"/>
      <c r="H22" s="1304"/>
      <c r="I22" s="875">
        <f>I21-I19</f>
        <v>332</v>
      </c>
      <c r="J22" s="875"/>
      <c r="K22" s="875"/>
      <c r="L22" s="880" t="s">
        <v>1355</v>
      </c>
      <c r="M22" s="880"/>
    </row>
    <row r="23" spans="1:14">
      <c r="B23" s="1301"/>
      <c r="C23" s="1301"/>
      <c r="D23" s="1301"/>
      <c r="E23" s="1301"/>
      <c r="F23" s="1301"/>
      <c r="G23" s="1301"/>
      <c r="H23" s="1301"/>
      <c r="I23" s="710"/>
      <c r="J23" s="710"/>
      <c r="K23" s="710"/>
      <c r="L23" s="710"/>
      <c r="M23" s="710"/>
    </row>
    <row r="24" spans="1:14" s="1305" customFormat="1" ht="13.5" customHeight="1">
      <c r="A24" s="1305" t="s">
        <v>1367</v>
      </c>
    </row>
    <row r="25" spans="1:14">
      <c r="B25" s="1301" t="s">
        <v>1368</v>
      </c>
      <c r="C25" s="1301"/>
      <c r="D25" s="1304" t="s">
        <v>1371</v>
      </c>
      <c r="E25" s="1304"/>
      <c r="F25" s="1304"/>
      <c r="G25" s="1304"/>
      <c r="H25" s="1304"/>
      <c r="I25" s="709">
        <v>0.6</v>
      </c>
      <c r="J25" s="709"/>
      <c r="K25" s="709"/>
      <c r="L25" s="880" t="s">
        <v>1064</v>
      </c>
      <c r="M25" s="880"/>
    </row>
    <row r="26" spans="1:14">
      <c r="B26" s="1301" t="s">
        <v>1369</v>
      </c>
      <c r="C26" s="1301"/>
      <c r="D26" s="1304" t="s">
        <v>1370</v>
      </c>
      <c r="E26" s="1304"/>
      <c r="F26" s="1304"/>
      <c r="G26" s="1304"/>
      <c r="H26" s="1304"/>
      <c r="I26" s="709">
        <v>0.5</v>
      </c>
      <c r="J26" s="709"/>
      <c r="K26" s="709"/>
      <c r="L26" s="880" t="s">
        <v>1064</v>
      </c>
      <c r="M26" s="880"/>
    </row>
    <row r="27" spans="1:14">
      <c r="B27" s="1301"/>
      <c r="C27" s="1301"/>
      <c r="D27" s="1304" t="s">
        <v>1372</v>
      </c>
      <c r="E27" s="1304"/>
      <c r="F27" s="1304"/>
      <c r="G27" s="1304"/>
      <c r="H27" s="1304"/>
      <c r="I27" s="875">
        <f>(I11+I25+I26)/(I14/100*I9)</f>
        <v>0.17466666666666666</v>
      </c>
      <c r="J27" s="875"/>
      <c r="K27" s="875"/>
      <c r="L27" s="710"/>
      <c r="M27" s="710"/>
    </row>
    <row r="28" spans="1:14">
      <c r="B28" s="1301"/>
      <c r="C28" s="1301"/>
      <c r="D28" s="1301"/>
      <c r="E28" s="1301"/>
      <c r="F28" s="1301"/>
      <c r="G28" s="1301"/>
      <c r="H28" s="1301"/>
      <c r="I28" s="710"/>
      <c r="J28" s="710"/>
      <c r="K28" s="710"/>
      <c r="L28" s="710"/>
      <c r="M28" s="710"/>
    </row>
    <row r="29" spans="1:14" s="1305" customFormat="1" ht="13.5" customHeight="1">
      <c r="A29" s="1305" t="s">
        <v>1392</v>
      </c>
    </row>
    <row r="30" spans="1:14">
      <c r="B30" s="1301" t="s">
        <v>1376</v>
      </c>
      <c r="C30" s="1301"/>
      <c r="D30" s="1304" t="s">
        <v>1377</v>
      </c>
      <c r="E30" s="1304"/>
      <c r="F30" s="1304"/>
      <c r="G30" s="1304"/>
      <c r="H30" s="1304"/>
      <c r="I30" s="709">
        <v>76</v>
      </c>
      <c r="J30" s="709"/>
      <c r="K30" s="709"/>
      <c r="L30" s="707" t="s">
        <v>1378</v>
      </c>
      <c r="M30" s="710"/>
    </row>
    <row r="31" spans="1:14">
      <c r="B31" s="1301" t="s">
        <v>1382</v>
      </c>
      <c r="C31" s="1301"/>
      <c r="D31" s="1304" t="s">
        <v>1383</v>
      </c>
      <c r="E31" s="1304"/>
      <c r="F31" s="1304"/>
      <c r="G31" s="1304"/>
      <c r="H31" s="1304"/>
      <c r="I31" s="709">
        <v>76</v>
      </c>
      <c r="J31" s="709"/>
      <c r="K31" s="709"/>
      <c r="L31" s="707" t="s">
        <v>1378</v>
      </c>
      <c r="M31" s="710"/>
    </row>
    <row r="32" spans="1:14">
      <c r="B32" s="1301" t="s">
        <v>1379</v>
      </c>
      <c r="C32" s="1301"/>
      <c r="D32" s="1304" t="s">
        <v>1380</v>
      </c>
      <c r="E32" s="1304"/>
      <c r="F32" s="1304"/>
      <c r="G32" s="1304"/>
      <c r="H32" s="1304"/>
      <c r="I32" s="709">
        <f>(1/I13)*(I14/100)</f>
        <v>4.9999999999999998E-7</v>
      </c>
      <c r="J32" s="709"/>
      <c r="K32" s="709"/>
      <c r="L32" s="707" t="s">
        <v>1196</v>
      </c>
      <c r="M32" s="710"/>
    </row>
    <row r="33" spans="1:24">
      <c r="B33" s="1301" t="s">
        <v>1387</v>
      </c>
      <c r="C33" s="1301"/>
      <c r="D33" s="1304" t="s">
        <v>1393</v>
      </c>
      <c r="E33" s="1304"/>
      <c r="F33" s="1304"/>
      <c r="G33" s="1304"/>
      <c r="H33" s="1304"/>
      <c r="I33" s="875">
        <f>(I10*I32)/(I31*I22)*10^9</f>
        <v>5.9448319594166135</v>
      </c>
      <c r="J33" s="875"/>
      <c r="K33" s="875"/>
      <c r="L33" s="844" t="s">
        <v>1385</v>
      </c>
      <c r="M33" s="844"/>
      <c r="N33" s="1306" t="s">
        <v>1388</v>
      </c>
      <c r="O33" s="1306"/>
      <c r="P33" s="1306"/>
      <c r="Q33" s="1306"/>
      <c r="R33" s="1306"/>
      <c r="S33" s="1306"/>
      <c r="T33" s="1306"/>
      <c r="U33" s="1306"/>
      <c r="V33" s="1306"/>
      <c r="W33" s="1306"/>
      <c r="X33" s="1306"/>
    </row>
    <row r="34" spans="1:24">
      <c r="B34" s="1301" t="s">
        <v>1390</v>
      </c>
      <c r="C34" s="1301"/>
      <c r="D34" s="1304" t="s">
        <v>1394</v>
      </c>
      <c r="E34" s="1304"/>
      <c r="F34" s="1304"/>
      <c r="G34" s="1304"/>
      <c r="H34" s="1304"/>
      <c r="I34" s="875">
        <f>I33*I27</f>
        <v>1.0383639822447686</v>
      </c>
      <c r="J34" s="875"/>
      <c r="K34" s="875"/>
      <c r="L34" s="844" t="s">
        <v>1385</v>
      </c>
      <c r="M34" s="844"/>
      <c r="N34" s="1306"/>
      <c r="O34" s="1306"/>
      <c r="P34" s="1306"/>
      <c r="Q34" s="1306"/>
      <c r="R34" s="1306"/>
      <c r="S34" s="1306"/>
      <c r="T34" s="1306"/>
      <c r="U34" s="1306"/>
      <c r="V34" s="1306"/>
      <c r="W34" s="1306"/>
      <c r="X34" s="1306"/>
    </row>
    <row r="35" spans="1:24">
      <c r="B35" s="1301"/>
      <c r="C35" s="1301"/>
      <c r="D35" s="1301"/>
      <c r="E35" s="1301"/>
      <c r="F35" s="1301"/>
      <c r="G35" s="1301"/>
      <c r="H35" s="1301"/>
      <c r="I35" s="710"/>
      <c r="J35" s="710"/>
      <c r="K35" s="710"/>
      <c r="L35" s="710"/>
      <c r="M35" s="710"/>
    </row>
    <row r="36" spans="1:24" s="1305" customFormat="1" ht="13.5" customHeight="1">
      <c r="A36" s="1305" t="s">
        <v>1399</v>
      </c>
    </row>
    <row r="37" spans="1:24">
      <c r="B37" s="1301" t="s">
        <v>1387</v>
      </c>
      <c r="C37" s="1301"/>
      <c r="D37" s="1304" t="s">
        <v>1384</v>
      </c>
      <c r="E37" s="1304"/>
      <c r="F37" s="1304"/>
      <c r="G37" s="1304"/>
      <c r="H37" s="1304"/>
      <c r="I37" s="709">
        <v>40</v>
      </c>
      <c r="J37" s="709"/>
      <c r="K37" s="709"/>
      <c r="L37" s="844" t="s">
        <v>1385</v>
      </c>
      <c r="M37" s="844"/>
    </row>
    <row r="38" spans="1:24">
      <c r="B38" s="1301" t="s">
        <v>1390</v>
      </c>
      <c r="C38" s="1301"/>
      <c r="D38" s="1304" t="s">
        <v>1391</v>
      </c>
      <c r="E38" s="1304"/>
      <c r="F38" s="1304"/>
      <c r="G38" s="1304"/>
      <c r="H38" s="1304"/>
      <c r="I38" s="875">
        <f>I37*I27</f>
        <v>6.9866666666666664</v>
      </c>
      <c r="J38" s="875"/>
      <c r="K38" s="875"/>
      <c r="L38" s="844" t="s">
        <v>1385</v>
      </c>
      <c r="M38" s="844"/>
    </row>
    <row r="39" spans="1:24">
      <c r="B39" s="1301"/>
      <c r="C39" s="1301"/>
      <c r="D39" s="1301"/>
      <c r="E39" s="1301"/>
      <c r="F39" s="1301"/>
      <c r="G39" s="1301"/>
      <c r="H39" s="1301"/>
      <c r="I39" s="710"/>
      <c r="J39" s="710"/>
      <c r="K39" s="710"/>
      <c r="L39" s="710"/>
      <c r="M39" s="710"/>
    </row>
    <row r="40" spans="1:24">
      <c r="B40" s="1301" t="s">
        <v>1390</v>
      </c>
      <c r="C40" s="1301"/>
      <c r="D40" s="1304" t="s">
        <v>1391</v>
      </c>
      <c r="E40" s="1304"/>
      <c r="F40" s="1304"/>
      <c r="G40" s="1304"/>
      <c r="H40" s="1304"/>
      <c r="I40" s="709">
        <v>1</v>
      </c>
      <c r="J40" s="709"/>
      <c r="K40" s="709"/>
      <c r="L40" s="844" t="s">
        <v>1385</v>
      </c>
      <c r="M40" s="844"/>
    </row>
    <row r="41" spans="1:24">
      <c r="B41" s="1301" t="s">
        <v>1387</v>
      </c>
      <c r="C41" s="1301"/>
      <c r="D41" s="1304" t="s">
        <v>1384</v>
      </c>
      <c r="E41" s="1304"/>
      <c r="F41" s="1304"/>
      <c r="G41" s="1304"/>
      <c r="H41" s="1304"/>
      <c r="I41" s="875">
        <f>I40*(1/I27)</f>
        <v>5.7251908396946565</v>
      </c>
      <c r="J41" s="875"/>
      <c r="K41" s="875"/>
      <c r="L41" s="844" t="s">
        <v>1385</v>
      </c>
      <c r="M41" s="844"/>
    </row>
    <row r="42" spans="1:24">
      <c r="B42" s="1301"/>
      <c r="C42" s="1301"/>
      <c r="D42" s="1301"/>
      <c r="E42" s="1301"/>
      <c r="F42" s="1301"/>
      <c r="G42" s="1301"/>
      <c r="H42" s="1301"/>
      <c r="I42" s="710"/>
      <c r="J42" s="710"/>
      <c r="K42" s="710"/>
      <c r="L42" s="710"/>
      <c r="M42" s="710"/>
    </row>
    <row r="43" spans="1:24" s="1305" customFormat="1" ht="13.5" customHeight="1">
      <c r="A43" s="1305" t="s">
        <v>1395</v>
      </c>
    </row>
    <row r="44" spans="1:24">
      <c r="B44" s="1301" t="s">
        <v>1387</v>
      </c>
      <c r="C44" s="1301"/>
      <c r="D44" s="1304" t="s">
        <v>1384</v>
      </c>
      <c r="E44" s="1304"/>
      <c r="F44" s="1304"/>
      <c r="G44" s="1304"/>
      <c r="H44" s="1304"/>
      <c r="I44" s="709">
        <v>40</v>
      </c>
      <c r="J44" s="709"/>
      <c r="K44" s="709"/>
      <c r="L44" s="844" t="s">
        <v>1385</v>
      </c>
      <c r="M44" s="844"/>
    </row>
    <row r="45" spans="1:24">
      <c r="B45" s="1301" t="s">
        <v>1390</v>
      </c>
      <c r="C45" s="1301"/>
      <c r="D45" s="1304" t="s">
        <v>1391</v>
      </c>
      <c r="E45" s="1304"/>
      <c r="F45" s="1304"/>
      <c r="G45" s="1304"/>
      <c r="H45" s="1304"/>
      <c r="I45" s="709">
        <v>7</v>
      </c>
      <c r="J45" s="709"/>
      <c r="K45" s="709"/>
      <c r="L45" s="844" t="s">
        <v>1385</v>
      </c>
      <c r="M45" s="844"/>
    </row>
    <row r="46" spans="1:24">
      <c r="B46" s="1301" t="s">
        <v>1397</v>
      </c>
      <c r="C46" s="1301"/>
      <c r="D46" s="1304" t="s">
        <v>1396</v>
      </c>
      <c r="E46" s="1304"/>
      <c r="F46" s="1304"/>
      <c r="G46" s="1304"/>
      <c r="H46" s="1304"/>
      <c r="I46" s="875">
        <f>(I11+I25+I26)/(I14/100)*I44/I45</f>
        <v>149.71428571428572</v>
      </c>
      <c r="J46" s="875"/>
      <c r="K46" s="875"/>
      <c r="L46" s="844" t="s">
        <v>1064</v>
      </c>
      <c r="M46" s="844"/>
    </row>
    <row r="47" spans="1:24">
      <c r="B47" s="1301"/>
      <c r="C47" s="1301"/>
      <c r="D47" s="1301"/>
      <c r="E47" s="1301"/>
      <c r="F47" s="1301"/>
      <c r="G47" s="1301"/>
      <c r="H47" s="1301"/>
      <c r="I47" s="710"/>
      <c r="J47" s="710"/>
      <c r="K47" s="710"/>
      <c r="L47" s="710"/>
      <c r="M47" s="710"/>
    </row>
    <row r="48" spans="1:24" s="1305" customFormat="1" ht="13.5" customHeight="1">
      <c r="A48" s="1305" t="s">
        <v>1398</v>
      </c>
    </row>
    <row r="49" spans="1:19">
      <c r="B49" s="1301" t="s">
        <v>1364</v>
      </c>
      <c r="C49" s="1301"/>
      <c r="D49" s="1304" t="s">
        <v>1401</v>
      </c>
      <c r="E49" s="1304"/>
      <c r="F49" s="1304"/>
      <c r="G49" s="1304"/>
      <c r="H49" s="1304"/>
      <c r="I49" s="1307">
        <f>(I10*I32)/(I31*I44)*10^9</f>
        <v>49.34210526315789</v>
      </c>
      <c r="J49" s="875"/>
      <c r="K49" s="875"/>
      <c r="L49" s="880" t="s">
        <v>1400</v>
      </c>
      <c r="M49" s="880"/>
    </row>
    <row r="50" spans="1:19">
      <c r="B50" s="1301"/>
      <c r="C50" s="1301"/>
      <c r="D50" s="1301"/>
      <c r="E50" s="1301"/>
      <c r="F50" s="1301"/>
      <c r="G50" s="1301"/>
      <c r="H50" s="1301"/>
      <c r="I50" s="710"/>
      <c r="J50" s="710"/>
      <c r="K50" s="710"/>
      <c r="L50" s="710"/>
      <c r="M50" s="710"/>
    </row>
    <row r="51" spans="1:19" s="1305" customFormat="1" ht="13.5" customHeight="1">
      <c r="A51" s="1305" t="s">
        <v>1403</v>
      </c>
    </row>
    <row r="52" spans="1:19">
      <c r="B52" s="1301" t="s">
        <v>1373</v>
      </c>
      <c r="C52" s="1301"/>
      <c r="D52" s="1301" t="s">
        <v>1404</v>
      </c>
      <c r="E52" s="1301"/>
      <c r="F52" s="1301"/>
      <c r="G52" s="1301"/>
      <c r="H52" s="1301"/>
      <c r="I52" s="875">
        <f>(I11+I25+I26)/((I45/I44)*I8)*100</f>
        <v>37.428571428571431</v>
      </c>
      <c r="J52" s="875"/>
      <c r="K52" s="875"/>
      <c r="L52" s="707" t="s">
        <v>1067</v>
      </c>
      <c r="M52" s="710"/>
    </row>
    <row r="53" spans="1:19">
      <c r="B53" s="1301" t="s">
        <v>1379</v>
      </c>
      <c r="C53" s="1301"/>
      <c r="D53" s="1301" t="s">
        <v>1406</v>
      </c>
      <c r="E53" s="1301"/>
      <c r="F53" s="1301"/>
      <c r="G53" s="1301"/>
      <c r="H53" s="1301"/>
      <c r="I53" s="875">
        <f>1/I13*(I52/100)</f>
        <v>3.7428571428571434E-7</v>
      </c>
      <c r="J53" s="875"/>
      <c r="K53" s="875"/>
      <c r="L53" s="707" t="s">
        <v>1196</v>
      </c>
      <c r="M53" s="710"/>
    </row>
    <row r="54" spans="1:19">
      <c r="B54" s="1301" t="s">
        <v>1405</v>
      </c>
      <c r="C54" s="1301"/>
      <c r="D54" s="1301" t="s">
        <v>1408</v>
      </c>
      <c r="E54" s="1301"/>
      <c r="F54" s="1301"/>
      <c r="G54" s="1301"/>
      <c r="H54" s="1301"/>
      <c r="I54" s="875">
        <f>(I8*I53)/(I30*I44)*10^9</f>
        <v>24.624060150375946</v>
      </c>
      <c r="J54" s="875"/>
      <c r="K54" s="875"/>
      <c r="L54" s="844" t="s">
        <v>1355</v>
      </c>
      <c r="M54" s="844"/>
    </row>
    <row r="55" spans="1:19">
      <c r="B55" s="1301" t="s">
        <v>1407</v>
      </c>
      <c r="C55" s="1301"/>
      <c r="D55" s="1301" t="s">
        <v>1359</v>
      </c>
      <c r="E55" s="1301"/>
      <c r="F55" s="1301"/>
      <c r="G55" s="1301"/>
      <c r="H55" s="1301"/>
      <c r="I55" s="875">
        <f>I54+I19</f>
        <v>84.624060150375954</v>
      </c>
      <c r="J55" s="875"/>
      <c r="K55" s="875"/>
      <c r="L55" s="844" t="s">
        <v>1355</v>
      </c>
      <c r="M55" s="844"/>
    </row>
    <row r="56" spans="1:19">
      <c r="A56" s="491" t="s">
        <v>1415</v>
      </c>
      <c r="C56" s="491"/>
      <c r="D56" s="491"/>
      <c r="E56" s="491"/>
      <c r="F56" s="491"/>
      <c r="G56" s="491"/>
      <c r="H56" s="491"/>
      <c r="I56" s="491"/>
      <c r="J56" s="491"/>
      <c r="K56" s="491"/>
      <c r="L56" s="491"/>
      <c r="M56" s="491"/>
      <c r="N56" s="491"/>
      <c r="O56" s="491"/>
      <c r="P56" s="491" t="s">
        <v>1409</v>
      </c>
      <c r="Q56" s="491"/>
      <c r="R56" s="491"/>
      <c r="S56" s="491"/>
    </row>
    <row r="57" spans="1:19">
      <c r="A57" s="491" t="s">
        <v>1414</v>
      </c>
      <c r="C57" s="491"/>
      <c r="D57" s="491"/>
      <c r="E57" s="491"/>
      <c r="F57" s="491"/>
      <c r="G57" s="491"/>
      <c r="H57" s="491"/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</row>
    <row r="58" spans="1:19">
      <c r="B58" s="1301" t="s">
        <v>1410</v>
      </c>
      <c r="C58" s="1301"/>
      <c r="D58" s="1301" t="s">
        <v>1411</v>
      </c>
      <c r="E58" s="1301"/>
      <c r="F58" s="1301"/>
      <c r="G58" s="1301"/>
      <c r="H58" s="1301"/>
      <c r="I58" s="709">
        <v>150</v>
      </c>
      <c r="J58" s="709"/>
      <c r="K58" s="709"/>
      <c r="L58" s="844" t="s">
        <v>1412</v>
      </c>
      <c r="M58" s="844"/>
    </row>
    <row r="59" spans="1:19">
      <c r="B59" s="1301" t="s">
        <v>1413</v>
      </c>
      <c r="C59" s="1301"/>
      <c r="D59" s="1301" t="s">
        <v>1416</v>
      </c>
      <c r="E59" s="1301"/>
      <c r="F59" s="1301"/>
      <c r="G59" s="1301"/>
      <c r="H59" s="1301"/>
      <c r="I59" s="709">
        <v>9420</v>
      </c>
      <c r="J59" s="709"/>
      <c r="K59" s="709"/>
      <c r="L59" s="844" t="s">
        <v>1417</v>
      </c>
      <c r="M59" s="844"/>
    </row>
    <row r="60" spans="1:19">
      <c r="B60" s="1301" t="s">
        <v>1418</v>
      </c>
      <c r="C60" s="1301"/>
      <c r="D60" s="1301" t="s">
        <v>1419</v>
      </c>
      <c r="E60" s="1301"/>
      <c r="F60" s="1301"/>
      <c r="G60" s="1301"/>
      <c r="H60" s="1301"/>
      <c r="I60" s="875">
        <f>(1/2)*I58*10^3*I59*10^-9</f>
        <v>0.70650000000000002</v>
      </c>
      <c r="J60" s="875"/>
      <c r="K60" s="875"/>
      <c r="L60" s="844" t="s">
        <v>1331</v>
      </c>
      <c r="M60" s="844"/>
    </row>
    <row r="61" spans="1:19" s="1305" customFormat="1" ht="13.5" customHeight="1">
      <c r="A61" s="1305" t="s">
        <v>1424</v>
      </c>
    </row>
    <row r="62" spans="1:19">
      <c r="A62" s="481" t="s">
        <v>1420</v>
      </c>
    </row>
    <row r="63" spans="1:19">
      <c r="B63" s="1301"/>
      <c r="C63" s="1301"/>
      <c r="D63" s="1301" t="s">
        <v>1421</v>
      </c>
      <c r="E63" s="1301"/>
      <c r="F63" s="1301"/>
      <c r="G63" s="1301"/>
      <c r="H63" s="1301"/>
      <c r="I63" s="709">
        <v>1.4</v>
      </c>
      <c r="J63" s="709"/>
      <c r="K63" s="709"/>
      <c r="L63" s="844"/>
      <c r="M63" s="844"/>
    </row>
    <row r="64" spans="1:19">
      <c r="B64" s="1301"/>
      <c r="C64" s="1301"/>
      <c r="D64" s="1301" t="s">
        <v>1423</v>
      </c>
      <c r="E64" s="1301"/>
      <c r="F64" s="1301"/>
      <c r="G64" s="1301"/>
      <c r="H64" s="1301"/>
      <c r="I64" s="875">
        <f>I63-I60</f>
        <v>0.69349999999999989</v>
      </c>
      <c r="J64" s="875"/>
      <c r="K64" s="875"/>
      <c r="L64" s="844" t="s">
        <v>1331</v>
      </c>
      <c r="M64" s="844"/>
    </row>
    <row r="65" spans="1:17">
      <c r="B65" s="1301"/>
      <c r="C65" s="1301"/>
      <c r="D65" s="1301"/>
      <c r="E65" s="1301"/>
      <c r="F65" s="1301"/>
      <c r="G65" s="1301"/>
      <c r="H65" s="1301"/>
      <c r="I65" s="710"/>
      <c r="J65" s="710"/>
      <c r="K65" s="710"/>
      <c r="L65" s="844"/>
      <c r="M65" s="844"/>
    </row>
    <row r="66" spans="1:17" s="1305" customFormat="1" ht="13.5" customHeight="1">
      <c r="A66" s="1305" t="s">
        <v>1431</v>
      </c>
    </row>
    <row r="67" spans="1:17">
      <c r="B67" s="1301" t="s">
        <v>1433</v>
      </c>
      <c r="C67" s="1301"/>
      <c r="D67" s="1301" t="s">
        <v>1453</v>
      </c>
      <c r="E67" s="1301"/>
      <c r="F67" s="1301"/>
      <c r="G67" s="1301"/>
      <c r="H67" s="1301"/>
      <c r="I67" s="875">
        <f>I11*I12/(I15/100*I52/100*I8)</f>
        <v>0.53435114503816783</v>
      </c>
      <c r="J67" s="875"/>
      <c r="K67" s="875"/>
      <c r="L67" s="844" t="s">
        <v>1269</v>
      </c>
      <c r="M67" s="844"/>
    </row>
    <row r="68" spans="1:17">
      <c r="B68" s="1301" t="s">
        <v>1434</v>
      </c>
      <c r="C68" s="1301"/>
      <c r="D68" s="1301" t="s">
        <v>1454</v>
      </c>
      <c r="E68" s="1301"/>
      <c r="F68" s="1301"/>
      <c r="G68" s="1301"/>
      <c r="H68" s="1301"/>
      <c r="I68" s="875">
        <f>I67*SQRT(I52/100)</f>
        <v>0.32691012374601308</v>
      </c>
      <c r="J68" s="875"/>
      <c r="K68" s="875"/>
      <c r="L68" s="844" t="s">
        <v>1432</v>
      </c>
      <c r="M68" s="844"/>
    </row>
    <row r="69" spans="1:17">
      <c r="B69" s="1301"/>
      <c r="C69" s="1301"/>
      <c r="D69" s="1301"/>
      <c r="E69" s="1301"/>
      <c r="F69" s="1301"/>
      <c r="G69" s="1301"/>
      <c r="H69" s="1301"/>
      <c r="I69" s="710"/>
      <c r="J69" s="710"/>
      <c r="K69" s="710"/>
      <c r="L69" s="844"/>
      <c r="M69" s="844"/>
    </row>
    <row r="70" spans="1:17" s="1305" customFormat="1" ht="13.5" customHeight="1">
      <c r="A70" s="1305" t="s">
        <v>1435</v>
      </c>
    </row>
    <row r="71" spans="1:17">
      <c r="B71" s="1301"/>
      <c r="C71" s="1301"/>
      <c r="D71" s="1301" t="s">
        <v>1437</v>
      </c>
      <c r="E71" s="1301"/>
      <c r="F71" s="1301"/>
      <c r="G71" s="1301"/>
      <c r="H71" s="1301"/>
      <c r="I71" s="709">
        <v>3</v>
      </c>
      <c r="J71" s="709"/>
      <c r="K71" s="709"/>
      <c r="L71" s="844" t="s">
        <v>1438</v>
      </c>
      <c r="M71" s="844"/>
    </row>
    <row r="72" spans="1:17">
      <c r="B72" s="1301" t="s">
        <v>1436</v>
      </c>
      <c r="C72" s="1301"/>
      <c r="D72" s="1301" t="s">
        <v>1422</v>
      </c>
      <c r="E72" s="1301"/>
      <c r="F72" s="1301"/>
      <c r="G72" s="1301"/>
      <c r="H72" s="1301"/>
      <c r="I72" s="875">
        <f>I64/I71</f>
        <v>0.23116666666666663</v>
      </c>
      <c r="J72" s="875"/>
      <c r="K72" s="875"/>
      <c r="L72" s="844" t="s">
        <v>1331</v>
      </c>
      <c r="M72" s="844"/>
    </row>
    <row r="73" spans="1:17">
      <c r="B73" s="1301" t="s">
        <v>1439</v>
      </c>
      <c r="C73" s="1301"/>
      <c r="D73" s="1301" t="s">
        <v>1455</v>
      </c>
      <c r="E73" s="1301"/>
      <c r="F73" s="1301"/>
      <c r="G73" s="1301"/>
      <c r="H73" s="1301"/>
      <c r="I73" s="875">
        <f>I72/I68^2</f>
        <v>2.1630595238095234</v>
      </c>
      <c r="J73" s="875"/>
      <c r="K73" s="875"/>
      <c r="L73" s="844" t="s">
        <v>1099</v>
      </c>
      <c r="M73" s="844"/>
    </row>
    <row r="74" spans="1:17">
      <c r="B74" s="1301"/>
      <c r="C74" s="1301"/>
      <c r="D74" s="1301"/>
      <c r="E74" s="1301"/>
      <c r="F74" s="1301"/>
      <c r="G74" s="1301"/>
      <c r="H74" s="1301"/>
      <c r="I74" s="710"/>
      <c r="J74" s="710"/>
      <c r="K74" s="710"/>
      <c r="L74" s="844"/>
      <c r="M74" s="844"/>
    </row>
    <row r="75" spans="1:17" s="1308" customFormat="1" ht="13.5" customHeight="1">
      <c r="A75" s="1308" t="s">
        <v>1425</v>
      </c>
    </row>
    <row r="76" spans="1:17" s="492" customFormat="1">
      <c r="B76" s="1308" t="s">
        <v>1426</v>
      </c>
      <c r="C76" s="1308"/>
      <c r="D76" s="1308" t="s">
        <v>1428</v>
      </c>
      <c r="E76" s="1308"/>
      <c r="F76" s="1308"/>
      <c r="G76" s="1308"/>
      <c r="H76" s="1308"/>
      <c r="I76" s="1309">
        <f>76/SQRT(I13)</f>
        <v>7.5999999999999998E-2</v>
      </c>
      <c r="J76" s="1309"/>
      <c r="K76" s="1309"/>
      <c r="L76" s="1310" t="s">
        <v>1429</v>
      </c>
      <c r="M76" s="1310"/>
      <c r="Q76" s="493" t="s">
        <v>1430</v>
      </c>
    </row>
    <row r="77" spans="1:17" s="492" customFormat="1">
      <c r="A77" s="494" t="s">
        <v>1449</v>
      </c>
    </row>
    <row r="78" spans="1:17" s="492" customFormat="1">
      <c r="B78" s="1308" t="s">
        <v>1441</v>
      </c>
      <c r="C78" s="1308"/>
      <c r="D78" s="1308" t="s">
        <v>1442</v>
      </c>
      <c r="E78" s="1308"/>
      <c r="F78" s="1308"/>
      <c r="G78" s="1308"/>
      <c r="H78" s="1308"/>
      <c r="I78" s="1309">
        <f>1.73*10^-5</f>
        <v>1.73E-5</v>
      </c>
      <c r="J78" s="1309"/>
      <c r="K78" s="1309"/>
      <c r="L78" s="1310" t="s">
        <v>1440</v>
      </c>
      <c r="M78" s="1310"/>
    </row>
    <row r="79" spans="1:17" s="492" customFormat="1">
      <c r="B79" s="1308" t="s">
        <v>1445</v>
      </c>
      <c r="C79" s="1308"/>
      <c r="D79" s="1308" t="s">
        <v>1446</v>
      </c>
      <c r="E79" s="1308"/>
      <c r="F79" s="1308"/>
      <c r="G79" s="1308"/>
      <c r="H79" s="1308"/>
      <c r="I79" s="1309">
        <v>83.6</v>
      </c>
      <c r="J79" s="1309"/>
      <c r="K79" s="1309"/>
      <c r="L79" s="1310" t="s">
        <v>1429</v>
      </c>
      <c r="M79" s="1310"/>
      <c r="N79" s="493" t="s">
        <v>1447</v>
      </c>
    </row>
    <row r="80" spans="1:17" s="492" customFormat="1">
      <c r="B80" s="1308" t="s">
        <v>1444</v>
      </c>
      <c r="C80" s="1308"/>
      <c r="D80" s="1308" t="s">
        <v>1443</v>
      </c>
      <c r="E80" s="1308"/>
      <c r="F80" s="1308"/>
      <c r="G80" s="1308"/>
      <c r="H80" s="1308"/>
      <c r="I80" s="1309">
        <f>I78*(I44*I79)/I73</f>
        <v>2.6745079995817218E-2</v>
      </c>
      <c r="J80" s="1309"/>
      <c r="K80" s="1309"/>
      <c r="L80" s="1310" t="s">
        <v>1378</v>
      </c>
      <c r="M80" s="1310"/>
    </row>
    <row r="81" spans="1:14" s="492" customFormat="1">
      <c r="B81" s="1308"/>
      <c r="C81" s="1308"/>
      <c r="D81" s="1308" t="s">
        <v>1427</v>
      </c>
      <c r="E81" s="1308"/>
      <c r="F81" s="1308"/>
      <c r="G81" s="1308"/>
      <c r="H81" s="1308"/>
      <c r="I81" s="1309">
        <f>SQRT(4*I80/PI())</f>
        <v>0.18453426098635403</v>
      </c>
      <c r="J81" s="1309"/>
      <c r="K81" s="1309"/>
      <c r="L81" s="1310" t="s">
        <v>1429</v>
      </c>
      <c r="M81" s="1310"/>
    </row>
    <row r="82" spans="1:14" s="492" customFormat="1">
      <c r="B82" s="1308"/>
      <c r="C82" s="1308"/>
      <c r="D82" s="1308"/>
      <c r="E82" s="1308"/>
      <c r="F82" s="1308"/>
      <c r="G82" s="1308"/>
      <c r="H82" s="1308"/>
      <c r="I82" s="1309"/>
      <c r="J82" s="1309"/>
      <c r="K82" s="1309"/>
      <c r="L82" s="1310"/>
      <c r="M82" s="1310"/>
    </row>
    <row r="83" spans="1:14" s="492" customFormat="1">
      <c r="A83" s="494" t="s">
        <v>1448</v>
      </c>
      <c r="D83" s="495"/>
      <c r="E83" s="495"/>
      <c r="F83" s="495"/>
      <c r="G83" s="495"/>
      <c r="H83" s="495"/>
    </row>
    <row r="84" spans="1:14" s="492" customFormat="1">
      <c r="B84" s="1308" t="s">
        <v>1450</v>
      </c>
      <c r="C84" s="1308"/>
      <c r="D84" s="1308" t="s">
        <v>1451</v>
      </c>
      <c r="E84" s="1308"/>
      <c r="F84" s="1308"/>
      <c r="G84" s="1308"/>
      <c r="H84" s="1308"/>
      <c r="I84" s="1309">
        <f>I67*(I44/I45)*SQRT(I52/100)</f>
        <v>1.8680578499772174</v>
      </c>
      <c r="J84" s="1309"/>
      <c r="K84" s="1309"/>
      <c r="L84" s="1310" t="s">
        <v>1432</v>
      </c>
      <c r="M84" s="1310"/>
    </row>
    <row r="85" spans="1:14" s="492" customFormat="1">
      <c r="B85" s="1308" t="s">
        <v>1439</v>
      </c>
      <c r="C85" s="1308"/>
      <c r="D85" s="1308" t="s">
        <v>1452</v>
      </c>
      <c r="E85" s="1308"/>
      <c r="F85" s="1308"/>
      <c r="G85" s="1308"/>
      <c r="H85" s="1308"/>
      <c r="I85" s="1309">
        <f>I72/I84^2</f>
        <v>6.6243697916666677E-2</v>
      </c>
      <c r="J85" s="1309"/>
      <c r="K85" s="1309"/>
      <c r="L85" s="1310" t="s">
        <v>1099</v>
      </c>
      <c r="M85" s="1310"/>
    </row>
    <row r="86" spans="1:14" s="492" customFormat="1">
      <c r="B86" s="1308" t="s">
        <v>1441</v>
      </c>
      <c r="C86" s="1308"/>
      <c r="D86" s="1308" t="s">
        <v>1442</v>
      </c>
      <c r="E86" s="1308"/>
      <c r="F86" s="1308"/>
      <c r="G86" s="1308"/>
      <c r="H86" s="1308"/>
      <c r="I86" s="1309">
        <f>1.73*10^-5</f>
        <v>1.73E-5</v>
      </c>
      <c r="J86" s="1309"/>
      <c r="K86" s="1309"/>
      <c r="L86" s="1310" t="s">
        <v>1440</v>
      </c>
      <c r="M86" s="1310"/>
    </row>
    <row r="87" spans="1:14" s="492" customFormat="1">
      <c r="B87" s="1308" t="s">
        <v>1445</v>
      </c>
      <c r="C87" s="1308"/>
      <c r="D87" s="1308" t="s">
        <v>1446</v>
      </c>
      <c r="E87" s="1308"/>
      <c r="F87" s="1308"/>
      <c r="G87" s="1308"/>
      <c r="H87" s="1308"/>
      <c r="I87" s="1309">
        <v>83.6</v>
      </c>
      <c r="J87" s="1309"/>
      <c r="K87" s="1309"/>
      <c r="L87" s="1310" t="s">
        <v>1429</v>
      </c>
      <c r="M87" s="1310"/>
      <c r="N87" s="493" t="s">
        <v>1447</v>
      </c>
    </row>
    <row r="88" spans="1:14" s="492" customFormat="1">
      <c r="B88" s="1308" t="s">
        <v>1456</v>
      </c>
      <c r="C88" s="1308"/>
      <c r="D88" s="1308" t="s">
        <v>1443</v>
      </c>
      <c r="E88" s="1308"/>
      <c r="F88" s="1308"/>
      <c r="G88" s="1308"/>
      <c r="H88" s="1308"/>
      <c r="I88" s="1309">
        <f>I86*(I45*I87)/I85</f>
        <v>0.15282902854752689</v>
      </c>
      <c r="J88" s="1309"/>
      <c r="K88" s="1309"/>
      <c r="L88" s="1310" t="s">
        <v>1378</v>
      </c>
      <c r="M88" s="1310"/>
    </row>
    <row r="89" spans="1:14" s="492" customFormat="1">
      <c r="B89" s="1308" t="s">
        <v>1458</v>
      </c>
      <c r="C89" s="1308"/>
      <c r="D89" s="1308" t="s">
        <v>1457</v>
      </c>
      <c r="E89" s="1308"/>
      <c r="F89" s="1308"/>
      <c r="G89" s="1308"/>
      <c r="H89" s="1308"/>
      <c r="I89" s="1309">
        <f>I76*2</f>
        <v>0.152</v>
      </c>
      <c r="J89" s="1309"/>
      <c r="K89" s="1309"/>
      <c r="L89" s="1310" t="s">
        <v>1429</v>
      </c>
      <c r="M89" s="1310"/>
      <c r="N89" s="494" t="s">
        <v>1459</v>
      </c>
    </row>
    <row r="90" spans="1:14" s="492" customFormat="1">
      <c r="B90" s="1308"/>
      <c r="C90" s="1308"/>
      <c r="D90" s="1308" t="s">
        <v>1461</v>
      </c>
      <c r="E90" s="1308"/>
      <c r="F90" s="1308"/>
      <c r="G90" s="1308"/>
      <c r="H90" s="1308"/>
      <c r="I90" s="1309">
        <v>0.48</v>
      </c>
      <c r="J90" s="1309"/>
      <c r="K90" s="1309"/>
      <c r="L90" s="1310" t="s">
        <v>1429</v>
      </c>
      <c r="M90" s="1310"/>
    </row>
    <row r="91" spans="1:14" s="492" customFormat="1">
      <c r="B91" s="1308" t="s">
        <v>1460</v>
      </c>
      <c r="C91" s="1308"/>
      <c r="D91" s="1308" t="s">
        <v>1463</v>
      </c>
      <c r="E91" s="1308"/>
      <c r="F91" s="1308"/>
      <c r="G91" s="1308"/>
      <c r="H91" s="1308"/>
      <c r="I91" s="1309">
        <f>I88/(PI()*(I90^2)/2)</f>
        <v>0.42228290523040435</v>
      </c>
      <c r="J91" s="1309"/>
      <c r="K91" s="1309"/>
      <c r="L91" s="1310" t="s">
        <v>1462</v>
      </c>
      <c r="M91" s="1310"/>
    </row>
    <row r="92" spans="1:14" s="492" customFormat="1">
      <c r="B92" s="1308"/>
      <c r="C92" s="1308"/>
      <c r="D92" s="1308"/>
      <c r="E92" s="1308"/>
      <c r="F92" s="1308"/>
      <c r="G92" s="1308"/>
      <c r="H92" s="1308"/>
      <c r="I92" s="1309"/>
      <c r="J92" s="1309"/>
      <c r="K92" s="1309"/>
      <c r="L92" s="1310"/>
      <c r="M92" s="1310"/>
    </row>
    <row r="93" spans="1:14" s="492" customFormat="1">
      <c r="B93" s="1308"/>
      <c r="C93" s="1308"/>
      <c r="D93" s="1308"/>
      <c r="E93" s="1308"/>
      <c r="F93" s="1308"/>
      <c r="G93" s="1308"/>
      <c r="H93" s="1308"/>
      <c r="I93" s="1309"/>
      <c r="J93" s="1309"/>
      <c r="K93" s="1309"/>
      <c r="L93" s="1310"/>
      <c r="M93" s="1310"/>
    </row>
    <row r="94" spans="1:14" s="492" customFormat="1">
      <c r="B94" s="1308"/>
      <c r="C94" s="1308"/>
      <c r="D94" s="1308"/>
      <c r="E94" s="1308"/>
      <c r="F94" s="1308"/>
      <c r="G94" s="1308"/>
      <c r="H94" s="1308"/>
      <c r="I94" s="1309"/>
      <c r="J94" s="1309"/>
      <c r="K94" s="1309"/>
      <c r="L94" s="1310"/>
      <c r="M94" s="1310"/>
    </row>
    <row r="95" spans="1:14" s="492" customFormat="1">
      <c r="D95" s="495"/>
      <c r="E95" s="495"/>
      <c r="F95" s="495"/>
      <c r="G95" s="495"/>
      <c r="H95" s="495"/>
    </row>
    <row r="96" spans="1:14" s="492" customFormat="1">
      <c r="D96" s="495"/>
      <c r="E96" s="495"/>
      <c r="F96" s="495"/>
      <c r="G96" s="495"/>
      <c r="H96" s="495"/>
    </row>
    <row r="97" spans="2:13" s="492" customFormat="1">
      <c r="B97" s="1308" t="s">
        <v>1304</v>
      </c>
      <c r="C97" s="1308"/>
      <c r="D97" s="1308" t="s">
        <v>1443</v>
      </c>
      <c r="E97" s="1308"/>
      <c r="F97" s="1308"/>
      <c r="G97" s="1308"/>
      <c r="H97" s="1308"/>
      <c r="I97" s="1309">
        <v>0.72799999999999998</v>
      </c>
      <c r="J97" s="1309"/>
      <c r="K97" s="1309"/>
      <c r="L97" s="1310" t="s">
        <v>1378</v>
      </c>
      <c r="M97" s="1310"/>
    </row>
    <row r="98" spans="2:13" s="492" customFormat="1">
      <c r="B98" s="1308" t="s">
        <v>1465</v>
      </c>
      <c r="C98" s="1308"/>
      <c r="D98" s="1308" t="s">
        <v>1280</v>
      </c>
      <c r="E98" s="1308"/>
      <c r="F98" s="1308"/>
      <c r="G98" s="1308"/>
      <c r="H98" s="1308"/>
      <c r="I98" s="1309">
        <v>1</v>
      </c>
      <c r="J98" s="1309"/>
      <c r="K98" s="1309"/>
      <c r="L98" s="1310" t="s">
        <v>1269</v>
      </c>
      <c r="M98" s="1310"/>
    </row>
    <row r="99" spans="2:13" s="492" customFormat="1">
      <c r="B99" s="1308" t="s">
        <v>1426</v>
      </c>
      <c r="C99" s="1308"/>
      <c r="D99" s="1308" t="s">
        <v>1464</v>
      </c>
      <c r="E99" s="1308"/>
      <c r="F99" s="1308"/>
      <c r="G99" s="1308"/>
      <c r="H99" s="1308"/>
      <c r="I99" s="1309">
        <v>3</v>
      </c>
      <c r="J99" s="1309"/>
      <c r="K99" s="1309"/>
      <c r="L99" s="1310"/>
      <c r="M99" s="1310"/>
    </row>
    <row r="100" spans="2:13" s="492" customFormat="1">
      <c r="B100" s="1308"/>
      <c r="C100" s="1308"/>
      <c r="D100" s="1308"/>
      <c r="E100" s="1308"/>
      <c r="F100" s="1308"/>
      <c r="G100" s="1308"/>
      <c r="H100" s="1308"/>
      <c r="I100" s="1309">
        <f>2*SQRT(I98/(PI()*I99))</f>
        <v>0.65147001587055997</v>
      </c>
      <c r="J100" s="1309"/>
      <c r="K100" s="1309"/>
      <c r="L100" s="1310"/>
      <c r="M100" s="1310"/>
    </row>
    <row r="101" spans="2:13" s="492" customFormat="1">
      <c r="B101" s="1308"/>
      <c r="C101" s="1308"/>
      <c r="D101" s="1308"/>
      <c r="E101" s="1308"/>
      <c r="F101" s="1308"/>
      <c r="G101" s="1308"/>
      <c r="H101" s="1308"/>
      <c r="I101" s="1309"/>
      <c r="J101" s="1309"/>
      <c r="K101" s="1309"/>
      <c r="L101" s="1310"/>
      <c r="M101" s="1310"/>
    </row>
    <row r="102" spans="2:13" s="492" customFormat="1">
      <c r="B102" s="1308"/>
      <c r="C102" s="1308"/>
      <c r="D102" s="1308"/>
      <c r="E102" s="1308"/>
      <c r="F102" s="1308"/>
      <c r="G102" s="1308"/>
      <c r="H102" s="1308"/>
      <c r="I102" s="1309"/>
      <c r="J102" s="1309"/>
      <c r="K102" s="1309"/>
      <c r="L102" s="1310"/>
      <c r="M102" s="1310"/>
    </row>
    <row r="103" spans="2:13" s="492" customFormat="1">
      <c r="D103" s="495"/>
      <c r="E103" s="495"/>
      <c r="F103" s="495"/>
      <c r="G103" s="495"/>
      <c r="H103" s="495"/>
    </row>
    <row r="104" spans="2:13" s="492" customFormat="1">
      <c r="D104" s="495"/>
      <c r="E104" s="495"/>
      <c r="F104" s="495"/>
      <c r="G104" s="495"/>
      <c r="H104" s="495"/>
    </row>
    <row r="105" spans="2:13" s="492" customFormat="1">
      <c r="D105" s="495"/>
      <c r="E105" s="495"/>
      <c r="F105" s="495"/>
      <c r="G105" s="495"/>
      <c r="H105" s="495"/>
    </row>
  </sheetData>
  <mergeCells count="322">
    <mergeCell ref="B101:C101"/>
    <mergeCell ref="D101:H101"/>
    <mergeCell ref="I101:K101"/>
    <mergeCell ref="L101:M101"/>
    <mergeCell ref="B102:C102"/>
    <mergeCell ref="D102:H102"/>
    <mergeCell ref="I102:K102"/>
    <mergeCell ref="L102:M102"/>
    <mergeCell ref="B99:C99"/>
    <mergeCell ref="D99:H99"/>
    <mergeCell ref="I99:K99"/>
    <mergeCell ref="L99:M99"/>
    <mergeCell ref="B100:C100"/>
    <mergeCell ref="D100:H100"/>
    <mergeCell ref="I100:K100"/>
    <mergeCell ref="L100:M100"/>
    <mergeCell ref="B97:C97"/>
    <mergeCell ref="D97:H97"/>
    <mergeCell ref="I97:K97"/>
    <mergeCell ref="L97:M97"/>
    <mergeCell ref="B98:C98"/>
    <mergeCell ref="D98:H98"/>
    <mergeCell ref="I98:K98"/>
    <mergeCell ref="L98:M98"/>
    <mergeCell ref="B90:C90"/>
    <mergeCell ref="D90:H90"/>
    <mergeCell ref="I90:K90"/>
    <mergeCell ref="L90:M90"/>
    <mergeCell ref="B93:C93"/>
    <mergeCell ref="D93:H93"/>
    <mergeCell ref="I93:K93"/>
    <mergeCell ref="L93:M93"/>
    <mergeCell ref="B92:C92"/>
    <mergeCell ref="D92:H92"/>
    <mergeCell ref="B91:C91"/>
    <mergeCell ref="D91:H91"/>
    <mergeCell ref="I91:K91"/>
    <mergeCell ref="L91:M91"/>
    <mergeCell ref="B94:C94"/>
    <mergeCell ref="D94:H94"/>
    <mergeCell ref="B86:C86"/>
    <mergeCell ref="D86:H86"/>
    <mergeCell ref="I86:K86"/>
    <mergeCell ref="L86:M86"/>
    <mergeCell ref="B89:C89"/>
    <mergeCell ref="D89:H89"/>
    <mergeCell ref="I89:K89"/>
    <mergeCell ref="L89:M89"/>
    <mergeCell ref="B87:C87"/>
    <mergeCell ref="D87:H87"/>
    <mergeCell ref="B88:C88"/>
    <mergeCell ref="D88:H88"/>
    <mergeCell ref="I88:K88"/>
    <mergeCell ref="L88:M88"/>
    <mergeCell ref="I87:K87"/>
    <mergeCell ref="L87:M87"/>
    <mergeCell ref="I94:K94"/>
    <mergeCell ref="L94:M94"/>
    <mergeCell ref="I92:K92"/>
    <mergeCell ref="L92:M92"/>
    <mergeCell ref="D81:H81"/>
    <mergeCell ref="I81:K81"/>
    <mergeCell ref="L81:M81"/>
    <mergeCell ref="B74:C74"/>
    <mergeCell ref="D74:H74"/>
    <mergeCell ref="I74:K74"/>
    <mergeCell ref="L74:M74"/>
    <mergeCell ref="B85:C85"/>
    <mergeCell ref="D85:H85"/>
    <mergeCell ref="I85:K85"/>
    <mergeCell ref="L85:M85"/>
    <mergeCell ref="B76:C76"/>
    <mergeCell ref="D76:H76"/>
    <mergeCell ref="I76:K76"/>
    <mergeCell ref="L76:M76"/>
    <mergeCell ref="B78:C78"/>
    <mergeCell ref="D78:H78"/>
    <mergeCell ref="I78:K78"/>
    <mergeCell ref="L78:M78"/>
    <mergeCell ref="B79:C79"/>
    <mergeCell ref="L72:M72"/>
    <mergeCell ref="B67:C67"/>
    <mergeCell ref="D67:H67"/>
    <mergeCell ref="I67:K67"/>
    <mergeCell ref="L67:M67"/>
    <mergeCell ref="B68:C68"/>
    <mergeCell ref="D68:H68"/>
    <mergeCell ref="B84:C84"/>
    <mergeCell ref="D84:H84"/>
    <mergeCell ref="I84:K84"/>
    <mergeCell ref="L84:M84"/>
    <mergeCell ref="B82:C82"/>
    <mergeCell ref="D82:H82"/>
    <mergeCell ref="I82:K82"/>
    <mergeCell ref="L82:M82"/>
    <mergeCell ref="B71:C71"/>
    <mergeCell ref="D71:H71"/>
    <mergeCell ref="I71:K71"/>
    <mergeCell ref="L71:M71"/>
    <mergeCell ref="B80:C80"/>
    <mergeCell ref="D80:H80"/>
    <mergeCell ref="I80:K80"/>
    <mergeCell ref="L80:M80"/>
    <mergeCell ref="B81:C81"/>
    <mergeCell ref="D79:H79"/>
    <mergeCell ref="I79:K79"/>
    <mergeCell ref="L79:M79"/>
    <mergeCell ref="A75:XFD75"/>
    <mergeCell ref="B63:C63"/>
    <mergeCell ref="D63:H63"/>
    <mergeCell ref="I63:K63"/>
    <mergeCell ref="L63:M63"/>
    <mergeCell ref="B64:C64"/>
    <mergeCell ref="D64:H64"/>
    <mergeCell ref="I64:K64"/>
    <mergeCell ref="L64:M64"/>
    <mergeCell ref="I68:K68"/>
    <mergeCell ref="L68:M68"/>
    <mergeCell ref="A66:XFD66"/>
    <mergeCell ref="A70:XFD70"/>
    <mergeCell ref="B73:C73"/>
    <mergeCell ref="D73:H73"/>
    <mergeCell ref="I73:K73"/>
    <mergeCell ref="L73:M73"/>
    <mergeCell ref="B69:C69"/>
    <mergeCell ref="D69:H69"/>
    <mergeCell ref="I69:K69"/>
    <mergeCell ref="L69:M69"/>
    <mergeCell ref="B72:C72"/>
    <mergeCell ref="D72:H72"/>
    <mergeCell ref="I72:K72"/>
    <mergeCell ref="B55:C55"/>
    <mergeCell ref="D55:H55"/>
    <mergeCell ref="I55:K55"/>
    <mergeCell ref="L55:M55"/>
    <mergeCell ref="B52:C52"/>
    <mergeCell ref="D52:H52"/>
    <mergeCell ref="D65:H65"/>
    <mergeCell ref="I65:K65"/>
    <mergeCell ref="L65:M65"/>
    <mergeCell ref="B65:C65"/>
    <mergeCell ref="A61:XFD61"/>
    <mergeCell ref="B60:C60"/>
    <mergeCell ref="D60:H60"/>
    <mergeCell ref="I60:K60"/>
    <mergeCell ref="L60:M60"/>
    <mergeCell ref="B58:C58"/>
    <mergeCell ref="D58:H58"/>
    <mergeCell ref="I58:K58"/>
    <mergeCell ref="L58:M58"/>
    <mergeCell ref="B59:C59"/>
    <mergeCell ref="D59:H59"/>
    <mergeCell ref="I59:K59"/>
    <mergeCell ref="L59:M59"/>
    <mergeCell ref="I52:K52"/>
    <mergeCell ref="L52:M52"/>
    <mergeCell ref="B54:C54"/>
    <mergeCell ref="D54:H54"/>
    <mergeCell ref="I54:K54"/>
    <mergeCell ref="L54:M54"/>
    <mergeCell ref="B49:C49"/>
    <mergeCell ref="D49:H49"/>
    <mergeCell ref="I49:K49"/>
    <mergeCell ref="L49:M49"/>
    <mergeCell ref="B50:C50"/>
    <mergeCell ref="D50:H50"/>
    <mergeCell ref="I50:K50"/>
    <mergeCell ref="L50:M50"/>
    <mergeCell ref="A51:XFD51"/>
    <mergeCell ref="B53:C53"/>
    <mergeCell ref="D53:H53"/>
    <mergeCell ref="I53:K53"/>
    <mergeCell ref="L53:M53"/>
    <mergeCell ref="B46:C46"/>
    <mergeCell ref="D46:H46"/>
    <mergeCell ref="I46:K46"/>
    <mergeCell ref="L46:M46"/>
    <mergeCell ref="A48:XFD48"/>
    <mergeCell ref="B47:C47"/>
    <mergeCell ref="D47:H47"/>
    <mergeCell ref="I47:K47"/>
    <mergeCell ref="L47:M47"/>
    <mergeCell ref="A43:XFD43"/>
    <mergeCell ref="B44:C44"/>
    <mergeCell ref="D44:H44"/>
    <mergeCell ref="I44:K44"/>
    <mergeCell ref="L44:M44"/>
    <mergeCell ref="B45:C45"/>
    <mergeCell ref="D45:H45"/>
    <mergeCell ref="I45:K45"/>
    <mergeCell ref="L45:M45"/>
    <mergeCell ref="B35:C35"/>
    <mergeCell ref="D35:H35"/>
    <mergeCell ref="I35:K35"/>
    <mergeCell ref="L35:M35"/>
    <mergeCell ref="B42:C42"/>
    <mergeCell ref="B38:C38"/>
    <mergeCell ref="D38:H38"/>
    <mergeCell ref="I38:K38"/>
    <mergeCell ref="L38:M38"/>
    <mergeCell ref="B40:C40"/>
    <mergeCell ref="D40:H40"/>
    <mergeCell ref="I40:K40"/>
    <mergeCell ref="L40:M40"/>
    <mergeCell ref="B39:C39"/>
    <mergeCell ref="D39:H39"/>
    <mergeCell ref="I39:K39"/>
    <mergeCell ref="L39:M39"/>
    <mergeCell ref="B41:C41"/>
    <mergeCell ref="D41:H41"/>
    <mergeCell ref="I41:K41"/>
    <mergeCell ref="L41:M41"/>
    <mergeCell ref="D42:H42"/>
    <mergeCell ref="I42:K42"/>
    <mergeCell ref="L42:M42"/>
    <mergeCell ref="N33:X34"/>
    <mergeCell ref="A36:XFD36"/>
    <mergeCell ref="B37:C37"/>
    <mergeCell ref="D37:H37"/>
    <mergeCell ref="I37:K37"/>
    <mergeCell ref="L37:M37"/>
    <mergeCell ref="A29:XFD29"/>
    <mergeCell ref="B8:C8"/>
    <mergeCell ref="D8:H8"/>
    <mergeCell ref="I8:K8"/>
    <mergeCell ref="L8:M8"/>
    <mergeCell ref="B34:C34"/>
    <mergeCell ref="D34:H34"/>
    <mergeCell ref="I34:K34"/>
    <mergeCell ref="L34:M34"/>
    <mergeCell ref="B28:C28"/>
    <mergeCell ref="D28:H28"/>
    <mergeCell ref="I28:K28"/>
    <mergeCell ref="L28:M28"/>
    <mergeCell ref="B27:C27"/>
    <mergeCell ref="D27:H27"/>
    <mergeCell ref="I27:K27"/>
    <mergeCell ref="L27:M27"/>
    <mergeCell ref="L31:M31"/>
    <mergeCell ref="I32:K32"/>
    <mergeCell ref="L32:M32"/>
    <mergeCell ref="B30:C30"/>
    <mergeCell ref="D30:H30"/>
    <mergeCell ref="I30:K30"/>
    <mergeCell ref="L30:M30"/>
    <mergeCell ref="B23:C23"/>
    <mergeCell ref="B25:C25"/>
    <mergeCell ref="B26:C26"/>
    <mergeCell ref="B33:C33"/>
    <mergeCell ref="A17:XFD17"/>
    <mergeCell ref="A24:XFD24"/>
    <mergeCell ref="B31:C31"/>
    <mergeCell ref="D31:H31"/>
    <mergeCell ref="I31:K31"/>
    <mergeCell ref="B18:C18"/>
    <mergeCell ref="B19:C19"/>
    <mergeCell ref="B20:C20"/>
    <mergeCell ref="B21:C21"/>
    <mergeCell ref="B22:C22"/>
    <mergeCell ref="D33:H33"/>
    <mergeCell ref="I33:K33"/>
    <mergeCell ref="L33:M33"/>
    <mergeCell ref="L25:M25"/>
    <mergeCell ref="D26:H26"/>
    <mergeCell ref="I26:K26"/>
    <mergeCell ref="L26:M26"/>
    <mergeCell ref="L22:M22"/>
    <mergeCell ref="L23:M23"/>
    <mergeCell ref="L20:M20"/>
    <mergeCell ref="L21:M21"/>
    <mergeCell ref="B32:C32"/>
    <mergeCell ref="D32:H32"/>
    <mergeCell ref="B15:C15"/>
    <mergeCell ref="B16:C16"/>
    <mergeCell ref="D25:H25"/>
    <mergeCell ref="I25:K25"/>
    <mergeCell ref="D22:H22"/>
    <mergeCell ref="I22:K22"/>
    <mergeCell ref="D23:H23"/>
    <mergeCell ref="I23:K23"/>
    <mergeCell ref="D20:H20"/>
    <mergeCell ref="I20:K20"/>
    <mergeCell ref="D21:H21"/>
    <mergeCell ref="I21:K21"/>
    <mergeCell ref="L16:M16"/>
    <mergeCell ref="D18:H18"/>
    <mergeCell ref="I18:K18"/>
    <mergeCell ref="L18:M18"/>
    <mergeCell ref="D19:H19"/>
    <mergeCell ref="I19:K19"/>
    <mergeCell ref="L19:M19"/>
    <mergeCell ref="L10:M10"/>
    <mergeCell ref="L11:M11"/>
    <mergeCell ref="L12:M12"/>
    <mergeCell ref="L13:M13"/>
    <mergeCell ref="L14:M14"/>
    <mergeCell ref="L15:M15"/>
    <mergeCell ref="D15:H15"/>
    <mergeCell ref="D16:H16"/>
    <mergeCell ref="I10:K10"/>
    <mergeCell ref="I11:K11"/>
    <mergeCell ref="I12:K12"/>
    <mergeCell ref="I13:K13"/>
    <mergeCell ref="I14:K14"/>
    <mergeCell ref="I15:K15"/>
    <mergeCell ref="I16:K16"/>
    <mergeCell ref="A1:E1"/>
    <mergeCell ref="D10:H10"/>
    <mergeCell ref="D11:H11"/>
    <mergeCell ref="D12:H12"/>
    <mergeCell ref="D13:H13"/>
    <mergeCell ref="D14:H14"/>
    <mergeCell ref="A7:XFD7"/>
    <mergeCell ref="B9:C9"/>
    <mergeCell ref="D9:H9"/>
    <mergeCell ref="I9:K9"/>
    <mergeCell ref="B10:C10"/>
    <mergeCell ref="B11:C11"/>
    <mergeCell ref="B12:C12"/>
    <mergeCell ref="B13:C13"/>
    <mergeCell ref="B14:C14"/>
    <mergeCell ref="L9:M9"/>
  </mergeCells>
  <phoneticPr fontId="42"/>
  <hyperlinks>
    <hyperlink ref="A1:E1" location="目次!A1" display="　目次　" xr:uid="{C3334B32-3880-4436-B60D-B706C7C62527}"/>
    <hyperlink ref="C5" r:id="rId1" xr:uid="{55CA3FF8-B0F1-4681-A170-C19B845D01AD}"/>
  </hyperlinks>
  <pageMargins left="0.69930555555555596" right="0.69930555555555596" top="0.75" bottom="0.75" header="0.3" footer="0.3"/>
  <pageSetup paperSize="9" orientation="portrait" horizontalDpi="4294967293" verticalDpi="0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4"/>
  <sheetViews>
    <sheetView workbookViewId="0">
      <selection sqref="A1:D1"/>
    </sheetView>
  </sheetViews>
  <sheetFormatPr defaultColWidth="3.75" defaultRowHeight="13.5"/>
  <cols>
    <col min="3" max="3" width="3.75" style="452"/>
    <col min="5" max="5" width="3.75" style="611"/>
  </cols>
  <sheetData>
    <row r="1" spans="1:10">
      <c r="A1" s="686" t="s">
        <v>61</v>
      </c>
      <c r="B1" s="686"/>
      <c r="C1" s="686"/>
      <c r="D1" s="686"/>
      <c r="E1" s="608"/>
    </row>
    <row r="2" spans="1:10" s="231" customFormat="1">
      <c r="B2" s="234"/>
      <c r="C2" s="453"/>
      <c r="D2" s="231" t="s">
        <v>364</v>
      </c>
      <c r="E2" s="611"/>
      <c r="H2" s="349"/>
    </row>
    <row r="3" spans="1:10" s="231" customFormat="1">
      <c r="B3" s="36"/>
      <c r="C3" s="36"/>
      <c r="D3" s="231" t="s">
        <v>395</v>
      </c>
      <c r="E3" s="611"/>
      <c r="H3" s="349"/>
      <c r="J3" s="349"/>
    </row>
    <row r="4" spans="1:10" s="231" customFormat="1">
      <c r="B4" s="35"/>
      <c r="C4" s="35"/>
      <c r="D4" s="231" t="s">
        <v>404</v>
      </c>
      <c r="E4" s="611"/>
      <c r="H4" s="349"/>
      <c r="J4" s="349"/>
    </row>
  </sheetData>
  <mergeCells count="1">
    <mergeCell ref="A1:D1"/>
  </mergeCells>
  <phoneticPr fontId="42"/>
  <hyperlinks>
    <hyperlink ref="A1:D1" location="目次!A1" display="　目次　" xr:uid="{00000000-0004-0000-4E00-000000000000}"/>
  </hyperlinks>
  <pageMargins left="0.69930555555555596" right="0.69930555555555596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B1:R32"/>
  <sheetViews>
    <sheetView topLeftCell="G1" zoomScale="85" zoomScaleNormal="85" workbookViewId="0">
      <selection activeCell="V21" sqref="V21"/>
    </sheetView>
  </sheetViews>
  <sheetFormatPr defaultColWidth="9" defaultRowHeight="13.5"/>
  <cols>
    <col min="1" max="1" width="4" customWidth="1"/>
    <col min="5" max="5" width="3.375" customWidth="1"/>
    <col min="7" max="7" width="6" customWidth="1"/>
    <col min="9" max="9" width="5.625" customWidth="1"/>
    <col min="10" max="10" width="8.375" customWidth="1"/>
    <col min="11" max="11" width="6" customWidth="1"/>
  </cols>
  <sheetData>
    <row r="1" spans="2:18">
      <c r="B1" s="686" t="s">
        <v>61</v>
      </c>
      <c r="C1" s="686"/>
      <c r="D1" s="686"/>
      <c r="E1" s="1"/>
      <c r="F1" s="1"/>
      <c r="G1" s="1"/>
      <c r="I1" s="1"/>
      <c r="J1" s="1"/>
      <c r="K1" s="1"/>
    </row>
    <row r="5" spans="2:18">
      <c r="B5" s="1311"/>
      <c r="C5" s="1312"/>
      <c r="D5" s="11" t="s">
        <v>886</v>
      </c>
      <c r="E5" s="768"/>
      <c r="F5" s="768"/>
      <c r="G5" s="768"/>
      <c r="H5" s="11" t="s">
        <v>887</v>
      </c>
      <c r="I5" s="17"/>
      <c r="J5" s="18"/>
      <c r="K5" s="19"/>
      <c r="L5" s="11" t="s">
        <v>888</v>
      </c>
      <c r="O5" s="710" t="s">
        <v>272</v>
      </c>
      <c r="P5" s="710"/>
      <c r="Q5">
        <v>5</v>
      </c>
      <c r="R5" t="s">
        <v>65</v>
      </c>
    </row>
    <row r="6" spans="2:18">
      <c r="B6" s="811" t="s">
        <v>889</v>
      </c>
      <c r="C6" s="813"/>
      <c r="D6" s="11">
        <v>9.1999999999999993</v>
      </c>
      <c r="E6" s="12" t="s">
        <v>487</v>
      </c>
      <c r="F6" s="13"/>
      <c r="G6" s="14" t="s">
        <v>890</v>
      </c>
      <c r="H6" s="11">
        <v>9</v>
      </c>
      <c r="I6" s="12" t="s">
        <v>487</v>
      </c>
      <c r="J6" s="18"/>
      <c r="K6" s="19"/>
      <c r="L6" s="11">
        <v>6</v>
      </c>
      <c r="O6" s="710" t="s">
        <v>891</v>
      </c>
      <c r="P6" s="710"/>
      <c r="Q6">
        <v>9</v>
      </c>
      <c r="R6" t="s">
        <v>65</v>
      </c>
    </row>
    <row r="7" spans="2:18">
      <c r="B7" s="811" t="s">
        <v>892</v>
      </c>
      <c r="C7" s="813"/>
      <c r="D7" s="226" t="s">
        <v>893</v>
      </c>
      <c r="E7" s="12" t="s">
        <v>487</v>
      </c>
      <c r="F7" s="13"/>
      <c r="G7" s="14" t="s">
        <v>890</v>
      </c>
      <c r="H7" s="226" t="s">
        <v>893</v>
      </c>
      <c r="I7" s="12" t="s">
        <v>487</v>
      </c>
      <c r="J7" s="18"/>
      <c r="K7" s="19"/>
      <c r="L7" s="11">
        <v>-0.75</v>
      </c>
      <c r="O7" s="710" t="s">
        <v>894</v>
      </c>
      <c r="P7" s="710"/>
      <c r="Q7">
        <v>-2</v>
      </c>
      <c r="R7" t="s">
        <v>65</v>
      </c>
    </row>
    <row r="8" spans="2:18">
      <c r="B8" s="811" t="s">
        <v>895</v>
      </c>
      <c r="C8" s="813"/>
      <c r="D8" s="11">
        <v>7.2</v>
      </c>
      <c r="E8" s="12" t="s">
        <v>487</v>
      </c>
      <c r="F8" s="15">
        <f>100-H8/D8*100</f>
        <v>19.444444444444457</v>
      </c>
      <c r="G8" s="14" t="s">
        <v>890</v>
      </c>
      <c r="H8" s="11">
        <v>5.8</v>
      </c>
      <c r="I8" s="12" t="s">
        <v>487</v>
      </c>
      <c r="J8" s="15">
        <f>100-(100-L8/D8*100)</f>
        <v>20.833333333333329</v>
      </c>
      <c r="K8" s="14" t="s">
        <v>890</v>
      </c>
      <c r="L8" s="11">
        <v>1.5</v>
      </c>
      <c r="O8" s="710"/>
      <c r="P8" s="710"/>
    </row>
    <row r="9" spans="2:18">
      <c r="B9" s="811" t="s">
        <v>896</v>
      </c>
      <c r="C9" s="813"/>
      <c r="D9" s="226" t="s">
        <v>897</v>
      </c>
      <c r="E9" s="12" t="s">
        <v>487</v>
      </c>
      <c r="F9" s="15">
        <f>100-H9/D9*100</f>
        <v>9.5238095238095326</v>
      </c>
      <c r="G9" s="14" t="s">
        <v>890</v>
      </c>
      <c r="H9" s="226" t="s">
        <v>898</v>
      </c>
      <c r="I9" s="12" t="s">
        <v>487</v>
      </c>
      <c r="J9" s="15">
        <f>100-(100-L9/D9*100)</f>
        <v>23.80952380952381</v>
      </c>
      <c r="K9" s="14" t="s">
        <v>890</v>
      </c>
      <c r="L9" s="226" t="s">
        <v>899</v>
      </c>
      <c r="O9" s="830" t="s">
        <v>900</v>
      </c>
      <c r="P9" s="830"/>
      <c r="Q9">
        <f>Q6-Q5</f>
        <v>4</v>
      </c>
      <c r="R9" t="s">
        <v>65</v>
      </c>
    </row>
    <row r="10" spans="2:18">
      <c r="B10" s="811" t="s">
        <v>246</v>
      </c>
      <c r="C10" s="813"/>
      <c r="D10" s="226" t="s">
        <v>901</v>
      </c>
      <c r="E10" s="12" t="s">
        <v>487</v>
      </c>
      <c r="F10" s="15">
        <f>100-H10/D10*100</f>
        <v>33.333333333333343</v>
      </c>
      <c r="G10" s="14" t="s">
        <v>890</v>
      </c>
      <c r="H10" s="226" t="s">
        <v>893</v>
      </c>
      <c r="I10" s="12" t="s">
        <v>487</v>
      </c>
      <c r="J10" s="15">
        <f>100-(100-L10/D10*100)</f>
        <v>16.666666666666657</v>
      </c>
      <c r="K10" s="14" t="s">
        <v>890</v>
      </c>
      <c r="L10" s="226" t="s">
        <v>902</v>
      </c>
      <c r="O10" s="710"/>
      <c r="P10" s="710"/>
      <c r="Q10">
        <f>Q7</f>
        <v>-2</v>
      </c>
      <c r="R10" t="s">
        <v>65</v>
      </c>
    </row>
    <row r="11" spans="2:18">
      <c r="G11" s="16"/>
      <c r="K11" s="16"/>
      <c r="O11" s="710"/>
      <c r="P11" s="710"/>
    </row>
    <row r="12" spans="2:18">
      <c r="B12" s="702"/>
      <c r="C12" s="702"/>
      <c r="I12" s="7"/>
      <c r="O12" s="710"/>
      <c r="P12" s="710"/>
      <c r="Q12">
        <f>Q9/Q5</f>
        <v>0.8</v>
      </c>
      <c r="R12" t="s">
        <v>65</v>
      </c>
    </row>
    <row r="13" spans="2:18">
      <c r="B13" s="702"/>
      <c r="C13" s="702"/>
    </row>
    <row r="14" spans="2:18">
      <c r="B14" s="710"/>
      <c r="C14" s="710"/>
    </row>
    <row r="17" spans="4:17">
      <c r="D17">
        <v>1</v>
      </c>
      <c r="F17">
        <v>4.2</v>
      </c>
      <c r="J17">
        <f>G18/I19</f>
        <v>0.23809523809523808</v>
      </c>
    </row>
    <row r="18" spans="4:17">
      <c r="D18">
        <v>33</v>
      </c>
      <c r="F18">
        <v>3.8</v>
      </c>
      <c r="G18">
        <f>F18/F17</f>
        <v>0.90476190476190466</v>
      </c>
      <c r="H18" t="s">
        <v>131</v>
      </c>
      <c r="L18" s="744" t="s">
        <v>903</v>
      </c>
      <c r="M18" s="744"/>
      <c r="N18" s="744"/>
      <c r="O18" s="20">
        <v>33</v>
      </c>
      <c r="P18" t="s">
        <v>91</v>
      </c>
    </row>
    <row r="19" spans="4:17">
      <c r="D19">
        <v>100</v>
      </c>
      <c r="F19">
        <v>1</v>
      </c>
      <c r="G19">
        <f>F19/F17</f>
        <v>0.23809523809523808</v>
      </c>
      <c r="H19" t="s">
        <v>131</v>
      </c>
      <c r="I19">
        <f>G18/G19</f>
        <v>3.8</v>
      </c>
      <c r="J19" t="s">
        <v>131</v>
      </c>
      <c r="L19" s="744" t="s">
        <v>904</v>
      </c>
      <c r="M19" s="744"/>
      <c r="N19" s="744"/>
      <c r="O19" s="21">
        <v>150</v>
      </c>
      <c r="P19" t="s">
        <v>91</v>
      </c>
    </row>
    <row r="20" spans="4:17">
      <c r="D20">
        <v>150</v>
      </c>
      <c r="F20">
        <f>F17*G20</f>
        <v>0.60317460317460314</v>
      </c>
      <c r="G20">
        <f>G18/I20</f>
        <v>0.14361300075585789</v>
      </c>
      <c r="H20" t="s">
        <v>131</v>
      </c>
      <c r="I20">
        <v>6.3</v>
      </c>
      <c r="J20" t="s">
        <v>131</v>
      </c>
      <c r="L20" s="710"/>
      <c r="M20" s="710"/>
      <c r="N20" s="710"/>
    </row>
    <row r="21" spans="4:17" ht="28.5" customHeight="1">
      <c r="L21" s="1313" t="s">
        <v>905</v>
      </c>
      <c r="M21" s="1313"/>
      <c r="N21" s="1313"/>
      <c r="O21" s="20">
        <v>3.8</v>
      </c>
      <c r="P21" t="s">
        <v>131</v>
      </c>
      <c r="Q21">
        <f>F18*O21</f>
        <v>14.44</v>
      </c>
    </row>
    <row r="22" spans="4:17">
      <c r="L22" s="710"/>
      <c r="M22" s="710"/>
      <c r="N22" s="710"/>
      <c r="O22">
        <f>O19/O18</f>
        <v>4.5454545454545459</v>
      </c>
      <c r="P22" t="s">
        <v>131</v>
      </c>
    </row>
    <row r="23" spans="4:17">
      <c r="L23" s="710"/>
      <c r="M23" s="710"/>
      <c r="N23" s="710"/>
      <c r="O23">
        <f>O21*O22/3</f>
        <v>5.7575757575757578</v>
      </c>
      <c r="P23" t="s">
        <v>131</v>
      </c>
    </row>
    <row r="24" spans="4:17">
      <c r="L24" s="710"/>
      <c r="M24" s="710"/>
      <c r="N24" s="710"/>
    </row>
    <row r="25" spans="4:17">
      <c r="H25" s="710" t="s">
        <v>906</v>
      </c>
      <c r="I25" s="710"/>
      <c r="J25" s="738" t="s">
        <v>907</v>
      </c>
      <c r="K25" s="738"/>
    </row>
    <row r="26" spans="4:17">
      <c r="H26">
        <v>0</v>
      </c>
      <c r="I26" t="s">
        <v>91</v>
      </c>
      <c r="J26">
        <v>4.2</v>
      </c>
      <c r="K26" t="s">
        <v>65</v>
      </c>
    </row>
    <row r="27" spans="4:17">
      <c r="H27">
        <v>33</v>
      </c>
      <c r="I27" t="s">
        <v>91</v>
      </c>
      <c r="J27">
        <f>F18</f>
        <v>3.8</v>
      </c>
      <c r="K27" t="s">
        <v>65</v>
      </c>
    </row>
    <row r="28" spans="4:17">
      <c r="H28">
        <v>68</v>
      </c>
      <c r="I28" t="s">
        <v>91</v>
      </c>
      <c r="J28">
        <f>J27/2.61</f>
        <v>1.4559386973180077</v>
      </c>
      <c r="K28" t="s">
        <v>65</v>
      </c>
    </row>
    <row r="29" spans="4:17">
      <c r="H29">
        <v>100</v>
      </c>
      <c r="I29" t="s">
        <v>91</v>
      </c>
      <c r="J29">
        <f>F18/3.8</f>
        <v>1</v>
      </c>
      <c r="K29" t="s">
        <v>65</v>
      </c>
    </row>
    <row r="30" spans="4:17">
      <c r="H30">
        <v>150</v>
      </c>
      <c r="I30" t="s">
        <v>91</v>
      </c>
      <c r="J30">
        <f>F18/5.75</f>
        <v>0.66086956521739126</v>
      </c>
      <c r="K30" t="s">
        <v>65</v>
      </c>
    </row>
    <row r="31" spans="4:17">
      <c r="H31">
        <v>220</v>
      </c>
      <c r="I31" t="s">
        <v>91</v>
      </c>
      <c r="J31">
        <f>F18/8.4</f>
        <v>0.45238095238095233</v>
      </c>
      <c r="K31" t="s">
        <v>65</v>
      </c>
    </row>
    <row r="32" spans="4:17">
      <c r="H32">
        <v>330</v>
      </c>
      <c r="I32" t="s">
        <v>91</v>
      </c>
      <c r="J32">
        <f>F17/12.66</f>
        <v>0.33175355450236965</v>
      </c>
      <c r="K32" t="s">
        <v>65</v>
      </c>
    </row>
  </sheetData>
  <mergeCells count="28">
    <mergeCell ref="L21:N21"/>
    <mergeCell ref="L22:N22"/>
    <mergeCell ref="L23:N23"/>
    <mergeCell ref="L24:N24"/>
    <mergeCell ref="H25:I25"/>
    <mergeCell ref="J25:K25"/>
    <mergeCell ref="B13:C13"/>
    <mergeCell ref="B14:C14"/>
    <mergeCell ref="L18:N18"/>
    <mergeCell ref="L19:N19"/>
    <mergeCell ref="L20:N20"/>
    <mergeCell ref="B10:C10"/>
    <mergeCell ref="O10:P10"/>
    <mergeCell ref="O11:P11"/>
    <mergeCell ref="B12:C12"/>
    <mergeCell ref="O12:P12"/>
    <mergeCell ref="B7:C7"/>
    <mergeCell ref="O7:P7"/>
    <mergeCell ref="B8:C8"/>
    <mergeCell ref="O8:P8"/>
    <mergeCell ref="B9:C9"/>
    <mergeCell ref="O9:P9"/>
    <mergeCell ref="B1:D1"/>
    <mergeCell ref="B5:C5"/>
    <mergeCell ref="E5:G5"/>
    <mergeCell ref="O5:P5"/>
    <mergeCell ref="B6:C6"/>
    <mergeCell ref="O6:P6"/>
  </mergeCells>
  <phoneticPr fontId="42"/>
  <hyperlinks>
    <hyperlink ref="B1:D1" location="目次!A1" display="　目次　" xr:uid="{00000000-0004-0000-4F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20"/>
  <sheetViews>
    <sheetView workbookViewId="0">
      <selection sqref="A1:C1"/>
    </sheetView>
  </sheetViews>
  <sheetFormatPr defaultColWidth="9" defaultRowHeight="13.5"/>
  <cols>
    <col min="1" max="1" width="4.125" style="419" customWidth="1"/>
    <col min="2" max="3" width="9" style="419"/>
    <col min="4" max="4" width="9.75" style="419" customWidth="1"/>
    <col min="5" max="16384" width="9" style="419"/>
  </cols>
  <sheetData>
    <row r="1" spans="1:8">
      <c r="A1" s="686" t="s">
        <v>61</v>
      </c>
      <c r="B1" s="686"/>
      <c r="C1" s="686"/>
    </row>
    <row r="2" spans="1:8">
      <c r="B2" s="421"/>
      <c r="C2" s="419" t="s">
        <v>364</v>
      </c>
      <c r="F2" s="422"/>
    </row>
    <row r="3" spans="1:8">
      <c r="B3" s="36"/>
      <c r="C3" s="419" t="s">
        <v>395</v>
      </c>
      <c r="F3" s="422"/>
      <c r="H3" s="422"/>
    </row>
    <row r="4" spans="1:8">
      <c r="B4" s="35"/>
      <c r="C4" s="419" t="s">
        <v>404</v>
      </c>
      <c r="F4" s="422"/>
      <c r="H4" s="422"/>
    </row>
    <row r="5" spans="1:8">
      <c r="C5" s="423"/>
    </row>
    <row r="6" spans="1:8">
      <c r="C6" s="422" t="s">
        <v>1256</v>
      </c>
      <c r="D6" s="322">
        <v>0</v>
      </c>
    </row>
    <row r="7" spans="1:8">
      <c r="C7" s="422" t="s">
        <v>1255</v>
      </c>
      <c r="D7" s="421">
        <v>0</v>
      </c>
    </row>
    <row r="8" spans="1:8">
      <c r="C8" s="422" t="s">
        <v>1254</v>
      </c>
      <c r="D8" s="421">
        <v>1</v>
      </c>
    </row>
    <row r="9" spans="1:8">
      <c r="C9" s="422" t="s">
        <v>1253</v>
      </c>
      <c r="D9" s="421">
        <v>0</v>
      </c>
    </row>
    <row r="10" spans="1:8">
      <c r="C10" s="422" t="s">
        <v>1252</v>
      </c>
      <c r="D10" s="421">
        <v>1</v>
      </c>
    </row>
    <row r="11" spans="1:8">
      <c r="C11" s="422" t="s">
        <v>1251</v>
      </c>
      <c r="D11" s="421">
        <v>1</v>
      </c>
    </row>
    <row r="12" spans="1:8">
      <c r="C12" s="422" t="s">
        <v>1250</v>
      </c>
      <c r="D12" s="322">
        <v>1</v>
      </c>
    </row>
    <row r="13" spans="1:8">
      <c r="C13" s="422" t="s">
        <v>1249</v>
      </c>
      <c r="D13" s="322">
        <v>1</v>
      </c>
    </row>
    <row r="14" spans="1:8">
      <c r="C14" s="422" t="s">
        <v>1258</v>
      </c>
      <c r="D14" s="420">
        <f>D13*1+D12*2+D11*4+D10*8+D9*16+D8*32+D7*64+D6*128</f>
        <v>47</v>
      </c>
    </row>
    <row r="15" spans="1:8">
      <c r="C15" s="423" t="s">
        <v>1257</v>
      </c>
      <c r="D15" s="30" t="str">
        <f>"0x" &amp; DEC2HEX(D14)</f>
        <v>0x2F</v>
      </c>
    </row>
    <row r="19" spans="2:4">
      <c r="B19" s="422" t="s">
        <v>1260</v>
      </c>
    </row>
    <row r="20" spans="2:4">
      <c r="B20" s="422" t="s">
        <v>1261</v>
      </c>
      <c r="C20" s="422" t="s">
        <v>1262</v>
      </c>
      <c r="D20" s="422" t="s">
        <v>1263</v>
      </c>
    </row>
  </sheetData>
  <mergeCells count="1">
    <mergeCell ref="A1:C1"/>
  </mergeCells>
  <phoneticPr fontId="42"/>
  <hyperlinks>
    <hyperlink ref="A1:C1" location="目次!A1" display="　目次　" xr:uid="{00000000-0004-0000-5000-000000000000}"/>
  </hyperlinks>
  <pageMargins left="0.69930555555555596" right="0.69930555555555596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29"/>
  <sheetViews>
    <sheetView zoomScale="70" zoomScaleNormal="70" workbookViewId="0">
      <selection sqref="A1:XFD1"/>
    </sheetView>
  </sheetViews>
  <sheetFormatPr defaultColWidth="3.125" defaultRowHeight="13.5"/>
  <cols>
    <col min="1" max="1" width="9" customWidth="1"/>
  </cols>
  <sheetData>
    <row r="1" spans="1:3">
      <c r="A1" s="686" t="s">
        <v>61</v>
      </c>
      <c r="B1" s="686"/>
      <c r="C1" s="686"/>
    </row>
    <row r="17" spans="2:20">
      <c r="B17" s="738" t="s">
        <v>878</v>
      </c>
      <c r="C17" s="738"/>
      <c r="D17" s="738"/>
      <c r="E17" s="738"/>
      <c r="F17" s="738"/>
      <c r="G17" s="738"/>
      <c r="H17" s="738">
        <v>5</v>
      </c>
      <c r="I17" s="738"/>
      <c r="J17" s="738"/>
      <c r="K17" s="738"/>
      <c r="L17" s="738"/>
      <c r="M17" s="738"/>
    </row>
    <row r="18" spans="2:20"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738"/>
      <c r="M18" s="738"/>
    </row>
    <row r="20" spans="2:20">
      <c r="B20" s="738" t="s">
        <v>879</v>
      </c>
      <c r="C20" s="738"/>
      <c r="D20" s="738"/>
      <c r="E20" s="738"/>
      <c r="F20" s="738"/>
      <c r="G20" s="738"/>
      <c r="H20" s="738"/>
      <c r="I20" s="738"/>
      <c r="J20" s="738"/>
      <c r="K20" s="738"/>
      <c r="L20" s="738"/>
      <c r="M20" s="738"/>
    </row>
    <row r="21" spans="2:20">
      <c r="B21" s="738" t="s">
        <v>880</v>
      </c>
      <c r="C21" s="738"/>
      <c r="D21" s="738"/>
      <c r="E21" s="738"/>
      <c r="F21" s="738"/>
      <c r="G21" s="738"/>
      <c r="H21" s="738">
        <v>0.6</v>
      </c>
      <c r="I21" s="738"/>
      <c r="J21" s="738"/>
      <c r="K21" s="738"/>
      <c r="L21" s="738" t="s">
        <v>65</v>
      </c>
      <c r="M21" s="738"/>
      <c r="R21" s="738">
        <f>H17/(H22*10^-6)</f>
        <v>1000000000</v>
      </c>
      <c r="S21" s="738"/>
      <c r="T21" s="738"/>
    </row>
    <row r="22" spans="2:20">
      <c r="B22" s="738" t="s">
        <v>881</v>
      </c>
      <c r="C22" s="738"/>
      <c r="D22" s="738"/>
      <c r="E22" s="738"/>
      <c r="F22" s="738"/>
      <c r="G22" s="738"/>
      <c r="H22" s="738">
        <v>5.0000000000000001E-3</v>
      </c>
      <c r="I22" s="738"/>
      <c r="J22" s="738"/>
      <c r="K22" s="738"/>
      <c r="L22" s="738" t="s">
        <v>882</v>
      </c>
      <c r="M22" s="738"/>
    </row>
    <row r="23" spans="2:20">
      <c r="B23" s="738" t="s">
        <v>883</v>
      </c>
      <c r="C23" s="738"/>
      <c r="D23" s="738"/>
      <c r="E23" s="738"/>
      <c r="F23" s="738"/>
      <c r="G23" s="738"/>
      <c r="H23" s="738">
        <v>15000</v>
      </c>
      <c r="I23" s="738"/>
      <c r="J23" s="738"/>
      <c r="K23" s="738"/>
      <c r="L23" s="738" t="s">
        <v>91</v>
      </c>
      <c r="M23" s="738"/>
    </row>
    <row r="24" spans="2:20">
      <c r="B24" s="738" t="s">
        <v>884</v>
      </c>
      <c r="C24" s="738"/>
      <c r="D24" s="738"/>
      <c r="E24" s="738"/>
      <c r="F24" s="738"/>
      <c r="G24" s="738"/>
      <c r="H24" s="738">
        <v>18000</v>
      </c>
      <c r="I24" s="738"/>
      <c r="J24" s="738"/>
      <c r="K24" s="738"/>
      <c r="L24" s="738" t="s">
        <v>91</v>
      </c>
      <c r="M24" s="738"/>
    </row>
    <row r="25" spans="2:20">
      <c r="B25" s="738" t="s">
        <v>822</v>
      </c>
      <c r="C25" s="738"/>
      <c r="D25" s="738"/>
      <c r="E25" s="738"/>
      <c r="F25" s="738"/>
      <c r="G25" s="738"/>
      <c r="H25" s="738">
        <v>470</v>
      </c>
      <c r="I25" s="738"/>
      <c r="J25" s="738"/>
      <c r="K25" s="738"/>
      <c r="L25" s="738" t="s">
        <v>214</v>
      </c>
      <c r="M25" s="738"/>
    </row>
    <row r="26" spans="2:20">
      <c r="B26" s="738" t="s">
        <v>885</v>
      </c>
      <c r="C26" s="738"/>
      <c r="D26" s="738"/>
      <c r="E26" s="738"/>
      <c r="F26" s="738"/>
      <c r="G26" s="738"/>
      <c r="H26" s="738"/>
      <c r="I26" s="738"/>
      <c r="J26" s="738"/>
      <c r="K26" s="738"/>
      <c r="L26" s="738" t="s">
        <v>93</v>
      </c>
      <c r="M26" s="738"/>
    </row>
    <row r="27" spans="2:20">
      <c r="B27" s="738"/>
      <c r="C27" s="738"/>
      <c r="D27" s="738"/>
      <c r="E27" s="738"/>
      <c r="F27" s="738"/>
      <c r="G27" s="738"/>
      <c r="H27" s="738"/>
      <c r="I27" s="738"/>
      <c r="J27" s="738"/>
      <c r="K27" s="738"/>
      <c r="L27" s="738"/>
      <c r="M27" s="738"/>
    </row>
    <row r="28" spans="2:20">
      <c r="B28" s="738"/>
      <c r="C28" s="738"/>
      <c r="D28" s="738"/>
      <c r="E28" s="738"/>
      <c r="F28" s="738"/>
      <c r="G28" s="738"/>
      <c r="H28" s="738"/>
      <c r="I28" s="738"/>
      <c r="J28" s="738"/>
      <c r="K28" s="738"/>
      <c r="L28" s="738"/>
      <c r="M28" s="738"/>
    </row>
    <row r="29" spans="2:20">
      <c r="B29" s="738"/>
      <c r="C29" s="738"/>
      <c r="D29" s="738"/>
      <c r="E29" s="738"/>
      <c r="F29" s="738"/>
      <c r="G29" s="738"/>
      <c r="H29" s="738"/>
      <c r="I29" s="738"/>
      <c r="J29" s="738"/>
      <c r="K29" s="738"/>
      <c r="L29" s="738"/>
      <c r="M29" s="738"/>
    </row>
  </sheetData>
  <mergeCells count="38">
    <mergeCell ref="B28:G28"/>
    <mergeCell ref="H28:K28"/>
    <mergeCell ref="L28:M28"/>
    <mergeCell ref="B29:G29"/>
    <mergeCell ref="H29:K29"/>
    <mergeCell ref="L29:M29"/>
    <mergeCell ref="B26:G26"/>
    <mergeCell ref="H26:K26"/>
    <mergeCell ref="L26:M26"/>
    <mergeCell ref="B27:G27"/>
    <mergeCell ref="H27:K27"/>
    <mergeCell ref="L27:M27"/>
    <mergeCell ref="B24:G24"/>
    <mergeCell ref="H24:K24"/>
    <mergeCell ref="L24:M24"/>
    <mergeCell ref="B25:G25"/>
    <mergeCell ref="H25:K25"/>
    <mergeCell ref="L25:M25"/>
    <mergeCell ref="R21:T21"/>
    <mergeCell ref="B22:G22"/>
    <mergeCell ref="H22:K22"/>
    <mergeCell ref="L22:M22"/>
    <mergeCell ref="B23:G23"/>
    <mergeCell ref="H23:K23"/>
    <mergeCell ref="L23:M23"/>
    <mergeCell ref="B20:G20"/>
    <mergeCell ref="H20:K20"/>
    <mergeCell ref="L20:M20"/>
    <mergeCell ref="B21:G21"/>
    <mergeCell ref="H21:K21"/>
    <mergeCell ref="L21:M21"/>
    <mergeCell ref="A1:C1"/>
    <mergeCell ref="B17:G17"/>
    <mergeCell ref="H17:K17"/>
    <mergeCell ref="L17:M17"/>
    <mergeCell ref="B18:G18"/>
    <mergeCell ref="H18:K18"/>
    <mergeCell ref="L18:M18"/>
  </mergeCells>
  <phoneticPr fontId="42"/>
  <hyperlinks>
    <hyperlink ref="A1:C1" location="目次!A1" display="　目次　" xr:uid="{00000000-0004-0000-5100-000000000000}"/>
  </hyperlinks>
  <pageMargins left="0.69930555555555596" right="0.69930555555555596" top="0.75" bottom="0.75" header="0.3" footer="0.3"/>
  <pageSetup paperSize="9" orientation="portrait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B3:D12"/>
  <sheetViews>
    <sheetView workbookViewId="0">
      <selection activeCell="B3" sqref="B3"/>
    </sheetView>
  </sheetViews>
  <sheetFormatPr defaultRowHeight="13.5"/>
  <cols>
    <col min="1" max="1" width="9" customWidth="1"/>
  </cols>
  <sheetData>
    <row r="3" spans="2:4">
      <c r="B3" s="284" t="s">
        <v>1026</v>
      </c>
      <c r="C3">
        <v>696</v>
      </c>
      <c r="D3" s="284" t="s">
        <v>1027</v>
      </c>
    </row>
    <row r="4" spans="2:4">
      <c r="B4" s="284" t="s">
        <v>1028</v>
      </c>
      <c r="C4">
        <v>8</v>
      </c>
    </row>
    <row r="5" spans="2:4">
      <c r="B5" s="284" t="s">
        <v>1029</v>
      </c>
      <c r="C5">
        <v>1</v>
      </c>
    </row>
    <row r="6" spans="2:4">
      <c r="B6" s="284" t="s">
        <v>1030</v>
      </c>
      <c r="C6">
        <f>(C3*10^-3*C4)/(C5*24)</f>
        <v>0.23200000000000001</v>
      </c>
    </row>
    <row r="8" spans="2:4">
      <c r="B8" s="284" t="s">
        <v>1035</v>
      </c>
      <c r="C8">
        <v>255</v>
      </c>
    </row>
    <row r="9" spans="2:4">
      <c r="B9" s="284" t="s">
        <v>1031</v>
      </c>
      <c r="C9">
        <v>255</v>
      </c>
    </row>
    <row r="10" spans="2:4">
      <c r="B10" s="284" t="s">
        <v>1032</v>
      </c>
      <c r="C10">
        <f>((C8-2)*C9)/C6</f>
        <v>278081.89655172412</v>
      </c>
    </row>
    <row r="11" spans="2:4">
      <c r="B11" s="284" t="s">
        <v>1033</v>
      </c>
    </row>
    <row r="12" spans="2:4">
      <c r="B12" s="284" t="s">
        <v>1034</v>
      </c>
    </row>
  </sheetData>
  <phoneticPr fontId="42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defaultRowHeight="13.5"/>
  <cols>
    <col min="1" max="1" width="8.875" customWidth="1"/>
  </cols>
  <sheetData/>
  <phoneticPr fontId="4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120</vt:i4>
      </vt:variant>
    </vt:vector>
  </HeadingPairs>
  <TitlesOfParts>
    <vt:vector size="120" baseType="lpstr">
      <vt:lpstr>目次</vt:lpstr>
      <vt:lpstr>音階と周波数</vt:lpstr>
      <vt:lpstr>bit変換</vt:lpstr>
      <vt:lpstr>パケット計算</vt:lpstr>
      <vt:lpstr>オーム+電力</vt:lpstr>
      <vt:lpstr>電力と熱</vt:lpstr>
      <vt:lpstr>LED電流計算</vt:lpstr>
      <vt:lpstr>トランス漏洩</vt:lpstr>
      <vt:lpstr>利得</vt:lpstr>
      <vt:lpstr>分圧</vt:lpstr>
      <vt:lpstr>合成R・C</vt:lpstr>
      <vt:lpstr>共振周波数</vt:lpstr>
      <vt:lpstr>振幅・実行値</vt:lpstr>
      <vt:lpstr>リアクタンス</vt:lpstr>
      <vt:lpstr>水晶の負荷容量</vt:lpstr>
      <vt:lpstr>比率</vt:lpstr>
      <vt:lpstr>ｵﾍﾟｱﾝﾌﾟ</vt:lpstr>
      <vt:lpstr>ﾃﾞｰﾀﾚｰﾄ_時間</vt:lpstr>
      <vt:lpstr>時定数</vt:lpstr>
      <vt:lpstr>充放電時間</vt:lpstr>
      <vt:lpstr>波長</vt:lpstr>
      <vt:lpstr>距離換算</vt:lpstr>
      <vt:lpstr>偏差計算</vt:lpstr>
      <vt:lpstr>トランジスタ</vt:lpstr>
      <vt:lpstr>電池寿命(簡潔動作)</vt:lpstr>
      <vt:lpstr>信号分配抵抗</vt:lpstr>
      <vt:lpstr>DCDC計算</vt:lpstr>
      <vt:lpstr>dbm to mW</vt:lpstr>
      <vt:lpstr>ポートレジスタ</vt:lpstr>
      <vt:lpstr>電圧変換後の電流計算</vt:lpstr>
      <vt:lpstr>電池寿命</vt:lpstr>
      <vt:lpstr>電池寿命計算（予備）</vt:lpstr>
      <vt:lpstr>電池寿命計算（ﾓﾊﾞｲﾙBatt）</vt:lpstr>
      <vt:lpstr>基板単価計算</vt:lpstr>
      <vt:lpstr>トランス巻比・UV試験</vt:lpstr>
      <vt:lpstr>IR1253</vt:lpstr>
      <vt:lpstr>NCP603出力電圧計算</vt:lpstr>
      <vt:lpstr>予備計算</vt:lpstr>
      <vt:lpstr>ADP123出力電圧計算</vt:lpstr>
      <vt:lpstr>パルス計算</vt:lpstr>
      <vt:lpstr>IC計算</vt:lpstr>
      <vt:lpstr>自由領域</vt:lpstr>
      <vt:lpstr>CR発振</vt:lpstr>
      <vt:lpstr>通信時間</vt:lpstr>
      <vt:lpstr>配線抵抗</vt:lpstr>
      <vt:lpstr>円換算</vt:lpstr>
      <vt:lpstr>周波数・周期</vt:lpstr>
      <vt:lpstr>1セットの時間</vt:lpstr>
      <vt:lpstr>速度計算</vt:lpstr>
      <vt:lpstr>fps_Time</vt:lpstr>
      <vt:lpstr>1LSB_変換精度計算</vt:lpstr>
      <vt:lpstr>スネルの法則</vt:lpstr>
      <vt:lpstr>焦点距離</vt:lpstr>
      <vt:lpstr>ｺｲﾙ巻数とｲﾝﾀﾞｸﾀ</vt:lpstr>
      <vt:lpstr>トランス変圧</vt:lpstr>
      <vt:lpstr>ﾌﾗｲﾊﾞｯｸ電圧</vt:lpstr>
      <vt:lpstr>スナバ回路損失</vt:lpstr>
      <vt:lpstr>トランス設計</vt:lpstr>
      <vt:lpstr>トランス設計 (布団クリーナー)</vt:lpstr>
      <vt:lpstr>作業時間計算</vt:lpstr>
      <vt:lpstr>損失と通信距離</vt:lpstr>
      <vt:lpstr>ｹｰﾌﾞﾙLossによる通信距離</vt:lpstr>
      <vt:lpstr>ｹｰﾌﾞﾙLossによる通信距離 (2)</vt:lpstr>
      <vt:lpstr>メモリ容量計算</vt:lpstr>
      <vt:lpstr>10HS農業センサ</vt:lpstr>
      <vt:lpstr>MPM3820出力</vt:lpstr>
      <vt:lpstr>555発振回路</vt:lpstr>
      <vt:lpstr>昇降圧電流計算</vt:lpstr>
      <vt:lpstr>磁束密度計算</vt:lpstr>
      <vt:lpstr>logExcel</vt:lpstr>
      <vt:lpstr>電力)DB-&gt;倍率</vt:lpstr>
      <vt:lpstr>土壌水分センサ</vt:lpstr>
      <vt:lpstr>3GRay電源</vt:lpstr>
      <vt:lpstr>理想サンプリング周波数</vt:lpstr>
      <vt:lpstr>電圧変換後の消費電流</vt:lpstr>
      <vt:lpstr>電池容量とキャパシタンス</vt:lpstr>
      <vt:lpstr>光量変換</vt:lpstr>
      <vt:lpstr>DCDC入出力電力</vt:lpstr>
      <vt:lpstr>インチ変換</vt:lpstr>
      <vt:lpstr>LTC4071充電</vt:lpstr>
      <vt:lpstr>bq24210充電</vt:lpstr>
      <vt:lpstr>LM1084出力計算</vt:lpstr>
      <vt:lpstr>LM5007MM出力電圧</vt:lpstr>
      <vt:lpstr>LTC1799発信周波数</vt:lpstr>
      <vt:lpstr>LTC6908発信周波数</vt:lpstr>
      <vt:lpstr>bq24650充電</vt:lpstr>
      <vt:lpstr>速度と距離</vt:lpstr>
      <vt:lpstr>dB⇔倍率・電圧・音圧</vt:lpstr>
      <vt:lpstr>利得-音圧-電圧-マイク</vt:lpstr>
      <vt:lpstr>加速度G⇔SI</vt:lpstr>
      <vt:lpstr>AD変換速度→周波数</vt:lpstr>
      <vt:lpstr>クロック周波数と時間</vt:lpstr>
      <vt:lpstr>レジスタ</vt:lpstr>
      <vt:lpstr>サーミスタ計算</vt:lpstr>
      <vt:lpstr>コイル電流と磁界</vt:lpstr>
      <vt:lpstr>ECM-100U</vt:lpstr>
      <vt:lpstr>消費電流概算</vt:lpstr>
      <vt:lpstr>カラー情報→白黒情報</vt:lpstr>
      <vt:lpstr>光信号とケーブルロス</vt:lpstr>
      <vt:lpstr>I2Cプルアップ抵抗</vt:lpstr>
      <vt:lpstr>差動アンプ</vt:lpstr>
      <vt:lpstr>エイリアシング計算</vt:lpstr>
      <vt:lpstr>目標達成シート0</vt:lpstr>
      <vt:lpstr>目標達成シート(ラズパイ)</vt:lpstr>
      <vt:lpstr>相関係数を求める</vt:lpstr>
      <vt:lpstr>相関係数を求める (2)</vt:lpstr>
      <vt:lpstr>画像のファイル容量計算</vt:lpstr>
      <vt:lpstr>配線遅延</vt:lpstr>
      <vt:lpstr>FET駆動電流</vt:lpstr>
      <vt:lpstr>ArduinoTimer</vt:lpstr>
      <vt:lpstr>距離と速度と時間</vt:lpstr>
      <vt:lpstr>MT3608出力電圧</vt:lpstr>
      <vt:lpstr>___ (4)</vt:lpstr>
      <vt:lpstr>___ (3)</vt:lpstr>
      <vt:lpstr>___</vt:lpstr>
      <vt:lpstr>___ (2)</vt:lpstr>
      <vt:lpstr>2進数⇒16進数</vt:lpstr>
      <vt:lpstr>Sheet1</vt:lpstr>
      <vt:lpstr>Sheet2</vt:lpstr>
      <vt:lpstr>Sheet3</vt:lpstr>
    </vt:vector>
  </TitlesOfParts>
  <Company>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LP-UMD_2</dc:creator>
  <cp:lastModifiedBy>Acer</cp:lastModifiedBy>
  <dcterms:created xsi:type="dcterms:W3CDTF">2011-05-22T05:08:00Z</dcterms:created>
  <dcterms:modified xsi:type="dcterms:W3CDTF">2021-12-19T12:18:06Z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